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updateLinks="never"/>
  <mc:AlternateContent xmlns:mc="http://schemas.openxmlformats.org/markup-compatibility/2006">
    <mc:Choice Requires="x15">
      <x15ac:absPath xmlns:x15ac="http://schemas.microsoft.com/office/spreadsheetml/2010/11/ac" url="C:\Users\aengholm\code repos\EMA-transport-climate-policy-SE\models\"/>
    </mc:Choice>
  </mc:AlternateContent>
  <bookViews>
    <workbookView xWindow="-18135" yWindow="-16470" windowWidth="29040" windowHeight="15840" tabRatio="752" activeTab="4"/>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1_CO2_TTW_total">EMA!$C$57</definedName>
    <definedName name="M2_driving_cost_car">EMA!$C$53</definedName>
    <definedName name="M3_driving_cost_truck">EMA!$C$54</definedName>
    <definedName name="m3_till_liter">'[1]Koefficienter &amp; omvandlingstal'!$A$21</definedName>
    <definedName name="M4_energy_use_bio">EMA!$C$41</definedName>
    <definedName name="M5_energy_use_electricity">EMA!$C$43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4" l="1"/>
  <c r="G17" i="14"/>
  <c r="O26" i="16"/>
  <c r="O25" i="16"/>
  <c r="N21" i="16"/>
  <c r="H5" i="17"/>
  <c r="F28" i="14"/>
  <c r="F22" i="14"/>
  <c r="F76" i="14"/>
  <c r="G76" i="14"/>
  <c r="G75" i="14"/>
  <c r="F75" i="14"/>
  <c r="E90" i="16" l="1"/>
  <c r="D90" i="16"/>
  <c r="D91" i="16" s="1"/>
  <c r="N58" i="16" s="1"/>
  <c r="E89" i="16"/>
  <c r="D89" i="16"/>
  <c r="D3" i="16" s="1"/>
  <c r="E54" i="14"/>
  <c r="E55" i="14"/>
  <c r="E56" i="14"/>
  <c r="E57" i="14"/>
  <c r="D57" i="14"/>
  <c r="D56" i="14"/>
  <c r="D55" i="14"/>
  <c r="D54" i="14"/>
  <c r="D26" i="14"/>
  <c r="D27" i="14"/>
  <c r="D52" i="14"/>
  <c r="N59" i="16" l="1"/>
  <c r="N53" i="16"/>
  <c r="N60" i="16"/>
  <c r="N56" i="16"/>
  <c r="O54" i="16"/>
  <c r="O61" i="16"/>
  <c r="N55" i="16"/>
  <c r="N61" i="16"/>
  <c r="E91" i="16"/>
  <c r="N54" i="16"/>
  <c r="O53" i="16" l="1"/>
  <c r="O60" i="16"/>
  <c r="O55" i="16"/>
  <c r="O58" i="16"/>
  <c r="O59" i="16"/>
  <c r="O56" i="16"/>
  <c r="G12" i="14"/>
  <c r="G11" i="14"/>
  <c r="G10" i="14"/>
  <c r="G9" i="14"/>
  <c r="E5" i="21" l="1"/>
  <c r="D5" i="21"/>
  <c r="E37" i="14" l="1"/>
  <c r="F74" i="14" l="1"/>
  <c r="F77" i="14"/>
  <c r="G77" i="14"/>
  <c r="G74" i="14"/>
  <c r="G52" i="7" l="1"/>
  <c r="I77" i="14"/>
  <c r="I76" i="14"/>
  <c r="I75" i="14"/>
  <c r="H77" i="14"/>
  <c r="H76" i="14"/>
  <c r="I74" i="14"/>
  <c r="H74" i="14"/>
  <c r="H75" i="14"/>
  <c r="F30" i="13" l="1"/>
  <c r="E30"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J50" i="13" l="1"/>
  <c r="I50" i="13" s="1"/>
  <c r="H50" i="13"/>
  <c r="G50" i="13"/>
  <c r="J31" i="13"/>
  <c r="I31" i="13" s="1"/>
  <c r="H31" i="13"/>
  <c r="G31" i="13" s="1"/>
  <c r="J12" i="13"/>
  <c r="I12" i="13" s="1"/>
  <c r="H12" i="13"/>
  <c r="G12" i="13" s="1"/>
  <c r="D52" i="7" l="1"/>
  <c r="E52" i="7"/>
  <c r="E9" i="21" l="1"/>
  <c r="I70" i="14" l="1"/>
  <c r="I89" i="16" s="1"/>
  <c r="I91" i="16" s="1"/>
  <c r="H52" i="7" l="1"/>
  <c r="I52" i="7"/>
  <c r="F52" i="7"/>
  <c r="F70" i="14" l="1"/>
  <c r="F89" i="16" s="1"/>
  <c r="F91" i="16" s="1"/>
  <c r="H70" i="14"/>
  <c r="H89" i="16" s="1"/>
  <c r="H91" i="16" s="1"/>
  <c r="F17" i="14" l="1"/>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F54" i="14"/>
  <c r="D56" i="16"/>
  <c r="F56" i="16" s="1"/>
  <c r="D55" i="16"/>
  <c r="F55" i="14"/>
  <c r="D54" i="16"/>
  <c r="G54" i="16" s="1"/>
  <c r="G54" i="14"/>
  <c r="D53" i="16"/>
  <c r="F53" i="16" s="1"/>
  <c r="F56" i="14"/>
  <c r="I58" i="16"/>
  <c r="Q53" i="16" l="1"/>
  <c r="Q58" i="16"/>
  <c r="Q60" i="16"/>
  <c r="Q55" i="16"/>
  <c r="I60" i="16"/>
  <c r="Q61" i="16"/>
  <c r="AA61" i="16" s="1"/>
  <c r="AK61" i="16" s="1"/>
  <c r="Q56" i="16"/>
  <c r="AA56" i="16" s="1"/>
  <c r="AK56" i="16" s="1"/>
  <c r="Q54" i="16"/>
  <c r="Q59" i="16"/>
  <c r="P61" i="16"/>
  <c r="P56" i="16"/>
  <c r="P54" i="16"/>
  <c r="P59" i="16"/>
  <c r="P53" i="16"/>
  <c r="P58" i="16"/>
  <c r="P55" i="16"/>
  <c r="P60" i="16"/>
  <c r="I57" i="14"/>
  <c r="I56" i="14"/>
  <c r="I61" i="16"/>
  <c r="G53" i="16"/>
  <c r="I59" i="16"/>
  <c r="F60" i="16"/>
  <c r="G60" i="16"/>
  <c r="F59" i="16"/>
  <c r="G61" i="16"/>
  <c r="E61" i="16"/>
  <c r="F61" i="16"/>
  <c r="G59" i="16"/>
  <c r="E59" i="16"/>
  <c r="E60" i="16"/>
  <c r="F58" i="16"/>
  <c r="H58" i="16"/>
  <c r="H56" i="14"/>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R61" i="16" l="1"/>
  <c r="R56" i="16"/>
  <c r="R54" i="16"/>
  <c r="AB54" i="16" s="1"/>
  <c r="AL54" i="16" s="1"/>
  <c r="R59" i="16"/>
  <c r="S61" i="16"/>
  <c r="AC61" i="16" s="1"/>
  <c r="AM61" i="16" s="1"/>
  <c r="S56" i="16"/>
  <c r="AC56" i="16" s="1"/>
  <c r="AM56" i="16" s="1"/>
  <c r="R58" i="16"/>
  <c r="AB58" i="16" s="1"/>
  <c r="AL58" i="16" s="1"/>
  <c r="R53" i="16"/>
  <c r="AB53" i="16" s="1"/>
  <c r="AL53" i="16" s="1"/>
  <c r="S53" i="16"/>
  <c r="S58" i="16"/>
  <c r="AC58" i="16" s="1"/>
  <c r="AM58" i="16" s="1"/>
  <c r="S55" i="16"/>
  <c r="S60" i="16"/>
  <c r="R55" i="16"/>
  <c r="AB55" i="16" s="1"/>
  <c r="AL55" i="16" s="1"/>
  <c r="R60" i="16"/>
  <c r="AB60" i="16" s="1"/>
  <c r="AL60" i="16" s="1"/>
  <c r="S59" i="16"/>
  <c r="S54" i="16"/>
  <c r="AC53" i="16"/>
  <c r="AM53" i="16" s="1"/>
  <c r="AB56" i="16"/>
  <c r="AL56" i="16" s="1"/>
  <c r="AB61" i="16"/>
  <c r="AL61" i="16" s="1"/>
  <c r="AB59" i="16"/>
  <c r="AL59"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J30" i="13" l="1"/>
  <c r="J49" i="13"/>
  <c r="I30" i="13"/>
  <c r="I49" i="13"/>
  <c r="E4" i="2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G6" i="13"/>
  <c r="E15" i="13"/>
  <c r="E14" i="13"/>
  <c r="E12" i="13"/>
  <c r="H65" i="14"/>
  <c r="D42" i="14"/>
  <c r="D43" i="14"/>
  <c r="D44" i="14"/>
  <c r="D45" i="14"/>
  <c r="E27" i="14"/>
  <c r="E28" i="14" s="1"/>
  <c r="G27" i="14"/>
  <c r="G28" i="14" s="1"/>
  <c r="G39" i="14"/>
  <c r="F5" i="17"/>
  <c r="E32" i="13" l="1"/>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15" i="13"/>
  <c r="E11" i="13"/>
  <c r="B13" i="13"/>
  <c r="G51" i="13" l="1"/>
  <c r="K13" i="13"/>
  <c r="F25" i="14"/>
  <c r="D5" i="17" l="1"/>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G18" i="18" s="1"/>
  <c r="H16" i="18"/>
  <c r="I16" i="18"/>
  <c r="J16" i="18"/>
  <c r="C17" i="18"/>
  <c r="D17" i="18"/>
  <c r="E17" i="18"/>
  <c r="F17" i="18"/>
  <c r="G17" i="18"/>
  <c r="H17" i="18"/>
  <c r="I17" i="18"/>
  <c r="J17" i="18"/>
  <c r="C18" i="18"/>
  <c r="D18" i="18"/>
  <c r="E18" i="18"/>
  <c r="F18" i="18"/>
  <c r="H18" i="18"/>
  <c r="I18" i="18"/>
  <c r="J18" i="18"/>
  <c r="B17" i="18"/>
  <c r="B16" i="18"/>
  <c r="B18" i="18" s="1"/>
  <c r="J12" i="18"/>
  <c r="C11" i="18"/>
  <c r="C12" i="18" s="1"/>
  <c r="D11" i="18"/>
  <c r="D12" i="18" s="1"/>
  <c r="E11" i="18"/>
  <c r="E12" i="18" s="1"/>
  <c r="F11" i="18"/>
  <c r="F12" i="18" s="1"/>
  <c r="G11" i="18"/>
  <c r="G12" i="18" s="1"/>
  <c r="H11" i="18"/>
  <c r="H12" i="18" s="1"/>
  <c r="I11" i="18"/>
  <c r="I12" i="18" s="1"/>
  <c r="J11" i="18"/>
  <c r="B11" i="18"/>
  <c r="B12" i="18" s="1"/>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O36" i="16" s="1"/>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I59" i="14" l="1"/>
  <c r="G59" i="14"/>
  <c r="AC30" i="7"/>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H21" i="13" s="1"/>
  <c r="E79" i="13"/>
  <c r="E80" i="13" s="1"/>
  <c r="I79" i="13"/>
  <c r="I80" i="13" s="1"/>
  <c r="I85" i="13" s="1"/>
  <c r="G79" i="13"/>
  <c r="G80" i="13" s="1"/>
  <c r="E66" i="13"/>
  <c r="I66" i="13"/>
  <c r="G66" i="13"/>
  <c r="G67" i="13" s="1"/>
  <c r="E79" i="16"/>
  <c r="E76" i="16"/>
  <c r="E78" i="16"/>
  <c r="E77" i="16"/>
  <c r="O80" i="16"/>
  <c r="G16" i="13"/>
  <c r="G18" i="13"/>
  <c r="G17" i="13"/>
  <c r="I35" i="13"/>
  <c r="G35" i="13"/>
  <c r="J35" i="13"/>
  <c r="J40" i="13" s="1"/>
  <c r="D32" i="14"/>
  <c r="F32" i="14" s="1"/>
  <c r="N6" i="7"/>
  <c r="G32" i="14"/>
  <c r="I32" i="14"/>
  <c r="E62" i="13"/>
  <c r="D58" i="14"/>
  <c r="E43" i="13"/>
  <c r="N7" i="7" s="1"/>
  <c r="F62" i="13"/>
  <c r="E58" i="14"/>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G19" i="13" l="1"/>
  <c r="E6" i="16"/>
  <c r="G58" i="14"/>
  <c r="I58" i="14"/>
  <c r="D6" i="16"/>
  <c r="D71" i="16" s="1"/>
  <c r="F58" i="14"/>
  <c r="H58" i="14"/>
  <c r="E84" i="13"/>
  <c r="N7" i="16" s="1"/>
  <c r="E85" i="13"/>
  <c r="E87" i="13" s="1"/>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H32" i="14"/>
  <c r="H6" i="7" s="1"/>
  <c r="D6" i="7"/>
  <c r="D40" i="7" s="1"/>
  <c r="N9" i="7"/>
  <c r="Y6" i="16"/>
  <c r="Y8" i="16" s="1"/>
  <c r="H71" i="13"/>
  <c r="H74"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D59" i="14" l="1"/>
  <c r="E88" i="13"/>
  <c r="D73" i="16"/>
  <c r="O11" i="16"/>
  <c r="O14" i="16"/>
  <c r="O13" i="16"/>
  <c r="O12" i="16"/>
  <c r="D74" i="16"/>
  <c r="D75" i="16" s="1"/>
  <c r="N11" i="16"/>
  <c r="N12" i="16"/>
  <c r="N13" i="16"/>
  <c r="N14" i="16"/>
  <c r="O23" i="16"/>
  <c r="O24" i="16"/>
  <c r="O64" i="16" s="1"/>
  <c r="N26" i="16"/>
  <c r="N23" i="16"/>
  <c r="N25" i="16"/>
  <c r="N24" i="16"/>
  <c r="N64" i="16" s="1"/>
  <c r="N74" i="16"/>
  <c r="X11" i="16"/>
  <c r="AH11" i="16" s="1"/>
  <c r="N76" i="16"/>
  <c r="N78" i="16"/>
  <c r="X78" i="16" s="1"/>
  <c r="AH78" i="16" s="1"/>
  <c r="N77" i="16"/>
  <c r="N79" i="16"/>
  <c r="G75" i="13"/>
  <c r="P8" i="7" s="1"/>
  <c r="Z8" i="7" s="1"/>
  <c r="AJ8" i="7" s="1"/>
  <c r="F9" i="17" s="1"/>
  <c r="H58" i="13"/>
  <c r="H62" i="13" s="1"/>
  <c r="G61" i="13"/>
  <c r="J58" i="13"/>
  <c r="I6" i="16" s="1"/>
  <c r="I58" i="13"/>
  <c r="R6" i="16" s="1"/>
  <c r="N8" i="7"/>
  <c r="I20" i="13"/>
  <c r="I23" i="13"/>
  <c r="Q7" i="16"/>
  <c r="G7" i="16"/>
  <c r="S7" i="16"/>
  <c r="I7" i="16"/>
  <c r="P7" i="16"/>
  <c r="R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G41" i="13"/>
  <c r="G42" i="13" s="1"/>
  <c r="G39" i="13"/>
  <c r="I72" i="13"/>
  <c r="I74" i="13" s="1"/>
  <c r="I75" i="13" s="1"/>
  <c r="R8" i="7" s="1"/>
  <c r="AB8" i="7" s="1"/>
  <c r="AL8" i="7" s="1"/>
  <c r="H9" i="17" s="1"/>
  <c r="G88" i="13"/>
  <c r="G58" i="13"/>
  <c r="P6" i="16" s="1"/>
  <c r="J20" i="13"/>
  <c r="J22" i="13"/>
  <c r="J23" i="13" s="1"/>
  <c r="Y24" i="16" l="1"/>
  <c r="F59" i="14"/>
  <c r="F7" i="16" s="1"/>
  <c r="H59" i="14"/>
  <c r="H7" i="16" s="1"/>
  <c r="X24" i="16"/>
  <c r="X64" i="16" s="1"/>
  <c r="O66" i="16"/>
  <c r="Y26" i="16"/>
  <c r="O65" i="16"/>
  <c r="Y25" i="16"/>
  <c r="O63" i="16"/>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C52" i="27" l="1"/>
  <c r="O67" i="16"/>
  <c r="O68" i="16" s="1"/>
  <c r="X81" i="16"/>
  <c r="AH81" i="16" s="1"/>
  <c r="N85" i="16"/>
  <c r="Q8"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Q24" i="16" l="1"/>
  <c r="Q42" i="16" s="1"/>
  <c r="Q25" i="16"/>
  <c r="Q65" i="16" s="1"/>
  <c r="Q23" i="16"/>
  <c r="Q41" i="16" s="1"/>
  <c r="Q26" i="16"/>
  <c r="Q66" i="16" s="1"/>
  <c r="N86" i="16"/>
  <c r="X50" i="16" s="1"/>
  <c r="X36" i="16" s="1"/>
  <c r="P12" i="16"/>
  <c r="P11" i="16"/>
  <c r="P71" i="16" s="1"/>
  <c r="P13" i="16"/>
  <c r="P14" i="16"/>
  <c r="Q14" i="16"/>
  <c r="Q11" i="16"/>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C51" i="27" s="1"/>
  <c r="R24" i="16"/>
  <c r="R26" i="16"/>
  <c r="R23" i="16"/>
  <c r="R25" i="16"/>
  <c r="P25" i="16"/>
  <c r="P23" i="16"/>
  <c r="P24" i="16"/>
  <c r="P26"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H36" i="7"/>
  <c r="R37" i="7"/>
  <c r="G42" i="7"/>
  <c r="Q42" i="7"/>
  <c r="F41" i="7"/>
  <c r="H41" i="7"/>
  <c r="G41" i="7"/>
  <c r="F40" i="7"/>
  <c r="F42" i="7"/>
  <c r="I41" i="7"/>
  <c r="G40" i="7"/>
  <c r="I36" i="7"/>
  <c r="I18" i="7"/>
  <c r="I19" i="7"/>
  <c r="I40" i="7"/>
  <c r="H40" i="7"/>
  <c r="I42" i="7"/>
  <c r="H42" i="7"/>
  <c r="Q64" i="16" l="1"/>
  <c r="Q39" i="16"/>
  <c r="Q49" i="16" s="1"/>
  <c r="Q44" i="16"/>
  <c r="Q81" i="16"/>
  <c r="AA81" i="16" s="1"/>
  <c r="AK81" i="16" s="1"/>
  <c r="Q63" i="16"/>
  <c r="Q36" i="16"/>
  <c r="Q46" i="16" s="1"/>
  <c r="Q38" i="16"/>
  <c r="Q43" i="16"/>
  <c r="Q45" i="16" s="1"/>
  <c r="Q62" i="16" s="1"/>
  <c r="Q37" i="16"/>
  <c r="Q47" i="16" s="1"/>
  <c r="AK8" i="16"/>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S44" i="16"/>
  <c r="S39" i="16"/>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N48" i="7" s="1"/>
  <c r="N49" i="7" s="1"/>
  <c r="N50" i="7" s="1"/>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Q48" i="16" l="1"/>
  <c r="Q40" i="16"/>
  <c r="Q57" i="16" s="1"/>
  <c r="P47" i="16"/>
  <c r="S47" i="16"/>
  <c r="R40" i="16"/>
  <c r="R57" i="16" s="1"/>
  <c r="R46" i="16"/>
  <c r="R47" i="16"/>
  <c r="R48" i="16"/>
  <c r="R49" i="16"/>
  <c r="P48" i="16"/>
  <c r="R45" i="16"/>
  <c r="R62" i="16" s="1"/>
  <c r="P45" i="16"/>
  <c r="Q15" i="16"/>
  <c r="P49" i="16"/>
  <c r="P40" i="16"/>
  <c r="P46" i="16"/>
  <c r="S46" i="16"/>
  <c r="S40" i="16"/>
  <c r="S75" i="16" s="1"/>
  <c r="S48" i="16"/>
  <c r="S45" i="16"/>
  <c r="S62" i="16" s="1"/>
  <c r="S80" i="16"/>
  <c r="S49" i="16"/>
  <c r="Q20" i="16"/>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Q75" i="16" l="1"/>
  <c r="AH40" i="16"/>
  <c r="AH57" i="16"/>
  <c r="P50" i="16"/>
  <c r="S20" i="16"/>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G81" i="17" s="1"/>
  <c r="B38" i="27"/>
  <c r="F76" i="17"/>
  <c r="F79" i="17" s="1"/>
  <c r="F35" i="17"/>
  <c r="B45" i="27" s="1"/>
  <c r="F23" i="17"/>
  <c r="C50" i="27" l="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H63" i="17" s="1"/>
  <c r="AL90" i="16"/>
  <c r="AL91" i="16" s="1"/>
  <c r="H38" i="17" s="1"/>
  <c r="H40" i="17" s="1"/>
  <c r="H41" i="17" s="1"/>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authors>
    <author>tc={EF767CCE-FA5F-48F1-9A64-A0329AA003A2}</author>
    <author>tc={8470CDAA-5119-482B-908E-7232FD2591EE}</author>
    <author>tc={7AA0C079-4270-4107-80A8-167265DE1676}</author>
  </authors>
  <commentList>
    <comment ref="A64"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Exkluderar eventuella intäkter från drivmedelsskatter för bussar </t>
        </r>
      </text>
    </comment>
    <comment ref="A7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Exkluderar bussar</t>
        </r>
      </text>
    </comment>
    <comment ref="A76"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Exkluderar bussar</t>
        </r>
      </text>
    </comment>
  </commentList>
</comments>
</file>

<file path=xl/comments2.xml><?xml version="1.0" encoding="utf-8"?>
<comments xmlns="http://schemas.openxmlformats.org/spreadsheetml/2006/main">
  <authors>
    <author>tc={AD68DB3D-FDF3-474F-8A95-58C66EF631AE}</author>
    <author>tc={A167A516-C634-44D7-A17A-54F89DEFA376}</author>
    <author>tc={D25970DF-AEBF-4E49-A6DE-2F9749BFC419}</author>
    <author>tc={8108A131-0058-4CD6-8C5A-35838975E17B}</author>
    <author>tc={FD325718-70E0-4698-A38F-A47A779DBA26}</author>
    <author>tc={43A05D46-7D5C-4E3A-9111-C2E49E53B8F2}</author>
    <author>tc={88AB02D8-4CA1-4C85-B8A3-8EAC71FECC61}</author>
  </authors>
  <commentList>
    <comment ref="A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inkl. etanol och gas</t>
        </r>
      </text>
    </comment>
    <comment ref="F7"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inkl. etanol och gas</t>
        </r>
      </text>
    </comment>
    <comment ref="A1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Från HBEFA juni 2019 fram till 2030 (och 2035) sedan utvecklingstakt från Scenario Transporteffektivt 20190529</t>
        </r>
      </text>
    </comment>
    <comment ref="F1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Från HBEFA juni 2019 fram till 2030 (och 2035) sedan utvecklingstakt från Scenario Transporteffektivt 20190529</t>
        </r>
      </text>
    </comment>
    <comment ref="A16"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Bensin=Otto</t>
        </r>
      </text>
    </comment>
    <comment ref="F1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Bensin=Otto</t>
        </r>
      </text>
    </comment>
  </commentList>
</comments>
</file>

<file path=xl/comments3.xml><?xml version="1.0" encoding="utf-8"?>
<comments xmlns="http://schemas.openxmlformats.org/spreadsheetml/2006/main">
  <authors>
    <author>tc={B4B6D497-5A1B-4603-A45E-91F207B6C717}</author>
    <author>tc={AC072F96-4044-4E41-8BF2-F78319CB6BD0}</author>
    <author>tc={5C1BB38A-E2F8-45BC-9116-D53A5EF1DEB5}</author>
    <author>tc={F69EFCD4-6E93-4840-9CC7-CA40AB8C4435}</author>
    <author>tc={5A328B18-32CB-4BC1-8C93-D0EFBDA9001D}</author>
    <author>tc={AC08826A-35E8-41BB-ACE1-5811ACC708B9}</author>
    <author>tc={B1932D88-E2BA-4932-9C47-4DD1075204EC}</author>
    <author>tc={E06F340C-C181-427B-8DFA-22C5672FC231}</author>
    <author>tc={37C21FFB-FADA-4469-9D15-68303D0259E8}</author>
    <author>tc={9F7AF269-B33C-4C93-98F2-7436DFAD16D9}</author>
    <author>tc={2A5F67EA-2F3E-4E9F-87BC-C0D52EA57B1F}</author>
    <author>tc={92F59C0E-ED7F-4E18-AEB2-C6334122588F}</author>
    <author>tc={0B408D22-4796-4F56-A8B9-BC08D535EA2E}</author>
    <author>tc={FE52B91A-A25B-4DC5-9F41-FB4C404182C2}</author>
    <author>tc={1E890709-6708-4E16-A7AE-4687A31990C2}</author>
    <author>tc={49B47804-5B36-445B-B25C-96B3D839C9A4}</author>
    <author>tc={5968B889-19FB-4CED-B335-46BF09CB4C0C}</author>
    <author>tc={AED4F88E-0CE8-4197-B5D6-141C1A9793DE}</author>
    <author>tc={7CD5509F-5D51-45EF-A943-13A86128F292}</author>
    <author>tc={72D31CE4-43EA-42B2-88F5-6284A31D9398}</author>
    <author>tc={4CCEA439-7CC9-4316-BBC8-6E59DE461C72}</author>
    <author>tc={2BBC4C0F-2BDC-4463-94F0-A82DEA1DD17A}</author>
    <author>tc={B889FB77-4627-425B-B3B7-4141371CE06A}</author>
    <author>tc={D4EF19B2-D714-4D82-ABC1-68AB699437A0}</author>
    <author>tc={1711952F-029F-4138-94C3-B5D6E16E9E7D}</author>
    <author>tc={44E046A7-CD10-4068-B4D8-07A5D9AE4576}</author>
    <author>tc={8BFAF0CB-59B0-4D5E-B922-F078CFD47CF8}</author>
    <author>tc={25362C46-7BFC-42F4-8F6C-FA3B5097A282}</author>
    <author>tc={D7B56144-FC8E-400E-A05A-0B6479E630EC}</author>
    <author>tc={22CE925C-3AD8-4AB9-A6C2-7F053A70B6DB}</author>
    <author>tc={5CE36426-2062-4091-9F82-CDE40234B35A}</author>
    <author>tc={40742653-2E1C-479A-ACE6-ADBEE9A07022}</author>
    <author>tc={4FC6A6C5-694F-490F-AB13-616A2B1B4C38}</author>
    <author>tc={E5E5122E-32ED-4E45-A0B7-EA5E8C906BDC}</author>
    <author>tc={A8EDEC94-12CF-4D05-87EB-F0C16EBD5C39}</author>
    <author>tc={764C37F7-8F81-41BC-8B14-3B15CBD6537D}</author>
  </authors>
  <commentList>
    <comment ref="D1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12"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12"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14"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14"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14"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15"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15"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15"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D30"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31"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31"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33"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33"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33" authorId="1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34" authorId="1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34" authorId="1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34" authorId="1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D4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2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50" authorId="2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50" authorId="2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52" authorId="2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52" authorId="2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52" authorId="2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53" authorId="2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53" authorId="2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53" authorId="2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66" authorId="3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66" authorId="3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66" authorId="3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E79" authorId="3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G79" authorId="3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 ref="I79" authorId="3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Linjär utveckling antas mellan 2017 och 2040.</t>
        </r>
      </text>
    </comment>
  </commentList>
</comments>
</file>

<file path=xl/comments4.xml><?xml version="1.0" encoding="utf-8"?>
<comments xmlns="http://schemas.openxmlformats.org/spreadsheetml/2006/main">
  <authors>
    <author>tc={08B1590D-88F0-46FB-A528-251160639D83}</author>
  </authors>
  <commentList>
    <comment ref="V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Ev. liten justering beroende på vilken drivmedelsfördelning som använts i förebearbetning</t>
        </r>
      </text>
    </comment>
  </commentList>
</comments>
</file>

<file path=xl/sharedStrings.xml><?xml version="1.0" encoding="utf-8"?>
<sst xmlns="http://schemas.openxmlformats.org/spreadsheetml/2006/main" count="2049" uniqueCount="552">
  <si>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</si>
  <si>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</si>
  <si>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</si>
  <si>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</si>
  <si>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</si>
  <si>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</si>
  <si>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</si>
  <si>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</si>
  <si>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</si>
  <si>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</si>
  <si>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</si>
  <si>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</si>
  <si>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</si>
  <si>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</si>
  <si>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</si>
  <si>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</si>
  <si>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</si>
  <si>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</si>
  <si>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</si>
  <si>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</si>
  <si>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</si>
  <si>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</si>
  <si>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</si>
  <si>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</si>
  <si>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</si>
  <si>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</si>
  <si>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</si>
  <si>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</si>
  <si>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</si>
  <si>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</si>
  <si>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</si>
  <si>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</si>
  <si>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</si>
  <si>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</si>
  <si>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</si>
  <si>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</si>
  <si>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</si>
  <si>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</si>
  <si>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</si>
  <si>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</si>
  <si>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</si>
  <si>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</si>
  <si>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</si>
  <si>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</si>
  <si>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</si>
  <si>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</si>
  <si>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</si>
  <si>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</si>
  <si>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</si>
  <si>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</si>
  <si>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</si>
  <si>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</si>
  <si>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</si>
  <si>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</si>
  <si>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</si>
  <si>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</si>
  <si>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</si>
  <si>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</si>
  <si>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</si>
  <si>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</si>
  <si>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</si>
  <si>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</si>
  <si>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</si>
  <si>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</si>
  <si>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</si>
  <si>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</si>
  <si>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</si>
  <si>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</si>
  <si>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</si>
  <si>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</si>
  <si>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</si>
  <si>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</si>
  <si>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</si>
  <si>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</si>
  <si>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</si>
  <si>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</si>
  <si>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</si>
  <si>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</si>
  <si>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</si>
  <si>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</si>
  <si>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</si>
  <si>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</si>
  <si>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</si>
  <si>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</si>
  <si>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</si>
  <si>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</si>
  <si>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</si>
  <si>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</si>
  <si>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</si>
  <si>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</si>
  <si>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</si>
  <si>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</si>
  <si>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</si>
  <si>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</si>
  <si>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</si>
  <si>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</si>
  <si>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</si>
  <si>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</si>
  <si>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</si>
  <si>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</si>
  <si>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</si>
  <si>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</si>
  <si>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</si>
  <si>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</si>
  <si>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</si>
  <si>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</si>
  <si>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</si>
  <si>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</si>
  <si>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</si>
  <si>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</si>
  <si>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</si>
  <si>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</si>
  <si>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</si>
  <si>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</si>
  <si>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</si>
  <si>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</si>
  <si>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</si>
  <si>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</si>
  <si>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</si>
  <si>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</si>
  <si>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</si>
  <si>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</si>
  <si>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</si>
  <si>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</si>
  <si>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</si>
  <si>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</si>
  <si>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</si>
  <si>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</si>
  <si>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</si>
  <si>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</si>
  <si>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</si>
  <si>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</si>
  <si>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</si>
  <si>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</si>
  <si>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</si>
  <si>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</si>
  <si>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</si>
  <si>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</si>
  <si>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</si>
  <si>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</si>
  <si>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</si>
  <si>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</si>
  <si>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</si>
  <si>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</si>
  <si>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</si>
  <si>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</si>
  <si>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</si>
  <si>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</si>
  <si>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</si>
  <si>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</si>
  <si>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</si>
  <si>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</si>
  <si>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</si>
  <si>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</si>
  <si>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</si>
  <si>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</si>
  <si>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</si>
  <si>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</si>
  <si>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</si>
  <si>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</si>
  <si>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</si>
  <si>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</si>
  <si>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</si>
  <si>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</si>
  <si>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</si>
  <si>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</si>
  <si>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</si>
  <si>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</si>
  <si>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</si>
  <si>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</si>
  <si>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</si>
  <si>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</si>
  <si>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</si>
  <si>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</si>
  <si>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</si>
  <si>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</si>
  <si>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</si>
  <si>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</si>
  <si>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</si>
  <si>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</si>
  <si>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</si>
  <si>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</si>
  <si>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</si>
  <si>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</si>
  <si>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</si>
  <si>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</si>
  <si>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</si>
  <si>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</si>
  <si>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</si>
  <si>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</si>
  <si>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</si>
  <si>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</si>
  <si>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</si>
  <si>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</si>
  <si>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</si>
  <si>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</si>
  <si>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</si>
  <si>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</si>
  <si>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</si>
  <si>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</si>
  <si>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</si>
  <si>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</si>
  <si>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</si>
  <si>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</si>
  <si>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</si>
  <si>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</si>
  <si>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</si>
  <si>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</si>
  <si>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</si>
  <si>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</si>
  <si>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</si>
  <si>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</si>
  <si>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</si>
  <si>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</si>
  <si>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</si>
  <si>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</si>
  <si>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</si>
  <si>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</si>
  <si>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</si>
  <si>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</si>
  <si>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</si>
  <si>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</si>
  <si>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</si>
  <si>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</si>
  <si>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</si>
  <si>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</si>
  <si>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</si>
  <si>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</si>
  <si>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</si>
  <si>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</si>
  <si>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</si>
  <si>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</si>
  <si>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</si>
  <si>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</si>
  <si>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</si>
  <si>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</si>
  <si>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</si>
  <si>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</si>
  <si>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</si>
  <si>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</si>
  <si>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</si>
  <si>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</si>
  <si>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</si>
  <si>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</si>
  <si>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</si>
  <si>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</si>
  <si>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</si>
  <si>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</si>
  <si>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</si>
  <si>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</si>
  <si>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</si>
  <si>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</si>
  <si>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</si>
  <si>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</si>
  <si>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</si>
  <si>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</si>
  <si>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</si>
  <si>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</si>
  <si>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</si>
  <si>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</si>
  <si>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</si>
  <si>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</si>
  <si>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</si>
  <si>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</si>
  <si>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</si>
  <si>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</si>
  <si>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</si>
  <si>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</si>
  <si>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</si>
  <si>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</si>
  <si>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</si>
  <si>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</si>
  <si>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</si>
  <si>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</si>
  <si>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</si>
  <si>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</si>
  <si>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</si>
  <si>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</si>
  <si>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</si>
  <si>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</si>
  <si>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</si>
  <si>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</si>
  <si>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</si>
  <si>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</si>
  <si>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</si>
  <si>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</si>
  <si>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</si>
  <si>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</si>
  <si>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</si>
  <si>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</si>
  <si>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</si>
  <si>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</si>
  <si>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</si>
  <si>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</si>
  <si>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</si>
  <si>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</si>
  <si>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</si>
  <si>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</si>
  <si>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</si>
  <si>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</si>
  <si>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</si>
  <si>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</si>
  <si>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</si>
  <si>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</si>
  <si>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</si>
  <si>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</si>
  <si>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</si>
  <si>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</si>
  <si>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</si>
  <si>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</si>
  <si>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</si>
  <si>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</si>
  <si>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</si>
  <si>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</si>
  <si>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</si>
  <si>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</si>
  <si>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</si>
  <si>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</si>
  <si>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</si>
  <si>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</si>
  <si>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</si>
  <si>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</si>
  <si>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</si>
  <si>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</si>
  <si>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</si>
  <si>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</si>
  <si>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</si>
  <si>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</si>
  <si>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</si>
  <si>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</si>
  <si>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</si>
  <si>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</si>
  <si>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</si>
  <si>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</si>
  <si>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</si>
  <si>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</si>
  <si>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</si>
  <si>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</si>
  <si>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</si>
  <si>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</si>
  <si>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</si>
  <si>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</si>
  <si>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</si>
  <si>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</si>
  <si>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</si>
  <si>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</si>
  <si>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</si>
  <si>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</si>
  <si>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</si>
  <si>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</si>
  <si>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</si>
  <si>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</si>
  <si>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</si>
  <si>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</si>
  <si>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</si>
  <si>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</si>
  <si>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</si>
  <si>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</si>
  <si>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</si>
  <si>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</si>
  <si>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</si>
  <si>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</si>
  <si>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</si>
  <si>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</si>
  <si>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</si>
  <si>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</si>
  <si>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</si>
  <si>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</si>
  <si>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</si>
  <si>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</si>
  <si>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</si>
  <si>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</si>
  <si>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</si>
  <si>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</si>
  <si>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</si>
  <si>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</si>
  <si>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</si>
  <si>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</si>
  <si>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</si>
  <si>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</si>
  <si>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</si>
  <si>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</si>
  <si>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</si>
  <si>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</si>
  <si>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</si>
  <si>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Inputs (X) affecting both reference and policy scenario</t>
  </si>
  <si>
    <t>Comment</t>
  </si>
  <si>
    <t>Outputs (M)</t>
  </si>
  <si>
    <t>VKT light vehicles</t>
  </si>
  <si>
    <t>VKT trucks</t>
  </si>
  <si>
    <t>VKT total</t>
  </si>
  <si>
    <t>Billion VKT</t>
  </si>
  <si>
    <t>Energy total</t>
  </si>
  <si>
    <t>TWh per year</t>
  </si>
  <si>
    <t>Electrified VKT share light vehicles</t>
  </si>
  <si>
    <t>Electrified VKT share trucks</t>
  </si>
  <si>
    <t>Electric share of total energy</t>
  </si>
  <si>
    <t>Driving cost light vehicles relative reference</t>
  </si>
  <si>
    <t>Driving cost trucks vehicles relative reference</t>
  </si>
  <si>
    <t>Billion SEK per year</t>
  </si>
  <si>
    <t>Delta tax income</t>
  </si>
  <si>
    <t>Relative change</t>
  </si>
  <si>
    <t>Policy scenario (EMA)</t>
  </si>
  <si>
    <t>EMA policy</t>
  </si>
  <si>
    <t>EMA reference</t>
  </si>
  <si>
    <t>Baseline (Trafikverkets basscenario, beslutad politik)</t>
  </si>
  <si>
    <t>External electrification rate?</t>
  </si>
  <si>
    <t>Förändring skatteinteäkter Scenario 1 - Scenario 2</t>
  </si>
  <si>
    <t>Levers (L)</t>
  </si>
  <si>
    <t>CO2 reduction ambition level</t>
  </si>
  <si>
    <t>Bus energy consumption</t>
  </si>
  <si>
    <t>Share HVO diesel</t>
  </si>
  <si>
    <t>Share FAME diesel</t>
  </si>
  <si>
    <t>Share HVO gasoline</t>
  </si>
  <si>
    <t>Share ethanol gasoline</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</si>
  <si>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</si>
  <si>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</si>
  <si>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</si>
  <si>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</si>
  <si>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</si>
  <si>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</si>
  <si>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</si>
  <si>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</si>
  <si>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</si>
  <si>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</si>
  <si>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</si>
  <si>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</si>
  <si>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</si>
  <si>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</si>
  <si>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</si>
  <si>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</si>
  <si>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</si>
  <si>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</si>
  <si>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</si>
  <si>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</si>
  <si>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</si>
  <si>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</si>
  <si>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</si>
  <si>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</si>
  <si>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</si>
  <si>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</si>
  <si>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 xml:space="preserve">Andel förarlösa fordon i lastbilsflottan </t>
  </si>
  <si>
    <t>VKT share</t>
  </si>
  <si>
    <t>Truck fleet</t>
  </si>
  <si>
    <t>Relative utilization</t>
  </si>
  <si>
    <t>Förändrad körkostnad förarlös lastbil (exc.</t>
  </si>
  <si>
    <t>Förändrad energiförbrukning förarlös lastbil</t>
  </si>
  <si>
    <t>Förändrad nyttjandegrad av fordon</t>
  </si>
  <si>
    <t>All trucks</t>
  </si>
  <si>
    <t>Absolute change in driving cost light vehicle</t>
  </si>
  <si>
    <t>Absolute change in driving cost trucks</t>
  </si>
  <si>
    <t>Antagande, ej med i ursprunglig version av scenarioverktyget</t>
  </si>
  <si>
    <t>Överflyttning till elfordon för lastbilar map drivmedelspris</t>
  </si>
  <si>
    <t>FÖRBEARBETNING 6b. TRAFIKARBETE PER FORDONSLAG, UPPDATERAD MHT NY FÖRDELNING</t>
  </si>
  <si>
    <t>CO2 TTW change light vehicles</t>
  </si>
  <si>
    <t>CO2 TTW change trucks</t>
  </si>
  <si>
    <t>CO2 TTW change total</t>
  </si>
  <si>
    <t>Energy fossile total</t>
  </si>
  <si>
    <t>Change in fossile fuel price compared to reference heavy trucks</t>
  </si>
  <si>
    <t>SAV andel personbilsekvivalenter, alltså VKT SAV andel av total</t>
  </si>
  <si>
    <t>yes</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</si>
  <si>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</si>
  <si>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</si>
  <si>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</si>
  <si>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</si>
  <si>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</si>
  <si>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</si>
  <si>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</si>
  <si>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</si>
  <si>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</si>
  <si>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</si>
  <si>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</si>
  <si>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</si>
  <si>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</si>
  <si>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</si>
  <si>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</si>
  <si>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</si>
  <si>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</si>
  <si>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</si>
  <si>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</si>
  <si>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</si>
  <si>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</si>
  <si>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</si>
  <si>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</si>
  <si>
    <t>Light vehicle demand change (X1)</t>
  </si>
  <si>
    <t>Truck demand change (X2)</t>
  </si>
  <si>
    <t>Fossile price adjustment (X3)</t>
  </si>
  <si>
    <t>Light vehicle electrification share input (X6)</t>
  </si>
  <si>
    <t>Biofuel price adjustment (X4)</t>
  </si>
  <si>
    <t>Electricity price adjustment (X5)</t>
  </si>
  <si>
    <t>Truck electrification share input (X7)</t>
  </si>
  <si>
    <t>Driving cost light vehicles (M2)</t>
  </si>
  <si>
    <t>Driving cost trucks (M3)</t>
  </si>
  <si>
    <t>Energy bio total (M4)</t>
  </si>
  <si>
    <t>Energy el total (M5)</t>
  </si>
  <si>
    <t>Share biofuel diesel (L1)</t>
  </si>
  <si>
    <t>Share biofuel gasoline (L2)</t>
  </si>
  <si>
    <t>Change in fuel tax gasoline (L3)</t>
  </si>
  <si>
    <t>Change in fuel tax diesel (L4)</t>
  </si>
  <si>
    <t>km-tax light vehicles (L5)</t>
  </si>
  <si>
    <t>km-tax trucks (L6)</t>
  </si>
  <si>
    <t>Inputs (R)  - model relationship uncertainty</t>
  </si>
  <si>
    <t>Value: controlled from EMA workbench</t>
  </si>
  <si>
    <t>Deviation from default value from base forecast (%)</t>
  </si>
  <si>
    <t>Share of electrified VKT (%). Before additional effects from changed driving costs.</t>
  </si>
  <si>
    <t>Deviation from default value from base forecast (%). Market price before taxes.</t>
  </si>
  <si>
    <t>The penetration rate of AVs in the truck fleet (%)</t>
  </si>
  <si>
    <t>Relative change in energy consumption relative to corresponding manually driven truck (%)</t>
  </si>
  <si>
    <t>Relative change in VKT per truck relative to corresponding manually driven truck (%)</t>
  </si>
  <si>
    <t>Relative change in non-energy driving cost relative to corresponding manually driven truck (%)</t>
  </si>
  <si>
    <t>The penetration rate of SAVs in the private car fleet (%)</t>
  </si>
  <si>
    <t>Share of transport work a SAV performs comapred to a regular car (%)</t>
  </si>
  <si>
    <t>SAV change in energy consumption (X10)</t>
  </si>
  <si>
    <t>SAV private car equivalents in VKT (X11)</t>
  </si>
  <si>
    <t>SAV penetration rate in car fleet (X8)</t>
  </si>
  <si>
    <t>Driverless trucks change in energy consumption (X14)</t>
  </si>
  <si>
    <t>Driverelss trucks fleet penetration rate (X12)</t>
  </si>
  <si>
    <t>Driverless trucks VKT increase per truck (X15)</t>
  </si>
  <si>
    <t>Driverless trucks change in non-energy driving cost (X13)</t>
  </si>
  <si>
    <t>SAV change in non-energy driving cost (X9)</t>
  </si>
  <si>
    <t>Boolean (Yes/No). Constant helper parameter to ensure correct model behaviour. Not varied by EMA.</t>
  </si>
  <si>
    <t>Relative change in energy consumption relative to private car (%)</t>
  </si>
  <si>
    <t>Relative change in non-energy driving cost relative to private car (%)</t>
  </si>
  <si>
    <t>(Elasticity)</t>
  </si>
  <si>
    <t>Additional energy efficiency light vehicles (L7)</t>
  </si>
  <si>
    <t>Additional energy efficiency trucks (L8)</t>
  </si>
  <si>
    <t>Transport efficient society light vehicles (L9)</t>
  </si>
  <si>
    <t>Transport efficient society trucks (L10)</t>
  </si>
  <si>
    <t>Private cars shift to electric cars w.r.t. fuel price (R1)</t>
  </si>
  <si>
    <t>Change in car ownership w.r.t. driving cost (R4)</t>
  </si>
  <si>
    <t>Change in car VKT w.r.t. driving cost, excl. Impact of car ownership (R5)</t>
  </si>
  <si>
    <t>Change in truck VKT w.r.t. driving cost (R6)</t>
  </si>
  <si>
    <t>Trucks shift to electric trucks w.r.t. fuel price (R2)</t>
  </si>
  <si>
    <t>Change in car fuel consumption w.r.t. fuel price (R3)</t>
  </si>
  <si>
    <t>Relative change compared to 2010 (%)</t>
  </si>
  <si>
    <t>Share (%)</t>
  </si>
  <si>
    <t>Relative change (%)</t>
  </si>
  <si>
    <t>Reference scenario for comparison (beslutad politik, varierande X)</t>
  </si>
  <si>
    <t>Relative value compared to reference policy</t>
  </si>
  <si>
    <t>CO2 TTW total (M1)</t>
  </si>
  <si>
    <t>MillionCO2e per year</t>
  </si>
  <si>
    <t>Fixed value</t>
  </si>
  <si>
    <t>Volumetric share (%)</t>
  </si>
  <si>
    <t>Reduction of truck VKT (%)</t>
  </si>
  <si>
    <t>Reduction of car VKT (%)</t>
  </si>
  <si>
    <t>Reduction of truck energy consumption (%)</t>
  </si>
  <si>
    <t>Reduction of car energy consumption (%)</t>
  </si>
  <si>
    <t>Annual increase (%)</t>
  </si>
  <si>
    <t>SEK/km</t>
  </si>
  <si>
    <t>2. Mer ambitiös politik</t>
  </si>
  <si>
    <t>Projektrapport MUST etapp 1</t>
  </si>
  <si>
    <t>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</si>
</sst>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4"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9">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5" fillId="0" borderId="0" applyFill="0" applyProtection="0"/>
    <xf numFmtId="0" fontId="1" fillId="0" borderId="0"/>
    <xf numFmtId="9" fontId="7" fillId="0" borderId="0" applyFont="0" applyFill="0" applyBorder="0" applyAlignment="0" applyProtection="0"/>
    <xf numFmtId="0" fontId="12" fillId="0" borderId="0"/>
    <xf numFmtId="0" fontId="14" fillId="4" borderId="1" applyNumberFormat="0" applyAlignment="0" applyProtection="0"/>
    <xf numFmtId="0" fontId="31" fillId="0" borderId="0" applyNumberFormat="0"/>
    <xf numFmtId="0" fontId="1" fillId="0" borderId="0"/>
    <xf numFmtId="0" fontId="19" fillId="0" borderId="0">
      <alignment horizontal="center"/>
    </xf>
    <xf numFmtId="0" fontId="32" fillId="7" borderId="0" applyNumberFormat="0" applyBorder="0" applyAlignment="0" applyProtection="0"/>
    <xf numFmtId="0" fontId="33" fillId="2" borderId="1" applyNumberFormat="0" applyAlignment="0" applyProtection="0"/>
    <xf numFmtId="0" fontId="34" fillId="4" borderId="1" applyNumberFormat="0" applyAlignment="0" applyProtection="0"/>
    <xf numFmtId="0" fontId="35" fillId="0" borderId="0" applyNumberFormat="0" applyFill="0" applyBorder="0" applyAlignment="0" applyProtection="0"/>
    <xf numFmtId="9" fontId="1" fillId="0" borderId="0" applyFont="0" applyFill="0" applyBorder="0" applyAlignment="0" applyProtection="0"/>
    <xf numFmtId="0" fontId="7" fillId="0" borderId="0"/>
    <xf numFmtId="0" fontId="7" fillId="0" borderId="0"/>
    <xf numFmtId="9" fontId="1" fillId="0" borderId="0" applyFont="0" applyFill="0" applyBorder="0" applyAlignment="0" applyProtection="0"/>
    <xf numFmtId="0" fontId="7" fillId="0" borderId="0"/>
    <xf numFmtId="0" fontId="7" fillId="0" borderId="0"/>
    <xf numFmtId="0" fontId="37" fillId="0" borderId="0"/>
    <xf numFmtId="0" fontId="37" fillId="0" borderId="0"/>
    <xf numFmtId="0" fontId="7" fillId="0" borderId="0"/>
    <xf numFmtId="0" fontId="38" fillId="0" borderId="0"/>
    <xf numFmtId="9" fontId="39" fillId="0" borderId="0" applyFont="0" applyFill="0" applyBorder="0" applyAlignment="0" applyProtection="0"/>
    <xf numFmtId="167" fontId="1" fillId="0" borderId="0" applyFont="0" applyFill="0" applyBorder="0" applyAlignment="0" applyProtection="0"/>
    <xf numFmtId="0" fontId="43" fillId="0" borderId="0" applyNumberFormat="0" applyFill="0" applyBorder="0" applyAlignment="0" applyProtection="0"/>
    <xf numFmtId="43" fontId="1" fillId="0" borderId="0" applyFont="0" applyFill="0" applyBorder="0" applyAlignment="0" applyProtection="0"/>
  </cellStyleXfs>
  <cellXfs count="870">
    <xf numFmtId="0" fontId="0" fillId="0" borderId="0" xfId="0"/>
    <xf numFmtId="0" fontId="9" fillId="3" borderId="11" xfId="0" applyFont="1" applyFill="1" applyBorder="1"/>
    <xf numFmtId="0" fontId="9" fillId="3" borderId="12" xfId="0" applyFont="1" applyFill="1" applyBorder="1"/>
    <xf numFmtId="165" fontId="8" fillId="3" borderId="5" xfId="1" applyNumberFormat="1" applyFont="1" applyFill="1" applyBorder="1"/>
    <xf numFmtId="165" fontId="8" fillId="3" borderId="6" xfId="1" applyNumberFormat="1" applyFont="1" applyFill="1" applyBorder="1"/>
    <xf numFmtId="165" fontId="8" fillId="3" borderId="0" xfId="1" applyNumberFormat="1" applyFont="1" applyFill="1" applyBorder="1"/>
    <xf numFmtId="0" fontId="9" fillId="3" borderId="8" xfId="0" applyFont="1" applyFill="1" applyBorder="1"/>
    <xf numFmtId="0" fontId="9" fillId="3" borderId="9" xfId="0" applyFont="1" applyFill="1" applyBorder="1"/>
    <xf numFmtId="2" fontId="8" fillId="3" borderId="2" xfId="3" applyNumberFormat="1" applyFont="1" applyFill="1" applyBorder="1"/>
    <xf numFmtId="2" fontId="8" fillId="3" borderId="3" xfId="3" applyNumberFormat="1" applyFont="1" applyFill="1" applyBorder="1"/>
    <xf numFmtId="2" fontId="8" fillId="3" borderId="2" xfId="0" applyNumberFormat="1" applyFont="1" applyFill="1" applyBorder="1"/>
    <xf numFmtId="2" fontId="8" fillId="3" borderId="4" xfId="0" applyNumberFormat="1" applyFont="1" applyFill="1" applyBorder="1"/>
    <xf numFmtId="2" fontId="8" fillId="3" borderId="3" xfId="0" applyNumberFormat="1" applyFont="1" applyFill="1" applyBorder="1"/>
    <xf numFmtId="2" fontId="10" fillId="3" borderId="2" xfId="3" applyNumberFormat="1" applyFont="1" applyFill="1" applyBorder="1"/>
    <xf numFmtId="0" fontId="9" fillId="3" borderId="3" xfId="0" applyFont="1" applyFill="1" applyBorder="1"/>
    <xf numFmtId="0" fontId="9" fillId="3" borderId="4" xfId="0" applyFont="1" applyFill="1" applyBorder="1"/>
    <xf numFmtId="2" fontId="10" fillId="3" borderId="4" xfId="3" applyNumberFormat="1" applyFont="1" applyFill="1" applyBorder="1"/>
    <xf numFmtId="2" fontId="8" fillId="3" borderId="5" xfId="3" applyNumberFormat="1" applyFont="1" applyFill="1" applyBorder="1"/>
    <xf numFmtId="0" fontId="9" fillId="3" borderId="0" xfId="0" applyFont="1" applyFill="1"/>
    <xf numFmtId="0" fontId="9" fillId="3" borderId="6" xfId="0" applyFont="1" applyFill="1" applyBorder="1"/>
    <xf numFmtId="2" fontId="8" fillId="3" borderId="6" xfId="3" applyNumberFormat="1" applyFont="1" applyFill="1" applyBorder="1"/>
    <xf numFmtId="2" fontId="8" fillId="3" borderId="11" xfId="3" applyNumberFormat="1" applyFont="1" applyFill="1" applyBorder="1"/>
    <xf numFmtId="2" fontId="8" fillId="3" borderId="8" xfId="3" applyNumberFormat="1" applyFont="1" applyFill="1" applyBorder="1"/>
    <xf numFmtId="2" fontId="8" fillId="3" borderId="10" xfId="3" applyNumberFormat="1" applyFont="1" applyFill="1" applyBorder="1"/>
    <xf numFmtId="2" fontId="8" fillId="3" borderId="7" xfId="3" applyNumberFormat="1" applyFont="1" applyFill="1" applyBorder="1"/>
    <xf numFmtId="2" fontId="8" fillId="3" borderId="0" xfId="3" applyNumberFormat="1" applyFont="1" applyFill="1"/>
    <xf numFmtId="0" fontId="0" fillId="3" borderId="0" xfId="0" applyFill="1"/>
    <xf numFmtId="2" fontId="10" fillId="3" borderId="3" xfId="3" applyNumberFormat="1" applyFont="1" applyFill="1" applyBorder="1"/>
    <xf numFmtId="0" fontId="8" fillId="3" borderId="10" xfId="0" applyFont="1" applyFill="1" applyBorder="1"/>
    <xf numFmtId="0" fontId="8" fillId="3" borderId="7" xfId="0" applyFont="1" applyFill="1" applyBorder="1"/>
    <xf numFmtId="0" fontId="8" fillId="3" borderId="2" xfId="0" applyFont="1" applyFill="1" applyBorder="1"/>
    <xf numFmtId="0" fontId="8" fillId="3" borderId="5" xfId="0" applyFont="1" applyFill="1" applyBorder="1"/>
    <xf numFmtId="0" fontId="10" fillId="3" borderId="2" xfId="0" applyFont="1" applyFill="1" applyBorder="1"/>
    <xf numFmtId="0" fontId="11" fillId="3" borderId="2" xfId="0" applyFont="1" applyFill="1" applyBorder="1"/>
    <xf numFmtId="0" fontId="8" fillId="3" borderId="19" xfId="0" applyFont="1" applyFill="1" applyBorder="1"/>
    <xf numFmtId="0" fontId="10" fillId="3" borderId="3" xfId="0" applyFont="1" applyFill="1" applyBorder="1"/>
    <xf numFmtId="0" fontId="10" fillId="3" borderId="4" xfId="0" applyFont="1" applyFill="1" applyBorder="1"/>
    <xf numFmtId="0" fontId="16" fillId="3" borderId="0" xfId="0" applyFont="1" applyFill="1"/>
    <xf numFmtId="0" fontId="8" fillId="3" borderId="0" xfId="0" applyFont="1" applyFill="1"/>
    <xf numFmtId="0" fontId="4" fillId="3" borderId="0" xfId="0" applyFont="1" applyFill="1"/>
    <xf numFmtId="0" fontId="10" fillId="3" borderId="0" xfId="0" applyFont="1" applyFill="1"/>
    <xf numFmtId="0" fontId="8" fillId="3" borderId="0" xfId="0" applyFont="1" applyFill="1" applyAlignment="1">
      <alignment horizontal="center"/>
    </xf>
    <xf numFmtId="165" fontId="8" fillId="3" borderId="28" xfId="2" applyNumberFormat="1" applyFont="1" applyFill="1" applyBorder="1" applyAlignment="1">
      <alignment horizontal="center"/>
    </xf>
    <xf numFmtId="165" fontId="8" fillId="3" borderId="25" xfId="2" applyNumberFormat="1" applyFont="1" applyFill="1" applyBorder="1" applyAlignment="1">
      <alignment horizontal="center"/>
    </xf>
    <xf numFmtId="165" fontId="8" fillId="3" borderId="37" xfId="2" applyNumberFormat="1" applyFont="1" applyFill="1" applyBorder="1" applyAlignment="1">
      <alignment horizontal="center"/>
    </xf>
    <xf numFmtId="165" fontId="8" fillId="3" borderId="29" xfId="2" applyNumberFormat="1" applyFont="1" applyFill="1" applyBorder="1" applyAlignment="1">
      <alignment horizontal="center"/>
    </xf>
    <xf numFmtId="165" fontId="8" fillId="3" borderId="26" xfId="2" applyNumberFormat="1" applyFont="1" applyFill="1" applyBorder="1" applyAlignment="1">
      <alignment horizontal="center"/>
    </xf>
    <xf numFmtId="165" fontId="8" fillId="3" borderId="45" xfId="2" applyNumberFormat="1" applyFont="1" applyFill="1" applyBorder="1" applyAlignment="1">
      <alignment horizontal="center"/>
    </xf>
    <xf numFmtId="165" fontId="8" fillId="3" borderId="36" xfId="2" applyNumberFormat="1" applyFont="1" applyFill="1" applyBorder="1" applyAlignment="1">
      <alignment horizontal="center"/>
    </xf>
    <xf numFmtId="165" fontId="8" fillId="3" borderId="32" xfId="2" applyNumberFormat="1" applyFont="1" applyFill="1" applyBorder="1" applyAlignment="1">
      <alignment horizontal="center"/>
    </xf>
    <xf numFmtId="165" fontId="8" fillId="3" borderId="35" xfId="2" applyNumberFormat="1" applyFont="1" applyFill="1" applyBorder="1" applyAlignment="1">
      <alignment horizontal="center"/>
    </xf>
    <xf numFmtId="2" fontId="8" fillId="3" borderId="28" xfId="2" applyNumberFormat="1" applyFont="1" applyFill="1" applyBorder="1" applyAlignment="1">
      <alignment horizontal="center"/>
    </xf>
    <xf numFmtId="2" fontId="8" fillId="3" borderId="25" xfId="2" applyNumberFormat="1" applyFont="1" applyFill="1" applyBorder="1" applyAlignment="1">
      <alignment horizontal="center"/>
    </xf>
    <xf numFmtId="2" fontId="8" fillId="3" borderId="29" xfId="2" applyNumberFormat="1" applyFont="1" applyFill="1" applyBorder="1" applyAlignment="1">
      <alignment horizontal="center"/>
    </xf>
    <xf numFmtId="2" fontId="8" fillId="3" borderId="26" xfId="2" applyNumberFormat="1" applyFont="1" applyFill="1" applyBorder="1" applyAlignment="1">
      <alignment horizontal="center"/>
    </xf>
    <xf numFmtId="2" fontId="8" fillId="3" borderId="36" xfId="2" applyNumberFormat="1" applyFont="1" applyFill="1" applyBorder="1" applyAlignment="1">
      <alignment horizontal="center"/>
    </xf>
    <xf numFmtId="2" fontId="8" fillId="3" borderId="32" xfId="2" applyNumberFormat="1" applyFont="1" applyFill="1" applyBorder="1" applyAlignment="1">
      <alignment horizontal="center"/>
    </xf>
    <xf numFmtId="2" fontId="8" fillId="3" borderId="43" xfId="2" applyNumberFormat="1" applyFont="1" applyFill="1" applyBorder="1" applyAlignment="1">
      <alignment horizontal="center"/>
    </xf>
    <xf numFmtId="2" fontId="8" fillId="3" borderId="44" xfId="2" applyNumberFormat="1" applyFont="1" applyFill="1" applyBorder="1" applyAlignment="1">
      <alignment horizontal="center"/>
    </xf>
    <xf numFmtId="0" fontId="15" fillId="3" borderId="23" xfId="0" applyFont="1" applyFill="1" applyBorder="1"/>
    <xf numFmtId="0" fontId="15" fillId="3" borderId="16" xfId="0" applyFont="1" applyFill="1" applyBorder="1"/>
    <xf numFmtId="0" fontId="10" fillId="3" borderId="19" xfId="0" applyFont="1" applyFill="1" applyBorder="1"/>
    <xf numFmtId="0" fontId="10" fillId="3" borderId="0" xfId="0" applyFont="1" applyFill="1" applyAlignment="1">
      <alignment vertical="center"/>
    </xf>
    <xf numFmtId="0" fontId="8" fillId="3" borderId="0" xfId="0" applyFont="1" applyFill="1" applyAlignment="1">
      <alignment vertical="center"/>
    </xf>
    <xf numFmtId="0" fontId="0" fillId="3" borderId="0" xfId="0" applyFill="1" applyAlignment="1">
      <alignment vertical="center"/>
    </xf>
    <xf numFmtId="165" fontId="8" fillId="3" borderId="30" xfId="2" applyNumberFormat="1" applyFont="1" applyFill="1" applyBorder="1" applyAlignment="1">
      <alignment horizontal="center"/>
    </xf>
    <xf numFmtId="165" fontId="8" fillId="3" borderId="27" xfId="2" applyNumberFormat="1" applyFont="1" applyFill="1" applyBorder="1" applyAlignment="1">
      <alignment horizontal="center"/>
    </xf>
    <xf numFmtId="2" fontId="8" fillId="3" borderId="31" xfId="2" applyNumberFormat="1" applyFont="1" applyFill="1" applyBorder="1" applyAlignment="1">
      <alignment horizontal="center"/>
    </xf>
    <xf numFmtId="2" fontId="8" fillId="3" borderId="24" xfId="2" applyNumberFormat="1" applyFont="1" applyFill="1" applyBorder="1" applyAlignment="1">
      <alignment horizontal="center"/>
    </xf>
    <xf numFmtId="165" fontId="8" fillId="3" borderId="41" xfId="2" applyNumberFormat="1" applyFont="1" applyFill="1" applyBorder="1" applyAlignment="1">
      <alignment horizontal="center"/>
    </xf>
    <xf numFmtId="165" fontId="8" fillId="3" borderId="21" xfId="2" applyNumberFormat="1" applyFont="1" applyFill="1" applyBorder="1" applyAlignment="1">
      <alignment horizontal="center"/>
    </xf>
    <xf numFmtId="0" fontId="13" fillId="3" borderId="0" xfId="0" applyFont="1" applyFill="1"/>
    <xf numFmtId="0" fontId="10" fillId="3" borderId="2" xfId="0" applyFont="1" applyFill="1" applyBorder="1" applyAlignment="1">
      <alignment horizontal="center" vertical="center"/>
    </xf>
    <xf numFmtId="0" fontId="8" fillId="3" borderId="0" xfId="0" applyFont="1" applyFill="1" applyAlignment="1">
      <alignment horizontal="center" vertical="center"/>
    </xf>
    <xf numFmtId="0" fontId="10" fillId="3" borderId="0" xfId="0" applyFont="1" applyFill="1" applyAlignment="1">
      <alignment horizontal="center" vertical="center"/>
    </xf>
    <xf numFmtId="0" fontId="18" fillId="3" borderId="0" xfId="0" applyFont="1" applyFill="1"/>
    <xf numFmtId="2" fontId="8" fillId="3" borderId="46" xfId="2" applyNumberFormat="1" applyFont="1" applyFill="1" applyBorder="1" applyAlignment="1">
      <alignment horizontal="center"/>
    </xf>
    <xf numFmtId="2" fontId="8" fillId="3" borderId="33" xfId="2" applyNumberFormat="1" applyFont="1" applyFill="1" applyBorder="1" applyAlignment="1">
      <alignment horizontal="center"/>
    </xf>
    <xf numFmtId="165" fontId="8" fillId="3" borderId="31" xfId="1" applyNumberFormat="1" applyFont="1" applyFill="1" applyBorder="1" applyAlignment="1">
      <alignment horizontal="center"/>
    </xf>
    <xf numFmtId="165" fontId="8" fillId="3" borderId="3" xfId="1" applyNumberFormat="1" applyFont="1" applyFill="1" applyBorder="1" applyAlignment="1">
      <alignment horizontal="center"/>
    </xf>
    <xf numFmtId="0" fontId="15" fillId="3" borderId="0" xfId="0" applyFont="1" applyFill="1" applyAlignment="1">
      <alignment horizontal="center"/>
    </xf>
    <xf numFmtId="2" fontId="8" fillId="0" borderId="32" xfId="2" applyNumberFormat="1" applyFont="1" applyFill="1" applyBorder="1" applyAlignment="1">
      <alignment horizontal="center"/>
    </xf>
    <xf numFmtId="2" fontId="8" fillId="0" borderId="4" xfId="3" applyNumberFormat="1" applyFont="1" applyFill="1" applyBorder="1"/>
    <xf numFmtId="165" fontId="8" fillId="3" borderId="10" xfId="3" applyNumberFormat="1" applyFont="1" applyFill="1" applyBorder="1"/>
    <xf numFmtId="165" fontId="8" fillId="3" borderId="5" xfId="3" applyNumberFormat="1" applyFont="1" applyFill="1" applyBorder="1"/>
    <xf numFmtId="165" fontId="8" fillId="3" borderId="39" xfId="2" applyNumberFormat="1" applyFont="1" applyFill="1" applyBorder="1" applyAlignment="1">
      <alignment horizontal="center"/>
    </xf>
    <xf numFmtId="165" fontId="8" fillId="3" borderId="40" xfId="2" applyNumberFormat="1" applyFont="1" applyFill="1" applyBorder="1" applyAlignment="1">
      <alignment horizontal="center"/>
    </xf>
    <xf numFmtId="165" fontId="8" fillId="3" borderId="34" xfId="2" applyNumberFormat="1" applyFont="1" applyFill="1" applyBorder="1" applyAlignment="1">
      <alignment horizontal="center"/>
    </xf>
    <xf numFmtId="165" fontId="8" fillId="3" borderId="51" xfId="2" applyNumberFormat="1" applyFont="1" applyFill="1" applyBorder="1" applyAlignment="1">
      <alignment horizontal="center"/>
    </xf>
    <xf numFmtId="0" fontId="0" fillId="3" borderId="0" xfId="0" applyFill="1" applyAlignment="1">
      <alignment horizontal="center"/>
    </xf>
    <xf numFmtId="0" fontId="10" fillId="3" borderId="0" xfId="0" applyFont="1" applyFill="1" applyAlignment="1">
      <alignment horizontal="center"/>
    </xf>
    <xf numFmtId="9" fontId="8" fillId="3" borderId="36" xfId="1" applyFont="1" applyFill="1" applyBorder="1" applyAlignment="1">
      <alignment horizontal="center"/>
    </xf>
    <xf numFmtId="9" fontId="8" fillId="3" borderId="32" xfId="1" applyFont="1" applyFill="1" applyBorder="1" applyAlignment="1">
      <alignment horizontal="center"/>
    </xf>
    <xf numFmtId="9" fontId="8" fillId="3" borderId="35" xfId="1" applyFont="1" applyFill="1" applyBorder="1" applyAlignment="1">
      <alignment horizontal="center"/>
    </xf>
    <xf numFmtId="9" fontId="8" fillId="3" borderId="46" xfId="1" applyFont="1" applyFill="1" applyBorder="1" applyAlignment="1">
      <alignment horizontal="center"/>
    </xf>
    <xf numFmtId="9" fontId="8" fillId="3" borderId="51" xfId="1" applyFont="1" applyFill="1" applyBorder="1" applyAlignment="1">
      <alignment horizontal="center"/>
    </xf>
    <xf numFmtId="9" fontId="8" fillId="3" borderId="33" xfId="1" applyFont="1" applyFill="1" applyBorder="1" applyAlignment="1">
      <alignment horizontal="center"/>
    </xf>
    <xf numFmtId="9" fontId="8" fillId="3" borderId="34" xfId="1" applyFont="1" applyFill="1" applyBorder="1" applyAlignment="1">
      <alignment horizontal="center"/>
    </xf>
    <xf numFmtId="0" fontId="8" fillId="3" borderId="11" xfId="0" applyFont="1" applyFill="1" applyBorder="1"/>
    <xf numFmtId="0" fontId="8" fillId="3" borderId="8" xfId="0" applyFont="1" applyFill="1" applyBorder="1"/>
    <xf numFmtId="0" fontId="8" fillId="3" borderId="3" xfId="0" applyFont="1" applyFill="1" applyBorder="1"/>
    <xf numFmtId="0" fontId="20" fillId="6" borderId="2" xfId="0" applyFont="1" applyFill="1" applyBorder="1"/>
    <xf numFmtId="0" fontId="21" fillId="6" borderId="2" xfId="0" applyFont="1" applyFill="1" applyBorder="1"/>
    <xf numFmtId="0" fontId="21" fillId="6" borderId="3" xfId="0" applyFont="1" applyFill="1" applyBorder="1"/>
    <xf numFmtId="0" fontId="22" fillId="3" borderId="0" xfId="0" applyFont="1" applyFill="1"/>
    <xf numFmtId="0" fontId="23" fillId="3" borderId="0" xfId="0" applyFont="1" applyFill="1"/>
    <xf numFmtId="0" fontId="25" fillId="3" borderId="0" xfId="0" applyFont="1" applyFill="1"/>
    <xf numFmtId="0" fontId="24" fillId="6" borderId="2" xfId="0" applyFont="1" applyFill="1" applyBorder="1"/>
    <xf numFmtId="0" fontId="24" fillId="6" borderId="3" xfId="0" applyFont="1" applyFill="1" applyBorder="1"/>
    <xf numFmtId="0" fontId="24" fillId="6" borderId="2" xfId="0" applyFont="1" applyFill="1" applyBorder="1" applyAlignment="1">
      <alignment horizontal="center"/>
    </xf>
    <xf numFmtId="0" fontId="24" fillId="6" borderId="4" xfId="0" applyFont="1" applyFill="1" applyBorder="1" applyAlignment="1">
      <alignment horizontal="center"/>
    </xf>
    <xf numFmtId="0" fontId="26" fillId="6" borderId="11" xfId="0" applyFont="1" applyFill="1" applyBorder="1"/>
    <xf numFmtId="0" fontId="26" fillId="6" borderId="0" xfId="0" applyFont="1" applyFill="1"/>
    <xf numFmtId="0" fontId="26" fillId="6" borderId="8" xfId="0" applyFont="1" applyFill="1" applyBorder="1"/>
    <xf numFmtId="0" fontId="8" fillId="3" borderId="3" xfId="0" applyFont="1" applyFill="1" applyBorder="1" applyAlignment="1">
      <alignment vertical="center"/>
    </xf>
    <xf numFmtId="0" fontId="8" fillId="3" borderId="4" xfId="0" applyFont="1" applyFill="1" applyBorder="1" applyAlignment="1">
      <alignment vertical="center"/>
    </xf>
    <xf numFmtId="0" fontId="10" fillId="3" borderId="2" xfId="0" applyFont="1" applyFill="1" applyBorder="1" applyAlignment="1">
      <alignment horizontal="center" vertical="center" wrapText="1"/>
    </xf>
    <xf numFmtId="0" fontId="8" fillId="3" borderId="12" xfId="0" applyFont="1" applyFill="1" applyBorder="1" applyAlignment="1">
      <alignment horizontal="left"/>
    </xf>
    <xf numFmtId="0" fontId="8" fillId="3" borderId="9" xfId="0" applyFont="1" applyFill="1" applyBorder="1" applyAlignment="1">
      <alignment horizontal="left"/>
    </xf>
    <xf numFmtId="0" fontId="8" fillId="3" borderId="6" xfId="0" applyFont="1" applyFill="1" applyBorder="1"/>
    <xf numFmtId="0" fontId="8" fillId="3" borderId="9" xfId="0" applyFont="1" applyFill="1" applyBorder="1"/>
    <xf numFmtId="0" fontId="10" fillId="3" borderId="5" xfId="0" applyFont="1" applyFill="1" applyBorder="1" applyAlignment="1">
      <alignment horizontal="center" vertical="center" wrapText="1"/>
    </xf>
    <xf numFmtId="0" fontId="10" fillId="3" borderId="7" xfId="0" applyFont="1" applyFill="1" applyBorder="1" applyAlignment="1">
      <alignment horizontal="center" vertical="center"/>
    </xf>
    <xf numFmtId="0" fontId="8" fillId="3" borderId="12" xfId="0" applyFont="1" applyFill="1" applyBorder="1"/>
    <xf numFmtId="0" fontId="8" fillId="3" borderId="1" xfId="2" applyFont="1" applyFill="1"/>
    <xf numFmtId="2" fontId="8" fillId="5" borderId="10" xfId="3" applyNumberFormat="1" applyFont="1" applyFill="1" applyBorder="1"/>
    <xf numFmtId="2" fontId="8" fillId="5" borderId="5" xfId="3" applyNumberFormat="1" applyFont="1" applyFill="1" applyBorder="1"/>
    <xf numFmtId="2" fontId="8" fillId="5" borderId="7" xfId="3" applyNumberFormat="1" applyFont="1" applyFill="1" applyBorder="1"/>
    <xf numFmtId="2" fontId="8" fillId="5" borderId="12" xfId="3" applyNumberFormat="1" applyFont="1" applyFill="1" applyBorder="1"/>
    <xf numFmtId="2" fontId="8" fillId="5" borderId="6" xfId="3" applyNumberFormat="1" applyFont="1" applyFill="1" applyBorder="1"/>
    <xf numFmtId="2" fontId="11" fillId="3" borderId="2" xfId="3" applyNumberFormat="1" applyFont="1" applyFill="1" applyBorder="1"/>
    <xf numFmtId="2" fontId="11" fillId="3" borderId="3" xfId="3" applyNumberFormat="1" applyFont="1" applyFill="1" applyBorder="1"/>
    <xf numFmtId="2" fontId="11" fillId="3" borderId="4" xfId="3" applyNumberFormat="1" applyFont="1" applyFill="1" applyBorder="1"/>
    <xf numFmtId="0" fontId="20" fillId="6" borderId="4" xfId="0" applyFont="1" applyFill="1" applyBorder="1"/>
    <xf numFmtId="2" fontId="8" fillId="5" borderId="0" xfId="3" applyNumberFormat="1" applyFont="1" applyFill="1"/>
    <xf numFmtId="2" fontId="8" fillId="5" borderId="9" xfId="3" applyNumberFormat="1" applyFont="1" applyFill="1" applyBorder="1"/>
    <xf numFmtId="9" fontId="8" fillId="3" borderId="5" xfId="0" applyNumberFormat="1" applyFont="1" applyFill="1" applyBorder="1"/>
    <xf numFmtId="9" fontId="8" fillId="3" borderId="0" xfId="0" applyNumberFormat="1" applyFont="1" applyFill="1"/>
    <xf numFmtId="9" fontId="8" fillId="3" borderId="6" xfId="0" applyNumberFormat="1" applyFont="1" applyFill="1" applyBorder="1"/>
    <xf numFmtId="9" fontId="10" fillId="3" borderId="2" xfId="0" applyNumberFormat="1" applyFont="1" applyFill="1" applyBorder="1"/>
    <xf numFmtId="9" fontId="10" fillId="3" borderId="3" xfId="0" applyNumberFormat="1" applyFont="1" applyFill="1" applyBorder="1"/>
    <xf numFmtId="9" fontId="10" fillId="3" borderId="4" xfId="0" applyNumberFormat="1" applyFont="1" applyFill="1" applyBorder="1"/>
    <xf numFmtId="9" fontId="10" fillId="3" borderId="0" xfId="0" applyNumberFormat="1" applyFont="1" applyFill="1"/>
    <xf numFmtId="2" fontId="10" fillId="3" borderId="2" xfId="0" applyNumberFormat="1" applyFont="1" applyFill="1" applyBorder="1"/>
    <xf numFmtId="2" fontId="10" fillId="3" borderId="3" xfId="0" applyNumberFormat="1" applyFont="1" applyFill="1" applyBorder="1"/>
    <xf numFmtId="2" fontId="10" fillId="3" borderId="4" xfId="0" applyNumberFormat="1" applyFont="1" applyFill="1" applyBorder="1"/>
    <xf numFmtId="2" fontId="8" fillId="3" borderId="10" xfId="0" applyNumberFormat="1" applyFont="1" applyFill="1" applyBorder="1"/>
    <xf numFmtId="2" fontId="8" fillId="3" borderId="11" xfId="0" applyNumberFormat="1" applyFont="1" applyFill="1" applyBorder="1"/>
    <xf numFmtId="2" fontId="8" fillId="3" borderId="12" xfId="0" applyNumberFormat="1" applyFont="1" applyFill="1" applyBorder="1"/>
    <xf numFmtId="2" fontId="8" fillId="3" borderId="5" xfId="0" applyNumberFormat="1" applyFont="1" applyFill="1" applyBorder="1"/>
    <xf numFmtId="2" fontId="8" fillId="3" borderId="0" xfId="0" applyNumberFormat="1" applyFont="1" applyFill="1"/>
    <xf numFmtId="2" fontId="8" fillId="3" borderId="6" xfId="0" applyNumberFormat="1" applyFont="1" applyFill="1" applyBorder="1"/>
    <xf numFmtId="2" fontId="8" fillId="3" borderId="7" xfId="0" applyNumberFormat="1" applyFont="1" applyFill="1" applyBorder="1"/>
    <xf numFmtId="2" fontId="8" fillId="3" borderId="8" xfId="0" applyNumberFormat="1" applyFont="1" applyFill="1" applyBorder="1"/>
    <xf numFmtId="2" fontId="8" fillId="3" borderId="9" xfId="0" applyNumberFormat="1" applyFont="1" applyFill="1" applyBorder="1"/>
    <xf numFmtId="0" fontId="8" fillId="3" borderId="16" xfId="0" applyFont="1" applyFill="1" applyBorder="1"/>
    <xf numFmtId="0" fontId="9" fillId="3" borderId="0" xfId="0" applyFont="1" applyFill="1" applyAlignment="1">
      <alignment horizontal="center"/>
    </xf>
    <xf numFmtId="0" fontId="6" fillId="3" borderId="0" xfId="0" applyFont="1" applyFill="1" applyAlignment="1">
      <alignment horizontal="center"/>
    </xf>
    <xf numFmtId="0" fontId="3" fillId="3" borderId="0" xfId="0" applyFont="1" applyFill="1" applyAlignment="1">
      <alignment horizontal="center"/>
    </xf>
    <xf numFmtId="0" fontId="13" fillId="3" borderId="0" xfId="0" applyFont="1" applyFill="1" applyAlignment="1">
      <alignment horizontal="center"/>
    </xf>
    <xf numFmtId="0" fontId="0" fillId="3" borderId="3" xfId="0" applyFill="1" applyBorder="1"/>
    <xf numFmtId="0" fontId="20" fillId="6" borderId="0" xfId="0" applyFont="1" applyFill="1"/>
    <xf numFmtId="0" fontId="27" fillId="6" borderId="8" xfId="0" applyFont="1" applyFill="1" applyBorder="1"/>
    <xf numFmtId="0" fontId="20" fillId="6" borderId="8" xfId="0" applyFont="1" applyFill="1" applyBorder="1"/>
    <xf numFmtId="0" fontId="26" fillId="6" borderId="12" xfId="0" applyFont="1" applyFill="1" applyBorder="1"/>
    <xf numFmtId="0" fontId="26" fillId="6" borderId="6" xfId="0" applyFont="1" applyFill="1" applyBorder="1"/>
    <xf numFmtId="0" fontId="27" fillId="6" borderId="9" xfId="0" applyFont="1" applyFill="1" applyBorder="1"/>
    <xf numFmtId="0" fontId="26" fillId="6" borderId="9" xfId="0" applyFont="1" applyFill="1" applyBorder="1"/>
    <xf numFmtId="0" fontId="6" fillId="3" borderId="0" xfId="4" applyFont="1" applyFill="1"/>
    <xf numFmtId="0" fontId="21" fillId="6" borderId="4" xfId="0" applyFont="1" applyFill="1" applyBorder="1"/>
    <xf numFmtId="0" fontId="21" fillId="6" borderId="19" xfId="3" applyFont="1" applyFill="1" applyBorder="1" applyProtection="1"/>
    <xf numFmtId="0" fontId="6" fillId="3" borderId="0" xfId="3" applyFont="1" applyFill="1"/>
    <xf numFmtId="2" fontId="17" fillId="3" borderId="49" xfId="7" applyNumberFormat="1" applyFont="1" applyFill="1" applyBorder="1" applyAlignment="1">
      <alignment horizontal="center" vertical="center"/>
    </xf>
    <xf numFmtId="2" fontId="17" fillId="3" borderId="18" xfId="7" applyNumberFormat="1" applyFont="1" applyFill="1" applyBorder="1" applyAlignment="1">
      <alignment horizontal="center" vertical="center"/>
    </xf>
    <xf numFmtId="2" fontId="17" fillId="3" borderId="17" xfId="7" applyNumberFormat="1" applyFont="1" applyFill="1" applyBorder="1" applyAlignment="1">
      <alignment horizontal="center" vertical="center"/>
    </xf>
    <xf numFmtId="0" fontId="18" fillId="3" borderId="0" xfId="0" applyFont="1" applyFill="1" applyAlignment="1">
      <alignment horizontal="center" vertical="center"/>
    </xf>
    <xf numFmtId="2" fontId="18" fillId="3" borderId="48" xfId="7" applyNumberFormat="1" applyFont="1" applyFill="1" applyBorder="1" applyAlignment="1">
      <alignment horizontal="center" vertical="center"/>
    </xf>
    <xf numFmtId="2" fontId="18" fillId="3" borderId="14" xfId="7" applyNumberFormat="1" applyFont="1" applyFill="1" applyBorder="1" applyAlignment="1">
      <alignment horizontal="center" vertical="center"/>
    </xf>
    <xf numFmtId="2" fontId="18" fillId="3" borderId="13" xfId="7" applyNumberFormat="1" applyFont="1" applyFill="1" applyBorder="1" applyAlignment="1">
      <alignment horizontal="center" vertical="center"/>
    </xf>
    <xf numFmtId="2" fontId="18" fillId="3" borderId="49" xfId="7" applyNumberFormat="1" applyFont="1" applyFill="1" applyBorder="1" applyAlignment="1">
      <alignment horizontal="center" vertical="center"/>
    </xf>
    <xf numFmtId="2" fontId="18" fillId="3" borderId="18" xfId="7" applyNumberFormat="1" applyFont="1" applyFill="1" applyBorder="1" applyAlignment="1">
      <alignment horizontal="center" vertical="center"/>
    </xf>
    <xf numFmtId="2" fontId="18" fillId="3" borderId="17" xfId="7" applyNumberFormat="1" applyFont="1" applyFill="1" applyBorder="1" applyAlignment="1">
      <alignment horizontal="center" vertical="center"/>
    </xf>
    <xf numFmtId="2" fontId="17" fillId="3" borderId="50" xfId="7" applyNumberFormat="1" applyFont="1" applyFill="1" applyBorder="1" applyAlignment="1">
      <alignment horizontal="center" vertical="center"/>
    </xf>
    <xf numFmtId="2" fontId="17" fillId="3" borderId="53" xfId="7" applyNumberFormat="1" applyFont="1" applyFill="1" applyBorder="1" applyAlignment="1">
      <alignment horizontal="center" vertical="center"/>
    </xf>
    <xf numFmtId="2" fontId="17" fillId="3" borderId="15" xfId="7" applyNumberFormat="1" applyFont="1" applyFill="1" applyBorder="1" applyAlignment="1">
      <alignment horizontal="center" vertical="center"/>
    </xf>
    <xf numFmtId="2" fontId="17" fillId="3" borderId="20" xfId="7" applyNumberFormat="1" applyFont="1" applyFill="1" applyBorder="1" applyAlignment="1">
      <alignment horizontal="center" vertical="center"/>
    </xf>
    <xf numFmtId="0" fontId="18" fillId="3" borderId="0" xfId="0" applyFont="1" applyFill="1" applyAlignment="1">
      <alignment vertical="center"/>
    </xf>
    <xf numFmtId="9" fontId="17" fillId="3" borderId="50" xfId="7" applyNumberFormat="1" applyFont="1" applyFill="1" applyBorder="1" applyAlignment="1">
      <alignment horizontal="center" vertical="center"/>
    </xf>
    <xf numFmtId="9" fontId="17" fillId="3" borderId="53" xfId="7" applyNumberFormat="1" applyFont="1" applyFill="1" applyBorder="1" applyAlignment="1">
      <alignment horizontal="center" vertical="center"/>
    </xf>
    <xf numFmtId="9" fontId="17" fillId="3" borderId="15" xfId="7" applyNumberFormat="1" applyFont="1" applyFill="1" applyBorder="1" applyAlignment="1">
      <alignment horizontal="center" vertical="center"/>
    </xf>
    <xf numFmtId="9" fontId="17" fillId="3" borderId="20" xfId="7" applyNumberFormat="1" applyFont="1" applyFill="1" applyBorder="1" applyAlignment="1">
      <alignment horizontal="center" vertical="center"/>
    </xf>
    <xf numFmtId="0" fontId="28" fillId="3" borderId="0" xfId="0" applyFont="1" applyFill="1"/>
    <xf numFmtId="2" fontId="17" fillId="3" borderId="49" xfId="7" applyNumberFormat="1" applyFont="1" applyFill="1" applyBorder="1" applyAlignment="1">
      <alignment horizontal="center"/>
    </xf>
    <xf numFmtId="2" fontId="17" fillId="3" borderId="18" xfId="7" applyNumberFormat="1" applyFont="1" applyFill="1" applyBorder="1" applyAlignment="1">
      <alignment horizontal="center"/>
    </xf>
    <xf numFmtId="2" fontId="17" fillId="3" borderId="17" xfId="7" applyNumberFormat="1" applyFont="1" applyFill="1" applyBorder="1" applyAlignment="1">
      <alignment horizontal="center"/>
    </xf>
    <xf numFmtId="2" fontId="17" fillId="3" borderId="50" xfId="7" applyNumberFormat="1" applyFont="1" applyFill="1" applyBorder="1" applyAlignment="1">
      <alignment horizontal="center"/>
    </xf>
    <xf numFmtId="2" fontId="17" fillId="3" borderId="15" xfId="7" applyNumberFormat="1" applyFont="1" applyFill="1" applyBorder="1" applyAlignment="1">
      <alignment horizontal="center"/>
    </xf>
    <xf numFmtId="2" fontId="17" fillId="3" borderId="20" xfId="7" applyNumberFormat="1" applyFont="1" applyFill="1" applyBorder="1" applyAlignment="1">
      <alignment horizontal="center"/>
    </xf>
    <xf numFmtId="9" fontId="29" fillId="3" borderId="50" xfId="1" applyFont="1" applyFill="1" applyBorder="1" applyAlignment="1">
      <alignment horizontal="center" vertical="center"/>
    </xf>
    <xf numFmtId="9" fontId="29" fillId="3" borderId="15" xfId="1" applyFont="1" applyFill="1" applyBorder="1" applyAlignment="1">
      <alignment horizontal="center" vertical="center"/>
    </xf>
    <xf numFmtId="9" fontId="29" fillId="3" borderId="20" xfId="1" applyFont="1" applyFill="1" applyBorder="1" applyAlignment="1">
      <alignment horizontal="center" vertical="center"/>
    </xf>
    <xf numFmtId="2" fontId="18" fillId="3" borderId="52" xfId="7" applyNumberFormat="1" applyFont="1" applyFill="1" applyBorder="1" applyAlignment="1">
      <alignment horizontal="center" vertical="center"/>
    </xf>
    <xf numFmtId="2" fontId="18" fillId="3" borderId="22" xfId="7" applyNumberFormat="1" applyFont="1" applyFill="1" applyBorder="1" applyAlignment="1">
      <alignment horizontal="center" vertical="center"/>
    </xf>
    <xf numFmtId="2" fontId="18" fillId="3" borderId="50" xfId="7" applyNumberFormat="1" applyFont="1" applyFill="1" applyBorder="1" applyAlignment="1">
      <alignment horizontal="center" vertical="center"/>
    </xf>
    <xf numFmtId="2" fontId="18" fillId="3" borderId="53" xfId="7" applyNumberFormat="1" applyFont="1" applyFill="1" applyBorder="1" applyAlignment="1">
      <alignment horizontal="center" vertical="center"/>
    </xf>
    <xf numFmtId="2" fontId="18" fillId="3" borderId="15" xfId="7" applyNumberFormat="1" applyFont="1" applyFill="1" applyBorder="1" applyAlignment="1">
      <alignment horizontal="center" vertical="center"/>
    </xf>
    <xf numFmtId="2" fontId="18" fillId="3" borderId="20" xfId="7" applyNumberFormat="1" applyFont="1" applyFill="1" applyBorder="1" applyAlignment="1">
      <alignment horizontal="center" vertical="center"/>
    </xf>
    <xf numFmtId="9" fontId="18" fillId="3" borderId="48" xfId="7" applyNumberFormat="1" applyFont="1" applyFill="1" applyBorder="1" applyAlignment="1">
      <alignment horizontal="center" vertical="center"/>
    </xf>
    <xf numFmtId="9" fontId="18" fillId="3" borderId="52" xfId="7" applyNumberFormat="1" applyFont="1" applyFill="1" applyBorder="1" applyAlignment="1">
      <alignment horizontal="center" vertical="center"/>
    </xf>
    <xf numFmtId="9" fontId="18" fillId="3" borderId="14" xfId="7" applyNumberFormat="1" applyFont="1" applyFill="1" applyBorder="1" applyAlignment="1">
      <alignment horizontal="center" vertical="center"/>
    </xf>
    <xf numFmtId="9" fontId="18" fillId="3" borderId="13" xfId="7" applyNumberFormat="1" applyFont="1" applyFill="1" applyBorder="1" applyAlignment="1">
      <alignment horizontal="center" vertical="center"/>
    </xf>
    <xf numFmtId="9" fontId="18" fillId="3" borderId="49" xfId="7" applyNumberFormat="1" applyFont="1" applyFill="1" applyBorder="1" applyAlignment="1">
      <alignment horizontal="center" vertical="center"/>
    </xf>
    <xf numFmtId="9" fontId="18" fillId="3" borderId="22" xfId="7" applyNumberFormat="1" applyFont="1" applyFill="1" applyBorder="1" applyAlignment="1">
      <alignment horizontal="center" vertical="center"/>
    </xf>
    <xf numFmtId="9" fontId="18" fillId="3" borderId="18" xfId="7" applyNumberFormat="1" applyFont="1" applyFill="1" applyBorder="1" applyAlignment="1">
      <alignment horizontal="center" vertical="center"/>
    </xf>
    <xf numFmtId="9" fontId="18" fillId="3" borderId="17" xfId="7" applyNumberFormat="1" applyFont="1" applyFill="1" applyBorder="1" applyAlignment="1">
      <alignment horizontal="center" vertical="center"/>
    </xf>
    <xf numFmtId="9" fontId="18" fillId="3" borderId="50" xfId="7" applyNumberFormat="1" applyFont="1" applyFill="1" applyBorder="1" applyAlignment="1">
      <alignment horizontal="center" vertical="center"/>
    </xf>
    <xf numFmtId="9" fontId="18" fillId="3" borderId="53" xfId="7" applyNumberFormat="1" applyFont="1" applyFill="1" applyBorder="1" applyAlignment="1">
      <alignment horizontal="center" vertical="center"/>
    </xf>
    <xf numFmtId="9" fontId="18" fillId="3" borderId="15" xfId="7" applyNumberFormat="1" applyFont="1" applyFill="1" applyBorder="1" applyAlignment="1">
      <alignment horizontal="center" vertical="center"/>
    </xf>
    <xf numFmtId="9" fontId="18" fillId="3" borderId="20" xfId="7" applyNumberFormat="1" applyFont="1" applyFill="1" applyBorder="1" applyAlignment="1">
      <alignment horizontal="center" vertical="center"/>
    </xf>
    <xf numFmtId="2" fontId="18" fillId="3" borderId="48" xfId="7" applyNumberFormat="1" applyFont="1" applyFill="1" applyBorder="1" applyAlignment="1">
      <alignment horizontal="center"/>
    </xf>
    <xf numFmtId="2" fontId="18" fillId="3" borderId="14" xfId="7" applyNumberFormat="1" applyFont="1" applyFill="1" applyBorder="1" applyAlignment="1">
      <alignment horizontal="center"/>
    </xf>
    <xf numFmtId="2" fontId="18" fillId="3" borderId="13" xfId="7" applyNumberFormat="1" applyFont="1" applyFill="1" applyBorder="1" applyAlignment="1">
      <alignment horizontal="center"/>
    </xf>
    <xf numFmtId="2" fontId="18" fillId="3" borderId="49" xfId="7" applyNumberFormat="1" applyFont="1" applyFill="1" applyBorder="1" applyAlignment="1">
      <alignment horizontal="center"/>
    </xf>
    <xf numFmtId="2" fontId="18" fillId="3" borderId="18" xfId="7" applyNumberFormat="1" applyFont="1" applyFill="1" applyBorder="1" applyAlignment="1">
      <alignment horizontal="center"/>
    </xf>
    <xf numFmtId="2" fontId="18" fillId="3" borderId="17" xfId="7" applyNumberFormat="1" applyFont="1" applyFill="1" applyBorder="1" applyAlignment="1">
      <alignment horizontal="center"/>
    </xf>
    <xf numFmtId="2" fontId="18" fillId="3" borderId="50" xfId="7" applyNumberFormat="1" applyFont="1" applyFill="1" applyBorder="1" applyAlignment="1">
      <alignment horizontal="center"/>
    </xf>
    <xf numFmtId="2" fontId="18" fillId="3" borderId="15" xfId="7" applyNumberFormat="1" applyFont="1" applyFill="1" applyBorder="1" applyAlignment="1">
      <alignment horizontal="center"/>
    </xf>
    <xf numFmtId="2" fontId="18" fillId="3" borderId="20" xfId="7" applyNumberFormat="1" applyFont="1" applyFill="1" applyBorder="1" applyAlignment="1">
      <alignment horizontal="center"/>
    </xf>
    <xf numFmtId="3" fontId="18" fillId="3" borderId="48" xfId="7" applyNumberFormat="1" applyFont="1" applyFill="1" applyBorder="1" applyAlignment="1">
      <alignment horizontal="center"/>
    </xf>
    <xf numFmtId="3" fontId="18" fillId="3" borderId="52" xfId="7" applyNumberFormat="1" applyFont="1" applyFill="1" applyBorder="1" applyAlignment="1">
      <alignment horizontal="center"/>
    </xf>
    <xf numFmtId="3" fontId="18" fillId="3" borderId="14" xfId="7" applyNumberFormat="1" applyFont="1" applyFill="1" applyBorder="1" applyAlignment="1">
      <alignment horizontal="center"/>
    </xf>
    <xf numFmtId="3" fontId="18" fillId="3" borderId="13" xfId="7" applyNumberFormat="1" applyFont="1" applyFill="1" applyBorder="1" applyAlignment="1">
      <alignment horizontal="center"/>
    </xf>
    <xf numFmtId="164" fontId="18" fillId="3" borderId="49" xfId="7" applyNumberFormat="1" applyFont="1" applyFill="1" applyBorder="1" applyAlignment="1">
      <alignment horizontal="center"/>
    </xf>
    <xf numFmtId="164" fontId="18" fillId="3" borderId="22" xfId="7" applyNumberFormat="1" applyFont="1" applyFill="1" applyBorder="1" applyAlignment="1">
      <alignment horizontal="center"/>
    </xf>
    <xf numFmtId="164" fontId="18" fillId="3" borderId="18" xfId="7" applyNumberFormat="1" applyFont="1" applyFill="1" applyBorder="1" applyAlignment="1">
      <alignment horizontal="center"/>
    </xf>
    <xf numFmtId="164" fontId="18" fillId="3" borderId="17" xfId="7" applyNumberFormat="1" applyFont="1" applyFill="1" applyBorder="1" applyAlignment="1">
      <alignment horizontal="center"/>
    </xf>
    <xf numFmtId="3" fontId="18" fillId="3" borderId="49" xfId="7" applyNumberFormat="1" applyFont="1" applyFill="1" applyBorder="1" applyAlignment="1">
      <alignment horizontal="center" vertical="center"/>
    </xf>
    <xf numFmtId="3" fontId="18" fillId="3" borderId="18" xfId="7" applyNumberFormat="1" applyFont="1" applyFill="1" applyBorder="1" applyAlignment="1">
      <alignment horizontal="center" vertical="center"/>
    </xf>
    <xf numFmtId="3" fontId="18" fillId="3" borderId="17" xfId="7" applyNumberFormat="1" applyFont="1" applyFill="1" applyBorder="1" applyAlignment="1">
      <alignment horizontal="center" vertical="center"/>
    </xf>
    <xf numFmtId="0" fontId="24" fillId="6" borderId="2" xfId="0" applyFont="1" applyFill="1" applyBorder="1" applyAlignment="1">
      <alignment horizontal="center" vertical="center"/>
    </xf>
    <xf numFmtId="0" fontId="24" fillId="6" borderId="4" xfId="0" applyFont="1" applyFill="1" applyBorder="1" applyAlignment="1">
      <alignment horizontal="center" vertical="center"/>
    </xf>
    <xf numFmtId="0" fontId="24" fillId="6" borderId="3" xfId="0" applyFont="1" applyFill="1" applyBorder="1" applyAlignment="1">
      <alignment horizontal="center" vertical="center"/>
    </xf>
    <xf numFmtId="0" fontId="20" fillId="6" borderId="6" xfId="0" applyFont="1" applyFill="1" applyBorder="1"/>
    <xf numFmtId="0" fontId="20" fillId="6" borderId="9" xfId="0" applyFont="1" applyFill="1" applyBorder="1"/>
    <xf numFmtId="2" fontId="17" fillId="3" borderId="55" xfId="7" applyNumberFormat="1" applyFont="1" applyFill="1" applyBorder="1" applyAlignment="1">
      <alignment horizontal="center"/>
    </xf>
    <xf numFmtId="2" fontId="17" fillId="3" borderId="57" xfId="7" applyNumberFormat="1" applyFont="1" applyFill="1" applyBorder="1" applyAlignment="1">
      <alignment horizontal="center"/>
    </xf>
    <xf numFmtId="2" fontId="17" fillId="3" borderId="58" xfId="7" applyNumberFormat="1" applyFont="1" applyFill="1" applyBorder="1" applyAlignment="1">
      <alignment horizontal="center"/>
    </xf>
    <xf numFmtId="2" fontId="18" fillId="3" borderId="62" xfId="7" applyNumberFormat="1" applyFont="1" applyFill="1" applyBorder="1" applyAlignment="1">
      <alignment horizontal="center"/>
    </xf>
    <xf numFmtId="2" fontId="18" fillId="3" borderId="55" xfId="7" applyNumberFormat="1" applyFont="1" applyFill="1" applyBorder="1" applyAlignment="1">
      <alignment horizontal="center"/>
    </xf>
    <xf numFmtId="2" fontId="18" fillId="3" borderId="57" xfId="7" applyNumberFormat="1" applyFont="1" applyFill="1" applyBorder="1" applyAlignment="1">
      <alignment horizontal="center"/>
    </xf>
    <xf numFmtId="2" fontId="18" fillId="3" borderId="58" xfId="7" applyNumberFormat="1" applyFont="1" applyFill="1" applyBorder="1" applyAlignment="1">
      <alignment horizontal="center"/>
    </xf>
    <xf numFmtId="2" fontId="17" fillId="3" borderId="55" xfId="7" applyNumberFormat="1" applyFont="1" applyFill="1" applyBorder="1" applyAlignment="1">
      <alignment horizontal="center" vertical="center"/>
    </xf>
    <xf numFmtId="2" fontId="17" fillId="3" borderId="56" xfId="7" applyNumberFormat="1" applyFont="1" applyFill="1" applyBorder="1" applyAlignment="1">
      <alignment horizontal="center" vertical="center"/>
    </xf>
    <xf numFmtId="2" fontId="17" fillId="3" borderId="57" xfId="7" applyNumberFormat="1" applyFont="1" applyFill="1" applyBorder="1" applyAlignment="1">
      <alignment horizontal="center" vertical="center"/>
    </xf>
    <xf numFmtId="2" fontId="17" fillId="3" borderId="58" xfId="7" applyNumberFormat="1" applyFont="1" applyFill="1" applyBorder="1" applyAlignment="1">
      <alignment horizontal="center" vertical="center"/>
    </xf>
    <xf numFmtId="2" fontId="18" fillId="3" borderId="55" xfId="7" applyNumberFormat="1" applyFont="1" applyFill="1" applyBorder="1" applyAlignment="1">
      <alignment horizontal="center" vertical="center"/>
    </xf>
    <xf numFmtId="2" fontId="18" fillId="3" borderId="56" xfId="7" applyNumberFormat="1" applyFont="1" applyFill="1" applyBorder="1" applyAlignment="1">
      <alignment horizontal="center" vertical="center"/>
    </xf>
    <xf numFmtId="2" fontId="18" fillId="3" borderId="57" xfId="7" applyNumberFormat="1" applyFont="1" applyFill="1" applyBorder="1" applyAlignment="1">
      <alignment horizontal="center" vertical="center"/>
    </xf>
    <xf numFmtId="2" fontId="18" fillId="3" borderId="58" xfId="7" applyNumberFormat="1" applyFont="1" applyFill="1" applyBorder="1" applyAlignment="1">
      <alignment horizontal="center" vertical="center"/>
    </xf>
    <xf numFmtId="2" fontId="29" fillId="3" borderId="50" xfId="7" applyNumberFormat="1" applyFont="1" applyFill="1" applyBorder="1" applyAlignment="1">
      <alignment horizontal="center" vertical="center"/>
    </xf>
    <xf numFmtId="2" fontId="29" fillId="3" borderId="53" xfId="7" applyNumberFormat="1" applyFont="1" applyFill="1" applyBorder="1" applyAlignment="1">
      <alignment horizontal="center" vertical="center"/>
    </xf>
    <xf numFmtId="2" fontId="29" fillId="3" borderId="15" xfId="7" applyNumberFormat="1" applyFont="1" applyFill="1" applyBorder="1" applyAlignment="1">
      <alignment horizontal="center" vertical="center"/>
    </xf>
    <xf numFmtId="2" fontId="29" fillId="3" borderId="20" xfId="7" applyNumberFormat="1" applyFont="1" applyFill="1" applyBorder="1" applyAlignment="1">
      <alignment horizontal="center" vertical="center"/>
    </xf>
    <xf numFmtId="0" fontId="17" fillId="3" borderId="2" xfId="0" applyFont="1" applyFill="1" applyBorder="1" applyAlignment="1">
      <alignment horizontal="center" vertical="center"/>
    </xf>
    <xf numFmtId="0" fontId="18" fillId="3" borderId="3" xfId="0" applyFont="1" applyFill="1" applyBorder="1" applyAlignment="1">
      <alignment vertical="center"/>
    </xf>
    <xf numFmtId="0" fontId="18" fillId="3" borderId="4" xfId="0" applyFont="1" applyFill="1" applyBorder="1" applyAlignment="1">
      <alignment vertical="center"/>
    </xf>
    <xf numFmtId="0" fontId="18" fillId="3" borderId="11" xfId="0" applyFont="1" applyFill="1" applyBorder="1"/>
    <xf numFmtId="0" fontId="18" fillId="3" borderId="8" xfId="0" applyFont="1" applyFill="1" applyBorder="1"/>
    <xf numFmtId="0" fontId="18" fillId="3" borderId="12" xfId="0" applyFont="1" applyFill="1" applyBorder="1"/>
    <xf numFmtId="0" fontId="18" fillId="3" borderId="6" xfId="0" applyFont="1" applyFill="1" applyBorder="1"/>
    <xf numFmtId="0" fontId="8" fillId="3" borderId="48" xfId="0" applyFont="1" applyFill="1" applyBorder="1"/>
    <xf numFmtId="0" fontId="8" fillId="3" borderId="14" xfId="0" applyFont="1" applyFill="1" applyBorder="1"/>
    <xf numFmtId="0" fontId="8" fillId="3" borderId="49" xfId="0" applyFont="1" applyFill="1" applyBorder="1"/>
    <xf numFmtId="0" fontId="8" fillId="3" borderId="18" xfId="0" applyFont="1" applyFill="1" applyBorder="1"/>
    <xf numFmtId="0" fontId="8" fillId="3" borderId="50" xfId="0" applyFont="1" applyFill="1" applyBorder="1"/>
    <xf numFmtId="0" fontId="8" fillId="3" borderId="15" xfId="0" applyFont="1" applyFill="1" applyBorder="1"/>
    <xf numFmtId="0" fontId="19" fillId="3" borderId="0" xfId="0" applyFont="1" applyFill="1"/>
    <xf numFmtId="2" fontId="10" fillId="3" borderId="0" xfId="0" applyNumberFormat="1" applyFont="1" applyFill="1"/>
    <xf numFmtId="9" fontId="29" fillId="3" borderId="53" xfId="1" applyFont="1" applyFill="1" applyBorder="1" applyAlignment="1">
      <alignment horizontal="center" vertical="center"/>
    </xf>
    <xf numFmtId="2" fontId="17" fillId="0" borderId="49" xfId="7" applyNumberFormat="1" applyFont="1" applyFill="1" applyBorder="1" applyAlignment="1">
      <alignment horizontal="center" vertical="center"/>
    </xf>
    <xf numFmtId="2" fontId="17" fillId="0" borderId="18" xfId="7" applyNumberFormat="1" applyFont="1" applyFill="1" applyBorder="1" applyAlignment="1">
      <alignment horizontal="center" vertical="center"/>
    </xf>
    <xf numFmtId="2" fontId="17" fillId="0" borderId="17" xfId="7" applyNumberFormat="1" applyFont="1" applyFill="1" applyBorder="1" applyAlignment="1">
      <alignment horizontal="center" vertical="center"/>
    </xf>
    <xf numFmtId="9" fontId="8" fillId="3" borderId="11" xfId="1" applyFont="1" applyFill="1" applyBorder="1"/>
    <xf numFmtId="9" fontId="8" fillId="3" borderId="12" xfId="1" applyFont="1" applyFill="1" applyBorder="1"/>
    <xf numFmtId="9" fontId="8" fillId="3" borderId="0" xfId="1" applyFont="1" applyFill="1" applyBorder="1"/>
    <xf numFmtId="9" fontId="8" fillId="3" borderId="6" xfId="1" applyFont="1" applyFill="1" applyBorder="1"/>
    <xf numFmtId="9" fontId="8" fillId="3" borderId="9" xfId="1" applyFont="1" applyFill="1" applyBorder="1"/>
    <xf numFmtId="9" fontId="10" fillId="3" borderId="3" xfId="1" applyFont="1" applyFill="1" applyBorder="1"/>
    <xf numFmtId="9" fontId="10" fillId="3" borderId="4" xfId="1" applyFont="1" applyFill="1" applyBorder="1"/>
    <xf numFmtId="2" fontId="18" fillId="3" borderId="11" xfId="3" applyNumberFormat="1" applyFont="1" applyFill="1" applyBorder="1"/>
    <xf numFmtId="2" fontId="18" fillId="3" borderId="8" xfId="3" applyNumberFormat="1" applyFont="1" applyFill="1" applyBorder="1"/>
    <xf numFmtId="0" fontId="24" fillId="6" borderId="10" xfId="0" applyFont="1" applyFill="1" applyBorder="1" applyAlignment="1">
      <alignment vertical="center"/>
    </xf>
    <xf numFmtId="0" fontId="24" fillId="6" borderId="11" xfId="0" applyFont="1" applyFill="1" applyBorder="1" applyAlignment="1">
      <alignment vertical="center"/>
    </xf>
    <xf numFmtId="0" fontId="24" fillId="6" borderId="12" xfId="0" applyFont="1" applyFill="1" applyBorder="1" applyAlignment="1">
      <alignment vertical="center"/>
    </xf>
    <xf numFmtId="2" fontId="8" fillId="3" borderId="41" xfId="2" applyNumberFormat="1" applyFont="1" applyFill="1" applyBorder="1" applyAlignment="1">
      <alignment horizontal="center"/>
    </xf>
    <xf numFmtId="2" fontId="8" fillId="3" borderId="42" xfId="2" applyNumberFormat="1" applyFont="1" applyFill="1" applyBorder="1" applyAlignment="1">
      <alignment horizontal="center"/>
    </xf>
    <xf numFmtId="0" fontId="23" fillId="3" borderId="0" xfId="0" applyFont="1" applyFill="1" applyAlignment="1">
      <alignment vertical="center"/>
    </xf>
    <xf numFmtId="2" fontId="18" fillId="0" borderId="35" xfId="2" applyNumberFormat="1" applyFont="1" applyFill="1" applyBorder="1" applyAlignment="1">
      <alignment horizontal="center"/>
    </xf>
    <xf numFmtId="0" fontId="28" fillId="0" borderId="0" xfId="0" applyFont="1"/>
    <xf numFmtId="0" fontId="8" fillId="0" borderId="6" xfId="0" applyFont="1" applyBorder="1"/>
    <xf numFmtId="2" fontId="18" fillId="0" borderId="48" xfId="2" applyNumberFormat="1" applyFont="1" applyFill="1" applyBorder="1" applyAlignment="1">
      <alignment horizontal="center"/>
    </xf>
    <xf numFmtId="2" fontId="18" fillId="0" borderId="14" xfId="2" applyNumberFormat="1" applyFont="1" applyFill="1" applyBorder="1" applyAlignment="1">
      <alignment horizontal="center"/>
    </xf>
    <xf numFmtId="2" fontId="18" fillId="0" borderId="50" xfId="2" applyNumberFormat="1" applyFont="1" applyFill="1" applyBorder="1" applyAlignment="1">
      <alignment horizontal="center"/>
    </xf>
    <xf numFmtId="2" fontId="18" fillId="0" borderId="15" xfId="2" applyNumberFormat="1" applyFont="1" applyFill="1" applyBorder="1" applyAlignment="1">
      <alignment horizontal="center"/>
    </xf>
    <xf numFmtId="0" fontId="18" fillId="0" borderId="5" xfId="0" applyFont="1" applyBorder="1"/>
    <xf numFmtId="166" fontId="10" fillId="3" borderId="2" xfId="0" applyNumberFormat="1" applyFont="1" applyFill="1" applyBorder="1"/>
    <xf numFmtId="166" fontId="10" fillId="3" borderId="3" xfId="0" applyNumberFormat="1" applyFont="1" applyFill="1" applyBorder="1"/>
    <xf numFmtId="166" fontId="10" fillId="3" borderId="4" xfId="0" applyNumberFormat="1" applyFont="1" applyFill="1" applyBorder="1"/>
    <xf numFmtId="0" fontId="10" fillId="3" borderId="10" xfId="0" applyFont="1" applyFill="1" applyBorder="1"/>
    <xf numFmtId="0" fontId="10" fillId="3" borderId="11" xfId="0" applyFont="1" applyFill="1" applyBorder="1"/>
    <xf numFmtId="0" fontId="10" fillId="3" borderId="12" xfId="0"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166" fontId="8" fillId="3" borderId="11" xfId="0" applyNumberFormat="1" applyFont="1" applyFill="1" applyBorder="1"/>
    <xf numFmtId="166" fontId="8" fillId="3" borderId="0" xfId="0" applyNumberFormat="1" applyFont="1" applyFill="1"/>
    <xf numFmtId="166" fontId="8" fillId="3" borderId="8" xfId="0" applyNumberFormat="1" applyFont="1" applyFill="1" applyBorder="1"/>
    <xf numFmtId="166" fontId="8" fillId="3" borderId="12" xfId="0" applyNumberFormat="1" applyFont="1" applyFill="1" applyBorder="1"/>
    <xf numFmtId="166" fontId="8" fillId="3" borderId="6" xfId="0" applyNumberFormat="1" applyFont="1" applyFill="1" applyBorder="1"/>
    <xf numFmtId="166" fontId="8" fillId="3" borderId="9" xfId="0" applyNumberFormat="1" applyFont="1" applyFill="1" applyBorder="1"/>
    <xf numFmtId="0" fontId="10" fillId="0" borderId="7" xfId="0" applyFont="1" applyBorder="1" applyAlignment="1">
      <alignment horizontal="center" vertical="center" wrapText="1"/>
    </xf>
    <xf numFmtId="166" fontId="8" fillId="0" borderId="43" xfId="2" applyNumberFormat="1" applyFont="1" applyFill="1" applyBorder="1" applyAlignment="1">
      <alignment horizontal="center"/>
    </xf>
    <xf numFmtId="166" fontId="8" fillId="0" borderId="44" xfId="2" applyNumberFormat="1" applyFont="1" applyFill="1" applyBorder="1" applyAlignment="1">
      <alignment horizontal="center"/>
    </xf>
    <xf numFmtId="166" fontId="8" fillId="3" borderId="43" xfId="2" applyNumberFormat="1" applyFont="1" applyFill="1" applyBorder="1" applyAlignment="1">
      <alignment horizontal="center"/>
    </xf>
    <xf numFmtId="166" fontId="8" fillId="3" borderId="44" xfId="2" applyNumberFormat="1" applyFont="1" applyFill="1" applyBorder="1" applyAlignment="1">
      <alignment horizontal="center"/>
    </xf>
    <xf numFmtId="0" fontId="18" fillId="0" borderId="10" xfId="0" applyFont="1" applyBorder="1"/>
    <xf numFmtId="2" fontId="8" fillId="0" borderId="5" xfId="3" applyNumberFormat="1" applyFont="1" applyFill="1" applyBorder="1"/>
    <xf numFmtId="2" fontId="8" fillId="0" borderId="6" xfId="3" applyNumberFormat="1" applyFont="1" applyFill="1" applyBorder="1"/>
    <xf numFmtId="2" fontId="8" fillId="0" borderId="0" xfId="3" applyNumberFormat="1" applyFont="1" applyFill="1"/>
    <xf numFmtId="2" fontId="9" fillId="3" borderId="0" xfId="0" applyNumberFormat="1" applyFont="1" applyFill="1"/>
    <xf numFmtId="2" fontId="0" fillId="3" borderId="0" xfId="0" applyNumberFormat="1" applyFill="1"/>
    <xf numFmtId="0" fontId="10" fillId="3" borderId="7" xfId="0" applyFont="1" applyFill="1" applyBorder="1" applyAlignment="1">
      <alignment horizontal="center" vertical="center" wrapText="1"/>
    </xf>
    <xf numFmtId="0" fontId="21" fillId="6" borderId="0" xfId="0" applyFont="1" applyFill="1" applyAlignment="1">
      <alignment horizontal="center"/>
    </xf>
    <xf numFmtId="0" fontId="20" fillId="6" borderId="0" xfId="0" applyFont="1" applyFill="1" applyAlignment="1">
      <alignment horizontal="center"/>
    </xf>
    <xf numFmtId="2" fontId="10" fillId="3" borderId="7" xfId="3" applyNumberFormat="1" applyFont="1" applyFill="1" applyBorder="1"/>
    <xf numFmtId="2" fontId="10" fillId="3" borderId="9" xfId="3" applyNumberFormat="1" applyFont="1" applyFill="1" applyBorder="1"/>
    <xf numFmtId="2" fontId="8" fillId="5" borderId="11" xfId="3" applyNumberFormat="1" applyFont="1" applyFill="1" applyBorder="1"/>
    <xf numFmtId="2" fontId="8" fillId="5" borderId="8" xfId="3" applyNumberFormat="1" applyFont="1" applyFill="1" applyBorder="1"/>
    <xf numFmtId="0" fontId="21" fillId="6" borderId="10" xfId="0" applyFont="1" applyFill="1" applyBorder="1"/>
    <xf numFmtId="0" fontId="21" fillId="6" borderId="12" xfId="0" applyFont="1" applyFill="1" applyBorder="1"/>
    <xf numFmtId="165" fontId="8" fillId="3" borderId="10" xfId="1" applyNumberFormat="1" applyFont="1" applyFill="1" applyBorder="1"/>
    <xf numFmtId="165" fontId="8" fillId="3" borderId="12" xfId="1" applyNumberFormat="1" applyFont="1" applyFill="1" applyBorder="1"/>
    <xf numFmtId="165" fontId="8" fillId="3" borderId="7" xfId="1" applyNumberFormat="1" applyFont="1" applyFill="1" applyBorder="1"/>
    <xf numFmtId="165" fontId="8" fillId="3" borderId="9" xfId="1" applyNumberFormat="1" applyFont="1" applyFill="1" applyBorder="1"/>
    <xf numFmtId="0" fontId="21" fillId="6" borderId="0" xfId="0" applyFont="1" applyFill="1" applyAlignment="1">
      <alignment horizontal="left"/>
    </xf>
    <xf numFmtId="0" fontId="15" fillId="3" borderId="63" xfId="0" applyFont="1" applyFill="1" applyBorder="1"/>
    <xf numFmtId="0" fontId="10" fillId="3" borderId="63" xfId="0" applyFont="1" applyFill="1" applyBorder="1"/>
    <xf numFmtId="0" fontId="36" fillId="3" borderId="0" xfId="0" applyFont="1" applyFill="1"/>
    <xf numFmtId="2" fontId="28" fillId="3" borderId="0" xfId="0" applyNumberFormat="1" applyFont="1" applyFill="1"/>
    <xf numFmtId="0" fontId="17" fillId="3" borderId="10" xfId="0" applyFont="1" applyFill="1" applyBorder="1" applyAlignment="1">
      <alignment horizontal="center" vertical="center"/>
    </xf>
    <xf numFmtId="165" fontId="8" fillId="3" borderId="4" xfId="1" applyNumberFormat="1" applyFont="1" applyFill="1" applyBorder="1" applyAlignment="1">
      <alignment horizontal="center"/>
    </xf>
    <xf numFmtId="0" fontId="20" fillId="6" borderId="10"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9" fillId="3" borderId="8" xfId="0" applyFont="1" applyFill="1" applyBorder="1"/>
    <xf numFmtId="9" fontId="8" fillId="0" borderId="6" xfId="0" applyNumberFormat="1" applyFont="1" applyBorder="1"/>
    <xf numFmtId="0" fontId="8" fillId="3" borderId="12" xfId="0" applyFont="1" applyFill="1" applyBorder="1" applyAlignment="1">
      <alignment horizontal="center"/>
    </xf>
    <xf numFmtId="0" fontId="17" fillId="3" borderId="0" xfId="0" applyFont="1" applyFill="1"/>
    <xf numFmtId="0" fontId="17" fillId="3" borderId="8" xfId="0" applyFont="1" applyFill="1" applyBorder="1"/>
    <xf numFmtId="0" fontId="17" fillId="3" borderId="6" xfId="0" applyFont="1" applyFill="1" applyBorder="1"/>
    <xf numFmtId="0" fontId="17" fillId="3" borderId="9" xfId="0" applyFont="1" applyFill="1" applyBorder="1"/>
    <xf numFmtId="4" fontId="0" fillId="3" borderId="0" xfId="0" applyNumberFormat="1" applyFill="1"/>
    <xf numFmtId="2" fontId="10" fillId="3" borderId="10" xfId="3" applyNumberFormat="1" applyFont="1" applyFill="1" applyBorder="1"/>
    <xf numFmtId="2" fontId="10" fillId="3" borderId="8" xfId="3" applyNumberFormat="1" applyFont="1" applyFill="1" applyBorder="1"/>
    <xf numFmtId="2" fontId="8" fillId="3" borderId="12" xfId="3" applyNumberFormat="1" applyFont="1" applyFill="1" applyBorder="1"/>
    <xf numFmtId="2" fontId="8" fillId="3" borderId="9" xfId="3" applyNumberFormat="1" applyFont="1" applyFill="1" applyBorder="1"/>
    <xf numFmtId="2" fontId="18" fillId="0" borderId="49" xfId="7" applyNumberFormat="1" applyFont="1" applyFill="1" applyBorder="1" applyAlignment="1">
      <alignment horizontal="center"/>
    </xf>
    <xf numFmtId="2" fontId="18" fillId="0" borderId="18" xfId="7" applyNumberFormat="1" applyFont="1" applyFill="1" applyBorder="1" applyAlignment="1">
      <alignment horizontal="center"/>
    </xf>
    <xf numFmtId="0" fontId="10" fillId="0" borderId="0" xfId="0" applyFont="1"/>
    <xf numFmtId="0" fontId="8" fillId="0" borderId="0" xfId="0" applyFont="1"/>
    <xf numFmtId="2" fontId="18" fillId="0" borderId="37" xfId="2" applyNumberFormat="1" applyFont="1" applyFill="1" applyBorder="1" applyAlignment="1">
      <alignment horizontal="center"/>
    </xf>
    <xf numFmtId="2" fontId="18" fillId="0" borderId="38" xfId="2" applyNumberFormat="1" applyFont="1" applyFill="1" applyBorder="1" applyAlignment="1">
      <alignment horizontal="center"/>
    </xf>
    <xf numFmtId="164" fontId="8" fillId="0" borderId="27" xfId="2" applyNumberFormat="1" applyFont="1" applyFill="1" applyBorder="1" applyAlignment="1">
      <alignment horizontal="center"/>
    </xf>
    <xf numFmtId="2" fontId="18" fillId="0" borderId="25" xfId="2" applyNumberFormat="1" applyFont="1" applyFill="1" applyBorder="1" applyAlignment="1">
      <alignment horizontal="center"/>
    </xf>
    <xf numFmtId="164" fontId="18" fillId="0" borderId="25" xfId="2" applyNumberFormat="1" applyFont="1" applyFill="1" applyBorder="1" applyAlignment="1">
      <alignment horizontal="center"/>
    </xf>
    <xf numFmtId="164" fontId="18" fillId="0" borderId="42" xfId="2" applyNumberFormat="1" applyFont="1" applyFill="1" applyBorder="1" applyAlignment="1">
      <alignment horizontal="center"/>
    </xf>
    <xf numFmtId="2" fontId="18" fillId="0" borderId="42" xfId="2" applyNumberFormat="1" applyFont="1" applyFill="1" applyBorder="1" applyAlignment="1">
      <alignment horizontal="center"/>
    </xf>
    <xf numFmtId="0" fontId="18" fillId="3" borderId="5" xfId="0" applyFont="1" applyFill="1" applyBorder="1"/>
    <xf numFmtId="164" fontId="18" fillId="0" borderId="37" xfId="2" applyNumberFormat="1" applyFont="1" applyFill="1" applyBorder="1" applyAlignment="1">
      <alignment horizontal="center"/>
    </xf>
    <xf numFmtId="164" fontId="18" fillId="0" borderId="38" xfId="2" applyNumberFormat="1" applyFont="1" applyFill="1" applyBorder="1" applyAlignment="1">
      <alignment horizontal="center"/>
    </xf>
    <xf numFmtId="164" fontId="18" fillId="0" borderId="61" xfId="2" applyNumberFormat="1" applyFont="1" applyFill="1" applyBorder="1" applyAlignment="1">
      <alignment horizontal="center"/>
    </xf>
    <xf numFmtId="0" fontId="8" fillId="0" borderId="9" xfId="0" applyFont="1" applyBorder="1"/>
    <xf numFmtId="0" fontId="18" fillId="0" borderId="0" xfId="0" applyFont="1"/>
    <xf numFmtId="0" fontId="8" fillId="3" borderId="10" xfId="0" applyFont="1" applyFill="1" applyBorder="1" applyAlignment="1">
      <alignment horizontal="center"/>
    </xf>
    <xf numFmtId="0" fontId="8" fillId="3" borderId="7" xfId="0" applyFont="1" applyFill="1" applyBorder="1" applyAlignment="1">
      <alignment horizontal="center"/>
    </xf>
    <xf numFmtId="166" fontId="10" fillId="3" borderId="46" xfId="2" applyNumberFormat="1" applyFont="1" applyFill="1" applyBorder="1" applyAlignment="1">
      <alignment horizontal="center"/>
    </xf>
    <xf numFmtId="166" fontId="10" fillId="3" borderId="33" xfId="2" applyNumberFormat="1" applyFont="1" applyFill="1" applyBorder="1" applyAlignment="1">
      <alignment horizontal="center"/>
    </xf>
    <xf numFmtId="4" fontId="8" fillId="3" borderId="0" xfId="0" applyNumberFormat="1" applyFont="1" applyFill="1"/>
    <xf numFmtId="9" fontId="8" fillId="3" borderId="0" xfId="1" applyFont="1" applyFill="1"/>
    <xf numFmtId="3" fontId="10" fillId="3" borderId="35" xfId="2" applyNumberFormat="1" applyFont="1" applyFill="1" applyBorder="1" applyAlignment="1">
      <alignment horizontal="center"/>
    </xf>
    <xf numFmtId="3" fontId="0" fillId="3" borderId="0" xfId="0" applyNumberFormat="1" applyFill="1"/>
    <xf numFmtId="3" fontId="10" fillId="3" borderId="32" xfId="2" applyNumberFormat="1" applyFont="1" applyFill="1" applyBorder="1" applyAlignment="1">
      <alignment horizontal="center"/>
    </xf>
    <xf numFmtId="0" fontId="17" fillId="3" borderId="7" xfId="0" applyFont="1" applyFill="1" applyBorder="1" applyAlignment="1">
      <alignment horizontal="center" vertical="center"/>
    </xf>
    <xf numFmtId="0" fontId="17" fillId="3" borderId="5" xfId="0" applyFont="1" applyFill="1" applyBorder="1" applyAlignment="1">
      <alignment horizontal="center" vertical="center"/>
    </xf>
    <xf numFmtId="0" fontId="24" fillId="6" borderId="10" xfId="0" applyFont="1" applyFill="1" applyBorder="1" applyAlignment="1">
      <alignment horizontal="center"/>
    </xf>
    <xf numFmtId="0" fontId="24" fillId="6" borderId="12" xfId="0" applyFont="1" applyFill="1" applyBorder="1" applyAlignment="1">
      <alignment horizontal="center"/>
    </xf>
    <xf numFmtId="166" fontId="10" fillId="3" borderId="0" xfId="0" applyNumberFormat="1" applyFont="1" applyFill="1"/>
    <xf numFmtId="1" fontId="8" fillId="3" borderId="0" xfId="0" applyNumberFormat="1" applyFont="1" applyFill="1"/>
    <xf numFmtId="0" fontId="7" fillId="3" borderId="0" xfId="0" applyFont="1" applyFill="1"/>
    <xf numFmtId="0" fontId="40" fillId="3" borderId="0" xfId="0" applyFont="1" applyFill="1"/>
    <xf numFmtId="0" fontId="40" fillId="3" borderId="0" xfId="0" applyFont="1" applyFill="1" applyAlignment="1">
      <alignment horizontal="center"/>
    </xf>
    <xf numFmtId="166" fontId="18" fillId="3" borderId="48" xfId="7" applyNumberFormat="1" applyFont="1" applyFill="1" applyBorder="1" applyAlignment="1">
      <alignment horizontal="center"/>
    </xf>
    <xf numFmtId="166" fontId="18" fillId="3" borderId="14" xfId="7" applyNumberFormat="1" applyFont="1" applyFill="1" applyBorder="1" applyAlignment="1">
      <alignment horizontal="center"/>
    </xf>
    <xf numFmtId="166" fontId="18" fillId="3" borderId="13" xfId="7" applyNumberFormat="1" applyFont="1" applyFill="1" applyBorder="1" applyAlignment="1">
      <alignment horizontal="center"/>
    </xf>
    <xf numFmtId="166" fontId="18" fillId="3" borderId="49" xfId="7" applyNumberFormat="1" applyFont="1" applyFill="1" applyBorder="1" applyAlignment="1">
      <alignment horizontal="center"/>
    </xf>
    <xf numFmtId="166" fontId="18" fillId="3" borderId="18" xfId="7" applyNumberFormat="1" applyFont="1" applyFill="1" applyBorder="1" applyAlignment="1">
      <alignment horizontal="center"/>
    </xf>
    <xf numFmtId="166" fontId="18" fillId="3" borderId="17" xfId="7" applyNumberFormat="1" applyFont="1" applyFill="1" applyBorder="1" applyAlignment="1">
      <alignment horizontal="center"/>
    </xf>
    <xf numFmtId="166" fontId="18" fillId="0" borderId="49" xfId="7" applyNumberFormat="1" applyFont="1" applyFill="1" applyBorder="1" applyAlignment="1">
      <alignment horizontal="center"/>
    </xf>
    <xf numFmtId="166" fontId="18" fillId="0" borderId="18" xfId="7" applyNumberFormat="1" applyFont="1" applyFill="1" applyBorder="1" applyAlignment="1">
      <alignment horizontal="center"/>
    </xf>
    <xf numFmtId="166" fontId="18" fillId="0" borderId="17" xfId="7" applyNumberFormat="1" applyFont="1" applyFill="1" applyBorder="1" applyAlignment="1">
      <alignment horizontal="center"/>
    </xf>
    <xf numFmtId="166" fontId="17" fillId="3" borderId="50" xfId="7" applyNumberFormat="1" applyFont="1" applyFill="1" applyBorder="1" applyAlignment="1">
      <alignment horizontal="center"/>
    </xf>
    <xf numFmtId="166" fontId="17" fillId="3" borderId="15" xfId="7" applyNumberFormat="1" applyFont="1" applyFill="1" applyBorder="1" applyAlignment="1">
      <alignment horizontal="center"/>
    </xf>
    <xf numFmtId="166" fontId="17" fillId="3" borderId="20" xfId="7" applyNumberFormat="1" applyFont="1" applyFill="1" applyBorder="1" applyAlignment="1">
      <alignment horizontal="center"/>
    </xf>
    <xf numFmtId="166" fontId="18" fillId="0" borderId="48" xfId="7" applyNumberFormat="1" applyFont="1" applyFill="1" applyBorder="1" applyAlignment="1">
      <alignment horizontal="center"/>
    </xf>
    <xf numFmtId="166" fontId="17" fillId="0" borderId="50" xfId="7" applyNumberFormat="1" applyFont="1" applyFill="1" applyBorder="1" applyAlignment="1">
      <alignment horizontal="center"/>
    </xf>
    <xf numFmtId="166" fontId="17" fillId="3" borderId="55" xfId="7" applyNumberFormat="1" applyFont="1" applyFill="1" applyBorder="1" applyAlignment="1">
      <alignment horizontal="center"/>
    </xf>
    <xf numFmtId="166" fontId="17" fillId="3" borderId="57" xfId="7" applyNumberFormat="1" applyFont="1" applyFill="1" applyBorder="1" applyAlignment="1">
      <alignment horizontal="center"/>
    </xf>
    <xf numFmtId="166" fontId="17" fillId="3" borderId="64" xfId="7" applyNumberFormat="1" applyFont="1" applyFill="1" applyBorder="1" applyAlignment="1">
      <alignment horizontal="center"/>
    </xf>
    <xf numFmtId="166" fontId="18" fillId="0" borderId="14" xfId="7" applyNumberFormat="1" applyFont="1" applyFill="1" applyBorder="1" applyAlignment="1">
      <alignment horizontal="center"/>
    </xf>
    <xf numFmtId="166" fontId="17" fillId="0" borderId="15" xfId="7" applyNumberFormat="1" applyFont="1" applyFill="1" applyBorder="1" applyAlignment="1">
      <alignment horizontal="center"/>
    </xf>
    <xf numFmtId="166" fontId="18" fillId="0" borderId="52" xfId="7" applyNumberFormat="1" applyFont="1" applyFill="1" applyBorder="1" applyAlignment="1">
      <alignment horizontal="center"/>
    </xf>
    <xf numFmtId="166" fontId="18" fillId="0" borderId="22" xfId="7" applyNumberFormat="1" applyFont="1" applyFill="1" applyBorder="1" applyAlignment="1">
      <alignment horizontal="center"/>
    </xf>
    <xf numFmtId="166" fontId="17" fillId="0" borderId="53" xfId="7" applyNumberFormat="1" applyFont="1" applyFill="1" applyBorder="1" applyAlignment="1">
      <alignment horizontal="center"/>
    </xf>
    <xf numFmtId="166" fontId="17" fillId="3" borderId="58" xfId="7" applyNumberFormat="1" applyFont="1" applyFill="1" applyBorder="1" applyAlignment="1">
      <alignment horizontal="center"/>
    </xf>
    <xf numFmtId="2" fontId="17" fillId="3" borderId="48" xfId="7" applyNumberFormat="1" applyFont="1" applyFill="1" applyBorder="1" applyAlignment="1">
      <alignment horizontal="center"/>
    </xf>
    <xf numFmtId="2" fontId="17" fillId="3" borderId="14" xfId="7" applyNumberFormat="1" applyFont="1" applyFill="1" applyBorder="1" applyAlignment="1">
      <alignment horizontal="center"/>
    </xf>
    <xf numFmtId="2" fontId="18" fillId="3" borderId="65" xfId="7" applyNumberFormat="1" applyFont="1" applyFill="1" applyBorder="1" applyAlignment="1">
      <alignment horizontal="center" vertical="center"/>
    </xf>
    <xf numFmtId="2" fontId="18" fillId="3" borderId="66" xfId="7" applyNumberFormat="1" applyFont="1" applyFill="1" applyBorder="1" applyAlignment="1">
      <alignment horizontal="center" vertical="center"/>
    </xf>
    <xf numFmtId="2" fontId="18" fillId="3" borderId="52" xfId="7" applyNumberFormat="1" applyFont="1" applyFill="1" applyBorder="1" applyAlignment="1">
      <alignment horizontal="center"/>
    </xf>
    <xf numFmtId="2" fontId="18" fillId="3" borderId="22" xfId="7" applyNumberFormat="1" applyFont="1" applyFill="1" applyBorder="1" applyAlignment="1">
      <alignment horizontal="center"/>
    </xf>
    <xf numFmtId="2" fontId="17" fillId="3" borderId="53" xfId="7" applyNumberFormat="1" applyFont="1" applyFill="1" applyBorder="1" applyAlignment="1">
      <alignment horizontal="center"/>
    </xf>
    <xf numFmtId="2" fontId="18" fillId="3" borderId="67" xfId="7" applyNumberFormat="1" applyFont="1" applyFill="1" applyBorder="1" applyAlignment="1">
      <alignment horizontal="center" vertical="center"/>
    </xf>
    <xf numFmtId="3" fontId="8" fillId="3" borderId="28" xfId="2" applyNumberFormat="1" applyFont="1" applyFill="1" applyBorder="1" applyAlignment="1">
      <alignment horizontal="center"/>
    </xf>
    <xf numFmtId="3" fontId="8" fillId="3" borderId="39" xfId="2" applyNumberFormat="1" applyFont="1" applyFill="1" applyBorder="1" applyAlignment="1">
      <alignment horizontal="center"/>
    </xf>
    <xf numFmtId="3" fontId="8" fillId="3" borderId="25" xfId="2" applyNumberFormat="1" applyFont="1" applyFill="1" applyBorder="1" applyAlignment="1">
      <alignment horizontal="center"/>
    </xf>
    <xf numFmtId="3" fontId="8" fillId="3" borderId="37" xfId="2" applyNumberFormat="1" applyFont="1" applyFill="1" applyBorder="1" applyAlignment="1">
      <alignment horizontal="center"/>
    </xf>
    <xf numFmtId="3" fontId="8" fillId="3" borderId="29" xfId="2" applyNumberFormat="1" applyFont="1" applyFill="1" applyBorder="1" applyAlignment="1">
      <alignment horizontal="center"/>
    </xf>
    <xf numFmtId="3" fontId="8" fillId="3" borderId="59" xfId="2" applyNumberFormat="1" applyFont="1" applyFill="1" applyBorder="1" applyAlignment="1">
      <alignment horizontal="center"/>
    </xf>
    <xf numFmtId="3" fontId="8" fillId="3" borderId="26" xfId="2" applyNumberFormat="1" applyFont="1" applyFill="1" applyBorder="1" applyAlignment="1">
      <alignment horizontal="center"/>
    </xf>
    <xf numFmtId="3" fontId="8" fillId="3" borderId="45" xfId="2" applyNumberFormat="1" applyFont="1" applyFill="1" applyBorder="1" applyAlignment="1">
      <alignment horizontal="center"/>
    </xf>
    <xf numFmtId="3" fontId="8" fillId="3" borderId="36" xfId="2" applyNumberFormat="1" applyFont="1" applyFill="1" applyBorder="1" applyAlignment="1">
      <alignment horizontal="center"/>
    </xf>
    <xf numFmtId="3" fontId="8" fillId="3" borderId="40" xfId="2" applyNumberFormat="1" applyFont="1" applyFill="1" applyBorder="1" applyAlignment="1">
      <alignment horizontal="center"/>
    </xf>
    <xf numFmtId="3" fontId="8" fillId="3" borderId="32" xfId="2" applyNumberFormat="1" applyFont="1" applyFill="1" applyBorder="1" applyAlignment="1">
      <alignment horizontal="center"/>
    </xf>
    <xf numFmtId="3" fontId="8" fillId="3" borderId="35" xfId="2" applyNumberFormat="1" applyFont="1" applyFill="1" applyBorder="1" applyAlignment="1">
      <alignment horizontal="center"/>
    </xf>
    <xf numFmtId="3" fontId="8" fillId="0" borderId="29" xfId="2" applyNumberFormat="1" applyFont="1" applyFill="1" applyBorder="1" applyAlignment="1">
      <alignment horizontal="center"/>
    </xf>
    <xf numFmtId="3" fontId="8" fillId="0" borderId="28" xfId="2" applyNumberFormat="1" applyFont="1" applyFill="1" applyBorder="1" applyAlignment="1">
      <alignment horizontal="center"/>
    </xf>
    <xf numFmtId="3" fontId="8" fillId="0" borderId="39" xfId="2" applyNumberFormat="1" applyFont="1" applyFill="1" applyBorder="1" applyAlignment="1">
      <alignment horizontal="center"/>
    </xf>
    <xf numFmtId="3" fontId="8" fillId="0" borderId="59"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0"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8" fillId="3" borderId="30" xfId="2" applyNumberFormat="1" applyFont="1" applyFill="1" applyBorder="1" applyAlignment="1">
      <alignment horizontal="center"/>
    </xf>
    <xf numFmtId="3" fontId="8" fillId="3" borderId="60" xfId="2" applyNumberFormat="1" applyFont="1" applyFill="1" applyBorder="1" applyAlignment="1">
      <alignment horizontal="center"/>
    </xf>
    <xf numFmtId="3" fontId="8" fillId="3" borderId="27" xfId="2" applyNumberFormat="1" applyFont="1" applyFill="1" applyBorder="1" applyAlignment="1">
      <alignment horizontal="center"/>
    </xf>
    <xf numFmtId="3" fontId="8" fillId="3" borderId="61"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59" xfId="2" applyNumberFormat="1" applyFont="1" applyFill="1" applyBorder="1" applyAlignment="1">
      <alignment horizontal="center"/>
    </xf>
    <xf numFmtId="168" fontId="8" fillId="0" borderId="48" xfId="2" applyNumberFormat="1" applyFont="1" applyFill="1" applyBorder="1" applyAlignment="1">
      <alignment horizontal="center"/>
    </xf>
    <xf numFmtId="168" fontId="8" fillId="0" borderId="14" xfId="2" applyNumberFormat="1" applyFont="1" applyFill="1" applyBorder="1" applyAlignment="1">
      <alignment horizontal="center"/>
    </xf>
    <xf numFmtId="168" fontId="8" fillId="0" borderId="49" xfId="2" applyNumberFormat="1" applyFont="1" applyFill="1" applyBorder="1" applyAlignment="1">
      <alignment horizontal="center"/>
    </xf>
    <xf numFmtId="168" fontId="8" fillId="0" borderId="18"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0" fillId="0" borderId="50" xfId="2" applyNumberFormat="1" applyFont="1" applyFill="1" applyBorder="1" applyAlignment="1">
      <alignment horizontal="center"/>
    </xf>
    <xf numFmtId="168" fontId="10" fillId="0" borderId="15" xfId="2" applyNumberFormat="1" applyFont="1" applyFill="1" applyBorder="1" applyAlignment="1">
      <alignment horizontal="center"/>
    </xf>
    <xf numFmtId="3" fontId="8" fillId="3" borderId="46" xfId="2" applyNumberFormat="1" applyFont="1" applyFill="1" applyBorder="1" applyAlignment="1">
      <alignment horizontal="center"/>
    </xf>
    <xf numFmtId="3" fontId="8" fillId="3" borderId="51" xfId="2" applyNumberFormat="1" applyFont="1" applyFill="1" applyBorder="1" applyAlignment="1">
      <alignment horizontal="center"/>
    </xf>
    <xf numFmtId="3" fontId="17" fillId="3" borderId="36" xfId="2" applyNumberFormat="1" applyFont="1" applyFill="1" applyBorder="1" applyAlignment="1">
      <alignment horizontal="center"/>
    </xf>
    <xf numFmtId="3" fontId="17" fillId="3" borderId="40" xfId="2" applyNumberFormat="1" applyFont="1" applyFill="1" applyBorder="1" applyAlignment="1">
      <alignment horizontal="center"/>
    </xf>
    <xf numFmtId="3" fontId="17" fillId="3" borderId="32" xfId="2" applyNumberFormat="1" applyFont="1" applyFill="1" applyBorder="1" applyAlignment="1">
      <alignment horizontal="center"/>
    </xf>
    <xf numFmtId="3" fontId="17" fillId="3" borderId="35" xfId="2" applyNumberFormat="1" applyFont="1" applyFill="1" applyBorder="1" applyAlignment="1">
      <alignment horizontal="center"/>
    </xf>
    <xf numFmtId="165" fontId="8" fillId="3" borderId="30" xfId="1" applyNumberFormat="1" applyFont="1" applyFill="1" applyBorder="1" applyAlignment="1">
      <alignment horizontal="center"/>
    </xf>
    <xf numFmtId="165" fontId="8" fillId="3" borderId="60" xfId="1" applyNumberFormat="1" applyFont="1" applyFill="1" applyBorder="1" applyAlignment="1">
      <alignment horizontal="center"/>
    </xf>
    <xf numFmtId="168" fontId="18" fillId="0" borderId="49" xfId="2" applyNumberFormat="1" applyFont="1" applyFill="1" applyBorder="1" applyAlignment="1">
      <alignment horizontal="center"/>
    </xf>
    <xf numFmtId="168" fontId="18" fillId="0" borderId="18" xfId="2" applyNumberFormat="1" applyFont="1" applyFill="1" applyBorder="1" applyAlignment="1">
      <alignment horizontal="center"/>
    </xf>
    <xf numFmtId="9" fontId="8" fillId="0" borderId="50" xfId="1" applyFont="1" applyFill="1" applyBorder="1" applyAlignment="1">
      <alignment horizontal="center"/>
    </xf>
    <xf numFmtId="9" fontId="8" fillId="0" borderId="15" xfId="1" applyFont="1" applyFill="1" applyBorder="1" applyAlignment="1">
      <alignment horizontal="center"/>
    </xf>
    <xf numFmtId="0" fontId="29" fillId="3" borderId="0" xfId="0" applyFont="1" applyFill="1"/>
    <xf numFmtId="9" fontId="8" fillId="0" borderId="55" xfId="1" applyFont="1" applyFill="1" applyBorder="1" applyAlignment="1">
      <alignment horizontal="center"/>
    </xf>
    <xf numFmtId="9" fontId="8" fillId="0" borderId="57" xfId="1" applyFont="1" applyFill="1" applyBorder="1" applyAlignment="1">
      <alignment horizontal="center"/>
    </xf>
    <xf numFmtId="168" fontId="0" fillId="3" borderId="0" xfId="0" applyNumberFormat="1" applyFill="1"/>
    <xf numFmtId="3" fontId="8" fillId="3" borderId="33" xfId="2" applyNumberFormat="1" applyFont="1" applyFill="1" applyBorder="1" applyAlignment="1">
      <alignment horizontal="center"/>
    </xf>
    <xf numFmtId="3" fontId="8" fillId="3" borderId="34" xfId="2" applyNumberFormat="1" applyFont="1" applyFill="1" applyBorder="1" applyAlignment="1">
      <alignment horizontal="center"/>
    </xf>
    <xf numFmtId="166" fontId="10" fillId="3" borderId="34" xfId="2" applyNumberFormat="1" applyFont="1" applyFill="1" applyBorder="1" applyAlignment="1">
      <alignment horizontal="center"/>
    </xf>
    <xf numFmtId="165" fontId="8" fillId="0" borderId="31" xfId="2" applyNumberFormat="1" applyFont="1" applyFill="1" applyBorder="1" applyAlignment="1">
      <alignment horizontal="center"/>
    </xf>
    <xf numFmtId="165" fontId="8" fillId="0" borderId="24" xfId="2" applyNumberFormat="1" applyFont="1" applyFill="1" applyBorder="1" applyAlignment="1">
      <alignment horizontal="center"/>
    </xf>
    <xf numFmtId="0" fontId="8" fillId="3" borderId="11"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165" fontId="8" fillId="0" borderId="38" xfId="2" applyNumberFormat="1" applyFont="1" applyFill="1" applyBorder="1" applyAlignment="1">
      <alignment horizontal="center"/>
    </xf>
    <xf numFmtId="166" fontId="8" fillId="3" borderId="28" xfId="2" applyNumberFormat="1" applyFont="1" applyFill="1" applyBorder="1" applyAlignment="1">
      <alignment horizontal="center"/>
    </xf>
    <xf numFmtId="166" fontId="8" fillId="3" borderId="25" xfId="2" applyNumberFormat="1" applyFont="1" applyFill="1" applyBorder="1" applyAlignment="1">
      <alignment horizontal="center"/>
    </xf>
    <xf numFmtId="166" fontId="8" fillId="3" borderId="29" xfId="2" applyNumberFormat="1" applyFont="1" applyFill="1" applyBorder="1" applyAlignment="1">
      <alignment horizontal="center"/>
    </xf>
    <xf numFmtId="166" fontId="8" fillId="3" borderId="26" xfId="2" applyNumberFormat="1" applyFont="1" applyFill="1" applyBorder="1" applyAlignment="1">
      <alignment horizontal="center"/>
    </xf>
    <xf numFmtId="166" fontId="8" fillId="3" borderId="47" xfId="2" applyNumberFormat="1" applyFont="1" applyFill="1" applyBorder="1" applyAlignment="1">
      <alignment horizontal="center"/>
    </xf>
    <xf numFmtId="9" fontId="8" fillId="3" borderId="25" xfId="2" applyNumberFormat="1" applyFont="1" applyFill="1" applyBorder="1" applyAlignment="1">
      <alignment horizontal="center"/>
    </xf>
    <xf numFmtId="9" fontId="8" fillId="3" borderId="33" xfId="2" applyNumberFormat="1" applyFont="1" applyFill="1" applyBorder="1" applyAlignment="1">
      <alignment horizontal="center"/>
    </xf>
    <xf numFmtId="9" fontId="8" fillId="3" borderId="26" xfId="2" applyNumberFormat="1" applyFont="1" applyFill="1" applyBorder="1" applyAlignment="1">
      <alignment horizontal="center"/>
    </xf>
    <xf numFmtId="9" fontId="8" fillId="3" borderId="32" xfId="2" applyNumberFormat="1" applyFont="1" applyFill="1" applyBorder="1" applyAlignment="1">
      <alignment horizontal="center"/>
    </xf>
    <xf numFmtId="9" fontId="8" fillId="3" borderId="45" xfId="2" applyNumberFormat="1" applyFont="1" applyFill="1" applyBorder="1" applyAlignment="1">
      <alignment horizontal="center"/>
    </xf>
    <xf numFmtId="9" fontId="8" fillId="3" borderId="35" xfId="2" applyNumberFormat="1" applyFont="1" applyFill="1" applyBorder="1" applyAlignment="1">
      <alignment horizontal="center"/>
    </xf>
    <xf numFmtId="0" fontId="24" fillId="6" borderId="10" xfId="0" applyFont="1" applyFill="1" applyBorder="1"/>
    <xf numFmtId="0" fontId="24" fillId="6" borderId="11" xfId="0" applyFont="1" applyFill="1" applyBorder="1"/>
    <xf numFmtId="166" fontId="0" fillId="3" borderId="0" xfId="0" applyNumberFormat="1" applyFill="1"/>
    <xf numFmtId="166" fontId="8" fillId="3" borderId="37" xfId="2" applyNumberFormat="1" applyFont="1" applyFill="1" applyBorder="1" applyAlignment="1">
      <alignment horizontal="center"/>
    </xf>
    <xf numFmtId="166" fontId="8" fillId="3" borderId="34" xfId="2" applyNumberFormat="1" applyFont="1" applyFill="1" applyBorder="1" applyAlignment="1">
      <alignment horizontal="center"/>
    </xf>
    <xf numFmtId="166" fontId="8" fillId="3" borderId="33" xfId="2" applyNumberFormat="1" applyFont="1" applyFill="1" applyBorder="1" applyAlignment="1">
      <alignment horizontal="center"/>
    </xf>
    <xf numFmtId="166" fontId="8" fillId="3" borderId="46" xfId="2" applyNumberFormat="1" applyFont="1" applyFill="1" applyBorder="1" applyAlignment="1">
      <alignment horizontal="center"/>
    </xf>
    <xf numFmtId="166" fontId="8" fillId="3" borderId="45" xfId="2" applyNumberFormat="1" applyFont="1" applyFill="1" applyBorder="1" applyAlignment="1">
      <alignment horizontal="center"/>
    </xf>
    <xf numFmtId="166" fontId="8" fillId="3" borderId="35" xfId="2" applyNumberFormat="1" applyFont="1" applyFill="1" applyBorder="1" applyAlignment="1">
      <alignment horizontal="center"/>
    </xf>
    <xf numFmtId="166" fontId="8" fillId="3" borderId="32" xfId="2" applyNumberFormat="1" applyFont="1" applyFill="1" applyBorder="1" applyAlignment="1">
      <alignment horizontal="center"/>
    </xf>
    <xf numFmtId="166" fontId="8" fillId="3" borderId="36" xfId="2" applyNumberFormat="1" applyFont="1" applyFill="1" applyBorder="1" applyAlignment="1">
      <alignment horizontal="center"/>
    </xf>
    <xf numFmtId="166" fontId="8" fillId="0" borderId="36" xfId="2" applyNumberFormat="1" applyFont="1" applyFill="1" applyBorder="1" applyAlignment="1">
      <alignment horizontal="center"/>
    </xf>
    <xf numFmtId="166" fontId="8" fillId="0" borderId="32" xfId="2" applyNumberFormat="1" applyFont="1" applyFill="1" applyBorder="1" applyAlignment="1">
      <alignment horizontal="center"/>
    </xf>
    <xf numFmtId="168" fontId="10" fillId="3" borderId="29" xfId="2" applyNumberFormat="1" applyFont="1" applyFill="1" applyBorder="1" applyAlignment="1">
      <alignment horizontal="center"/>
    </xf>
    <xf numFmtId="168" fontId="8" fillId="3" borderId="29" xfId="2" applyNumberFormat="1" applyFont="1" applyFill="1" applyBorder="1" applyAlignment="1">
      <alignment horizontal="center"/>
    </xf>
    <xf numFmtId="168" fontId="8" fillId="3" borderId="59" xfId="2" applyNumberFormat="1" applyFont="1" applyFill="1" applyBorder="1" applyAlignment="1">
      <alignment horizontal="center"/>
    </xf>
    <xf numFmtId="168" fontId="8" fillId="3" borderId="26" xfId="2" applyNumberFormat="1" applyFont="1" applyFill="1" applyBorder="1" applyAlignment="1">
      <alignment horizontal="center"/>
    </xf>
    <xf numFmtId="168" fontId="8" fillId="3" borderId="45" xfId="2" applyNumberFormat="1" applyFont="1" applyFill="1" applyBorder="1" applyAlignment="1">
      <alignment horizontal="center"/>
    </xf>
    <xf numFmtId="168" fontId="10" fillId="3" borderId="59" xfId="2" applyNumberFormat="1" applyFont="1" applyFill="1" applyBorder="1" applyAlignment="1">
      <alignment horizontal="center"/>
    </xf>
    <xf numFmtId="168" fontId="17" fillId="3" borderId="2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8" fillId="3" borderId="30" xfId="2" applyNumberFormat="1" applyFont="1" applyFill="1" applyBorder="1" applyAlignment="1">
      <alignment horizontal="center"/>
    </xf>
    <xf numFmtId="168" fontId="8" fillId="3" borderId="60" xfId="2" applyNumberFormat="1" applyFont="1" applyFill="1" applyBorder="1" applyAlignment="1">
      <alignment horizontal="center"/>
    </xf>
    <xf numFmtId="168" fontId="8" fillId="3" borderId="27" xfId="2" applyNumberFormat="1" applyFont="1" applyFill="1" applyBorder="1" applyAlignment="1">
      <alignment horizontal="center"/>
    </xf>
    <xf numFmtId="168" fontId="8" fillId="3" borderId="61" xfId="2" applyNumberFormat="1" applyFont="1" applyFill="1" applyBorder="1" applyAlignment="1">
      <alignment horizontal="center"/>
    </xf>
    <xf numFmtId="168" fontId="10" fillId="3" borderId="36" xfId="2" applyNumberFormat="1" applyFont="1" applyFill="1" applyBorder="1" applyAlignment="1">
      <alignment horizontal="center"/>
    </xf>
    <xf numFmtId="168" fontId="10" fillId="3" borderId="40" xfId="2" applyNumberFormat="1" applyFont="1" applyFill="1" applyBorder="1" applyAlignment="1">
      <alignment horizontal="center"/>
    </xf>
    <xf numFmtId="168" fontId="10" fillId="3" borderId="32" xfId="2" applyNumberFormat="1" applyFont="1" applyFill="1" applyBorder="1" applyAlignment="1">
      <alignment horizontal="center"/>
    </xf>
    <xf numFmtId="168" fontId="10" fillId="3" borderId="35" xfId="2" applyNumberFormat="1" applyFont="1" applyFill="1" applyBorder="1" applyAlignment="1">
      <alignment horizontal="center"/>
    </xf>
    <xf numFmtId="0" fontId="6" fillId="5" borderId="0" xfId="3" applyFont="1" applyFill="1" applyAlignment="1">
      <alignment horizontal="left"/>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1" fillId="3" borderId="0" xfId="3" applyFont="1" applyFill="1"/>
    <xf numFmtId="166" fontId="8" fillId="0" borderId="46" xfId="2" applyNumberFormat="1" applyFont="1" applyFill="1" applyBorder="1" applyAlignment="1">
      <alignment horizontal="center"/>
    </xf>
    <xf numFmtId="166" fontId="8"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7" fillId="0" borderId="10" xfId="19" applyNumberFormat="1" applyBorder="1" applyAlignment="1">
      <alignment horizontal="center" vertical="center"/>
    </xf>
    <xf numFmtId="166" fontId="7" fillId="0" borderId="12" xfId="19" applyNumberFormat="1" applyBorder="1" applyAlignment="1">
      <alignment horizontal="center" vertical="center"/>
    </xf>
    <xf numFmtId="166" fontId="7" fillId="0" borderId="5" xfId="19" applyNumberFormat="1" applyBorder="1" applyAlignment="1">
      <alignment horizontal="center" vertical="center"/>
    </xf>
    <xf numFmtId="166" fontId="7" fillId="0" borderId="6" xfId="19" applyNumberFormat="1" applyBorder="1" applyAlignment="1">
      <alignment horizontal="center" vertical="center"/>
    </xf>
    <xf numFmtId="166" fontId="7" fillId="0" borderId="7" xfId="19" applyNumberFormat="1" applyBorder="1" applyAlignment="1">
      <alignment horizontal="center" vertical="center"/>
    </xf>
    <xf numFmtId="166" fontId="7" fillId="0" borderId="9" xfId="19" applyNumberFormat="1" applyBorder="1" applyAlignment="1">
      <alignment horizontal="center" vertical="center"/>
    </xf>
    <xf numFmtId="166" fontId="7" fillId="0" borderId="11" xfId="19" applyNumberFormat="1" applyBorder="1" applyAlignment="1">
      <alignment horizontal="center" vertical="center"/>
    </xf>
    <xf numFmtId="166" fontId="7" fillId="0" borderId="0" xfId="19" applyNumberFormat="1" applyAlignment="1">
      <alignment horizontal="center" vertical="center"/>
    </xf>
    <xf numFmtId="166" fontId="7" fillId="0" borderId="8" xfId="19" applyNumberFormat="1" applyBorder="1" applyAlignment="1">
      <alignment horizontal="center" vertical="center"/>
    </xf>
    <xf numFmtId="9" fontId="8" fillId="3" borderId="2" xfId="0" applyNumberFormat="1" applyFont="1" applyFill="1" applyBorder="1" applyAlignment="1">
      <alignment horizontal="center" vertical="center"/>
    </xf>
    <xf numFmtId="9" fontId="8" fillId="3" borderId="4" xfId="0" applyNumberFormat="1" applyFont="1" applyFill="1" applyBorder="1" applyAlignment="1">
      <alignment horizontal="center" vertical="center"/>
    </xf>
    <xf numFmtId="9" fontId="8" fillId="3" borderId="12" xfId="0" applyNumberFormat="1" applyFont="1" applyFill="1" applyBorder="1" applyAlignment="1">
      <alignment horizontal="center" vertical="center"/>
    </xf>
    <xf numFmtId="0" fontId="20" fillId="6" borderId="0" xfId="0" applyFont="1" applyFill="1" applyAlignment="1">
      <alignment horizontal="center" vertical="center" wrapText="1"/>
    </xf>
    <xf numFmtId="2" fontId="17" fillId="3" borderId="0" xfId="7" applyNumberFormat="1" applyFont="1" applyFill="1" applyBorder="1" applyAlignment="1">
      <alignment horizontal="center" vertical="center"/>
    </xf>
    <xf numFmtId="0" fontId="18" fillId="8" borderId="11" xfId="0" applyFont="1" applyFill="1" applyBorder="1"/>
    <xf numFmtId="0" fontId="18" fillId="8" borderId="0" xfId="0" applyFont="1" applyFill="1"/>
    <xf numFmtId="0" fontId="17" fillId="8" borderId="0" xfId="0" applyFont="1" applyFill="1"/>
    <xf numFmtId="0" fontId="29" fillId="8" borderId="8" xfId="0" applyFont="1" applyFill="1" applyBorder="1"/>
    <xf numFmtId="0" fontId="17" fillId="8" borderId="8" xfId="0" applyFont="1" applyFill="1" applyBorder="1"/>
    <xf numFmtId="10" fontId="29" fillId="3" borderId="15" xfId="1" applyNumberFormat="1" applyFont="1" applyFill="1" applyBorder="1" applyAlignment="1">
      <alignment horizontal="center" vertical="center"/>
    </xf>
    <xf numFmtId="9" fontId="18" fillId="3" borderId="0" xfId="1" applyFont="1" applyFill="1" applyAlignment="1">
      <alignment horizontal="center" vertical="center"/>
    </xf>
    <xf numFmtId="3" fontId="28" fillId="3" borderId="0" xfId="0" applyNumberFormat="1" applyFont="1" applyFill="1"/>
    <xf numFmtId="2" fontId="18" fillId="9" borderId="48" xfId="7" applyNumberFormat="1" applyFont="1" applyFill="1" applyBorder="1" applyAlignment="1">
      <alignment horizontal="center" vertical="center"/>
    </xf>
    <xf numFmtId="2" fontId="18" fillId="9" borderId="14" xfId="7" applyNumberFormat="1" applyFont="1" applyFill="1" applyBorder="1" applyAlignment="1">
      <alignment horizontal="center" vertical="center"/>
    </xf>
    <xf numFmtId="2" fontId="18" fillId="9" borderId="18" xfId="7" applyNumberFormat="1" applyFont="1" applyFill="1" applyBorder="1" applyAlignment="1">
      <alignment horizontal="center" vertical="center"/>
    </xf>
    <xf numFmtId="2" fontId="18" fillId="9" borderId="15" xfId="7" applyNumberFormat="1" applyFont="1" applyFill="1" applyBorder="1" applyAlignment="1">
      <alignment horizontal="center" vertical="center"/>
    </xf>
    <xf numFmtId="10" fontId="29" fillId="3" borderId="50" xfId="1" applyNumberFormat="1" applyFont="1" applyFill="1" applyBorder="1" applyAlignment="1">
      <alignment horizontal="center" vertical="center"/>
    </xf>
    <xf numFmtId="10" fontId="29" fillId="3" borderId="20" xfId="1" applyNumberFormat="1" applyFont="1" applyFill="1" applyBorder="1" applyAlignment="1">
      <alignment horizontal="center" vertical="center"/>
    </xf>
    <xf numFmtId="9" fontId="18" fillId="3" borderId="15" xfId="1" applyFont="1" applyFill="1" applyBorder="1" applyAlignment="1">
      <alignment horizontal="center" vertical="center"/>
    </xf>
    <xf numFmtId="9" fontId="18" fillId="3" borderId="50" xfId="1" applyFont="1" applyFill="1" applyBorder="1" applyAlignment="1">
      <alignment horizontal="center" vertical="center"/>
    </xf>
    <xf numFmtId="9" fontId="18" fillId="3" borderId="20" xfId="1" applyFont="1" applyFill="1" applyBorder="1" applyAlignment="1">
      <alignment horizontal="center" vertical="center"/>
    </xf>
    <xf numFmtId="164" fontId="18" fillId="9" borderId="49" xfId="7" applyNumberFormat="1" applyFont="1" applyFill="1" applyBorder="1" applyAlignment="1">
      <alignment horizontal="center"/>
    </xf>
    <xf numFmtId="3" fontId="18" fillId="9" borderId="49" xfId="7" applyNumberFormat="1" applyFont="1" applyFill="1" applyBorder="1" applyAlignment="1">
      <alignment horizontal="center" vertical="center"/>
    </xf>
    <xf numFmtId="10" fontId="18" fillId="3" borderId="0" xfId="1" applyNumberFormat="1" applyFont="1" applyFill="1"/>
    <xf numFmtId="10" fontId="18" fillId="9" borderId="50" xfId="1" applyNumberFormat="1" applyFont="1" applyFill="1" applyBorder="1" applyAlignment="1">
      <alignment horizontal="center" vertical="center"/>
    </xf>
    <xf numFmtId="10" fontId="18" fillId="9" borderId="15" xfId="1" applyNumberFormat="1" applyFont="1" applyFill="1" applyBorder="1" applyAlignment="1">
      <alignment horizontal="center" vertical="center"/>
    </xf>
    <xf numFmtId="10" fontId="18" fillId="9" borderId="20" xfId="1" applyNumberFormat="1" applyFont="1" applyFill="1" applyBorder="1" applyAlignment="1">
      <alignment horizontal="center" vertical="center"/>
    </xf>
    <xf numFmtId="3" fontId="18" fillId="0" borderId="48" xfId="7" applyNumberFormat="1" applyFont="1" applyFill="1" applyBorder="1" applyAlignment="1">
      <alignment horizontal="center"/>
    </xf>
    <xf numFmtId="3" fontId="18" fillId="0" borderId="52" xfId="7" applyNumberFormat="1" applyFont="1" applyFill="1" applyBorder="1" applyAlignment="1">
      <alignment horizontal="center"/>
    </xf>
    <xf numFmtId="3" fontId="18" fillId="0" borderId="14" xfId="7" applyNumberFormat="1" applyFont="1" applyFill="1" applyBorder="1" applyAlignment="1">
      <alignment horizontal="center"/>
    </xf>
    <xf numFmtId="3" fontId="18" fillId="0" borderId="13" xfId="7" applyNumberFormat="1" applyFont="1" applyFill="1" applyBorder="1" applyAlignment="1">
      <alignment horizontal="center"/>
    </xf>
    <xf numFmtId="3" fontId="18" fillId="0" borderId="49" xfId="7" applyNumberFormat="1" applyFont="1" applyFill="1" applyBorder="1" applyAlignment="1">
      <alignment horizontal="center" vertical="center"/>
    </xf>
    <xf numFmtId="1" fontId="0" fillId="3" borderId="0" xfId="0" applyNumberFormat="1" applyFill="1" applyAlignment="1">
      <alignment horizontal="center" vertical="center"/>
    </xf>
    <xf numFmtId="3" fontId="18" fillId="0" borderId="69" xfId="7" applyNumberFormat="1" applyFont="1" applyFill="1" applyBorder="1" applyAlignment="1">
      <alignment horizontal="center" vertical="center"/>
    </xf>
    <xf numFmtId="3" fontId="18" fillId="9" borderId="69" xfId="7" applyNumberFormat="1" applyFont="1" applyFill="1" applyBorder="1" applyAlignment="1">
      <alignment horizontal="center" vertical="center"/>
    </xf>
    <xf numFmtId="3" fontId="18" fillId="0" borderId="18" xfId="7" applyNumberFormat="1" applyFont="1" applyFill="1" applyBorder="1" applyAlignment="1">
      <alignment horizontal="center" vertical="center"/>
    </xf>
    <xf numFmtId="3" fontId="18" fillId="9" borderId="18" xfId="7" applyNumberFormat="1" applyFont="1" applyFill="1" applyBorder="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9" fontId="18" fillId="3" borderId="0" xfId="1" applyFont="1" applyFill="1"/>
    <xf numFmtId="9" fontId="18" fillId="3" borderId="0" xfId="0" applyNumberFormat="1" applyFont="1" applyFill="1"/>
    <xf numFmtId="9" fontId="0" fillId="0" borderId="74" xfId="1" applyFont="1" applyBorder="1"/>
    <xf numFmtId="9" fontId="0" fillId="0" borderId="75" xfId="0" applyNumberFormat="1" applyBorder="1"/>
    <xf numFmtId="9" fontId="0" fillId="0" borderId="75" xfId="1" applyFont="1" applyBorder="1"/>
    <xf numFmtId="9" fontId="0" fillId="0" borderId="76" xfId="1" applyFont="1" applyBorder="1"/>
    <xf numFmtId="9" fontId="8" fillId="3" borderId="10" xfId="0" applyNumberFormat="1" applyFont="1" applyFill="1" applyBorder="1" applyAlignment="1">
      <alignment horizontal="center" vertical="center"/>
    </xf>
    <xf numFmtId="2" fontId="18" fillId="0" borderId="78" xfId="2" applyNumberFormat="1" applyFont="1" applyFill="1" applyBorder="1" applyAlignment="1">
      <alignment horizontal="center"/>
    </xf>
    <xf numFmtId="2" fontId="18" fillId="0" borderId="29" xfId="2" applyNumberFormat="1" applyFont="1" applyFill="1" applyBorder="1" applyAlignment="1">
      <alignment horizontal="center"/>
    </xf>
    <xf numFmtId="9" fontId="18" fillId="3" borderId="64" xfId="7" applyNumberFormat="1" applyFont="1" applyFill="1" applyBorder="1" applyAlignment="1">
      <alignment horizontal="center" vertical="center"/>
    </xf>
    <xf numFmtId="9" fontId="18" fillId="3" borderId="16" xfId="7" applyNumberFormat="1" applyFont="1" applyFill="1" applyBorder="1" applyAlignment="1">
      <alignment horizontal="center" vertical="center"/>
    </xf>
    <xf numFmtId="9" fontId="18" fillId="3" borderId="81" xfId="7" applyNumberFormat="1" applyFont="1" applyFill="1" applyBorder="1" applyAlignment="1">
      <alignment horizontal="center" vertical="center"/>
    </xf>
    <xf numFmtId="9" fontId="18" fillId="3" borderId="65" xfId="7" applyNumberFormat="1" applyFont="1" applyFill="1" applyBorder="1" applyAlignment="1">
      <alignment horizontal="center" vertical="center"/>
    </xf>
    <xf numFmtId="9" fontId="18" fillId="3" borderId="82" xfId="7" applyNumberFormat="1" applyFont="1" applyFill="1" applyBorder="1" applyAlignment="1">
      <alignment horizontal="center" vertical="center"/>
    </xf>
    <xf numFmtId="9" fontId="18" fillId="3" borderId="83" xfId="7" applyNumberFormat="1" applyFont="1" applyFill="1" applyBorder="1" applyAlignment="1">
      <alignment horizontal="center" vertical="center"/>
    </xf>
    <xf numFmtId="9" fontId="0" fillId="3" borderId="0" xfId="1" applyFont="1" applyFill="1"/>
    <xf numFmtId="0" fontId="43" fillId="3" borderId="0" xfId="27" applyFill="1"/>
    <xf numFmtId="0" fontId="0" fillId="3" borderId="0" xfId="0" applyFill="1" applyAlignment="1">
      <alignment wrapText="1"/>
    </xf>
    <xf numFmtId="166" fontId="10" fillId="3" borderId="11" xfId="0" applyNumberFormat="1" applyFont="1" applyFill="1" applyBorder="1"/>
    <xf numFmtId="166" fontId="10" fillId="3" borderId="12" xfId="0" applyNumberFormat="1" applyFont="1" applyFill="1" applyBorder="1"/>
    <xf numFmtId="0" fontId="0" fillId="3" borderId="8" xfId="0" applyFill="1" applyBorder="1"/>
    <xf numFmtId="0" fontId="0" fillId="3" borderId="9" xfId="0" applyFill="1" applyBorder="1"/>
    <xf numFmtId="165" fontId="8" fillId="3" borderId="84" xfId="2" applyNumberFormat="1" applyFont="1" applyFill="1" applyBorder="1" applyAlignment="1">
      <alignment horizontal="center"/>
    </xf>
    <xf numFmtId="165" fontId="8" fillId="3" borderId="43" xfId="2" applyNumberFormat="1" applyFont="1" applyFill="1" applyBorder="1" applyAlignment="1">
      <alignment horizontal="center"/>
    </xf>
    <xf numFmtId="165" fontId="8" fillId="3" borderId="46" xfId="2" applyNumberFormat="1" applyFont="1" applyFill="1" applyBorder="1" applyAlignment="1">
      <alignment horizontal="center"/>
    </xf>
    <xf numFmtId="165" fontId="8" fillId="3" borderId="33" xfId="2" applyNumberFormat="1" applyFont="1" applyFill="1" applyBorder="1" applyAlignment="1">
      <alignment horizontal="center"/>
    </xf>
    <xf numFmtId="165" fontId="8" fillId="3" borderId="85" xfId="2" applyNumberFormat="1" applyFont="1" applyFill="1" applyBorder="1" applyAlignment="1">
      <alignment horizontal="center"/>
    </xf>
    <xf numFmtId="165" fontId="8" fillId="3" borderId="42" xfId="2" applyNumberFormat="1" applyFont="1" applyFill="1" applyBorder="1" applyAlignment="1">
      <alignment horizontal="center"/>
    </xf>
    <xf numFmtId="165" fontId="8" fillId="3" borderId="44" xfId="2" applyNumberFormat="1" applyFont="1" applyFill="1" applyBorder="1" applyAlignment="1">
      <alignment horizontal="center"/>
    </xf>
    <xf numFmtId="165" fontId="8" fillId="10" borderId="29" xfId="2" applyNumberFormat="1" applyFont="1" applyFill="1" applyBorder="1" applyAlignment="1">
      <alignment horizontal="center"/>
    </xf>
    <xf numFmtId="166" fontId="18" fillId="0" borderId="10" xfId="19" applyNumberFormat="1" applyFont="1" applyBorder="1" applyAlignment="1">
      <alignment horizontal="center" vertical="center"/>
    </xf>
    <xf numFmtId="166" fontId="18" fillId="0" borderId="12" xfId="19" applyNumberFormat="1" applyFont="1" applyBorder="1" applyAlignment="1">
      <alignment horizontal="center" vertical="center"/>
    </xf>
    <xf numFmtId="166" fontId="18" fillId="0" borderId="5" xfId="19" applyNumberFormat="1" applyFont="1" applyBorder="1" applyAlignment="1">
      <alignment horizontal="center" vertical="center"/>
    </xf>
    <xf numFmtId="166" fontId="18" fillId="0" borderId="6" xfId="19" applyNumberFormat="1" applyFont="1" applyBorder="1" applyAlignment="1">
      <alignment horizontal="center" vertical="center"/>
    </xf>
    <xf numFmtId="166" fontId="18" fillId="0" borderId="0" xfId="19" applyNumberFormat="1" applyFont="1" applyAlignment="1">
      <alignment horizontal="center" vertical="center"/>
    </xf>
    <xf numFmtId="166" fontId="18" fillId="0" borderId="7" xfId="19" applyNumberFormat="1" applyFont="1" applyBorder="1" applyAlignment="1">
      <alignment horizontal="center" vertical="center"/>
    </xf>
    <xf numFmtId="166" fontId="18" fillId="0" borderId="8" xfId="19" applyNumberFormat="1" applyFont="1" applyBorder="1" applyAlignment="1">
      <alignment horizontal="center" vertical="center"/>
    </xf>
    <xf numFmtId="0" fontId="43" fillId="3" borderId="0" xfId="27" applyFill="1" applyAlignment="1">
      <alignment vertical="top"/>
    </xf>
    <xf numFmtId="0" fontId="0" fillId="3" borderId="0" xfId="0" applyFill="1" applyAlignment="1">
      <alignment vertical="top"/>
    </xf>
    <xf numFmtId="0" fontId="8" fillId="10" borderId="0" xfId="0" applyFont="1" applyFill="1"/>
    <xf numFmtId="0" fontId="8" fillId="9" borderId="0" xfId="0" applyFont="1" applyFill="1"/>
    <xf numFmtId="165" fontId="8" fillId="10" borderId="28" xfId="2" applyNumberFormat="1" applyFont="1" applyFill="1" applyBorder="1" applyAlignment="1">
      <alignment horizontal="center"/>
    </xf>
    <xf numFmtId="165" fontId="8" fillId="10" borderId="25" xfId="2" applyNumberFormat="1" applyFont="1" applyFill="1" applyBorder="1" applyAlignment="1">
      <alignment horizontal="center"/>
    </xf>
    <xf numFmtId="165" fontId="8" fillId="10" borderId="26" xfId="2" applyNumberFormat="1" applyFont="1" applyFill="1" applyBorder="1" applyAlignment="1">
      <alignment horizontal="center"/>
    </xf>
    <xf numFmtId="165" fontId="8" fillId="10" borderId="30" xfId="2" applyNumberFormat="1" applyFont="1" applyFill="1" applyBorder="1" applyAlignment="1">
      <alignment horizontal="center"/>
    </xf>
    <xf numFmtId="165" fontId="8" fillId="10" borderId="27" xfId="2" applyNumberFormat="1" applyFont="1" applyFill="1" applyBorder="1" applyAlignment="1">
      <alignment horizontal="center"/>
    </xf>
    <xf numFmtId="165" fontId="8" fillId="10" borderId="10" xfId="2" applyNumberFormat="1" applyFont="1" applyFill="1" applyBorder="1" applyAlignment="1">
      <alignment horizontal="center"/>
    </xf>
    <xf numFmtId="165" fontId="8" fillId="10" borderId="12" xfId="2" applyNumberFormat="1" applyFont="1" applyFill="1" applyBorder="1" applyAlignment="1">
      <alignment horizontal="center"/>
    </xf>
    <xf numFmtId="165" fontId="8" fillId="10" borderId="7" xfId="2" applyNumberFormat="1" applyFont="1" applyFill="1" applyBorder="1" applyAlignment="1">
      <alignment horizontal="center"/>
    </xf>
    <xf numFmtId="165" fontId="8" fillId="10" borderId="9" xfId="2" applyNumberFormat="1" applyFont="1" applyFill="1" applyBorder="1" applyAlignment="1">
      <alignment horizontal="center"/>
    </xf>
    <xf numFmtId="2" fontId="8" fillId="10" borderId="10" xfId="2" applyNumberFormat="1" applyFont="1" applyFill="1" applyBorder="1" applyAlignment="1">
      <alignment horizontal="center"/>
    </xf>
    <xf numFmtId="2" fontId="8" fillId="10" borderId="12" xfId="2" applyNumberFormat="1" applyFont="1" applyFill="1" applyBorder="1" applyAlignment="1">
      <alignment horizontal="center"/>
    </xf>
    <xf numFmtId="2" fontId="8" fillId="10" borderId="7" xfId="2" applyNumberFormat="1" applyFont="1" applyFill="1" applyBorder="1" applyAlignment="1">
      <alignment horizontal="center"/>
    </xf>
    <xf numFmtId="2" fontId="8" fillId="10" borderId="9" xfId="2" applyNumberFormat="1" applyFont="1" applyFill="1" applyBorder="1" applyAlignment="1">
      <alignment horizontal="center"/>
    </xf>
    <xf numFmtId="2" fontId="8" fillId="10" borderId="2" xfId="2" applyNumberFormat="1" applyFont="1" applyFill="1" applyBorder="1" applyAlignment="1">
      <alignment horizontal="center"/>
    </xf>
    <xf numFmtId="2" fontId="8" fillId="10" borderId="31" xfId="2" applyNumberFormat="1" applyFont="1" applyFill="1" applyBorder="1" applyAlignment="1">
      <alignment horizontal="center"/>
    </xf>
    <xf numFmtId="2" fontId="8"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8" fillId="10" borderId="3" xfId="0" applyNumberFormat="1" applyFont="1" applyFill="1" applyBorder="1" applyAlignment="1">
      <alignment horizontal="center"/>
    </xf>
    <xf numFmtId="9" fontId="8" fillId="10" borderId="11" xfId="0" applyNumberFormat="1" applyFont="1" applyFill="1" applyBorder="1" applyAlignment="1">
      <alignment horizontal="center"/>
    </xf>
    <xf numFmtId="9" fontId="8" fillId="10" borderId="2" xfId="0" applyNumberFormat="1" applyFont="1" applyFill="1" applyBorder="1" applyAlignment="1">
      <alignment horizontal="center" vertical="center"/>
    </xf>
    <xf numFmtId="9" fontId="8" fillId="10" borderId="4" xfId="0" applyNumberFormat="1" applyFont="1" applyFill="1" applyBorder="1" applyAlignment="1">
      <alignment horizontal="center" vertical="center"/>
    </xf>
    <xf numFmtId="9" fontId="8" fillId="10" borderId="10" xfId="0" applyNumberFormat="1" applyFont="1" applyFill="1" applyBorder="1" applyAlignment="1">
      <alignment horizontal="center" vertical="center"/>
    </xf>
    <xf numFmtId="9" fontId="8"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0" fillId="9" borderId="10" xfId="0" applyFont="1" applyFill="1" applyBorder="1" applyAlignment="1">
      <alignment horizontal="left" vertical="center"/>
    </xf>
    <xf numFmtId="0" fontId="10" fillId="9" borderId="5" xfId="0" applyFont="1" applyFill="1" applyBorder="1" applyAlignment="1">
      <alignment horizontal="left" vertical="center"/>
    </xf>
    <xf numFmtId="0" fontId="10" fillId="9" borderId="7" xfId="0" applyFont="1" applyFill="1" applyBorder="1" applyAlignment="1">
      <alignment horizontal="left" vertical="center"/>
    </xf>
    <xf numFmtId="165" fontId="8" fillId="10" borderId="31" xfId="1" applyNumberFormat="1" applyFont="1" applyFill="1" applyBorder="1" applyAlignment="1">
      <alignment horizontal="center"/>
    </xf>
    <xf numFmtId="165" fontId="8" fillId="10" borderId="3" xfId="1" applyNumberFormat="1" applyFont="1" applyFill="1" applyBorder="1" applyAlignment="1">
      <alignment horizontal="center"/>
    </xf>
    <xf numFmtId="165" fontId="8" fillId="10" borderId="54" xfId="2" applyNumberFormat="1" applyFont="1" applyFill="1" applyBorder="1" applyAlignment="1">
      <alignment horizontal="center"/>
    </xf>
    <xf numFmtId="0" fontId="6" fillId="10" borderId="0" xfId="3" applyFont="1" applyFill="1"/>
    <xf numFmtId="0" fontId="10" fillId="9" borderId="2" xfId="0" applyFont="1" applyFill="1" applyBorder="1"/>
    <xf numFmtId="0" fontId="8" fillId="9" borderId="10" xfId="0" applyFont="1" applyFill="1" applyBorder="1"/>
    <xf numFmtId="0" fontId="8" fillId="9" borderId="5" xfId="0" applyFont="1" applyFill="1" applyBorder="1"/>
    <xf numFmtId="0" fontId="8" fillId="9" borderId="16" xfId="0" applyFont="1" applyFill="1" applyBorder="1"/>
    <xf numFmtId="0" fontId="18" fillId="9" borderId="11" xfId="0" applyFont="1" applyFill="1" applyBorder="1"/>
    <xf numFmtId="0" fontId="18" fillId="9" borderId="0" xfId="0" applyFont="1" applyFill="1"/>
    <xf numFmtId="0" fontId="8" fillId="9" borderId="11" xfId="0" applyFont="1" applyFill="1" applyBorder="1"/>
    <xf numFmtId="0" fontId="8" fillId="9" borderId="8" xfId="0" applyFont="1" applyFill="1" applyBorder="1"/>
    <xf numFmtId="0" fontId="8" fillId="9" borderId="12" xfId="0" applyFont="1" applyFill="1" applyBorder="1"/>
    <xf numFmtId="0" fontId="8" fillId="9" borderId="6" xfId="0" applyFont="1" applyFill="1" applyBorder="1"/>
    <xf numFmtId="0" fontId="8" fillId="9" borderId="9" xfId="0" applyFont="1" applyFill="1" applyBorder="1"/>
    <xf numFmtId="2" fontId="18" fillId="10" borderId="28" xfId="2" applyNumberFormat="1" applyFont="1" applyFill="1" applyBorder="1" applyAlignment="1">
      <alignment horizontal="center"/>
    </xf>
    <xf numFmtId="2" fontId="18" fillId="10" borderId="77" xfId="2" applyNumberFormat="1" applyFont="1" applyFill="1" applyBorder="1" applyAlignment="1">
      <alignment horizontal="center"/>
    </xf>
    <xf numFmtId="2" fontId="18" fillId="10" borderId="29" xfId="2" applyNumberFormat="1" applyFont="1" applyFill="1" applyBorder="1" applyAlignment="1">
      <alignment horizontal="center"/>
    </xf>
    <xf numFmtId="2" fontId="18" fillId="10" borderId="78" xfId="2" applyNumberFormat="1" applyFont="1" applyFill="1" applyBorder="1" applyAlignment="1">
      <alignment horizontal="center"/>
    </xf>
    <xf numFmtId="2" fontId="18" fillId="10" borderId="79" xfId="2" applyNumberFormat="1" applyFont="1" applyFill="1" applyBorder="1" applyAlignment="1">
      <alignment horizontal="center"/>
    </xf>
    <xf numFmtId="2" fontId="18" fillId="10" borderId="80" xfId="2" applyNumberFormat="1" applyFont="1" applyFill="1" applyBorder="1" applyAlignment="1">
      <alignment horizontal="center"/>
    </xf>
    <xf numFmtId="2" fontId="18" fillId="10" borderId="7" xfId="2" applyNumberFormat="1" applyFont="1" applyFill="1" applyBorder="1" applyAlignment="1">
      <alignment horizontal="center"/>
    </xf>
    <xf numFmtId="2" fontId="18" fillId="10" borderId="15" xfId="2" applyNumberFormat="1" applyFont="1" applyFill="1" applyBorder="1" applyAlignment="1">
      <alignment horizontal="center"/>
    </xf>
    <xf numFmtId="0" fontId="8" fillId="8" borderId="11" xfId="0" applyFont="1" applyFill="1" applyBorder="1"/>
    <xf numFmtId="0" fontId="8" fillId="8" borderId="0" xfId="0" applyFont="1" applyFill="1"/>
    <xf numFmtId="0" fontId="10" fillId="8" borderId="0" xfId="0" applyFont="1" applyFill="1"/>
    <xf numFmtId="0" fontId="10" fillId="8" borderId="8" xfId="0" applyFont="1" applyFill="1" applyBorder="1"/>
    <xf numFmtId="0" fontId="8" fillId="8" borderId="8" xfId="0" applyFont="1" applyFill="1" applyBorder="1"/>
    <xf numFmtId="0" fontId="17" fillId="9" borderId="8" xfId="0" applyFont="1" applyFill="1" applyBorder="1"/>
    <xf numFmtId="0" fontId="0" fillId="9" borderId="12" xfId="0" applyFill="1" applyBorder="1"/>
    <xf numFmtId="0" fontId="42" fillId="9" borderId="86" xfId="0" applyFont="1" applyFill="1" applyBorder="1"/>
    <xf numFmtId="0" fontId="0" fillId="9" borderId="6" xfId="0" applyFill="1" applyBorder="1"/>
    <xf numFmtId="0" fontId="42" fillId="9" borderId="90" xfId="0" applyFont="1" applyFill="1" applyBorder="1"/>
    <xf numFmtId="0" fontId="42" fillId="9" borderId="11" xfId="0" applyFont="1" applyFill="1" applyBorder="1" applyAlignment="1">
      <alignment wrapText="1"/>
    </xf>
    <xf numFmtId="0" fontId="10" fillId="9" borderId="2" xfId="0" applyFont="1" applyFill="1" applyBorder="1" applyAlignment="1">
      <alignment horizontal="left" vertical="center" wrapText="1"/>
    </xf>
    <xf numFmtId="0" fontId="8" fillId="9" borderId="3" xfId="0" applyFont="1" applyFill="1" applyBorder="1"/>
    <xf numFmtId="0" fontId="10" fillId="9" borderId="10" xfId="0" applyFont="1" applyFill="1" applyBorder="1" applyAlignment="1">
      <alignment horizontal="left" vertical="center" wrapText="1"/>
    </xf>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Alignment="1">
      <alignment horizontal="center" vertical="center"/>
    </xf>
    <xf numFmtId="0" fontId="19" fillId="3" borderId="22" xfId="0" applyFont="1" applyFill="1" applyBorder="1" applyAlignment="1">
      <alignment horizontal="center"/>
    </xf>
    <xf numFmtId="0" fontId="19" fillId="3" borderId="17" xfId="0" applyFont="1" applyFill="1" applyBorder="1" applyAlignment="1">
      <alignment horizontal="center"/>
    </xf>
    <xf numFmtId="0" fontId="19" fillId="3" borderId="9" xfId="0" applyFont="1" applyFill="1" applyBorder="1" applyAlignment="1">
      <alignment vertical="center"/>
    </xf>
    <xf numFmtId="0" fontId="19" fillId="3" borderId="68" xfId="0" applyFont="1" applyFill="1" applyBorder="1" applyAlignment="1">
      <alignment horizontal="center" vertical="center"/>
    </xf>
    <xf numFmtId="0" fontId="19" fillId="3" borderId="67" xfId="0" applyFont="1" applyFill="1" applyBorder="1" applyAlignment="1">
      <alignment horizontal="center" vertical="center"/>
    </xf>
    <xf numFmtId="0" fontId="19" fillId="3" borderId="68" xfId="0" applyFont="1" applyFill="1" applyBorder="1" applyAlignment="1">
      <alignment horizontal="center"/>
    </xf>
    <xf numFmtId="0" fontId="19" fillId="3" borderId="67" xfId="0" applyFont="1" applyFill="1" applyBorder="1" applyAlignment="1">
      <alignment horizontal="center"/>
    </xf>
    <xf numFmtId="9" fontId="0" fillId="3" borderId="71" xfId="1" applyFont="1" applyFill="1" applyBorder="1" applyAlignment="1">
      <alignment horizontal="center"/>
    </xf>
    <xf numFmtId="0" fontId="0" fillId="3" borderId="55" xfId="0" applyFill="1" applyBorder="1"/>
    <xf numFmtId="2" fontId="0" fillId="3" borderId="56" xfId="0" applyNumberFormat="1" applyFill="1" applyBorder="1" applyAlignment="1">
      <alignment horizontal="center"/>
    </xf>
    <xf numFmtId="0" fontId="0" fillId="3" borderId="91" xfId="0" applyFill="1" applyBorder="1"/>
    <xf numFmtId="2" fontId="0" fillId="3" borderId="71" xfId="0" applyNumberFormat="1" applyFill="1" applyBorder="1" applyAlignment="1">
      <alignment horizontal="center"/>
    </xf>
    <xf numFmtId="2" fontId="0" fillId="3" borderId="70" xfId="0" applyNumberFormat="1" applyFill="1" applyBorder="1" applyAlignment="1">
      <alignment horizontal="center"/>
    </xf>
    <xf numFmtId="0" fontId="0" fillId="3" borderId="5" xfId="0" applyFill="1" applyBorder="1"/>
    <xf numFmtId="9" fontId="0" fillId="3" borderId="71" xfId="0" applyNumberFormat="1" applyFill="1" applyBorder="1" applyAlignment="1">
      <alignment horizontal="center"/>
    </xf>
    <xf numFmtId="0" fontId="0" fillId="3" borderId="7" xfId="0" applyFill="1" applyBorder="1"/>
    <xf numFmtId="2" fontId="0" fillId="3" borderId="92" xfId="0" applyNumberFormat="1" applyFill="1" applyBorder="1" applyAlignment="1">
      <alignment horizontal="center"/>
    </xf>
    <xf numFmtId="2" fontId="0" fillId="3" borderId="94" xfId="0" applyNumberFormat="1" applyFill="1" applyBorder="1" applyAlignment="1">
      <alignment horizontal="center"/>
    </xf>
    <xf numFmtId="0" fontId="0" fillId="3" borderId="71" xfId="0" applyFill="1" applyBorder="1" applyAlignment="1">
      <alignment horizontal="center"/>
    </xf>
    <xf numFmtId="0" fontId="0" fillId="3" borderId="70" xfId="0" applyFill="1" applyBorder="1" applyAlignment="1">
      <alignment horizontal="center"/>
    </xf>
    <xf numFmtId="0" fontId="0" fillId="3" borderId="64" xfId="0" applyFill="1" applyBorder="1"/>
    <xf numFmtId="0" fontId="0" fillId="3" borderId="92" xfId="0" applyFill="1" applyBorder="1" applyAlignment="1">
      <alignment horizontal="center"/>
    </xf>
    <xf numFmtId="0" fontId="0" fillId="3" borderId="94" xfId="0" applyFill="1" applyBorder="1" applyAlignment="1">
      <alignment horizontal="center"/>
    </xf>
    <xf numFmtId="3" fontId="0" fillId="3" borderId="71" xfId="0" applyNumberFormat="1" applyFill="1" applyBorder="1" applyAlignment="1">
      <alignment horizontal="center"/>
    </xf>
    <xf numFmtId="166" fontId="0" fillId="3" borderId="71" xfId="0" applyNumberFormat="1" applyFill="1" applyBorder="1" applyAlignment="1">
      <alignment horizontal="center"/>
    </xf>
    <xf numFmtId="3" fontId="0" fillId="3" borderId="92" xfId="0" applyNumberFormat="1" applyFill="1" applyBorder="1" applyAlignment="1">
      <alignment horizontal="center"/>
    </xf>
    <xf numFmtId="0" fontId="0" fillId="3" borderId="58" xfId="0" applyFill="1" applyBorder="1" applyAlignment="1">
      <alignment horizontal="center"/>
    </xf>
    <xf numFmtId="10" fontId="0" fillId="3" borderId="71" xfId="0" applyNumberFormat="1" applyFill="1" applyBorder="1" applyAlignment="1">
      <alignment horizontal="center"/>
    </xf>
    <xf numFmtId="0" fontId="0" fillId="3" borderId="70" xfId="0" applyFill="1" applyBorder="1"/>
    <xf numFmtId="169" fontId="18" fillId="9" borderId="9" xfId="7" applyNumberFormat="1" applyFont="1" applyFill="1" applyBorder="1" applyAlignment="1">
      <alignment horizontal="center"/>
    </xf>
    <xf numFmtId="3" fontId="18" fillId="0" borderId="48" xfId="7" applyNumberFormat="1" applyFont="1" applyFill="1" applyBorder="1" applyAlignment="1">
      <alignment horizontal="center" vertical="center"/>
    </xf>
    <xf numFmtId="3" fontId="18" fillId="0" borderId="72" xfId="7" applyNumberFormat="1" applyFont="1" applyFill="1" applyBorder="1" applyAlignment="1">
      <alignment horizontal="center" vertical="center"/>
    </xf>
    <xf numFmtId="3" fontId="18" fillId="0" borderId="14" xfId="7" applyNumberFormat="1" applyFont="1" applyFill="1" applyBorder="1" applyAlignment="1">
      <alignment horizontal="center" vertical="center"/>
    </xf>
    <xf numFmtId="164" fontId="18" fillId="0" borderId="49" xfId="7" applyNumberFormat="1" applyFont="1" applyFill="1" applyBorder="1" applyAlignment="1">
      <alignment horizontal="center" vertical="center"/>
    </xf>
    <xf numFmtId="164" fontId="18" fillId="0" borderId="69" xfId="7" applyNumberFormat="1" applyFont="1" applyFill="1" applyBorder="1" applyAlignment="1">
      <alignment horizontal="center" vertical="center"/>
    </xf>
    <xf numFmtId="164" fontId="18" fillId="0" borderId="18" xfId="7" applyNumberFormat="1" applyFont="1" applyFill="1" applyBorder="1" applyAlignment="1">
      <alignment horizontal="center" vertical="center"/>
    </xf>
    <xf numFmtId="169" fontId="18" fillId="9" borderId="55" xfId="7" applyNumberFormat="1" applyFont="1" applyFill="1" applyBorder="1" applyAlignment="1">
      <alignment horizontal="center" vertical="center"/>
    </xf>
    <xf numFmtId="169" fontId="18" fillId="9" borderId="97" xfId="7" applyNumberFormat="1" applyFont="1" applyFill="1" applyBorder="1" applyAlignment="1">
      <alignment horizontal="center" vertical="center"/>
    </xf>
    <xf numFmtId="169" fontId="18" fillId="9" borderId="57" xfId="7" applyNumberFormat="1" applyFont="1" applyFill="1" applyBorder="1" applyAlignment="1">
      <alignment horizontal="center" vertical="center"/>
    </xf>
    <xf numFmtId="169" fontId="18" fillId="9" borderId="98" xfId="7" applyNumberFormat="1" applyFont="1" applyFill="1" applyBorder="1" applyAlignment="1">
      <alignment horizontal="center" vertical="center"/>
    </xf>
    <xf numFmtId="0" fontId="8" fillId="9" borderId="15" xfId="0" applyFont="1" applyFill="1" applyBorder="1" applyAlignment="1">
      <alignment horizontal="center" vertical="center"/>
    </xf>
    <xf numFmtId="169" fontId="18" fillId="9" borderId="69" xfId="7" applyNumberFormat="1" applyFont="1" applyFill="1" applyBorder="1" applyAlignment="1">
      <alignment horizontal="center" vertical="center"/>
    </xf>
    <xf numFmtId="169" fontId="18" fillId="9" borderId="73" xfId="7" applyNumberFormat="1" applyFont="1" applyFill="1" applyBorder="1" applyAlignment="1">
      <alignment horizontal="center" vertical="center"/>
    </xf>
    <xf numFmtId="2" fontId="0" fillId="3" borderId="58" xfId="28" applyNumberFormat="1" applyFont="1" applyFill="1" applyBorder="1" applyAlignment="1">
      <alignment horizontal="center"/>
    </xf>
    <xf numFmtId="2" fontId="0" fillId="3" borderId="70" xfId="28" applyNumberFormat="1" applyFont="1" applyFill="1" applyBorder="1" applyAlignment="1">
      <alignment horizontal="center"/>
    </xf>
    <xf numFmtId="0" fontId="28" fillId="3" borderId="70" xfId="28" applyNumberFormat="1" applyFont="1" applyFill="1" applyBorder="1" applyAlignment="1">
      <alignment horizontal="center"/>
    </xf>
    <xf numFmtId="0" fontId="0" fillId="3" borderId="70" xfId="28" applyNumberFormat="1" applyFont="1" applyFill="1" applyBorder="1" applyAlignment="1">
      <alignment horizontal="center"/>
    </xf>
    <xf numFmtId="2" fontId="0" fillId="3" borderId="94" xfId="28" applyNumberFormat="1" applyFont="1" applyFill="1" applyBorder="1" applyAlignment="1">
      <alignment horizontal="center"/>
    </xf>
    <xf numFmtId="0" fontId="6"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4" fillId="6" borderId="2" xfId="0" applyFont="1" applyFill="1" applyBorder="1" applyAlignment="1">
      <alignment horizontal="left"/>
    </xf>
    <xf numFmtId="0" fontId="24" fillId="6" borderId="4" xfId="0" applyFont="1" applyFill="1" applyBorder="1" applyAlignment="1">
      <alignment horizontal="left"/>
    </xf>
    <xf numFmtId="0" fontId="19" fillId="9" borderId="10"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24" fillId="6" borderId="10" xfId="0" applyFont="1" applyFill="1" applyBorder="1" applyAlignment="1">
      <alignment horizontal="center"/>
    </xf>
    <xf numFmtId="0" fontId="24" fillId="6" borderId="12" xfId="0" applyFont="1" applyFill="1" applyBorder="1" applyAlignment="1">
      <alignment horizontal="center"/>
    </xf>
    <xf numFmtId="0" fontId="10" fillId="3" borderId="10"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4" xfId="2" applyFont="1" applyFill="1" applyBorder="1" applyAlignment="1">
      <alignment horizontal="center" vertical="center" wrapText="1"/>
    </xf>
    <xf numFmtId="0" fontId="8" fillId="10" borderId="2" xfId="2" applyFont="1" applyFill="1" applyBorder="1" applyAlignment="1">
      <alignment horizontal="center" vertical="center" wrapText="1"/>
    </xf>
    <xf numFmtId="0" fontId="8" fillId="10" borderId="4" xfId="2"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7" xfId="0" applyFont="1" applyFill="1" applyBorder="1" applyAlignment="1">
      <alignment horizontal="center" vertical="center"/>
    </xf>
    <xf numFmtId="0" fontId="10"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0" fillId="3" borderId="5" xfId="0" applyFont="1" applyFill="1" applyBorder="1" applyAlignment="1">
      <alignment horizontal="center" vertical="center"/>
    </xf>
    <xf numFmtId="0" fontId="10" fillId="0" borderId="7" xfId="0" applyFont="1" applyBorder="1" applyAlignment="1">
      <alignment horizontal="center" vertical="center" wrapText="1"/>
    </xf>
    <xf numFmtId="0" fontId="19" fillId="9" borderId="11" xfId="0" applyFont="1" applyFill="1" applyBorder="1" applyAlignment="1">
      <alignment horizontal="center" vertical="center" wrapText="1"/>
    </xf>
    <xf numFmtId="0" fontId="19" fillId="9" borderId="0" xfId="0" applyFont="1" applyFill="1" applyAlignment="1">
      <alignment horizontal="center" vertical="center" wrapText="1"/>
    </xf>
    <xf numFmtId="0" fontId="19" fillId="9" borderId="8"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0" borderId="10" xfId="0" applyFont="1" applyBorder="1" applyAlignment="1">
      <alignment horizontal="center" vertical="center"/>
    </xf>
    <xf numFmtId="0" fontId="17" fillId="0" borderId="5" xfId="0" applyFont="1" applyBorder="1" applyAlignment="1">
      <alignment horizontal="center" vertical="center"/>
    </xf>
    <xf numFmtId="0" fontId="17" fillId="3" borderId="10"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8" fillId="3" borderId="2" xfId="2" applyFont="1" applyFill="1" applyBorder="1" applyAlignment="1">
      <alignment horizontal="center" vertical="center" wrapText="1"/>
    </xf>
    <xf numFmtId="0" fontId="8" fillId="3" borderId="4" xfId="2" applyFont="1" applyFill="1" applyBorder="1" applyAlignment="1">
      <alignment horizontal="center" vertical="center" wrapText="1"/>
    </xf>
    <xf numFmtId="0" fontId="19" fillId="3" borderId="62" xfId="0" applyFont="1" applyFill="1" applyBorder="1" applyAlignment="1">
      <alignment horizontal="center" vertical="center"/>
    </xf>
    <xf numFmtId="0" fontId="19" fillId="3" borderId="65" xfId="0" applyFont="1" applyFill="1" applyBorder="1" applyAlignment="1">
      <alignment horizontal="center" vertical="center"/>
    </xf>
    <xf numFmtId="0" fontId="19" fillId="3" borderId="74" xfId="0" applyFont="1" applyFill="1" applyBorder="1" applyAlignment="1">
      <alignment horizontal="center"/>
    </xf>
    <xf numFmtId="0" fontId="19" fillId="3" borderId="93" xfId="0" applyFont="1" applyFill="1" applyBorder="1" applyAlignment="1">
      <alignment horizontal="center"/>
    </xf>
    <xf numFmtId="0" fontId="19" fillId="3" borderId="96" xfId="0" applyFont="1" applyFill="1" applyBorder="1" applyAlignment="1">
      <alignment horizontal="center" vertical="center"/>
    </xf>
    <xf numFmtId="0" fontId="19" fillId="3" borderId="66" xfId="0" applyFont="1" applyFill="1" applyBorder="1" applyAlignment="1">
      <alignment horizontal="center" vertical="center"/>
    </xf>
    <xf numFmtId="0" fontId="19" fillId="3" borderId="74" xfId="0" applyFont="1" applyFill="1" applyBorder="1" applyAlignment="1">
      <alignment horizontal="center" vertical="center"/>
    </xf>
    <xf numFmtId="0" fontId="19" fillId="3" borderId="93" xfId="0" applyFont="1" applyFill="1" applyBorder="1" applyAlignment="1">
      <alignment horizontal="center" vertical="center"/>
    </xf>
    <xf numFmtId="0" fontId="19" fillId="3" borderId="72" xfId="0" applyFont="1" applyFill="1" applyBorder="1" applyAlignment="1">
      <alignment horizontal="center"/>
    </xf>
    <xf numFmtId="0" fontId="19" fillId="3" borderId="12" xfId="0" applyFont="1" applyFill="1" applyBorder="1" applyAlignment="1">
      <alignment horizontal="center" vertical="center"/>
    </xf>
    <xf numFmtId="0" fontId="19" fillId="3" borderId="95" xfId="0" applyFont="1" applyFill="1" applyBorder="1" applyAlignment="1">
      <alignment horizontal="center" vertical="center"/>
    </xf>
    <xf numFmtId="0" fontId="15" fillId="3" borderId="0" xfId="0" applyFont="1" applyFill="1" applyAlignment="1">
      <alignment horizontal="center"/>
    </xf>
    <xf numFmtId="0" fontId="0" fillId="0" borderId="0" xfId="0" applyAlignment="1">
      <alignment horizontal="center"/>
    </xf>
    <xf numFmtId="0" fontId="21" fillId="6" borderId="0" xfId="0" applyFont="1" applyFill="1" applyAlignment="1">
      <alignment horizontal="center"/>
    </xf>
    <xf numFmtId="0" fontId="20" fillId="6" borderId="0" xfId="0" applyFont="1" applyFill="1" applyAlignment="1">
      <alignment horizontal="center"/>
    </xf>
    <xf numFmtId="0" fontId="8" fillId="3" borderId="0" xfId="0" applyFont="1" applyFill="1" applyAlignment="1">
      <alignment vertical="center" wrapText="1"/>
    </xf>
    <xf numFmtId="0" fontId="8" fillId="3" borderId="6" xfId="0" applyFont="1" applyFill="1" applyBorder="1" applyAlignment="1">
      <alignment vertical="center" wrapText="1"/>
    </xf>
    <xf numFmtId="0" fontId="10" fillId="0" borderId="5" xfId="0" applyFont="1" applyBorder="1" applyAlignment="1">
      <alignment horizontal="center" vertical="center" wrapText="1"/>
    </xf>
    <xf numFmtId="0" fontId="8" fillId="9" borderId="8" xfId="0" applyFont="1" applyFill="1" applyBorder="1" applyAlignment="1">
      <alignment vertical="center" wrapText="1"/>
    </xf>
    <xf numFmtId="0" fontId="8" fillId="9" borderId="9" xfId="0" applyFont="1" applyFill="1" applyBorder="1" applyAlignment="1">
      <alignment vertical="center" wrapText="1"/>
    </xf>
    <xf numFmtId="0" fontId="8" fillId="3" borderId="11" xfId="0" applyFont="1" applyFill="1" applyBorder="1" applyAlignment="1">
      <alignment vertical="center" wrapText="1"/>
    </xf>
    <xf numFmtId="0" fontId="8" fillId="3" borderId="12" xfId="0" applyFont="1" applyFill="1" applyBorder="1" applyAlignment="1">
      <alignment vertical="center" wrapText="1"/>
    </xf>
    <xf numFmtId="0" fontId="5" fillId="3" borderId="0" xfId="3" applyFill="1" applyAlignment="1" applyProtection="1">
      <alignment horizontal="left"/>
    </xf>
    <xf numFmtId="0" fontId="6" fillId="5" borderId="5" xfId="3" applyFont="1" applyFill="1" applyBorder="1" applyAlignment="1">
      <alignment horizontal="left"/>
    </xf>
    <xf numFmtId="0" fontId="6" fillId="5" borderId="0" xfId="3" applyFont="1" applyFill="1" applyAlignment="1">
      <alignment horizontal="left"/>
    </xf>
    <xf numFmtId="0" fontId="21" fillId="6" borderId="11" xfId="0" applyFont="1" applyFill="1" applyBorder="1" applyAlignment="1">
      <alignment horizontal="center"/>
    </xf>
    <xf numFmtId="0" fontId="21" fillId="6" borderId="12" xfId="0" applyFont="1" applyFill="1" applyBorder="1" applyAlignment="1">
      <alignment horizontal="center"/>
    </xf>
    <xf numFmtId="0" fontId="21" fillId="6" borderId="10" xfId="0" applyFont="1" applyFill="1" applyBorder="1" applyAlignment="1">
      <alignment horizontal="center"/>
    </xf>
    <xf numFmtId="0" fontId="20" fillId="6" borderId="10"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4" fillId="6" borderId="10" xfId="0" applyFont="1" applyFill="1" applyBorder="1" applyAlignment="1">
      <alignment horizontal="center" vertical="center"/>
    </xf>
    <xf numFmtId="0" fontId="24" fillId="6" borderId="7" xfId="0" applyFont="1" applyFill="1" applyBorder="1" applyAlignment="1">
      <alignment horizontal="center" vertical="center"/>
    </xf>
    <xf numFmtId="0" fontId="30" fillId="6" borderId="11" xfId="0" applyFont="1" applyFill="1" applyBorder="1" applyAlignment="1">
      <alignment horizontal="center" vertical="center" wrapText="1"/>
    </xf>
    <xf numFmtId="0" fontId="30" fillId="6" borderId="12" xfId="0" applyFont="1" applyFill="1" applyBorder="1" applyAlignment="1">
      <alignment horizontal="center" vertical="center" wrapText="1"/>
    </xf>
    <xf numFmtId="0" fontId="30" fillId="6" borderId="8" xfId="0" applyFont="1" applyFill="1" applyBorder="1" applyAlignment="1">
      <alignment horizontal="center" vertical="center" wrapText="1"/>
    </xf>
    <xf numFmtId="0" fontId="30" fillId="6" borderId="9"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0" fillId="6" borderId="10"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7" xfId="0" applyFont="1" applyFill="1" applyBorder="1" applyAlignment="1">
      <alignment horizontal="center" vertical="center"/>
    </xf>
    <xf numFmtId="0" fontId="24" fillId="6" borderId="12" xfId="0" applyFont="1" applyFill="1" applyBorder="1" applyAlignment="1">
      <alignment horizontal="center" vertical="center"/>
    </xf>
    <xf numFmtId="0" fontId="24" fillId="6" borderId="11"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5" xfId="0" applyFont="1" applyFill="1" applyBorder="1" applyAlignment="1">
      <alignment horizontal="center" vertical="center"/>
    </xf>
    <xf numFmtId="0" fontId="10" fillId="9" borderId="7" xfId="0" applyFont="1" applyFill="1" applyBorder="1" applyAlignment="1">
      <alignment horizontal="center" vertical="center"/>
    </xf>
    <xf numFmtId="0" fontId="17" fillId="9" borderId="87" xfId="0" applyFont="1" applyFill="1" applyBorder="1" applyAlignment="1">
      <alignment horizontal="center" vertical="center" wrapText="1"/>
    </xf>
    <xf numFmtId="0" fontId="17" fillId="9" borderId="88" xfId="0" applyFont="1" applyFill="1" applyBorder="1" applyAlignment="1">
      <alignment horizontal="center" vertical="center" wrapText="1"/>
    </xf>
    <xf numFmtId="0" fontId="17" fillId="9" borderId="89"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9" fontId="24" fillId="6" borderId="10" xfId="0" applyNumberFormat="1" applyFont="1" applyFill="1" applyBorder="1" applyAlignment="1">
      <alignment horizontal="center" vertical="center"/>
    </xf>
  </cellXfs>
  <cellStyles count="29">
    <cellStyle name="Beräkning 2" xfId="13"/>
    <cellStyle name="Calculation" xfId="7" builtinId="22"/>
    <cellStyle name="Comma" xfId="28" builtinId="3"/>
    <cellStyle name="Förklarande text 2" xfId="14"/>
    <cellStyle name="Hyperlink" xfId="27" builtinId="8"/>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3.42630611624525E-2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13.826622542420338</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1.752607603178179</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1.8985489891138105</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persons/person.xml><?xml version="1.0" encoding="utf-8"?>
<personList xmlns="http://schemas.microsoft.com/office/spreadsheetml/2018/threadedcomments" xmlns:x="http://schemas.openxmlformats.org/spreadsheetml/2006/main">
  <person displayName="Samuelsson, Sandra" id="{F163CA95-C96B-4708-B604-892964895BC0}" userId="Samuelsson, Sandra" providerId="None"/>
  <person displayName="Lindblom Helen, PLkvm" id="{64CCA944-C406-403C-AD34-17D1B3E90CE8}" userId="Lindblom Helen, PLkvm"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personId="{64CCA944-C406-403C-AD34-17D1B3E90CE8}" id="{EF767CCE-FA5F-48F1-9A64-A0329AA003A2}">
    <text xml:space="preserve">Exkluderar eventuella intäkter från drivmedelsskatter för bussar </text>
  </threadedComment>
  <threadedComment ref="A73" personId="{64CCA944-C406-403C-AD34-17D1B3E90CE8}" id="{8470CDAA-5119-482B-908E-7232FD2591EE}">
    <text>Exkluderar bussar</text>
  </threadedComment>
  <threadedComment ref="A76" personId="{64CCA944-C406-403C-AD34-17D1B3E90CE8}" id="{7AA0C079-4270-4107-80A8-167265DE1676}">
    <text>Exkluderar bussar</text>
  </threadedComment>
</ThreadedComments>
</file>

<file path=xl/threadedComments/threadedComment2.xml><?xml version="1.0" encoding="utf-8"?>
<ThreadedComments xmlns="http://schemas.microsoft.com/office/spreadsheetml/2018/threadedcomments" xmlns:x="http://schemas.openxmlformats.org/spreadsheetml/2006/main">
  <threadedComment ref="A7" personId="{F163CA95-C96B-4708-B604-892964895BC0}" id="{AD68DB3D-FDF3-474F-8A95-58C66EF631AE}">
    <text>inkl. etanol och gas</text>
  </threadedComment>
  <threadedComment ref="F7" personId="{F163CA95-C96B-4708-B604-892964895BC0}" id="{A167A516-C634-44D7-A17A-54F89DEFA376}">
    <text>inkl. etanol och gas</text>
  </threadedComment>
  <threadedComment ref="A12" personId="{64CCA944-C406-403C-AD34-17D1B3E90CE8}" id="{D25970DF-AEBF-4E49-A6DE-2F9749BFC419}">
    <text xml:space="preserve">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ext>
  </threadedComment>
  <threadedComment ref="A15" personId="{F163CA95-C96B-4708-B604-892964895BC0}" id="{8108A131-0058-4CD6-8C5A-35838975E17B}">
    <text>Från HBEFA juni 2019 fram till 2030 (och 2035) sedan utvecklingstakt från Scenario Transporteffektivt 20190529</text>
  </threadedComment>
  <threadedComment ref="F15" personId="{F163CA95-C96B-4708-B604-892964895BC0}" id="{FD325718-70E0-4698-A38F-A47A779DBA26}">
    <text>Från HBEFA juni 2019 fram till 2030 (och 2035) sedan utvecklingstakt från Scenario Transporteffektivt 20190529</text>
  </threadedComment>
  <threadedComment ref="A16" personId="{F163CA95-C96B-4708-B604-892964895BC0}" id="{43A05D46-7D5C-4E3A-9111-C2E49E53B8F2}">
    <text>Bensin=Otto</text>
  </threadedComment>
  <threadedComment ref="F16" personId="{F163CA95-C96B-4708-B604-892964895BC0}" id="{88AB02D8-4CA1-4C85-B8A3-8EAC71FECC61}">
    <text>Bensin=Otto</text>
  </threadedComment>
</ThreadedComments>
</file>

<file path=xl/threadedComments/threadedComment3.xml><?xml version="1.0" encoding="utf-8"?>
<ThreadedComments xmlns="http://schemas.microsoft.com/office/spreadsheetml/2018/threadedcomments" xmlns:x="http://schemas.openxmlformats.org/spreadsheetml/2006/main">
  <threadedComment ref="D11" personId="{F163CA95-C96B-4708-B604-892964895BC0}" id="{B4B6D497-5A1B-4603-A45E-91F207B6C717}">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12" personId="{F163CA95-C96B-4708-B604-892964895BC0}" id="{AC072F96-4044-4E41-8BF2-F78319CB6BD0}">
    <text>Linjär utveckling antas mellan 2017 och 2040.</text>
  </threadedComment>
  <threadedComment ref="G12" personId="{F163CA95-C96B-4708-B604-892964895BC0}" id="{5C1BB38A-E2F8-45BC-9116-D53A5EF1DEB5}">
    <text>Linjär utveckling antas mellan 2017 och 2040.</text>
  </threadedComment>
  <threadedComment ref="I12" personId="{F163CA95-C96B-4708-B604-892964895BC0}" id="{F69EFCD4-6E93-4840-9CC7-CA40AB8C4435}">
    <text>Linjär utveckling antas mellan 2017 och 2040.</text>
  </threadedComment>
  <threadedComment ref="E14" personId="{F163CA95-C96B-4708-B604-892964895BC0}" id="{5A328B18-32CB-4BC1-8C93-D0EFBDA9001D}">
    <text>Linjär utveckling antas mellan 2017 och 2040.</text>
  </threadedComment>
  <threadedComment ref="G14" personId="{F163CA95-C96B-4708-B604-892964895BC0}" id="{AC08826A-35E8-41BB-ACE1-5811ACC708B9}">
    <text>Linjär utveckling antas mellan 2017 och 2040.</text>
  </threadedComment>
  <threadedComment ref="I14" personId="{F163CA95-C96B-4708-B604-892964895BC0}" id="{B1932D88-E2BA-4932-9C47-4DD1075204EC}">
    <text>Linjär utveckling antas mellan 2017 och 2040.</text>
  </threadedComment>
  <threadedComment ref="E15" personId="{F163CA95-C96B-4708-B604-892964895BC0}" id="{E06F340C-C181-427B-8DFA-22C5672FC231}">
    <text>Linjär utveckling antas mellan 2017 och 2040.</text>
  </threadedComment>
  <threadedComment ref="G15" personId="{F163CA95-C96B-4708-B604-892964895BC0}" id="{37C21FFB-FADA-4469-9D15-68303D0259E8}">
    <text>Linjär utveckling antas mellan 2017 och 2040.</text>
  </threadedComment>
  <threadedComment ref="I15" personId="{F163CA95-C96B-4708-B604-892964895BC0}" id="{9F7AF269-B33C-4C93-98F2-7436DFAD16D9}">
    <text>Linjär utveckling antas mellan 2017 och 2040.</text>
  </threadedComment>
  <threadedComment ref="D30" personId="{F163CA95-C96B-4708-B604-892964895BC0}" id="{2A5F67EA-2F3E-4E9F-87BC-C0D52EA57B1F}">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31" personId="{F163CA95-C96B-4708-B604-892964895BC0}" id="{92F59C0E-ED7F-4E18-AEB2-C6334122588F}">
    <text>Linjär utveckling antas mellan 2017 och 2040.</text>
  </threadedComment>
  <threadedComment ref="G31" personId="{F163CA95-C96B-4708-B604-892964895BC0}" id="{0B408D22-4796-4F56-A8B9-BC08D535EA2E}">
    <text>Linjär utveckling antas mellan 2017 och 2040.</text>
  </threadedComment>
  <threadedComment ref="I31" personId="{F163CA95-C96B-4708-B604-892964895BC0}" id="{FE52B91A-A25B-4DC5-9F41-FB4C404182C2}">
    <text>Linjär utveckling antas mellan 2017 och 2040.</text>
  </threadedComment>
  <threadedComment ref="E33" personId="{F163CA95-C96B-4708-B604-892964895BC0}" id="{1E890709-6708-4E16-A7AE-4687A31990C2}">
    <text>Linjär utveckling antas mellan 2017 och 2040.</text>
  </threadedComment>
  <threadedComment ref="G33" personId="{F163CA95-C96B-4708-B604-892964895BC0}" id="{49B47804-5B36-445B-B25C-96B3D839C9A4}">
    <text>Linjär utveckling antas mellan 2017 och 2040.</text>
  </threadedComment>
  <threadedComment ref="I33" personId="{F163CA95-C96B-4708-B604-892964895BC0}" id="{5968B889-19FB-4CED-B335-46BF09CB4C0C}">
    <text>Linjär utveckling antas mellan 2017 och 2040.</text>
  </threadedComment>
  <threadedComment ref="E34" personId="{F163CA95-C96B-4708-B604-892964895BC0}" id="{AED4F88E-0CE8-4197-B5D6-141C1A9793DE}">
    <text>Linjär utveckling antas mellan 2017 och 2040.</text>
  </threadedComment>
  <threadedComment ref="G34" personId="{F163CA95-C96B-4708-B604-892964895BC0}" id="{7CD5509F-5D51-45EF-A943-13A86128F292}">
    <text>Linjär utveckling antas mellan 2017 och 2040.</text>
  </threadedComment>
  <threadedComment ref="I34" personId="{F163CA95-C96B-4708-B604-892964895BC0}" id="{72D31CE4-43EA-42B2-88F5-6284A31D9398}">
    <text>Linjär utveckling antas mellan 2017 och 2040.</text>
  </threadedComment>
  <threadedComment ref="D49" personId="{F163CA95-C96B-4708-B604-892964895BC0}" id="{4CCEA439-7CC9-4316-BBC8-6E59DE461C72}">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50" personId="{F163CA95-C96B-4708-B604-892964895BC0}" id="{2BBC4C0F-2BDC-4463-94F0-A82DEA1DD17A}">
    <text>Linjär utveckling antas mellan 2017 och 2040.</text>
  </threadedComment>
  <threadedComment ref="G50" personId="{F163CA95-C96B-4708-B604-892964895BC0}" id="{B889FB77-4627-425B-B3B7-4141371CE06A}">
    <text>Linjär utveckling antas mellan 2017 och 2040.</text>
  </threadedComment>
  <threadedComment ref="I50" personId="{F163CA95-C96B-4708-B604-892964895BC0}" id="{D4EF19B2-D714-4D82-ABC1-68AB699437A0}">
    <text>Linjär utveckling antas mellan 2017 och 2040.</text>
  </threadedComment>
  <threadedComment ref="E52" personId="{F163CA95-C96B-4708-B604-892964895BC0}" id="{1711952F-029F-4138-94C3-B5D6E16E9E7D}">
    <text>Linjär utveckling antas mellan 2017 och 2040.</text>
  </threadedComment>
  <threadedComment ref="G52" personId="{F163CA95-C96B-4708-B604-892964895BC0}" id="{44E046A7-CD10-4068-B4D8-07A5D9AE4576}">
    <text>Linjär utveckling antas mellan 2017 och 2040.</text>
  </threadedComment>
  <threadedComment ref="I52" personId="{F163CA95-C96B-4708-B604-892964895BC0}" id="{8BFAF0CB-59B0-4D5E-B922-F078CFD47CF8}">
    <text>Linjär utveckling antas mellan 2017 och 2040.</text>
  </threadedComment>
  <threadedComment ref="E53" personId="{F163CA95-C96B-4708-B604-892964895BC0}" id="{25362C46-7BFC-42F4-8F6C-FA3B5097A282}">
    <text>Linjär utveckling antas mellan 2017 och 2040.</text>
  </threadedComment>
  <threadedComment ref="G53" personId="{F163CA95-C96B-4708-B604-892964895BC0}" id="{D7B56144-FC8E-400E-A05A-0B6479E630EC}">
    <text>Linjär utveckling antas mellan 2017 och 2040.</text>
  </threadedComment>
  <threadedComment ref="I53" personId="{F163CA95-C96B-4708-B604-892964895BC0}" id="{22CE925C-3AD8-4AB9-A6C2-7F053A70B6DB}">
    <text>Linjär utveckling antas mellan 2017 och 2040.</text>
  </threadedComment>
  <threadedComment ref="E66" personId="{F163CA95-C96B-4708-B604-892964895BC0}" id="{5CE36426-2062-4091-9F82-CDE40234B35A}">
    <text>Linjär utveckling antas mellan 2017 och 2040.</text>
  </threadedComment>
  <threadedComment ref="G66" personId="{F163CA95-C96B-4708-B604-892964895BC0}" id="{40742653-2E1C-479A-ACE6-ADBEE9A07022}">
    <text>Linjär utveckling antas mellan 2017 och 2040.</text>
  </threadedComment>
  <threadedComment ref="I66" personId="{F163CA95-C96B-4708-B604-892964895BC0}" id="{4FC6A6C5-694F-490F-AB13-616A2B1B4C38}">
    <text>Linjär utveckling antas mellan 2017 och 2040.</text>
  </threadedComment>
  <threadedComment ref="E79" personId="{F163CA95-C96B-4708-B604-892964895BC0}" id="{E5E5122E-32ED-4E45-A0B7-EA5E8C906BDC}">
    <text>Linjär utveckling antas mellan 2017 och 2040.</text>
  </threadedComment>
  <threadedComment ref="G79" personId="{F163CA95-C96B-4708-B604-892964895BC0}" id="{A8EDEC94-12CF-4D05-87EB-F0C16EBD5C39}">
    <text>Linjär utveckling antas mellan 2017 och 2040.</text>
  </threadedComment>
  <threadedComment ref="I79" personId="{F163CA95-C96B-4708-B604-892964895BC0}" id="{764C37F7-8F81-41BC-8B14-3B15CBD6537D}">
    <text>Linjär utveckling antas mellan 2017 och 2040.</text>
  </threadedComment>
</ThreadedComments>
</file>

<file path=xl/threadedComments/threadedComment4.xml><?xml version="1.0" encoding="utf-8"?>
<ThreadedComments xmlns="http://schemas.microsoft.com/office/spreadsheetml/2018/threadedcomments" xmlns:x="http://schemas.openxmlformats.org/spreadsheetml/2006/main">
  <threadedComment ref="V9" personId="{F163CA95-C96B-4708-B604-892964895BC0}" id="{08B1590D-88F0-46FB-A528-251160639D83}">
    <text>Ev. liten justering beroende på vilken drivmedelsfördelning som använts i förebearbetning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rn.kb.se/resolve?urn=urn:nbn:se:kth:diva-343507" TargetMode="External"/><Relationship Id="rId2" Type="http://schemas.openxmlformats.org/officeDocument/2006/relationships/hyperlink" Target="https://github.com/albin-engholm/EMA-transport-climate-policy-SE/tree/main" TargetMode="External"/><Relationship Id="rId1" Type="http://schemas.openxmlformats.org/officeDocument/2006/relationships/hyperlink" Target="https://www.itrl.kth.se/research/ongoingprojects/must-1.1146492"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T31"/>
  <sheetViews>
    <sheetView zoomScaleNormal="100" workbookViewId="0">
      <selection activeCell="J2" sqref="J2"/>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76" t="s">
        <v>475</v>
      </c>
      <c r="B1" s="776"/>
      <c r="C1" s="776"/>
      <c r="D1" s="776"/>
      <c r="E1" s="776"/>
      <c r="F1" s="776"/>
      <c r="G1" s="776"/>
      <c r="H1" s="776"/>
      <c r="I1" s="776"/>
    </row>
    <row r="2" spans="1:20" ht="202.15" customHeight="1" x14ac:dyDescent="0.25">
      <c r="A2" s="775" t="s">
        <v>482</v>
      </c>
      <c r="B2" s="775"/>
      <c r="C2" s="775"/>
      <c r="D2" s="775"/>
      <c r="E2" s="775"/>
      <c r="F2" s="775"/>
      <c r="G2" s="775"/>
      <c r="H2" s="775"/>
      <c r="I2" s="775"/>
      <c r="J2" s="626"/>
      <c r="M2" s="774"/>
      <c r="N2" s="774"/>
      <c r="O2" s="774"/>
      <c r="P2" s="774"/>
      <c r="Q2" s="774"/>
      <c r="R2" s="774"/>
      <c r="S2" s="774"/>
      <c r="T2" s="774"/>
    </row>
    <row r="3" spans="1:20" ht="22.9" customHeight="1" x14ac:dyDescent="0.25">
      <c r="A3" s="647" t="s">
        <v>468</v>
      </c>
      <c r="B3" s="646" t="s">
        <v>462</v>
      </c>
      <c r="C3" s="646"/>
      <c r="D3" s="646"/>
      <c r="E3" s="646"/>
      <c r="F3" s="646"/>
      <c r="G3" s="646"/>
      <c r="H3" s="646"/>
      <c r="I3" s="646"/>
      <c r="J3" s="625"/>
    </row>
    <row r="4" spans="1:20" ht="22.9" customHeight="1" x14ac:dyDescent="0.25">
      <c r="A4" s="647" t="s">
        <v>469</v>
      </c>
      <c r="B4" s="646" t="s">
        <v>550</v>
      </c>
      <c r="C4" s="646"/>
      <c r="D4" s="646"/>
      <c r="E4" s="646"/>
      <c r="F4" s="646"/>
      <c r="G4" s="646"/>
      <c r="H4" s="646"/>
      <c r="I4" s="646"/>
      <c r="J4" s="625"/>
    </row>
    <row r="5" spans="1:20" ht="22.9" customHeight="1" x14ac:dyDescent="0.25">
      <c r="A5" s="647" t="s">
        <v>478</v>
      </c>
      <c r="B5" s="646" t="s">
        <v>551</v>
      </c>
      <c r="C5" s="646"/>
      <c r="D5" s="646"/>
      <c r="E5" s="646"/>
      <c r="F5" s="646"/>
      <c r="G5" s="646"/>
      <c r="H5" s="646"/>
      <c r="I5" s="646"/>
      <c r="J5" s="625"/>
    </row>
    <row r="6" spans="1:20" ht="18" x14ac:dyDescent="0.25">
      <c r="A6" s="104" t="s">
        <v>377</v>
      </c>
    </row>
    <row r="7" spans="1:20" ht="16.5" customHeight="1" x14ac:dyDescent="0.25"/>
    <row r="8" spans="1:20" ht="308.25" customHeight="1" x14ac:dyDescent="0.25">
      <c r="A8" s="773" t="s">
        <v>375</v>
      </c>
      <c r="B8" s="773"/>
      <c r="C8" s="773"/>
      <c r="D8" s="773"/>
      <c r="E8" s="773"/>
      <c r="F8" s="773"/>
      <c r="G8" s="773"/>
      <c r="H8" s="773"/>
      <c r="I8" s="773"/>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hyperlink ref="B5" r:id="rId2"/>
    <hyperlink ref="B4" r:id="rId3"/>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zoomScale="115" zoomScaleNormal="115" workbookViewId="0">
      <pane ySplit="4" topLeftCell="A40" activePane="bottomLeft" state="frozen"/>
      <selection pane="bottomLeft" activeCell="F49" sqref="F4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842" t="s">
        <v>66</v>
      </c>
      <c r="B3" s="844" t="s">
        <v>221</v>
      </c>
      <c r="C3" s="845"/>
      <c r="D3" s="842" t="s">
        <v>63</v>
      </c>
      <c r="E3" s="855"/>
      <c r="F3" s="842" t="s">
        <v>64</v>
      </c>
      <c r="G3" s="855"/>
      <c r="H3" s="856" t="s">
        <v>65</v>
      </c>
      <c r="I3" s="855"/>
      <c r="K3" s="842" t="s">
        <v>66</v>
      </c>
      <c r="L3" s="848" t="s">
        <v>231</v>
      </c>
      <c r="M3" s="849"/>
      <c r="N3" s="842" t="s">
        <v>63</v>
      </c>
      <c r="O3" s="855"/>
      <c r="P3" s="842" t="s">
        <v>64</v>
      </c>
      <c r="Q3" s="855"/>
      <c r="R3" s="856" t="s">
        <v>65</v>
      </c>
      <c r="S3" s="855"/>
      <c r="U3" s="842" t="s">
        <v>66</v>
      </c>
      <c r="V3" s="848" t="s">
        <v>222</v>
      </c>
      <c r="W3" s="849"/>
      <c r="X3" s="842" t="s">
        <v>63</v>
      </c>
      <c r="Y3" s="855"/>
      <c r="Z3" s="842" t="s">
        <v>64</v>
      </c>
      <c r="AA3" s="855"/>
      <c r="AB3" s="856" t="s">
        <v>65</v>
      </c>
      <c r="AC3" s="855"/>
      <c r="AE3" s="842" t="s">
        <v>66</v>
      </c>
      <c r="AF3" s="848" t="s">
        <v>232</v>
      </c>
      <c r="AG3" s="849"/>
      <c r="AH3" s="842" t="s">
        <v>63</v>
      </c>
      <c r="AI3" s="855"/>
      <c r="AJ3" s="842" t="s">
        <v>64</v>
      </c>
      <c r="AK3" s="855"/>
      <c r="AL3" s="856" t="s">
        <v>65</v>
      </c>
      <c r="AM3" s="855"/>
    </row>
    <row r="4" spans="1:39" s="105" customFormat="1" ht="25.9" customHeight="1" thickBot="1" x14ac:dyDescent="0.25">
      <c r="A4" s="843"/>
      <c r="B4" s="846"/>
      <c r="C4" s="847"/>
      <c r="D4" s="239">
        <v>2030</v>
      </c>
      <c r="E4" s="240">
        <v>2040</v>
      </c>
      <c r="F4" s="239">
        <v>2030</v>
      </c>
      <c r="G4" s="240">
        <v>2040</v>
      </c>
      <c r="H4" s="241">
        <v>2030</v>
      </c>
      <c r="I4" s="240">
        <v>2040</v>
      </c>
      <c r="K4" s="843"/>
      <c r="L4" s="850"/>
      <c r="M4" s="851"/>
      <c r="N4" s="239">
        <v>2030</v>
      </c>
      <c r="O4" s="240">
        <v>2040</v>
      </c>
      <c r="P4" s="239">
        <v>2030</v>
      </c>
      <c r="Q4" s="240">
        <v>2040</v>
      </c>
      <c r="R4" s="241">
        <v>2030</v>
      </c>
      <c r="S4" s="240">
        <v>2040</v>
      </c>
      <c r="U4" s="843"/>
      <c r="V4" s="850"/>
      <c r="W4" s="851"/>
      <c r="X4" s="239">
        <v>2030</v>
      </c>
      <c r="Y4" s="240">
        <v>2040</v>
      </c>
      <c r="Z4" s="239">
        <v>2030</v>
      </c>
      <c r="AA4" s="240">
        <v>2040</v>
      </c>
      <c r="AB4" s="241">
        <v>2030</v>
      </c>
      <c r="AC4" s="240">
        <v>2040</v>
      </c>
      <c r="AE4" s="843"/>
      <c r="AF4" s="850"/>
      <c r="AG4" s="851"/>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52"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52" t="s">
        <v>0</v>
      </c>
      <c r="L6" s="111" t="s">
        <v>8</v>
      </c>
      <c r="M6" s="111" t="s">
        <v>204</v>
      </c>
      <c r="N6" s="176">
        <f>'Modell - Drivmedelpriser'!E24</f>
        <v>17.911754192557677</v>
      </c>
      <c r="O6" s="177">
        <f>'Modell - Drivmedelpriser'!F24</f>
        <v>21.293751803814949</v>
      </c>
      <c r="P6" s="176">
        <f>'Modell - Drivmedelpriser'!G24</f>
        <v>17.911754192557677</v>
      </c>
      <c r="Q6" s="177">
        <f>'Modell - Drivmedelpriser'!H24</f>
        <v>89.538606904281451</v>
      </c>
      <c r="R6" s="178">
        <f>'Modell - Drivmedelpriser'!I24</f>
        <v>17.911754192557677</v>
      </c>
      <c r="S6" s="177">
        <f>'Modell - Drivmedelpriser'!J24</f>
        <v>21.293751803814949</v>
      </c>
      <c r="U6" s="852" t="s">
        <v>0</v>
      </c>
      <c r="V6" s="111" t="s">
        <v>8</v>
      </c>
      <c r="W6" s="111" t="s">
        <v>204</v>
      </c>
      <c r="X6" s="176">
        <f>N6</f>
        <v>17.911754192557677</v>
      </c>
      <c r="Y6" s="177">
        <f t="shared" ref="Y6:Y8" si="0">O6</f>
        <v>21.293751803814949</v>
      </c>
      <c r="Z6" s="176">
        <f t="shared" ref="Z6:Z8" si="1">P6</f>
        <v>17.911754192557677</v>
      </c>
      <c r="AA6" s="177">
        <f t="shared" ref="AA6:AA8" si="2">Q6</f>
        <v>89.538606904281451</v>
      </c>
      <c r="AB6" s="178">
        <f t="shared" ref="AB6:AB8" si="3">R6</f>
        <v>17.911754192557677</v>
      </c>
      <c r="AC6" s="177">
        <f t="shared" ref="AC6:AC8" si="4">S6</f>
        <v>21.293751803814949</v>
      </c>
      <c r="AE6" s="852" t="s">
        <v>0</v>
      </c>
      <c r="AF6" s="111" t="s">
        <v>8</v>
      </c>
      <c r="AG6" s="111" t="s">
        <v>204</v>
      </c>
      <c r="AH6" s="176">
        <f>X6</f>
        <v>17.911754192557677</v>
      </c>
      <c r="AI6" s="177">
        <f t="shared" ref="AI6:AI8" si="5">Y6</f>
        <v>21.293751803814949</v>
      </c>
      <c r="AJ6" s="176">
        <f t="shared" ref="AJ6:AJ8" si="6">Z6</f>
        <v>17.911754192557677</v>
      </c>
      <c r="AK6" s="177">
        <f t="shared" ref="AK6:AK8" si="7">AA6</f>
        <v>89.538606904281451</v>
      </c>
      <c r="AL6" s="178">
        <f t="shared" ref="AL6:AL8" si="8">AB6</f>
        <v>17.911754192557677</v>
      </c>
      <c r="AM6" s="177">
        <f t="shared" ref="AM6:AM8" si="9">AC6</f>
        <v>21.293751803814949</v>
      </c>
    </row>
    <row r="7" spans="1:39" x14ac:dyDescent="0.25">
      <c r="A7" s="853"/>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53"/>
      <c r="L7" s="112" t="s">
        <v>9</v>
      </c>
      <c r="M7" s="112" t="s">
        <v>204</v>
      </c>
      <c r="N7" s="179">
        <f>'Modell - Drivmedelpriser'!E43</f>
        <v>19.069168234099362</v>
      </c>
      <c r="O7" s="180">
        <f>'Modell - Drivmedelpriser'!F43</f>
        <v>22.557131724953557</v>
      </c>
      <c r="P7" s="179">
        <f>'Modell - Drivmedelpriser'!G43</f>
        <v>19.069168234099362</v>
      </c>
      <c r="Q7" s="180">
        <f>'Modell - Drivmedelpriser'!H43</f>
        <v>52.892831516527906</v>
      </c>
      <c r="R7" s="181">
        <f>'Modell - Drivmedelpriser'!I43</f>
        <v>19.069168234099362</v>
      </c>
      <c r="S7" s="180">
        <f>'Modell - Drivmedelpriser'!J43</f>
        <v>22.557131724953557</v>
      </c>
      <c r="U7" s="853"/>
      <c r="V7" s="112" t="s">
        <v>9</v>
      </c>
      <c r="W7" s="112" t="s">
        <v>204</v>
      </c>
      <c r="X7" s="179">
        <f t="shared" ref="X7:X8" si="10">N7</f>
        <v>19.069168234099362</v>
      </c>
      <c r="Y7" s="180">
        <f t="shared" si="0"/>
        <v>22.557131724953557</v>
      </c>
      <c r="Z7" s="179">
        <f t="shared" si="1"/>
        <v>19.069168234099362</v>
      </c>
      <c r="AA7" s="180">
        <f t="shared" si="2"/>
        <v>52.892831516527906</v>
      </c>
      <c r="AB7" s="181">
        <f t="shared" si="3"/>
        <v>19.069168234099362</v>
      </c>
      <c r="AC7" s="180">
        <f t="shared" si="4"/>
        <v>22.557131724953557</v>
      </c>
      <c r="AE7" s="853"/>
      <c r="AF7" s="112" t="s">
        <v>9</v>
      </c>
      <c r="AG7" s="112" t="s">
        <v>204</v>
      </c>
      <c r="AH7" s="179">
        <f t="shared" ref="AH7:AH8" si="11">X7</f>
        <v>19.069168234099362</v>
      </c>
      <c r="AI7" s="180">
        <f t="shared" si="5"/>
        <v>22.557131724953557</v>
      </c>
      <c r="AJ7" s="179">
        <f t="shared" si="6"/>
        <v>19.069168234099362</v>
      </c>
      <c r="AK7" s="180">
        <f t="shared" si="7"/>
        <v>52.892831516527906</v>
      </c>
      <c r="AL7" s="181">
        <f t="shared" si="8"/>
        <v>19.069168234099362</v>
      </c>
      <c r="AM7" s="180">
        <f t="shared" si="9"/>
        <v>22.557131724953557</v>
      </c>
    </row>
    <row r="8" spans="1:39" x14ac:dyDescent="0.25">
      <c r="A8" s="853"/>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53"/>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53"/>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53"/>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53"/>
      <c r="B9" s="161" t="s">
        <v>20</v>
      </c>
      <c r="C9" s="161" t="s">
        <v>204</v>
      </c>
      <c r="D9" s="172">
        <f>Indata!D35</f>
        <v>18.509834334093423</v>
      </c>
      <c r="E9" s="173">
        <f>Indata!E35</f>
        <v>21.927924171466245</v>
      </c>
      <c r="F9" s="172">
        <f>Indata!F35</f>
        <v>18.509834334093423</v>
      </c>
      <c r="G9" s="173">
        <f>Indata!G35</f>
        <v>21.888963239913203</v>
      </c>
      <c r="H9" s="174">
        <f>Indata!H35</f>
        <v>18.509834334093423</v>
      </c>
      <c r="I9" s="173">
        <f>Indata!I35</f>
        <v>21.927924171466245</v>
      </c>
      <c r="K9" s="853"/>
      <c r="L9" s="161" t="s">
        <v>20</v>
      </c>
      <c r="M9" s="161" t="s">
        <v>204</v>
      </c>
      <c r="N9" s="279">
        <f>SUMPRODUCT(N6:N7,D18:D19)/SUM(D18:D19)</f>
        <v>18.509834334093423</v>
      </c>
      <c r="O9" s="280">
        <f t="shared" ref="O9:S9" si="12">SUMPRODUCT(O6:O7,E18:E19)/SUM(E18:E19)</f>
        <v>21.927924171466245</v>
      </c>
      <c r="P9" s="279">
        <f t="shared" si="12"/>
        <v>18.509834334093423</v>
      </c>
      <c r="Q9" s="280">
        <f t="shared" si="12"/>
        <v>72.273820413277974</v>
      </c>
      <c r="R9" s="281">
        <f t="shared" si="12"/>
        <v>18.509834334093423</v>
      </c>
      <c r="S9" s="280">
        <f t="shared" si="12"/>
        <v>21.927924171466245</v>
      </c>
      <c r="U9" s="853"/>
      <c r="V9" s="161" t="s">
        <v>20</v>
      </c>
      <c r="W9" s="161" t="s">
        <v>204</v>
      </c>
      <c r="X9" s="172">
        <f>SUMPRODUCT(X6:X7,X18:X19)/SUM(X18:X19)</f>
        <v>18.509834334093423</v>
      </c>
      <c r="Y9" s="173">
        <f t="shared" ref="Y9:AC9" si="13">SUMPRODUCT(Y6:Y7,Y18:Y19)/SUM(Y18:Y19)</f>
        <v>21.927924171466245</v>
      </c>
      <c r="Z9" s="172">
        <f t="shared" si="13"/>
        <v>18.509834334093423</v>
      </c>
      <c r="AA9" s="173">
        <f t="shared" si="13"/>
        <v>72.273820413277974</v>
      </c>
      <c r="AB9" s="174">
        <f t="shared" si="13"/>
        <v>18.509834334093423</v>
      </c>
      <c r="AC9" s="173">
        <f t="shared" si="13"/>
        <v>21.927924171466245</v>
      </c>
      <c r="AE9" s="853"/>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72.273820413277974</v>
      </c>
      <c r="AL9" s="174">
        <f t="shared" si="14"/>
        <v>18.509834334093423</v>
      </c>
      <c r="AM9" s="173">
        <f t="shared" si="14"/>
        <v>21.927924171466245</v>
      </c>
    </row>
    <row r="10" spans="1:39" ht="15.75" thickBot="1" x14ac:dyDescent="0.3">
      <c r="A10" s="854"/>
      <c r="B10" s="162" t="s">
        <v>228</v>
      </c>
      <c r="C10" s="162" t="s">
        <v>25</v>
      </c>
      <c r="D10" s="198" t="s">
        <v>77</v>
      </c>
      <c r="E10" s="199" t="s">
        <v>77</v>
      </c>
      <c r="F10" s="198" t="s">
        <v>77</v>
      </c>
      <c r="G10" s="199" t="s">
        <v>77</v>
      </c>
      <c r="H10" s="200" t="s">
        <v>77</v>
      </c>
      <c r="I10" s="199" t="s">
        <v>77</v>
      </c>
      <c r="K10" s="854"/>
      <c r="L10" s="162" t="s">
        <v>228</v>
      </c>
      <c r="M10" s="162" t="s">
        <v>25</v>
      </c>
      <c r="N10" s="198">
        <f t="shared" ref="N10:S10" si="15">N9/D9-1</f>
        <v>0</v>
      </c>
      <c r="O10" s="199">
        <f t="shared" si="15"/>
        <v>0</v>
      </c>
      <c r="P10" s="198">
        <f>P9/F9-1</f>
        <v>0</v>
      </c>
      <c r="Q10" s="199">
        <f>Q9/G9-1</f>
        <v>2.3018384480399248</v>
      </c>
      <c r="R10" s="200">
        <f t="shared" si="15"/>
        <v>0</v>
      </c>
      <c r="S10" s="199">
        <f t="shared" si="15"/>
        <v>0</v>
      </c>
      <c r="U10" s="854"/>
      <c r="V10" s="162" t="s">
        <v>228</v>
      </c>
      <c r="W10" s="162" t="s">
        <v>25</v>
      </c>
      <c r="X10" s="198">
        <f>X9/D9-1</f>
        <v>0</v>
      </c>
      <c r="Y10" s="199">
        <f t="shared" ref="Y10:AC10" si="16">Y9/E9-1</f>
        <v>0</v>
      </c>
      <c r="Z10" s="198">
        <f t="shared" si="16"/>
        <v>0</v>
      </c>
      <c r="AA10" s="199">
        <f t="shared" si="16"/>
        <v>2.3018384480399248</v>
      </c>
      <c r="AB10" s="200">
        <f t="shared" si="16"/>
        <v>0</v>
      </c>
      <c r="AC10" s="199">
        <f t="shared" si="16"/>
        <v>0</v>
      </c>
      <c r="AE10" s="854"/>
      <c r="AF10" s="162" t="s">
        <v>228</v>
      </c>
      <c r="AG10" s="162" t="s">
        <v>25</v>
      </c>
      <c r="AH10" s="198">
        <f>AH9/D9-1</f>
        <v>0</v>
      </c>
      <c r="AI10" s="199">
        <f t="shared" ref="AI10:AM10" si="17">AI9/E9-1</f>
        <v>0</v>
      </c>
      <c r="AJ10" s="198">
        <f t="shared" si="17"/>
        <v>0</v>
      </c>
      <c r="AK10" s="199">
        <f t="shared" si="17"/>
        <v>2.3018384480399248</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432</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52"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57" t="s">
        <v>38</v>
      </c>
      <c r="L13" s="693" t="s">
        <v>8</v>
      </c>
      <c r="M13" s="693" t="s">
        <v>39</v>
      </c>
      <c r="N13" s="581">
        <f>D13*(100%+N$10*'Indata - Effektsamband-Faktorer'!$E$5)*(1-Indata!D$19)*(1-D52*Indata!D75)</f>
        <v>0.60765334265455651</v>
      </c>
      <c r="O13" s="581">
        <f>E13*(100%+O$10*'Indata - Effektsamband-Faktorer'!$E$5)*(1-Indata!E$19)*(1-E52*Indata!E75)</f>
        <v>0.49219920755019081</v>
      </c>
      <c r="P13" s="581">
        <f>F13*(100%+P$10*'Indata - Effektsamband-Faktorer'!$E$5)*(1-Indata!F$19)*(1-F52*Indata!F75)</f>
        <v>0.60765334265455651</v>
      </c>
      <c r="Q13" s="581">
        <f>G13*(100%+Q$10*'Indata - Effektsamband-Faktorer'!$E$5)*(1-Indata!G$19)*(1-G52*Indata!G75)</f>
        <v>0.41377350182107514</v>
      </c>
      <c r="R13" s="581">
        <f>H13*(100%+R$10*'Indata - Effektsamband-Faktorer'!$E$5)*(1-Indata!H$19)*(1-H52*Indata!H75)</f>
        <v>0.60765334265455651</v>
      </c>
      <c r="S13" s="581">
        <f>I13*(100%+S$10*'Indata - Effektsamband-Faktorer'!$E$5)*(1-Indata!I$19)*(1-I52*Indata!I75)</f>
        <v>0.49219920755019081</v>
      </c>
      <c r="U13" s="852" t="s">
        <v>38</v>
      </c>
      <c r="V13" s="111" t="s">
        <v>8</v>
      </c>
      <c r="W13" s="111" t="s">
        <v>39</v>
      </c>
      <c r="X13" s="176">
        <f>N13</f>
        <v>0.60765334265455651</v>
      </c>
      <c r="Y13" s="201">
        <f t="shared" ref="Y13:Y15" si="18">O13</f>
        <v>0.49219920755019081</v>
      </c>
      <c r="Z13" s="176">
        <f t="shared" ref="Z13:Z15" si="19">P13</f>
        <v>0.60765334265455651</v>
      </c>
      <c r="AA13" s="177">
        <f t="shared" ref="AA13:AA15" si="20">Q13</f>
        <v>0.41377350182107514</v>
      </c>
      <c r="AB13" s="178">
        <f t="shared" ref="AB13:AB15" si="21">R13</f>
        <v>0.60765334265455651</v>
      </c>
      <c r="AC13" s="177">
        <f t="shared" ref="AC13:AC15" si="22">S13</f>
        <v>0.49219920755019081</v>
      </c>
      <c r="AE13" s="852"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0.41377350182107514</v>
      </c>
      <c r="AL13" s="178">
        <f t="shared" ref="AL13:AL15" si="26">AB13</f>
        <v>0.60765334265455651</v>
      </c>
      <c r="AM13" s="177">
        <f t="shared" ref="AM13:AM15" si="27">AC13</f>
        <v>0.49219920755019081</v>
      </c>
    </row>
    <row r="14" spans="1:39" x14ac:dyDescent="0.25">
      <c r="A14" s="853"/>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58"/>
      <c r="L14" s="649" t="s">
        <v>9</v>
      </c>
      <c r="M14" s="649" t="s">
        <v>39</v>
      </c>
      <c r="N14" s="582">
        <f>D14*(100%+N$10*'Indata - Effektsamband-Faktorer'!$E$5)*(1-Indata!D$19)*(1-D52*Indata!D75)</f>
        <v>0.60691454404542722</v>
      </c>
      <c r="O14" s="582">
        <f>E14*(100%+O$10*'Indata - Effektsamband-Faktorer'!$E$5)*(1-Indata!E$19)*(1-E52*Indata!E75)</f>
        <v>0.49160078067679608</v>
      </c>
      <c r="P14" s="582">
        <f>F14*(100%+P$10*'Indata - Effektsamband-Faktorer'!$E$5)*(1-Indata!F$19)*(1-F52*Indata!F75)</f>
        <v>0.60691454404542722</v>
      </c>
      <c r="Q14" s="582">
        <f>G14*(100%+Q$10*'Indata - Effektsamband-Faktorer'!$E$5)*(1-Indata!G$19)*(1-G52*Indata!G75)</f>
        <v>0.41327042668566238</v>
      </c>
      <c r="R14" s="582">
        <f>H14*(100%+R$10*'Indata - Effektsamband-Faktorer'!$E$5)*(1-Indata!H$19)*(1-H52*Indata!H75)</f>
        <v>0.60691454404542722</v>
      </c>
      <c r="S14" s="582">
        <f>I14*(100%+S$10*'Indata - Effektsamband-Faktorer'!$E$5)*(1-Indata!I$19)*(1-I52*Indata!I75)</f>
        <v>0.49160078067679608</v>
      </c>
      <c r="U14" s="853"/>
      <c r="V14" s="112" t="s">
        <v>9</v>
      </c>
      <c r="W14" s="112" t="s">
        <v>39</v>
      </c>
      <c r="X14" s="179">
        <f t="shared" ref="X14:X15" si="28">N14</f>
        <v>0.60691454404542722</v>
      </c>
      <c r="Y14" s="202">
        <f t="shared" si="18"/>
        <v>0.49160078067679608</v>
      </c>
      <c r="Z14" s="179">
        <f t="shared" si="19"/>
        <v>0.60691454404542722</v>
      </c>
      <c r="AA14" s="180">
        <f t="shared" si="20"/>
        <v>0.41327042668566238</v>
      </c>
      <c r="AB14" s="181">
        <f t="shared" si="21"/>
        <v>0.60691454404542722</v>
      </c>
      <c r="AC14" s="180">
        <f t="shared" si="22"/>
        <v>0.49160078067679608</v>
      </c>
      <c r="AE14" s="853"/>
      <c r="AF14" s="112" t="s">
        <v>9</v>
      </c>
      <c r="AG14" s="112" t="s">
        <v>39</v>
      </c>
      <c r="AH14" s="179">
        <f t="shared" ref="AH14:AH15" si="29">X14</f>
        <v>0.60691454404542722</v>
      </c>
      <c r="AI14" s="202">
        <f t="shared" si="23"/>
        <v>0.49160078067679608</v>
      </c>
      <c r="AJ14" s="179">
        <f t="shared" si="24"/>
        <v>0.60691454404542722</v>
      </c>
      <c r="AK14" s="180">
        <f t="shared" si="25"/>
        <v>0.41327042668566238</v>
      </c>
      <c r="AL14" s="181">
        <f t="shared" si="26"/>
        <v>0.60691454404542722</v>
      </c>
      <c r="AM14" s="180">
        <f t="shared" si="27"/>
        <v>0.49160078067679608</v>
      </c>
    </row>
    <row r="15" spans="1:39" ht="15.75" thickBot="1" x14ac:dyDescent="0.3">
      <c r="A15" s="854"/>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59"/>
      <c r="L15" s="694" t="s">
        <v>7</v>
      </c>
      <c r="M15" s="694" t="s">
        <v>40</v>
      </c>
      <c r="N15" s="583">
        <f>D15*(1-Indata!D$19)*(1-D52*Indata!D75)</f>
        <v>1.6150000000000002</v>
      </c>
      <c r="O15" s="583">
        <f>E15*(1-Indata!E$19)*(1-E52*Indata!E75)</f>
        <v>1.6150000000000002</v>
      </c>
      <c r="P15" s="583">
        <f>F15*(1-Indata!F$19)*(1-F52*Indata!F75)</f>
        <v>1.6150000000000002</v>
      </c>
      <c r="Q15" s="583">
        <f>G15*(1-Indata!G$19)*(1-G52*Indata!G75)</f>
        <v>1.5342500000000001</v>
      </c>
      <c r="R15" s="583">
        <f>H15*(1-Indata!H$19)*(1-H52*Indata!H75)</f>
        <v>1.6150000000000002</v>
      </c>
      <c r="S15" s="583">
        <f>I15*(1-Indata!I$19)*(1-I52*Indata!I75)</f>
        <v>1.6150000000000002</v>
      </c>
      <c r="U15" s="854"/>
      <c r="V15" s="113" t="s">
        <v>7</v>
      </c>
      <c r="W15" s="113" t="s">
        <v>40</v>
      </c>
      <c r="X15" s="203">
        <f t="shared" si="28"/>
        <v>1.6150000000000002</v>
      </c>
      <c r="Y15" s="204">
        <f t="shared" si="18"/>
        <v>1.6150000000000002</v>
      </c>
      <c r="Z15" s="203">
        <f t="shared" si="19"/>
        <v>1.6150000000000002</v>
      </c>
      <c r="AA15" s="205">
        <f t="shared" si="20"/>
        <v>1.5342500000000001</v>
      </c>
      <c r="AB15" s="206">
        <f t="shared" si="21"/>
        <v>1.6150000000000002</v>
      </c>
      <c r="AC15" s="205">
        <f t="shared" si="22"/>
        <v>1.6150000000000002</v>
      </c>
      <c r="AE15" s="854"/>
      <c r="AF15" s="113" t="s">
        <v>7</v>
      </c>
      <c r="AG15" s="113" t="s">
        <v>40</v>
      </c>
      <c r="AH15" s="203">
        <f t="shared" si="29"/>
        <v>1.6150000000000002</v>
      </c>
      <c r="AI15" s="204">
        <f t="shared" si="23"/>
        <v>1.6150000000000002</v>
      </c>
      <c r="AJ15" s="203">
        <f t="shared" si="24"/>
        <v>1.6150000000000002</v>
      </c>
      <c r="AK15" s="205">
        <f t="shared" si="25"/>
        <v>1.5342500000000001</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839"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0.16923960214613462</v>
      </c>
      <c r="H18" s="210">
        <f>Indata!H25/SUM(Indata!H$25:H$26)*(1-H$20)</f>
        <v>0.39627461007293346</v>
      </c>
      <c r="I18" s="209">
        <f>Indata!I25/SUM(Indata!I$25:I$26)*(1-I$20)</f>
        <v>0.30878176598734658</v>
      </c>
      <c r="K18" s="839" t="s">
        <v>148</v>
      </c>
      <c r="L18" s="111" t="s">
        <v>8</v>
      </c>
      <c r="M18" s="111" t="s">
        <v>25</v>
      </c>
      <c r="N18" s="207">
        <f>D18/SUM(D$18:D$19)*(1-N$20)</f>
        <v>0.39627461007293346</v>
      </c>
      <c r="O18" s="208">
        <f t="shared" ref="O18:S19" si="30">E18/SUM(E$18:E$19)*(1-O$20)</f>
        <v>0.30878176598734658</v>
      </c>
      <c r="P18" s="207">
        <f t="shared" si="30"/>
        <v>0.39627461007293346</v>
      </c>
      <c r="Q18" s="209">
        <f>G18/SUM(G$18:G$19)*(1-Q$20)</f>
        <v>9.5222779747453565E-2</v>
      </c>
      <c r="R18" s="210">
        <f t="shared" si="30"/>
        <v>0.39627461007293346</v>
      </c>
      <c r="S18" s="209">
        <f t="shared" si="30"/>
        <v>0.30878176598734658</v>
      </c>
      <c r="U18" s="839" t="s">
        <v>148</v>
      </c>
      <c r="V18" s="111" t="s">
        <v>8</v>
      </c>
      <c r="W18" s="111" t="s">
        <v>25</v>
      </c>
      <c r="X18" s="207">
        <f>N18</f>
        <v>0.39627461007293346</v>
      </c>
      <c r="Y18" s="208">
        <f t="shared" ref="Y18:Y21" si="31">O18</f>
        <v>0.30878176598734658</v>
      </c>
      <c r="Z18" s="207">
        <f t="shared" ref="Z18:Z21" si="32">P18</f>
        <v>0.39627461007293346</v>
      </c>
      <c r="AA18" s="209">
        <f t="shared" ref="AA18:AA21" si="33">Q18</f>
        <v>9.5222779747453565E-2</v>
      </c>
      <c r="AB18" s="210">
        <f t="shared" ref="AB18:AB21" si="34">R18</f>
        <v>0.39627461007293346</v>
      </c>
      <c r="AC18" s="209">
        <f t="shared" ref="AC18:AC21" si="35">S18</f>
        <v>0.30878176598734658</v>
      </c>
      <c r="AE18" s="839" t="s">
        <v>148</v>
      </c>
      <c r="AF18" s="111" t="s">
        <v>8</v>
      </c>
      <c r="AG18" s="111" t="s">
        <v>25</v>
      </c>
      <c r="AH18" s="207">
        <f>X18</f>
        <v>0.39627461007293346</v>
      </c>
      <c r="AI18" s="208">
        <f t="shared" ref="AI18:AI21" si="36">Y18</f>
        <v>0.30878176598734658</v>
      </c>
      <c r="AJ18" s="207">
        <f t="shared" ref="AJ18:AJ21" si="37">Z18</f>
        <v>0.39627461007293346</v>
      </c>
      <c r="AK18" s="209">
        <f t="shared" ref="AK18:AK21" si="38">AA18</f>
        <v>9.5222779747453565E-2</v>
      </c>
      <c r="AL18" s="210">
        <f t="shared" ref="AL18:AL21" si="39">AB18</f>
        <v>0.39627461007293346</v>
      </c>
      <c r="AM18" s="209">
        <f t="shared" ref="AM18:AM21" si="40">AC18</f>
        <v>0.30878176598734658</v>
      </c>
    </row>
    <row r="19" spans="1:39" x14ac:dyDescent="0.25">
      <c r="A19" s="840"/>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0.1507603978538653</v>
      </c>
      <c r="H19" s="214">
        <f>Indata!H26/SUM(Indata!H$25:H$26)*(1-H$20)</f>
        <v>0.42372538992706654</v>
      </c>
      <c r="I19" s="213">
        <f>Indata!I26/SUM(Indata!I$25:I$26)*(1-I$20)</f>
        <v>0.31121823401265342</v>
      </c>
      <c r="K19" s="840"/>
      <c r="L19" s="112" t="s">
        <v>9</v>
      </c>
      <c r="M19" s="112" t="s">
        <v>25</v>
      </c>
      <c r="N19" s="211">
        <f>D19/SUM(D$18:D$19)*(1-N$20)</f>
        <v>0.42372538992706654</v>
      </c>
      <c r="O19" s="212">
        <f t="shared" si="30"/>
        <v>0.31121823401265342</v>
      </c>
      <c r="P19" s="211">
        <f t="shared" si="30"/>
        <v>0.42372538992706654</v>
      </c>
      <c r="Q19" s="213">
        <f t="shared" si="30"/>
        <v>8.4825442611718926E-2</v>
      </c>
      <c r="R19" s="214">
        <f t="shared" si="30"/>
        <v>0.42372538992706654</v>
      </c>
      <c r="S19" s="213">
        <f t="shared" si="30"/>
        <v>0.31121823401265342</v>
      </c>
      <c r="U19" s="840"/>
      <c r="V19" s="112" t="s">
        <v>9</v>
      </c>
      <c r="W19" s="112" t="s">
        <v>25</v>
      </c>
      <c r="X19" s="211">
        <f t="shared" ref="X19:X21" si="41">N19</f>
        <v>0.42372538992706654</v>
      </c>
      <c r="Y19" s="212">
        <f t="shared" si="31"/>
        <v>0.31121823401265342</v>
      </c>
      <c r="Z19" s="211">
        <f t="shared" si="32"/>
        <v>0.42372538992706654</v>
      </c>
      <c r="AA19" s="213">
        <f t="shared" si="33"/>
        <v>8.4825442611718926E-2</v>
      </c>
      <c r="AB19" s="214">
        <f t="shared" si="34"/>
        <v>0.42372538992706654</v>
      </c>
      <c r="AC19" s="213">
        <f t="shared" si="35"/>
        <v>0.31121823401265342</v>
      </c>
      <c r="AE19" s="840"/>
      <c r="AF19" s="112" t="s">
        <v>9</v>
      </c>
      <c r="AG19" s="112" t="s">
        <v>25</v>
      </c>
      <c r="AH19" s="211">
        <f t="shared" ref="AH19:AH21" si="42">X19</f>
        <v>0.42372538992706654</v>
      </c>
      <c r="AI19" s="212">
        <f t="shared" si="36"/>
        <v>0.31121823401265342</v>
      </c>
      <c r="AJ19" s="211">
        <f t="shared" si="37"/>
        <v>0.42372538992706654</v>
      </c>
      <c r="AK19" s="213">
        <f t="shared" si="38"/>
        <v>8.4825442611718926E-2</v>
      </c>
      <c r="AL19" s="214">
        <f t="shared" si="39"/>
        <v>0.42372538992706654</v>
      </c>
      <c r="AM19" s="213">
        <f t="shared" si="40"/>
        <v>0.31121823401265342</v>
      </c>
    </row>
    <row r="20" spans="1:39" x14ac:dyDescent="0.25">
      <c r="A20" s="840"/>
      <c r="B20" s="112" t="s">
        <v>7</v>
      </c>
      <c r="C20" s="112" t="s">
        <v>25</v>
      </c>
      <c r="D20" s="211">
        <f>Indata!D28</f>
        <v>0.18</v>
      </c>
      <c r="E20" s="212">
        <f>Indata!E28</f>
        <v>0.38</v>
      </c>
      <c r="F20" s="211">
        <f>Indata!F28</f>
        <v>0.18</v>
      </c>
      <c r="G20" s="213">
        <f>Indata!G28</f>
        <v>0.68</v>
      </c>
      <c r="H20" s="214">
        <f>Indata!H28</f>
        <v>0.18</v>
      </c>
      <c r="I20" s="213">
        <f>Indata!I28</f>
        <v>0.38</v>
      </c>
      <c r="K20" s="840"/>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0.81995177764082749</v>
      </c>
      <c r="R20" s="214">
        <f>MIN(H20+(1-H20)*'Indata - Effektsamband-Faktorer'!$D$4*R$10,1)</f>
        <v>0.18</v>
      </c>
      <c r="S20" s="213">
        <f>MIN(I20+(1-I20)*'Indata - Effektsamband-Faktorer'!$E$4*S$10,1)</f>
        <v>0.38</v>
      </c>
      <c r="U20" s="840"/>
      <c r="V20" s="112" t="s">
        <v>7</v>
      </c>
      <c r="W20" s="112" t="s">
        <v>25</v>
      </c>
      <c r="X20" s="211">
        <f t="shared" si="41"/>
        <v>0.18</v>
      </c>
      <c r="Y20" s="212">
        <f t="shared" si="31"/>
        <v>0.38</v>
      </c>
      <c r="Z20" s="211">
        <f t="shared" si="32"/>
        <v>0.18</v>
      </c>
      <c r="AA20" s="213">
        <f t="shared" si="33"/>
        <v>0.81995177764082749</v>
      </c>
      <c r="AB20" s="214">
        <f>R20</f>
        <v>0.18</v>
      </c>
      <c r="AC20" s="213">
        <f t="shared" si="35"/>
        <v>0.38</v>
      </c>
      <c r="AE20" s="840"/>
      <c r="AF20" s="112" t="s">
        <v>7</v>
      </c>
      <c r="AG20" s="112" t="s">
        <v>25</v>
      </c>
      <c r="AH20" s="211">
        <f t="shared" si="42"/>
        <v>0.18</v>
      </c>
      <c r="AI20" s="212">
        <f t="shared" si="36"/>
        <v>0.38</v>
      </c>
      <c r="AJ20" s="211">
        <f t="shared" si="37"/>
        <v>0.18</v>
      </c>
      <c r="AK20" s="213">
        <f t="shared" si="38"/>
        <v>0.81995177764082749</v>
      </c>
      <c r="AL20" s="214">
        <f>AB20</f>
        <v>0.18</v>
      </c>
      <c r="AM20" s="213">
        <f t="shared" si="40"/>
        <v>0.38</v>
      </c>
    </row>
    <row r="21" spans="1:39" s="276" customFormat="1" ht="15.75" thickBot="1" x14ac:dyDescent="0.3">
      <c r="A21" s="841"/>
      <c r="B21" s="163" t="s">
        <v>16</v>
      </c>
      <c r="C21" s="163" t="s">
        <v>25</v>
      </c>
      <c r="D21" s="187">
        <f t="shared" ref="D21:I21" si="43">SUM(D18:D20)</f>
        <v>1</v>
      </c>
      <c r="E21" s="188">
        <f t="shared" si="43"/>
        <v>1</v>
      </c>
      <c r="F21" s="187">
        <f>SUM(F18:F20)</f>
        <v>1</v>
      </c>
      <c r="G21" s="189">
        <f t="shared" si="43"/>
        <v>1</v>
      </c>
      <c r="H21" s="190">
        <f t="shared" si="43"/>
        <v>1</v>
      </c>
      <c r="I21" s="189">
        <f t="shared" si="43"/>
        <v>1</v>
      </c>
      <c r="K21" s="841"/>
      <c r="L21" s="163" t="s">
        <v>16</v>
      </c>
      <c r="M21" s="163" t="s">
        <v>25</v>
      </c>
      <c r="N21" s="187">
        <f>SUM(N18:N20)</f>
        <v>1</v>
      </c>
      <c r="O21" s="188">
        <f t="shared" ref="O21:S21" si="44">SUM(O18:O20)</f>
        <v>1</v>
      </c>
      <c r="P21" s="187">
        <f t="shared" si="44"/>
        <v>1</v>
      </c>
      <c r="Q21" s="189">
        <f t="shared" si="44"/>
        <v>1</v>
      </c>
      <c r="R21" s="190">
        <f t="shared" si="44"/>
        <v>1</v>
      </c>
      <c r="S21" s="189">
        <f t="shared" si="44"/>
        <v>1</v>
      </c>
      <c r="U21" s="841"/>
      <c r="V21" s="163" t="s">
        <v>16</v>
      </c>
      <c r="W21" s="163" t="s">
        <v>25</v>
      </c>
      <c r="X21" s="187">
        <f t="shared" si="41"/>
        <v>1</v>
      </c>
      <c r="Y21" s="188">
        <f t="shared" si="31"/>
        <v>1</v>
      </c>
      <c r="Z21" s="187">
        <f t="shared" si="32"/>
        <v>1</v>
      </c>
      <c r="AA21" s="189">
        <f t="shared" si="33"/>
        <v>1</v>
      </c>
      <c r="AB21" s="190">
        <f t="shared" si="34"/>
        <v>1</v>
      </c>
      <c r="AC21" s="189">
        <f t="shared" si="35"/>
        <v>1</v>
      </c>
      <c r="AE21" s="841"/>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52" t="s">
        <v>21</v>
      </c>
      <c r="B24" s="111" t="s">
        <v>8</v>
      </c>
      <c r="C24" s="111" t="s">
        <v>73</v>
      </c>
      <c r="D24" s="176">
        <f>Indata!D$15*10</f>
        <v>0</v>
      </c>
      <c r="E24" s="201">
        <f>Indata!E$15*10</f>
        <v>0</v>
      </c>
      <c r="F24" s="176">
        <f>Indata!F$15*10</f>
        <v>0</v>
      </c>
      <c r="G24" s="177">
        <f>Indata!G$15*10</f>
        <v>7.4</v>
      </c>
      <c r="H24" s="178">
        <f>Indata!H$15*10</f>
        <v>0</v>
      </c>
      <c r="I24" s="177">
        <f>Indata!I$15*10</f>
        <v>0</v>
      </c>
      <c r="K24" s="852" t="s">
        <v>21</v>
      </c>
      <c r="L24" s="111" t="s">
        <v>8</v>
      </c>
      <c r="M24" s="111" t="s">
        <v>73</v>
      </c>
      <c r="N24" s="176">
        <f>D24</f>
        <v>0</v>
      </c>
      <c r="O24" s="201">
        <f t="shared" ref="O24:S24" si="45">E24</f>
        <v>0</v>
      </c>
      <c r="P24" s="176">
        <f t="shared" si="45"/>
        <v>0</v>
      </c>
      <c r="Q24" s="177">
        <f t="shared" si="45"/>
        <v>7.4</v>
      </c>
      <c r="R24" s="178">
        <f t="shared" si="45"/>
        <v>0</v>
      </c>
      <c r="S24" s="177">
        <f t="shared" si="45"/>
        <v>0</v>
      </c>
      <c r="U24" s="852" t="s">
        <v>21</v>
      </c>
      <c r="V24" s="111" t="s">
        <v>8</v>
      </c>
      <c r="W24" s="111" t="s">
        <v>73</v>
      </c>
      <c r="X24" s="176">
        <f>N24</f>
        <v>0</v>
      </c>
      <c r="Y24" s="201">
        <f t="shared" ref="Y24:Y26" si="46">O24</f>
        <v>0</v>
      </c>
      <c r="Z24" s="176">
        <f t="shared" ref="Z24:Z26" si="47">P24</f>
        <v>0</v>
      </c>
      <c r="AA24" s="177">
        <f t="shared" ref="AA24:AA26" si="48">Q24</f>
        <v>7.4</v>
      </c>
      <c r="AB24" s="178">
        <f t="shared" ref="AB24:AB26" si="49">R24</f>
        <v>0</v>
      </c>
      <c r="AC24" s="177">
        <f t="shared" ref="AC24:AC26" si="50">S24</f>
        <v>0</v>
      </c>
      <c r="AE24" s="852" t="s">
        <v>21</v>
      </c>
      <c r="AF24" s="111" t="s">
        <v>8</v>
      </c>
      <c r="AG24" s="111" t="s">
        <v>73</v>
      </c>
      <c r="AH24" s="176">
        <f>X24</f>
        <v>0</v>
      </c>
      <c r="AI24" s="201">
        <f t="shared" ref="AI24:AI26" si="51">Y24</f>
        <v>0</v>
      </c>
      <c r="AJ24" s="176">
        <f t="shared" ref="AJ24:AJ26" si="52">Z24</f>
        <v>0</v>
      </c>
      <c r="AK24" s="177">
        <f t="shared" ref="AK24:AK26" si="53">AA24</f>
        <v>7.4</v>
      </c>
      <c r="AL24" s="178">
        <f t="shared" ref="AL24:AL26" si="54">AB24</f>
        <v>0</v>
      </c>
      <c r="AM24" s="177">
        <f t="shared" ref="AM24:AM26" si="55">AC24</f>
        <v>0</v>
      </c>
    </row>
    <row r="25" spans="1:39" x14ac:dyDescent="0.25">
      <c r="A25" s="853"/>
      <c r="B25" s="112" t="s">
        <v>9</v>
      </c>
      <c r="C25" s="112" t="s">
        <v>73</v>
      </c>
      <c r="D25" s="179">
        <f>Indata!D$15*10</f>
        <v>0</v>
      </c>
      <c r="E25" s="202">
        <f>Indata!E$15*10</f>
        <v>0</v>
      </c>
      <c r="F25" s="179">
        <f>Indata!F$15*10</f>
        <v>0</v>
      </c>
      <c r="G25" s="180">
        <f>Indata!G$15*10</f>
        <v>7.4</v>
      </c>
      <c r="H25" s="181">
        <f>Indata!H$15*10</f>
        <v>0</v>
      </c>
      <c r="I25" s="180">
        <f>Indata!I$15*10</f>
        <v>0</v>
      </c>
      <c r="K25" s="853"/>
      <c r="L25" s="112" t="s">
        <v>9</v>
      </c>
      <c r="M25" s="112" t="s">
        <v>73</v>
      </c>
      <c r="N25" s="179">
        <f t="shared" ref="N25:N26" si="56">D25</f>
        <v>0</v>
      </c>
      <c r="O25" s="202">
        <f t="shared" ref="O25:O26" si="57">E25</f>
        <v>0</v>
      </c>
      <c r="P25" s="179">
        <f t="shared" ref="P25:P26" si="58">F25</f>
        <v>0</v>
      </c>
      <c r="Q25" s="180">
        <f t="shared" ref="Q25:Q26" si="59">G25</f>
        <v>7.4</v>
      </c>
      <c r="R25" s="181">
        <f t="shared" ref="R25:R26" si="60">H25</f>
        <v>0</v>
      </c>
      <c r="S25" s="180">
        <f t="shared" ref="S25:S26" si="61">I25</f>
        <v>0</v>
      </c>
      <c r="U25" s="853"/>
      <c r="V25" s="112" t="s">
        <v>9</v>
      </c>
      <c r="W25" s="112" t="s">
        <v>73</v>
      </c>
      <c r="X25" s="179">
        <f t="shared" ref="X25:X26" si="62">N25</f>
        <v>0</v>
      </c>
      <c r="Y25" s="202">
        <f t="shared" si="46"/>
        <v>0</v>
      </c>
      <c r="Z25" s="179">
        <f t="shared" si="47"/>
        <v>0</v>
      </c>
      <c r="AA25" s="180">
        <f t="shared" si="48"/>
        <v>7.4</v>
      </c>
      <c r="AB25" s="181">
        <f t="shared" si="49"/>
        <v>0</v>
      </c>
      <c r="AC25" s="180">
        <f t="shared" si="50"/>
        <v>0</v>
      </c>
      <c r="AE25" s="853"/>
      <c r="AF25" s="112" t="s">
        <v>9</v>
      </c>
      <c r="AG25" s="112" t="s">
        <v>73</v>
      </c>
      <c r="AH25" s="179">
        <f t="shared" ref="AH25:AH26" si="63">X25</f>
        <v>0</v>
      </c>
      <c r="AI25" s="202">
        <f t="shared" si="51"/>
        <v>0</v>
      </c>
      <c r="AJ25" s="179">
        <f t="shared" si="52"/>
        <v>0</v>
      </c>
      <c r="AK25" s="180">
        <f t="shared" si="53"/>
        <v>7.4</v>
      </c>
      <c r="AL25" s="181">
        <f t="shared" si="54"/>
        <v>0</v>
      </c>
      <c r="AM25" s="180">
        <f t="shared" si="55"/>
        <v>0</v>
      </c>
    </row>
    <row r="26" spans="1:39" ht="15.75" thickBot="1" x14ac:dyDescent="0.3">
      <c r="A26" s="854"/>
      <c r="B26" s="113" t="s">
        <v>7</v>
      </c>
      <c r="C26" s="113" t="s">
        <v>73</v>
      </c>
      <c r="D26" s="203">
        <f>Indata!D$15*10</f>
        <v>0</v>
      </c>
      <c r="E26" s="204">
        <f>Indata!E$15*10</f>
        <v>0</v>
      </c>
      <c r="F26" s="203">
        <f>Indata!F$15*10</f>
        <v>0</v>
      </c>
      <c r="G26" s="205">
        <f>Indata!G$15*10</f>
        <v>7.4</v>
      </c>
      <c r="H26" s="206">
        <f>Indata!H$15*10</f>
        <v>0</v>
      </c>
      <c r="I26" s="205">
        <f>Indata!I$15*10</f>
        <v>0</v>
      </c>
      <c r="K26" s="854"/>
      <c r="L26" s="113" t="s">
        <v>7</v>
      </c>
      <c r="M26" s="113" t="s">
        <v>73</v>
      </c>
      <c r="N26" s="203">
        <f t="shared" si="56"/>
        <v>0</v>
      </c>
      <c r="O26" s="204">
        <f t="shared" si="57"/>
        <v>0</v>
      </c>
      <c r="P26" s="203">
        <f t="shared" si="58"/>
        <v>0</v>
      </c>
      <c r="Q26" s="205">
        <f t="shared" si="59"/>
        <v>7.4</v>
      </c>
      <c r="R26" s="206">
        <f t="shared" si="60"/>
        <v>0</v>
      </c>
      <c r="S26" s="205">
        <f t="shared" si="61"/>
        <v>0</v>
      </c>
      <c r="U26" s="854"/>
      <c r="V26" s="113" t="s">
        <v>7</v>
      </c>
      <c r="W26" s="113" t="s">
        <v>73</v>
      </c>
      <c r="X26" s="203">
        <f t="shared" si="62"/>
        <v>0</v>
      </c>
      <c r="Y26" s="204">
        <f t="shared" si="46"/>
        <v>0</v>
      </c>
      <c r="Z26" s="203">
        <f t="shared" si="47"/>
        <v>0</v>
      </c>
      <c r="AA26" s="205">
        <f t="shared" si="48"/>
        <v>7.4</v>
      </c>
      <c r="AB26" s="206">
        <f t="shared" si="49"/>
        <v>0</v>
      </c>
      <c r="AC26" s="205">
        <f t="shared" si="50"/>
        <v>0</v>
      </c>
      <c r="AE26" s="854"/>
      <c r="AF26" s="113" t="s">
        <v>7</v>
      </c>
      <c r="AG26" s="113" t="s">
        <v>73</v>
      </c>
      <c r="AH26" s="203">
        <f t="shared" si="63"/>
        <v>0</v>
      </c>
      <c r="AI26" s="204">
        <f t="shared" si="51"/>
        <v>0</v>
      </c>
      <c r="AJ26" s="203">
        <f t="shared" si="52"/>
        <v>0</v>
      </c>
      <c r="AK26" s="205">
        <f t="shared" si="53"/>
        <v>7.4</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433</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52"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57" t="s">
        <v>74</v>
      </c>
      <c r="L29" s="693" t="s">
        <v>8</v>
      </c>
      <c r="M29" s="693" t="s">
        <v>73</v>
      </c>
      <c r="N29" s="580">
        <f>D29*(1-Indata!D$74)+D29*(1+Indata!D$76)*D$52</f>
        <v>10.009999999999998</v>
      </c>
      <c r="O29" s="580">
        <f>E29*(1-Indata!E$74)+E29*(1+Indata!E$76)*E$52</f>
        <v>10.009999999999998</v>
      </c>
      <c r="P29" s="580">
        <f>F29*(1-Indata!F$74)+F29*(1+Indata!F$76)*F$52</f>
        <v>10.009999999999998</v>
      </c>
      <c r="Q29" s="580">
        <f>G29*(1-Indata!G$74)+G29*(1+Indata!G$76)*G$52</f>
        <v>10.009999999999998</v>
      </c>
      <c r="R29" s="580">
        <f>H29*(1-Indata!H$74)+H29*(1+Indata!H$76)*H$52</f>
        <v>10.009999999999998</v>
      </c>
      <c r="S29" s="580">
        <f>I29*(1-Indata!I$74)+I29*(1+Indata!I$76)*I$52</f>
        <v>10.009999999999998</v>
      </c>
      <c r="U29" s="852"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52"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53"/>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58"/>
      <c r="L30" s="649" t="s">
        <v>9</v>
      </c>
      <c r="M30" s="649" t="s">
        <v>73</v>
      </c>
      <c r="N30" s="580">
        <f>D30*(1-Indata!D$74)+D30*(1+Indata!D$76)*D$52</f>
        <v>10.009999999999998</v>
      </c>
      <c r="O30" s="580">
        <f>E30*(1-Indata!E$74)+E30*(1+Indata!E$76)*E$52</f>
        <v>10.009999999999998</v>
      </c>
      <c r="P30" s="580">
        <f>F30*(1-Indata!F$74)+F30*(1+Indata!F$76)*F$52</f>
        <v>10.009999999999998</v>
      </c>
      <c r="Q30" s="580">
        <f>G30*(1-Indata!G$74)+G30*(1+Indata!G$76)*G$52</f>
        <v>10.009999999999998</v>
      </c>
      <c r="R30" s="580">
        <f>H30*(1-Indata!H$74)+H30*(1+Indata!H$76)*H$52</f>
        <v>10.009999999999998</v>
      </c>
      <c r="S30" s="580">
        <f>I30*(1-Indata!I$74)+I30*(1+Indata!I$76)*I$52</f>
        <v>10.009999999999998</v>
      </c>
      <c r="U30" s="853"/>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53"/>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54"/>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59"/>
      <c r="L31" s="694" t="s">
        <v>7</v>
      </c>
      <c r="M31" s="694" t="s">
        <v>73</v>
      </c>
      <c r="N31" s="580">
        <f>D31*(1-Indata!D$74)+D31*(1+Indata!D$76)*D$52</f>
        <v>10.009999999999998</v>
      </c>
      <c r="O31" s="580">
        <f>E31*(1-Indata!E$74)+E31*(1+Indata!E$76)*E$52</f>
        <v>10.009999999999998</v>
      </c>
      <c r="P31" s="580">
        <f>F31*(1-Indata!F$74)+F31*(1+Indata!F$76)*F$52</f>
        <v>10.009999999999998</v>
      </c>
      <c r="Q31" s="580">
        <f>G31*(1-Indata!G$74)+G31*(1+Indata!G$76)*G$52</f>
        <v>10.009999999999998</v>
      </c>
      <c r="R31" s="580">
        <f>H31*(1-Indata!H$74)+H31*(1+Indata!H$76)*H$52</f>
        <v>10.009999999999998</v>
      </c>
      <c r="S31" s="580">
        <f>I31*(1-Indata!I$74)+I31*(1+Indata!I$76)*I$52</f>
        <v>10.009999999999998</v>
      </c>
      <c r="U31" s="854"/>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54"/>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839" t="s">
        <v>17</v>
      </c>
      <c r="B34" s="111" t="s">
        <v>8</v>
      </c>
      <c r="C34" s="111" t="s">
        <v>36</v>
      </c>
      <c r="D34" s="219">
        <f>D18*D$37</f>
        <v>34.972878293330716</v>
      </c>
      <c r="E34" s="220">
        <f t="shared" ref="D34:I36" si="76">E18*E$37</f>
        <v>30.723785715740984</v>
      </c>
      <c r="F34" s="219">
        <f t="shared" si="76"/>
        <v>34.972878293330716</v>
      </c>
      <c r="G34" s="220">
        <f t="shared" si="76"/>
        <v>16.839340413540395</v>
      </c>
      <c r="H34" s="221">
        <f t="shared" si="76"/>
        <v>34.972878293330716</v>
      </c>
      <c r="I34" s="220">
        <f t="shared" si="76"/>
        <v>30.723785715740984</v>
      </c>
      <c r="K34" s="839" t="s">
        <v>17</v>
      </c>
      <c r="L34" s="111" t="s">
        <v>8</v>
      </c>
      <c r="M34" s="111" t="s">
        <v>36</v>
      </c>
      <c r="N34" s="219">
        <f>N18*N$37</f>
        <v>34.972878293330716</v>
      </c>
      <c r="O34" s="220">
        <f t="shared" ref="O34:S34" si="77">O18*O$37</f>
        <v>30.723785715740984</v>
      </c>
      <c r="P34" s="219">
        <f>P18*P$37</f>
        <v>34.972878293330716</v>
      </c>
      <c r="Q34" s="220">
        <f>Q18*Q$37</f>
        <v>9.4746665848716294</v>
      </c>
      <c r="R34" s="221">
        <f t="shared" si="77"/>
        <v>34.972878293330716</v>
      </c>
      <c r="S34" s="220">
        <f t="shared" si="77"/>
        <v>30.723785715740984</v>
      </c>
      <c r="U34" s="839"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8.2985753414337253</v>
      </c>
      <c r="AB34" s="221">
        <f>R34*(1+R$50)*(1+R$44*'Indata - Effektsamband-Faktorer'!$D$8)</f>
        <v>35.228240198326176</v>
      </c>
      <c r="AC34" s="220">
        <f>S34*(1+S$50)*(1+S$44*'Indata - Effektsamband-Faktorer'!$E$8)</f>
        <v>30.913829807482287</v>
      </c>
      <c r="AE34" s="839" t="s">
        <v>17</v>
      </c>
      <c r="AF34" s="111" t="s">
        <v>8</v>
      </c>
      <c r="AG34" s="111" t="s">
        <v>36</v>
      </c>
      <c r="AH34" s="219">
        <f>X34*(1-Indata!D$21)</f>
        <v>34.972878293330716</v>
      </c>
      <c r="AI34" s="220">
        <f>Y34*(1-Indata!E$21)</f>
        <v>30.723785715740984</v>
      </c>
      <c r="AJ34" s="219">
        <f>Z34*(1-Indata!F$21)</f>
        <v>35.228240198326176</v>
      </c>
      <c r="AK34" s="220">
        <f>AA34*(1-Indata!G$21)</f>
        <v>6.140945752660957</v>
      </c>
      <c r="AL34" s="221">
        <f>AB34*(1-Indata!H$21)</f>
        <v>35.228240198326176</v>
      </c>
      <c r="AM34" s="220">
        <f>AC34*(1-Indata!I$21)</f>
        <v>30.913829807482287</v>
      </c>
    </row>
    <row r="35" spans="1:39" x14ac:dyDescent="0.25">
      <c r="A35" s="840"/>
      <c r="B35" s="112" t="s">
        <v>9</v>
      </c>
      <c r="C35" s="112" t="s">
        <v>36</v>
      </c>
      <c r="D35" s="222">
        <f t="shared" si="76"/>
        <v>37.395523495653713</v>
      </c>
      <c r="E35" s="223">
        <f t="shared" si="76"/>
        <v>30.966214284259014</v>
      </c>
      <c r="F35" s="222">
        <f t="shared" si="76"/>
        <v>37.395523495653713</v>
      </c>
      <c r="G35" s="223">
        <f t="shared" si="76"/>
        <v>15.000659586459598</v>
      </c>
      <c r="H35" s="224">
        <f t="shared" si="76"/>
        <v>37.395523495653713</v>
      </c>
      <c r="I35" s="223">
        <f t="shared" si="76"/>
        <v>30.966214284259014</v>
      </c>
      <c r="K35" s="840"/>
      <c r="L35" s="112" t="s">
        <v>9</v>
      </c>
      <c r="M35" s="112" t="s">
        <v>36</v>
      </c>
      <c r="N35" s="222">
        <f>N19*N$37</f>
        <v>37.395523495653713</v>
      </c>
      <c r="O35" s="223">
        <f t="shared" ref="O35:S36" si="78">O19*O$37</f>
        <v>30.966214284259014</v>
      </c>
      <c r="P35" s="222">
        <f t="shared" si="78"/>
        <v>37.395523495653713</v>
      </c>
      <c r="Q35" s="223">
        <f t="shared" si="78"/>
        <v>8.4401315398660337</v>
      </c>
      <c r="R35" s="224">
        <f t="shared" si="78"/>
        <v>37.395523495653713</v>
      </c>
      <c r="S35" s="223">
        <f t="shared" si="78"/>
        <v>30.966214284259014</v>
      </c>
      <c r="U35" s="840"/>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7.3924572276796692</v>
      </c>
      <c r="AB35" s="224">
        <f>R35*(1+R$50)*(1+R$44*'Indata - Effektsamband-Faktorer'!$D$8)</f>
        <v>37.668574859572288</v>
      </c>
      <c r="AC35" s="223">
        <f>S35*(1+S$50)*(1+S$44*'Indata - Effektsamband-Faktorer'!$E$8)</f>
        <v>31.157757934601015</v>
      </c>
      <c r="AE35" s="840"/>
      <c r="AF35" s="112" t="s">
        <v>9</v>
      </c>
      <c r="AG35" s="112" t="s">
        <v>36</v>
      </c>
      <c r="AH35" s="222">
        <f>X35*(1-Indata!D$21)</f>
        <v>37.395523495653713</v>
      </c>
      <c r="AI35" s="223">
        <f>Y35*(1-Indata!E$21)</f>
        <v>30.966214284259014</v>
      </c>
      <c r="AJ35" s="222">
        <f>Z35*(1-Indata!F$21)</f>
        <v>37.668574859572288</v>
      </c>
      <c r="AK35" s="223">
        <f>AA35*(1-Indata!G$21)</f>
        <v>5.4704183484829549</v>
      </c>
      <c r="AL35" s="224">
        <f>AB35*(1-Indata!H$21)</f>
        <v>37.668574859572288</v>
      </c>
      <c r="AM35" s="223">
        <f>AC35*(1-Indata!I$21)</f>
        <v>31.157757934601015</v>
      </c>
    </row>
    <row r="36" spans="1:39" x14ac:dyDescent="0.25">
      <c r="A36" s="840"/>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840"/>
      <c r="L36" s="112" t="s">
        <v>7</v>
      </c>
      <c r="M36" s="112" t="s">
        <v>36</v>
      </c>
      <c r="N36" s="222">
        <f>N20*N$37</f>
        <v>15.885746734167313</v>
      </c>
      <c r="O36" s="223">
        <f t="shared" si="78"/>
        <v>37.81</v>
      </c>
      <c r="P36" s="222">
        <f t="shared" si="78"/>
        <v>15.885746734167313</v>
      </c>
      <c r="Q36" s="223">
        <f t="shared" si="78"/>
        <v>81.585201875262342</v>
      </c>
      <c r="R36" s="224">
        <f t="shared" si="78"/>
        <v>15.885746734167313</v>
      </c>
      <c r="S36" s="223">
        <f t="shared" si="78"/>
        <v>37.81</v>
      </c>
      <c r="U36" s="840"/>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71.458023186693239</v>
      </c>
      <c r="AB36" s="224">
        <f>R36*(1+R$50)*(1+R$44*'Indata - Effektsamband-Faktorer'!$D$8)</f>
        <v>16.001739890758198</v>
      </c>
      <c r="AC36" s="223">
        <f>S36*(1+S$50)*(1+S$44*'Indata - Effektsamband-Faktorer'!$E$8)</f>
        <v>38.043876358051058</v>
      </c>
      <c r="AE36" s="840"/>
      <c r="AF36" s="112" t="s">
        <v>7</v>
      </c>
      <c r="AG36" s="112" t="s">
        <v>36</v>
      </c>
      <c r="AH36" s="222">
        <f>X36*(1-Indata!D$21)</f>
        <v>15.885746734167313</v>
      </c>
      <c r="AI36" s="223">
        <f>Y36*(1-Indata!E$21)</f>
        <v>37.81</v>
      </c>
      <c r="AJ36" s="222">
        <f>Z36*(1-Indata!F$21)</f>
        <v>16.001739890758198</v>
      </c>
      <c r="AK36" s="223">
        <f>AA36*(1-Indata!G$21)</f>
        <v>52.878937158152993</v>
      </c>
      <c r="AL36" s="224">
        <f>AB36*(1-Indata!H$21)</f>
        <v>16.001739890758198</v>
      </c>
      <c r="AM36" s="223">
        <f>AC36*(1-Indata!I$21)</f>
        <v>38.043876358051058</v>
      </c>
    </row>
    <row r="37" spans="1:39" ht="15.75" thickBot="1" x14ac:dyDescent="0.3">
      <c r="A37" s="841"/>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841"/>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841"/>
      <c r="V37" s="163" t="s">
        <v>16</v>
      </c>
      <c r="W37" s="163" t="s">
        <v>36</v>
      </c>
      <c r="X37" s="195">
        <f>SUM(X34:X36)</f>
        <v>88.254148523151741</v>
      </c>
      <c r="Y37" s="196">
        <f>SUM(Y34:Y36)</f>
        <v>99.5</v>
      </c>
      <c r="Z37" s="195">
        <f>SUM(Z34:Z36)</f>
        <v>88.898554948656667</v>
      </c>
      <c r="AA37" s="196">
        <f>SUM(AA34:AA36)</f>
        <v>87.149055755806629</v>
      </c>
      <c r="AB37" s="197">
        <f>SUM(AB34:AB36)</f>
        <v>88.898554948656667</v>
      </c>
      <c r="AC37" s="196">
        <f t="shared" ref="AC37" si="80">SUM(AC34:AC36)</f>
        <v>100.11546410013436</v>
      </c>
      <c r="AE37" s="841"/>
      <c r="AF37" s="163" t="s">
        <v>16</v>
      </c>
      <c r="AG37" s="163" t="s">
        <v>36</v>
      </c>
      <c r="AH37" s="195">
        <f>SUM(AH34:AH36)</f>
        <v>88.254148523151741</v>
      </c>
      <c r="AI37" s="196">
        <f t="shared" ref="AI37" si="81">SUM(AI34:AI36)</f>
        <v>99.5</v>
      </c>
      <c r="AJ37" s="195">
        <f>SUM(AJ34:AJ36)</f>
        <v>88.898554948656667</v>
      </c>
      <c r="AK37" s="196">
        <f t="shared" ref="AK37" si="82">SUM(AK34:AK36)</f>
        <v>64.490301259296899</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09">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7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52" t="s">
        <v>76</v>
      </c>
      <c r="B40" s="111" t="s">
        <v>8</v>
      </c>
      <c r="C40" s="111" t="s">
        <v>73</v>
      </c>
      <c r="D40" s="176">
        <f>D6*D13+D24+D29</f>
        <v>20.894137307914438</v>
      </c>
      <c r="E40" s="177">
        <f t="shared" ref="D40:I42" si="84">E6*E13+E24+E29</f>
        <v>20.490767763608162</v>
      </c>
      <c r="F40" s="176">
        <f t="shared" si="84"/>
        <v>20.894137307914438</v>
      </c>
      <c r="G40" s="177">
        <f t="shared" si="84"/>
        <v>27.89076776360816</v>
      </c>
      <c r="H40" s="178">
        <f t="shared" si="84"/>
        <v>20.894137307914438</v>
      </c>
      <c r="I40" s="177">
        <f t="shared" si="84"/>
        <v>20.490767763608162</v>
      </c>
      <c r="K40" s="852" t="s">
        <v>76</v>
      </c>
      <c r="L40" s="111" t="s">
        <v>8</v>
      </c>
      <c r="M40" s="111" t="s">
        <v>73</v>
      </c>
      <c r="N40" s="176">
        <f>N6*N13+N24+N29</f>
        <v>20.894137307914438</v>
      </c>
      <c r="O40" s="177">
        <f t="shared" ref="N40:S42" si="85">O6*O13+O24+O29</f>
        <v>20.490767763608162</v>
      </c>
      <c r="P40" s="176">
        <f t="shared" si="85"/>
        <v>20.894137307914438</v>
      </c>
      <c r="Q40" s="177">
        <f>Q6*Q13+Q24+Q29</f>
        <v>54.458702926965231</v>
      </c>
      <c r="R40" s="178">
        <f t="shared" si="85"/>
        <v>20.894137307914438</v>
      </c>
      <c r="S40" s="177">
        <f t="shared" si="85"/>
        <v>20.490767763608162</v>
      </c>
      <c r="U40" s="852" t="s">
        <v>76</v>
      </c>
      <c r="V40" s="111" t="s">
        <v>8</v>
      </c>
      <c r="W40" s="111" t="s">
        <v>73</v>
      </c>
      <c r="X40" s="176">
        <f>N40</f>
        <v>20.894137307914438</v>
      </c>
      <c r="Y40" s="177">
        <f t="shared" ref="Y40:Y42" si="86">O40</f>
        <v>20.490767763608162</v>
      </c>
      <c r="Z40" s="176">
        <f t="shared" ref="Z40:Z42" si="87">P40</f>
        <v>20.894137307914438</v>
      </c>
      <c r="AA40" s="177">
        <f t="shared" ref="AA40:AA42" si="88">Q40</f>
        <v>54.458702926965231</v>
      </c>
      <c r="AB40" s="178">
        <f t="shared" ref="AB40:AB42" si="89">R40</f>
        <v>20.894137307914438</v>
      </c>
      <c r="AC40" s="177">
        <f t="shared" ref="AC40:AC42" si="90">S40</f>
        <v>20.490767763608162</v>
      </c>
      <c r="AE40" s="852" t="s">
        <v>76</v>
      </c>
      <c r="AF40" s="111" t="s">
        <v>8</v>
      </c>
      <c r="AG40" s="111" t="s">
        <v>73</v>
      </c>
      <c r="AH40" s="176">
        <f>X40</f>
        <v>20.894137307914438</v>
      </c>
      <c r="AI40" s="177">
        <f t="shared" ref="AI40:AI42" si="91">Y40</f>
        <v>20.490767763608162</v>
      </c>
      <c r="AJ40" s="176">
        <f>Z40</f>
        <v>20.894137307914438</v>
      </c>
      <c r="AK40" s="177">
        <f t="shared" ref="AK40:AK41" si="92">AA40</f>
        <v>54.458702926965231</v>
      </c>
      <c r="AL40" s="178">
        <f t="shared" ref="AL40:AL42" si="93">AB40</f>
        <v>20.894137307914438</v>
      </c>
      <c r="AM40" s="177">
        <f t="shared" ref="AM40:AM42" si="94">AC40</f>
        <v>20.490767763608162</v>
      </c>
    </row>
    <row r="41" spans="1:39" x14ac:dyDescent="0.25">
      <c r="A41" s="853"/>
      <c r="B41" s="112" t="s">
        <v>9</v>
      </c>
      <c r="C41" s="112" t="s">
        <v>73</v>
      </c>
      <c r="D41" s="179">
        <f t="shared" si="84"/>
        <v>21.583355544123954</v>
      </c>
      <c r="E41" s="180">
        <f t="shared" si="84"/>
        <v>21.099103565816492</v>
      </c>
      <c r="F41" s="179">
        <f t="shared" si="84"/>
        <v>21.583355544123954</v>
      </c>
      <c r="G41" s="180">
        <f t="shared" si="84"/>
        <v>28.49910356581649</v>
      </c>
      <c r="H41" s="181">
        <f t="shared" si="84"/>
        <v>21.583355544123954</v>
      </c>
      <c r="I41" s="180">
        <f t="shared" si="84"/>
        <v>21.099103565816492</v>
      </c>
      <c r="K41" s="853"/>
      <c r="L41" s="112" t="s">
        <v>9</v>
      </c>
      <c r="M41" s="112" t="s">
        <v>73</v>
      </c>
      <c r="N41" s="179">
        <f t="shared" si="85"/>
        <v>21.583355544123954</v>
      </c>
      <c r="O41" s="180">
        <f t="shared" si="85"/>
        <v>21.099103565816492</v>
      </c>
      <c r="P41" s="179">
        <f t="shared" si="85"/>
        <v>21.583355544123954</v>
      </c>
      <c r="Q41" s="180">
        <f t="shared" si="85"/>
        <v>39.269043049448335</v>
      </c>
      <c r="R41" s="181">
        <f t="shared" si="85"/>
        <v>21.583355544123954</v>
      </c>
      <c r="S41" s="180">
        <f t="shared" si="85"/>
        <v>21.099103565816492</v>
      </c>
      <c r="U41" s="853"/>
      <c r="V41" s="112" t="s">
        <v>9</v>
      </c>
      <c r="W41" s="112" t="s">
        <v>73</v>
      </c>
      <c r="X41" s="179">
        <f t="shared" ref="X41:X42" si="95">N41</f>
        <v>21.583355544123954</v>
      </c>
      <c r="Y41" s="180">
        <f t="shared" si="86"/>
        <v>21.099103565816492</v>
      </c>
      <c r="Z41" s="179">
        <f t="shared" si="87"/>
        <v>21.583355544123954</v>
      </c>
      <c r="AA41" s="180">
        <f t="shared" si="88"/>
        <v>39.269043049448335</v>
      </c>
      <c r="AB41" s="181">
        <f t="shared" si="89"/>
        <v>21.583355544123954</v>
      </c>
      <c r="AC41" s="180">
        <f t="shared" si="90"/>
        <v>21.099103565816492</v>
      </c>
      <c r="AE41" s="853"/>
      <c r="AF41" s="112" t="s">
        <v>9</v>
      </c>
      <c r="AG41" s="112" t="s">
        <v>73</v>
      </c>
      <c r="AH41" s="179">
        <f t="shared" ref="AH41" si="96">X41</f>
        <v>21.583355544123954</v>
      </c>
      <c r="AI41" s="180">
        <f t="shared" si="91"/>
        <v>21.099103565816492</v>
      </c>
      <c r="AJ41" s="179">
        <f t="shared" ref="AJ41:AJ42" si="97">Z41</f>
        <v>21.583355544123954</v>
      </c>
      <c r="AK41" s="180">
        <f t="shared" si="92"/>
        <v>39.269043049448335</v>
      </c>
      <c r="AL41" s="181">
        <f t="shared" si="93"/>
        <v>21.583355544123954</v>
      </c>
      <c r="AM41" s="180">
        <f t="shared" si="94"/>
        <v>21.099103565816492</v>
      </c>
    </row>
    <row r="42" spans="1:39" x14ac:dyDescent="0.25">
      <c r="A42" s="853"/>
      <c r="B42" s="112" t="s">
        <v>7</v>
      </c>
      <c r="C42" s="112" t="s">
        <v>73</v>
      </c>
      <c r="D42" s="179">
        <f t="shared" si="84"/>
        <v>15.615515788043478</v>
      </c>
      <c r="E42" s="180">
        <f t="shared" si="84"/>
        <v>16.728198124999999</v>
      </c>
      <c r="F42" s="179">
        <f t="shared" si="84"/>
        <v>15.615515788043478</v>
      </c>
      <c r="G42" s="180">
        <f t="shared" si="84"/>
        <v>24.128198124999997</v>
      </c>
      <c r="H42" s="181">
        <f t="shared" si="84"/>
        <v>15.615515788043478</v>
      </c>
      <c r="I42" s="180">
        <f t="shared" si="84"/>
        <v>16.728198124999999</v>
      </c>
      <c r="K42" s="853"/>
      <c r="L42" s="112" t="s">
        <v>7</v>
      </c>
      <c r="M42" s="112" t="s">
        <v>73</v>
      </c>
      <c r="N42" s="179">
        <f t="shared" si="85"/>
        <v>15.615515788043478</v>
      </c>
      <c r="O42" s="180">
        <f t="shared" si="85"/>
        <v>16.728198124999999</v>
      </c>
      <c r="P42" s="179">
        <f t="shared" si="85"/>
        <v>15.615515788043478</v>
      </c>
      <c r="Q42" s="180">
        <f>Q8*Q15+Q26+Q31</f>
        <v>23.792288218749999</v>
      </c>
      <c r="R42" s="181">
        <f t="shared" si="85"/>
        <v>15.615515788043478</v>
      </c>
      <c r="S42" s="180">
        <f t="shared" si="85"/>
        <v>16.728198124999999</v>
      </c>
      <c r="U42" s="853"/>
      <c r="V42" s="112" t="s">
        <v>7</v>
      </c>
      <c r="W42" s="112" t="s">
        <v>73</v>
      </c>
      <c r="X42" s="179">
        <f t="shared" si="95"/>
        <v>15.615515788043478</v>
      </c>
      <c r="Y42" s="180">
        <f t="shared" si="86"/>
        <v>16.728198124999999</v>
      </c>
      <c r="Z42" s="179">
        <f t="shared" si="87"/>
        <v>15.615515788043478</v>
      </c>
      <c r="AA42" s="180">
        <f t="shared" si="88"/>
        <v>23.792288218749999</v>
      </c>
      <c r="AB42" s="181">
        <f t="shared" si="89"/>
        <v>15.615515788043478</v>
      </c>
      <c r="AC42" s="180">
        <f t="shared" si="90"/>
        <v>16.728198124999999</v>
      </c>
      <c r="AE42" s="853"/>
      <c r="AF42" s="112" t="s">
        <v>7</v>
      </c>
      <c r="AG42" s="112" t="s">
        <v>73</v>
      </c>
      <c r="AH42" s="179">
        <f>X42</f>
        <v>15.615515788043478</v>
      </c>
      <c r="AI42" s="180">
        <f t="shared" si="91"/>
        <v>16.728198124999999</v>
      </c>
      <c r="AJ42" s="179">
        <f t="shared" si="97"/>
        <v>15.615515788043478</v>
      </c>
      <c r="AK42" s="180">
        <f>AA42</f>
        <v>23.792288218749999</v>
      </c>
      <c r="AL42" s="181">
        <f t="shared" si="93"/>
        <v>15.615515788043478</v>
      </c>
      <c r="AM42" s="180">
        <f t="shared" si="94"/>
        <v>16.728198124999999</v>
      </c>
    </row>
    <row r="43" spans="1:39" x14ac:dyDescent="0.25">
      <c r="A43" s="853"/>
      <c r="B43" s="161" t="s">
        <v>75</v>
      </c>
      <c r="C43" s="161" t="s">
        <v>73</v>
      </c>
      <c r="D43" s="279">
        <v>20.74</v>
      </c>
      <c r="E43" s="280">
        <v>19.655019213344737</v>
      </c>
      <c r="F43" s="172">
        <f>SUMPRODUCT(F40:F42,F34:F36)/F37</f>
        <v>20.236024700220387</v>
      </c>
      <c r="G43" s="173">
        <f t="shared" ref="G43:I43" si="98">SUMPRODUCT(G40:G42,G34:G36)/G37</f>
        <v>25.423933356924287</v>
      </c>
      <c r="H43" s="174">
        <f t="shared" si="98"/>
        <v>20.236024700220387</v>
      </c>
      <c r="I43" s="173">
        <f t="shared" si="98"/>
        <v>19.250316494987008</v>
      </c>
      <c r="K43" s="853"/>
      <c r="L43" s="161" t="s">
        <v>75</v>
      </c>
      <c r="M43" s="161" t="s">
        <v>73</v>
      </c>
      <c r="N43" s="279">
        <f>D43</f>
        <v>20.74</v>
      </c>
      <c r="O43" s="280">
        <f>E43</f>
        <v>19.655019213344737</v>
      </c>
      <c r="P43" s="172">
        <f>SUMPRODUCT(P40:P42,P34:P36)/P37</f>
        <v>20.236024700220387</v>
      </c>
      <c r="Q43" s="173">
        <f>SUMPRODUCT(Q40:Q42,Q34:Q36)/Q37</f>
        <v>28.025252050861496</v>
      </c>
      <c r="R43" s="174">
        <f>SUMPRODUCT(R40:R42,R34:R36)/R37</f>
        <v>20.236024700220387</v>
      </c>
      <c r="S43" s="173">
        <f t="shared" ref="S43" si="99">SUMPRODUCT(S40:S42,S34:S36)/S37</f>
        <v>19.250316494987008</v>
      </c>
      <c r="U43" s="853"/>
      <c r="V43" s="161" t="s">
        <v>75</v>
      </c>
      <c r="W43" s="161" t="s">
        <v>73</v>
      </c>
      <c r="X43" s="279">
        <f>D43</f>
        <v>20.74</v>
      </c>
      <c r="Y43" s="280">
        <f>E43</f>
        <v>19.655019213344737</v>
      </c>
      <c r="Z43" s="172">
        <f>SUMPRODUCT(Z40:Z42,Z34:Z36)/Z37</f>
        <v>20.236024700220387</v>
      </c>
      <c r="AA43" s="173">
        <f>SUMPRODUCT(AA40:AA42,AA34:AA36)/AA37</f>
        <v>28.0252520508615</v>
      </c>
      <c r="AB43" s="174">
        <f t="shared" ref="AB43:AC43" si="100">SUMPRODUCT(AB40:AB42,AB34:AB36)/AB37</f>
        <v>20.236024700220387</v>
      </c>
      <c r="AC43" s="173">
        <f t="shared" si="100"/>
        <v>19.250316494987008</v>
      </c>
      <c r="AE43" s="853"/>
      <c r="AF43" s="161" t="s">
        <v>75</v>
      </c>
      <c r="AG43" s="161" t="s">
        <v>73</v>
      </c>
      <c r="AH43" s="279">
        <f>X43</f>
        <v>20.74</v>
      </c>
      <c r="AI43" s="280">
        <f>E43</f>
        <v>19.655019213344737</v>
      </c>
      <c r="AJ43" s="172">
        <f>SUMPRODUCT(AJ40:AJ42,AJ34:AJ36)/AJ37</f>
        <v>20.236024700220387</v>
      </c>
      <c r="AK43" s="173">
        <f>SUMPRODUCT(AK40:AK42,AK34:AK36)/AK37</f>
        <v>28.025252050861496</v>
      </c>
      <c r="AL43" s="174">
        <f>SUMPRODUCT(AL40:AL42,AL34:AL36)/AL37</f>
        <v>20.236024700220387</v>
      </c>
      <c r="AM43" s="173">
        <f>SUMPRODUCT(AM40:AM42,AM34:AM36)/AM37</f>
        <v>19.250316494987008</v>
      </c>
    </row>
    <row r="44" spans="1:39" ht="15.75" thickBot="1" x14ac:dyDescent="0.3">
      <c r="A44" s="854"/>
      <c r="B44" s="162" t="s">
        <v>228</v>
      </c>
      <c r="C44" s="162" t="s">
        <v>25</v>
      </c>
      <c r="D44" s="198" t="s">
        <v>77</v>
      </c>
      <c r="E44" s="199" t="s">
        <v>77</v>
      </c>
      <c r="F44" s="198" t="s">
        <v>77</v>
      </c>
      <c r="G44" s="199" t="s">
        <v>77</v>
      </c>
      <c r="H44" s="200" t="s">
        <v>77</v>
      </c>
      <c r="I44" s="199" t="s">
        <v>77</v>
      </c>
      <c r="K44" s="854"/>
      <c r="L44" s="162" t="s">
        <v>228</v>
      </c>
      <c r="M44" s="162" t="s">
        <v>25</v>
      </c>
      <c r="N44" s="584">
        <f>N43/D43-1</f>
        <v>0</v>
      </c>
      <c r="O44" s="577">
        <f>O43/E43-1</f>
        <v>0</v>
      </c>
      <c r="P44" s="584">
        <f>P43/D43-1</f>
        <v>-2.4299676942122095E-2</v>
      </c>
      <c r="Q44" s="577">
        <f>Q43/E43-1</f>
        <v>0.42585727068807988</v>
      </c>
      <c r="R44" s="585">
        <f>R43/D43-1</f>
        <v>-2.4299676942122095E-2</v>
      </c>
      <c r="S44" s="577">
        <f>S43/E43-1</f>
        <v>-2.0590298791616446E-2</v>
      </c>
      <c r="U44" s="854"/>
      <c r="V44" s="162" t="s">
        <v>228</v>
      </c>
      <c r="W44" s="162" t="s">
        <v>25</v>
      </c>
      <c r="X44" s="198">
        <f>X43/D43-1</f>
        <v>0</v>
      </c>
      <c r="Y44" s="199">
        <f>Y43/E43-1</f>
        <v>0</v>
      </c>
      <c r="Z44" s="198">
        <f>Z43/D43-1</f>
        <v>-2.4299676942122095E-2</v>
      </c>
      <c r="AA44" s="199">
        <f>AA43/E43-1</f>
        <v>0.4258572706880801</v>
      </c>
      <c r="AB44" s="200">
        <f>AB43/D43-1</f>
        <v>-2.4299676942122095E-2</v>
      </c>
      <c r="AC44" s="199">
        <f>AC43/E43-1</f>
        <v>-2.0590298791616446E-2</v>
      </c>
      <c r="AE44" s="854"/>
      <c r="AF44" s="162" t="s">
        <v>228</v>
      </c>
      <c r="AG44" s="162" t="s">
        <v>25</v>
      </c>
      <c r="AH44" s="198">
        <f>AH43/D43-1</f>
        <v>0</v>
      </c>
      <c r="AI44" s="199">
        <f>AI43/E43-1</f>
        <v>0</v>
      </c>
      <c r="AJ44" s="198">
        <f>AJ43/D43-1</f>
        <v>-2.4299676942122095E-2</v>
      </c>
      <c r="AK44" s="199">
        <f>AK43/E43-1</f>
        <v>0.42585727068807988</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79"/>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434</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57" t="s">
        <v>29</v>
      </c>
      <c r="B47" s="693" t="s">
        <v>32</v>
      </c>
      <c r="C47" s="695" t="s">
        <v>33</v>
      </c>
      <c r="D47" s="755">
        <f>Indata!D39</f>
        <v>11057699.999999998</v>
      </c>
      <c r="E47" s="756">
        <f>Indata!E39</f>
        <v>11648700</v>
      </c>
      <c r="F47" s="756">
        <f>Indata!F39</f>
        <v>11057699.999999998</v>
      </c>
      <c r="G47" s="756">
        <f>Indata!G39</f>
        <v>11648700</v>
      </c>
      <c r="H47" s="756">
        <f>Indata!H39</f>
        <v>11057699.999999998</v>
      </c>
      <c r="I47" s="757">
        <f>Indata!I39</f>
        <v>11648700</v>
      </c>
      <c r="K47" s="857" t="s">
        <v>29</v>
      </c>
      <c r="L47" s="693" t="s">
        <v>32</v>
      </c>
      <c r="M47" s="695" t="s">
        <v>33</v>
      </c>
      <c r="N47" s="595">
        <f>D47</f>
        <v>11057699.999999998</v>
      </c>
      <c r="O47" s="596">
        <f t="shared" ref="O47:S47" si="101">E47</f>
        <v>11648700</v>
      </c>
      <c r="P47" s="595">
        <f t="shared" si="101"/>
        <v>11057699.999999998</v>
      </c>
      <c r="Q47" s="597">
        <f t="shared" si="101"/>
        <v>11648700</v>
      </c>
      <c r="R47" s="598">
        <f t="shared" si="101"/>
        <v>11057699.999999998</v>
      </c>
      <c r="S47" s="597">
        <f t="shared" si="101"/>
        <v>11648700</v>
      </c>
      <c r="U47" s="852"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52"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58"/>
      <c r="B48" s="649" t="s">
        <v>477</v>
      </c>
      <c r="C48" s="696" t="s">
        <v>30</v>
      </c>
      <c r="D48" s="758">
        <f>Indata!D40</f>
        <v>0.52928701904391762</v>
      </c>
      <c r="E48" s="759">
        <f>Indata!E40</f>
        <v>0.52928701904391762</v>
      </c>
      <c r="F48" s="759">
        <f>Indata!F40</f>
        <v>0.52928701904391762</v>
      </c>
      <c r="G48" s="759">
        <f>Indata!G40</f>
        <v>0.52928701904391762</v>
      </c>
      <c r="H48" s="759">
        <f>Indata!H40</f>
        <v>0.52928701904391762</v>
      </c>
      <c r="I48" s="760">
        <f>Indata!I40</f>
        <v>0.52928701904391762</v>
      </c>
      <c r="K48" s="858"/>
      <c r="L48" s="649" t="s">
        <v>436</v>
      </c>
      <c r="M48" s="696" t="s">
        <v>30</v>
      </c>
      <c r="N48" s="589">
        <f>(1+'Indata - Effektsamband-Faktorer'!$D$7*N44)*D51</f>
        <v>0.52928701904391762</v>
      </c>
      <c r="O48" s="589">
        <f>(1+'Indata - Effektsamband-Faktorer'!$D$7*O44)*E51</f>
        <v>0.52928701904391762</v>
      </c>
      <c r="P48" s="589">
        <f>(1+'Indata - Effektsamband-Faktorer'!$D$7*P44)*F51</f>
        <v>0.53057316940116017</v>
      </c>
      <c r="Q48" s="589">
        <f>(1+'Indata - Effektsamband-Faktorer'!$D$7*Q44)*G51</f>
        <v>0.5067469465098503</v>
      </c>
      <c r="R48" s="589">
        <f>(1+'Indata - Effektsamband-Faktorer'!$D$7*R44)*H51</f>
        <v>0.53057316940116017</v>
      </c>
      <c r="S48" s="589">
        <f>(1+'Indata - Effektsamband-Faktorer'!$D$7*S44)*I51</f>
        <v>0.53037683683078141</v>
      </c>
      <c r="U48" s="853"/>
      <c r="V48" s="112" t="s">
        <v>29</v>
      </c>
      <c r="W48" s="165" t="s">
        <v>30</v>
      </c>
      <c r="X48" s="232">
        <f>N48</f>
        <v>0.52928701904391762</v>
      </c>
      <c r="Y48" s="233">
        <f t="shared" si="102"/>
        <v>0.52928701904391762</v>
      </c>
      <c r="Z48" s="232">
        <f t="shared" si="103"/>
        <v>0.53057316940116017</v>
      </c>
      <c r="AA48" s="234">
        <f t="shared" si="104"/>
        <v>0.5067469465098503</v>
      </c>
      <c r="AB48" s="235">
        <f t="shared" si="105"/>
        <v>0.53057316940116017</v>
      </c>
      <c r="AC48" s="234">
        <f t="shared" si="106"/>
        <v>0.53037683683078141</v>
      </c>
      <c r="AE48" s="853"/>
      <c r="AF48" s="112" t="s">
        <v>29</v>
      </c>
      <c r="AG48" s="165" t="s">
        <v>30</v>
      </c>
      <c r="AH48" s="232">
        <f>X48</f>
        <v>0.52928701904391762</v>
      </c>
      <c r="AI48" s="233">
        <f t="shared" si="107"/>
        <v>0.52928701904391762</v>
      </c>
      <c r="AJ48" s="232">
        <f t="shared" si="108"/>
        <v>0.53057316940116017</v>
      </c>
      <c r="AK48" s="234">
        <f t="shared" si="109"/>
        <v>0.5067469465098503</v>
      </c>
      <c r="AL48" s="235">
        <f t="shared" si="110"/>
        <v>0.53057316940116017</v>
      </c>
      <c r="AM48" s="234">
        <f t="shared" si="111"/>
        <v>0.53037683683078141</v>
      </c>
    </row>
    <row r="49" spans="1:39" x14ac:dyDescent="0.25">
      <c r="A49" s="858"/>
      <c r="B49" s="649" t="s">
        <v>437</v>
      </c>
      <c r="C49" s="696" t="s">
        <v>35</v>
      </c>
      <c r="D49" s="599">
        <f t="shared" ref="D49:I49" si="112">D47*D48</f>
        <v>5852697.0704819271</v>
      </c>
      <c r="E49" s="601">
        <f t="shared" si="112"/>
        <v>6165505.6987368828</v>
      </c>
      <c r="F49" s="601">
        <f t="shared" si="112"/>
        <v>5852697.0704819271</v>
      </c>
      <c r="G49" s="601">
        <f t="shared" si="112"/>
        <v>6165505.6987368828</v>
      </c>
      <c r="H49" s="601">
        <f t="shared" si="112"/>
        <v>5852697.0704819271</v>
      </c>
      <c r="I49" s="603">
        <f t="shared" si="112"/>
        <v>6165505.6987368828</v>
      </c>
      <c r="K49" s="858"/>
      <c r="L49" s="649" t="s">
        <v>435</v>
      </c>
      <c r="M49" s="696" t="s">
        <v>35</v>
      </c>
      <c r="N49" s="590">
        <f t="shared" ref="N49:S49" si="113">N47*N48</f>
        <v>5852697.0704819271</v>
      </c>
      <c r="O49" s="590">
        <f t="shared" si="113"/>
        <v>6165505.6987368828</v>
      </c>
      <c r="P49" s="590">
        <f t="shared" si="113"/>
        <v>5866918.9352872083</v>
      </c>
      <c r="Q49" s="590">
        <f t="shared" si="113"/>
        <v>5902943.1558092935</v>
      </c>
      <c r="R49" s="590">
        <f t="shared" si="113"/>
        <v>5866918.9352872083</v>
      </c>
      <c r="S49" s="590">
        <f t="shared" si="113"/>
        <v>6178200.6591907237</v>
      </c>
      <c r="U49" s="853"/>
      <c r="V49" s="112" t="s">
        <v>34</v>
      </c>
      <c r="W49" s="165" t="s">
        <v>35</v>
      </c>
      <c r="X49" s="236">
        <f>N49</f>
        <v>5852697.0704819271</v>
      </c>
      <c r="Y49" s="237">
        <f t="shared" si="102"/>
        <v>6165505.6987368828</v>
      </c>
      <c r="Z49" s="236">
        <f t="shared" si="103"/>
        <v>5866918.9352872083</v>
      </c>
      <c r="AA49" s="237">
        <f>Q49</f>
        <v>5902943.1558092935</v>
      </c>
      <c r="AB49" s="238">
        <f t="shared" si="105"/>
        <v>5866918.9352872083</v>
      </c>
      <c r="AC49" s="237">
        <f t="shared" si="106"/>
        <v>6178200.6591907237</v>
      </c>
      <c r="AE49" s="853"/>
      <c r="AF49" s="112" t="s">
        <v>34</v>
      </c>
      <c r="AG49" s="165" t="s">
        <v>35</v>
      </c>
      <c r="AH49" s="236">
        <f t="shared" ref="AH49" si="114">X49</f>
        <v>5852697.0704819271</v>
      </c>
      <c r="AI49" s="237">
        <f t="shared" si="107"/>
        <v>6165505.6987368828</v>
      </c>
      <c r="AJ49" s="236">
        <f t="shared" si="108"/>
        <v>5866918.9352872083</v>
      </c>
      <c r="AK49" s="237">
        <f t="shared" si="109"/>
        <v>5902943.1558092935</v>
      </c>
      <c r="AL49" s="238">
        <f t="shared" si="110"/>
        <v>5866918.9352872083</v>
      </c>
      <c r="AM49" s="237">
        <f t="shared" si="111"/>
        <v>6178200.6591907237</v>
      </c>
    </row>
    <row r="50" spans="1:39" ht="15.75" thickBot="1" x14ac:dyDescent="0.3">
      <c r="A50" s="858"/>
      <c r="B50" s="649" t="s">
        <v>435</v>
      </c>
      <c r="C50" s="696" t="s">
        <v>438</v>
      </c>
      <c r="D50" s="590">
        <f>D49*Indata!D$74*Indata!D$77+D49*(1-Indata!D$74)</f>
        <v>5852697.0704819271</v>
      </c>
      <c r="E50" s="602">
        <f>E49*Indata!E$74*Indata!E$77+E49*(1-Indata!E$74)</f>
        <v>6165505.6987368828</v>
      </c>
      <c r="F50" s="602">
        <f>F49*Indata!F$74*Indata!F$77+F49*(1-Indata!F$74)</f>
        <v>5852697.0704819271</v>
      </c>
      <c r="G50" s="602">
        <f>G49*Indata!G$74*Indata!G$77+G49*(1-Indata!G$74)</f>
        <v>6165505.6987368828</v>
      </c>
      <c r="H50" s="602">
        <f>H49*Indata!H$74*Indata!H$77+H49*(1-Indata!H$74)</f>
        <v>5852697.0704819271</v>
      </c>
      <c r="I50" s="604">
        <f>I49*Indata!I$74*Indata!I$77+I49*(1-Indata!I$74)</f>
        <v>6165505.6987368828</v>
      </c>
      <c r="K50" s="859"/>
      <c r="L50" s="694" t="s">
        <v>228</v>
      </c>
      <c r="M50" s="697" t="s">
        <v>25</v>
      </c>
      <c r="N50" s="592">
        <f>N49/D50-1</f>
        <v>0</v>
      </c>
      <c r="O50" s="593">
        <f>O49/E50-1</f>
        <v>0</v>
      </c>
      <c r="P50" s="592">
        <f>P49/D50-1</f>
        <v>2.4299676942121096E-3</v>
      </c>
      <c r="Q50" s="592">
        <f>Q49/E50-1</f>
        <v>-4.2585727068808032E-2</v>
      </c>
      <c r="R50" s="594">
        <f>R49/D50-1</f>
        <v>2.4299676942121096E-3</v>
      </c>
      <c r="S50" s="593">
        <f>S49/E50-1</f>
        <v>2.0590298791616224E-3</v>
      </c>
      <c r="U50" s="854"/>
      <c r="V50" s="113" t="s">
        <v>228</v>
      </c>
      <c r="W50" s="167" t="s">
        <v>25</v>
      </c>
      <c r="X50" s="587">
        <f>X49/D49-1</f>
        <v>0</v>
      </c>
      <c r="Y50" s="586">
        <f t="shared" ref="Y50" si="115">Y49/E49-1</f>
        <v>0</v>
      </c>
      <c r="Z50" s="587">
        <f>Z49/D49-1</f>
        <v>2.4299676942121096E-3</v>
      </c>
      <c r="AA50" s="586">
        <f>AA49/E49-1</f>
        <v>-4.2585727068808032E-2</v>
      </c>
      <c r="AB50" s="588">
        <f>AB49/D49-1</f>
        <v>2.4299676942121096E-3</v>
      </c>
      <c r="AC50" s="586">
        <f>AC49/E49-1</f>
        <v>2.0590298791616224E-3</v>
      </c>
      <c r="AE50" s="854"/>
      <c r="AF50" s="113" t="s">
        <v>228</v>
      </c>
      <c r="AG50" s="167" t="s">
        <v>25</v>
      </c>
      <c r="AH50" s="587">
        <f>AH49/D49-1</f>
        <v>0</v>
      </c>
      <c r="AI50" s="586">
        <f t="shared" ref="AI50" si="116">AI49/E49-1</f>
        <v>0</v>
      </c>
      <c r="AJ50" s="587">
        <f>AJ49/D49-1</f>
        <v>2.4299676942121096E-3</v>
      </c>
      <c r="AK50" s="586">
        <f>AK49/E49-1</f>
        <v>-4.2585727068808032E-2</v>
      </c>
      <c r="AL50" s="588">
        <f>AL49/D49-1</f>
        <v>2.4299676942121096E-3</v>
      </c>
      <c r="AM50" s="586">
        <f>AM49/E49-1</f>
        <v>2.0590298791616224E-3</v>
      </c>
    </row>
    <row r="51" spans="1:39" x14ac:dyDescent="0.25">
      <c r="A51" s="858"/>
      <c r="B51" s="649" t="s">
        <v>476</v>
      </c>
      <c r="C51" s="696" t="s">
        <v>439</v>
      </c>
      <c r="D51" s="761">
        <f t="shared" ref="D51:I51" si="117">D50/D47</f>
        <v>0.52928701904391762</v>
      </c>
      <c r="E51" s="762">
        <f t="shared" si="117"/>
        <v>0.52928701904391762</v>
      </c>
      <c r="F51" s="762">
        <f t="shared" si="117"/>
        <v>0.52928701904391762</v>
      </c>
      <c r="G51" s="762">
        <f>G50/G47</f>
        <v>0.52928701904391762</v>
      </c>
      <c r="H51" s="766">
        <f t="shared" si="117"/>
        <v>0.52928701904391762</v>
      </c>
      <c r="I51" s="763">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A52" s="859"/>
      <c r="B52" s="694" t="s">
        <v>459</v>
      </c>
      <c r="C52" s="754"/>
      <c r="D52" s="764">
        <f>(Indata!D74*Indata!D77)/(Indata!D74*Indata!D77+(1-Indata!D74))</f>
        <v>0</v>
      </c>
      <c r="E52" s="767">
        <f>(Indata!E74*Indata!E77)/(Indata!E74*Indata!E77+(1-Indata!E74))</f>
        <v>0</v>
      </c>
      <c r="F52" s="767">
        <f>(Indata!F74*Indata!F77)/(Indata!F74*Indata!F77+(1-Indata!F74))</f>
        <v>0</v>
      </c>
      <c r="G52" s="767">
        <f>(Indata!G74*Indata!G77)/(Indata!G74*Indata!G77+(1-Indata!G74))</f>
        <v>0</v>
      </c>
      <c r="H52" s="767">
        <f>(Indata!H74*Indata!H77)/(Indata!H74*Indata!H77+(1-Indata!H74))</f>
        <v>0</v>
      </c>
      <c r="I52" s="765">
        <f>(Indata!I74*Indata!I77)/(Indata!I74*Indata!I77+(1-Indata!I74))</f>
        <v>0</v>
      </c>
      <c r="N52" s="75"/>
      <c r="O52" s="75"/>
      <c r="P52" s="75"/>
      <c r="Q52" s="191"/>
      <c r="R52" s="591"/>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10"/>
      <c r="H53" s="75"/>
      <c r="I53" s="75"/>
      <c r="N53" s="75"/>
      <c r="O53" s="75"/>
      <c r="P53" s="75"/>
      <c r="Q53" s="191"/>
      <c r="R53" s="75"/>
      <c r="S53" s="75"/>
      <c r="X53" s="75"/>
      <c r="Y53" s="75"/>
      <c r="Z53" s="191"/>
      <c r="AA53" s="191"/>
      <c r="AB53" s="75"/>
      <c r="AC53" s="75"/>
      <c r="AE53" s="839"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0.43775669709034659</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840"/>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0.38473649843703134</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840"/>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841"/>
      <c r="AF56" s="163" t="s">
        <v>16</v>
      </c>
      <c r="AG56" s="163" t="s">
        <v>126</v>
      </c>
      <c r="AH56" s="409">
        <f>SUM(AH53:AH55)</f>
        <v>8.5592112689865587</v>
      </c>
      <c r="AI56" s="410">
        <f t="shared" ref="AI56:AM56" si="118">SUM(AI53:AI55)</f>
        <v>5.9305004479852048</v>
      </c>
      <c r="AJ56" s="409">
        <f t="shared" si="118"/>
        <v>8.6217081694868458</v>
      </c>
      <c r="AK56" s="410">
        <f t="shared" si="118"/>
        <v>0.82249319552737798</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839"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0.26441987893888891</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840"/>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0.55759676789532997</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840"/>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841"/>
      <c r="AF60" s="163" t="s">
        <v>16</v>
      </c>
      <c r="AG60" s="163" t="s">
        <v>283</v>
      </c>
      <c r="AH60" s="414">
        <f>SUM(AH57:AH59)</f>
        <v>7.8686899346495895</v>
      </c>
      <c r="AI60" s="415">
        <f t="shared" ref="AI60:AM60" si="119">SUM(AI57:AI59)</f>
        <v>4.4792893434791239</v>
      </c>
      <c r="AJ60" s="414">
        <f t="shared" si="119"/>
        <v>7.9261448468440436</v>
      </c>
      <c r="AK60" s="415">
        <f t="shared" si="119"/>
        <v>0.82201664683421893</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839"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8.1860116329657423E-3</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840"/>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1.1069591087644963E-2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840"/>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841"/>
      <c r="AF64" s="163" t="s">
        <v>16</v>
      </c>
      <c r="AG64" s="163" t="s">
        <v>283</v>
      </c>
      <c r="AH64" s="413">
        <f>SUM(AH61:AH63)</f>
        <v>0.12869512966322685</v>
      </c>
      <c r="AI64" s="421">
        <f>SUM(AI61:AI63)</f>
        <v>0.1036167257327123</v>
      </c>
      <c r="AJ64" s="413">
        <f>SUM(AJ61:AJ63)</f>
        <v>0.12963482450900987</v>
      </c>
      <c r="AK64" s="421">
        <f>SUM(AK61:AK63)</f>
        <v>1.9255602720610707E-2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12.898060251859381</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39"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1.6879601455602349</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840"/>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1.4844164112924836</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840"/>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0.53593941577836035</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840"/>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0.69999977677199465</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840"/>
      <c r="AF72" s="112" t="s">
        <v>7</v>
      </c>
      <c r="AG72" s="165" t="s">
        <v>127</v>
      </c>
      <c r="AH72" s="222">
        <f t="shared" ref="AH72:AM72" si="121">AH15*AH36/10</f>
        <v>2.5655480975680214</v>
      </c>
      <c r="AI72" s="223">
        <f t="shared" si="121"/>
        <v>6.1063150000000013</v>
      </c>
      <c r="AJ72" s="222">
        <f t="shared" si="121"/>
        <v>2.5842809923574492</v>
      </c>
      <c r="AK72" s="223">
        <f t="shared" si="121"/>
        <v>8.1129509334896248</v>
      </c>
      <c r="AL72" s="224">
        <f t="shared" si="121"/>
        <v>2.5842809923574492</v>
      </c>
      <c r="AM72" s="223">
        <f t="shared" si="121"/>
        <v>6.144086031825247</v>
      </c>
    </row>
    <row r="73" spans="4:39" x14ac:dyDescent="0.25">
      <c r="AE73" s="840"/>
      <c r="AF73" s="161" t="s">
        <v>129</v>
      </c>
      <c r="AG73" s="242" t="s">
        <v>127</v>
      </c>
      <c r="AH73" s="192">
        <f>SUM(AH68:AH69)</f>
        <v>33.012893657749572</v>
      </c>
      <c r="AI73" s="193">
        <f t="shared" ref="AI73:AM73" si="122">SUM(AI68:AI69)</f>
        <v>22.873748469091744</v>
      </c>
      <c r="AJ73" s="192">
        <f t="shared" si="122"/>
        <v>33.253944318297087</v>
      </c>
      <c r="AK73" s="193">
        <f t="shared" si="122"/>
        <v>3.1723765568527185</v>
      </c>
      <c r="AL73" s="194">
        <f t="shared" si="122"/>
        <v>33.253944318297087</v>
      </c>
      <c r="AM73" s="193">
        <f t="shared" si="122"/>
        <v>23.015235615003597</v>
      </c>
    </row>
    <row r="74" spans="4:39" x14ac:dyDescent="0.25">
      <c r="AE74" s="840"/>
      <c r="AF74" s="161" t="s">
        <v>130</v>
      </c>
      <c r="AG74" s="242" t="s">
        <v>127</v>
      </c>
      <c r="AH74" s="192">
        <f>SUM(AH70:AH71)</f>
        <v>7.7470767782154928</v>
      </c>
      <c r="AI74" s="193">
        <f t="shared" ref="AI74:AM74" si="123">SUM(AI70:AI71)</f>
        <v>5.2344186079651784</v>
      </c>
      <c r="AJ74" s="192">
        <f t="shared" si="123"/>
        <v>7.8036437060971027</v>
      </c>
      <c r="AK74" s="193">
        <f t="shared" si="123"/>
        <v>1.2359391925503549</v>
      </c>
      <c r="AL74" s="194">
        <f t="shared" si="123"/>
        <v>7.8036437060971027</v>
      </c>
      <c r="AM74" s="193">
        <f t="shared" si="123"/>
        <v>5.2667964646312866</v>
      </c>
    </row>
    <row r="75" spans="4:39" ht="15.75" thickBot="1" x14ac:dyDescent="0.3">
      <c r="AE75" s="841"/>
      <c r="AF75" s="163" t="s">
        <v>131</v>
      </c>
      <c r="AG75" s="243" t="s">
        <v>127</v>
      </c>
      <c r="AH75" s="195">
        <f>AH72</f>
        <v>2.5655480975680214</v>
      </c>
      <c r="AI75" s="196">
        <f t="shared" ref="AI75:AM75" si="124">AI72</f>
        <v>6.1063150000000013</v>
      </c>
      <c r="AJ75" s="195">
        <f t="shared" si="124"/>
        <v>2.5842809923574492</v>
      </c>
      <c r="AK75" s="196">
        <f t="shared" si="124"/>
        <v>8.1129509334896248</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839"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11.68049896068071</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840"/>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4.7084910407628691</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840"/>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4.3201845471010856</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840"/>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2.3191075275399209</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840"/>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2.7308192842126071</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840"/>
      <c r="AF83" s="161" t="s">
        <v>129</v>
      </c>
      <c r="AG83" s="242" t="s">
        <v>134</v>
      </c>
      <c r="AH83" s="192">
        <f>SUM(AH78:AH79)</f>
        <v>24.335398812970908</v>
      </c>
      <c r="AI83" s="193">
        <f t="shared" ref="AI83:AM83" si="125">SUM(AI78:AI79)</f>
        <v>20.676195209416434</v>
      </c>
      <c r="AJ83" s="192">
        <f t="shared" si="125"/>
        <v>24.513088900346119</v>
      </c>
      <c r="AK83" s="193">
        <f t="shared" si="125"/>
        <v>16.388990001443581</v>
      </c>
      <c r="AL83" s="194">
        <f t="shared" si="125"/>
        <v>24.513088900346119</v>
      </c>
      <c r="AM83" s="193">
        <f t="shared" si="125"/>
        <v>20.804089238348755</v>
      </c>
    </row>
    <row r="84" spans="31:39" x14ac:dyDescent="0.25">
      <c r="AE84" s="840"/>
      <c r="AF84" s="161" t="s">
        <v>130</v>
      </c>
      <c r="AG84" s="242" t="s">
        <v>134</v>
      </c>
      <c r="AH84" s="192">
        <f>SUM(AH80:AH81)</f>
        <v>5.3590207809846397</v>
      </c>
      <c r="AI84" s="193">
        <f t="shared" ref="AI84:AM84" si="126">SUM(AI80:AI81)</f>
        <v>4.4448355030893012</v>
      </c>
      <c r="AJ84" s="192">
        <f t="shared" si="126"/>
        <v>5.398150810376686</v>
      </c>
      <c r="AK84" s="193">
        <f t="shared" si="126"/>
        <v>6.6392920746410065</v>
      </c>
      <c r="AL84" s="194">
        <f t="shared" si="126"/>
        <v>5.398150810376686</v>
      </c>
      <c r="AM84" s="193">
        <f t="shared" si="126"/>
        <v>4.4723293391009014</v>
      </c>
    </row>
    <row r="85" spans="31:39" ht="15.75" thickBot="1" x14ac:dyDescent="0.3">
      <c r="AE85" s="841"/>
      <c r="AF85" s="163" t="s">
        <v>131</v>
      </c>
      <c r="AG85" s="243" t="s">
        <v>134</v>
      </c>
      <c r="AH85" s="195">
        <f>AH82</f>
        <v>0.86356348964139595</v>
      </c>
      <c r="AI85" s="196">
        <f t="shared" ref="AI85:AM85" si="127">AI82</f>
        <v>2.0553856290000003</v>
      </c>
      <c r="AJ85" s="195">
        <f>AJ82</f>
        <v>0.86986898202751739</v>
      </c>
      <c r="AK85" s="196">
        <f t="shared" si="127"/>
        <v>2.7308192842126071</v>
      </c>
      <c r="AL85" s="197">
        <f t="shared" si="127"/>
        <v>0.86986898202751739</v>
      </c>
      <c r="AM85" s="196">
        <f t="shared" si="127"/>
        <v>2.0680993583123781</v>
      </c>
    </row>
    <row r="86" spans="31:39" ht="14.45" customHeight="1" x14ac:dyDescent="0.25">
      <c r="AE86" s="839" t="s">
        <v>197</v>
      </c>
      <c r="AF86" s="111" t="s">
        <v>8</v>
      </c>
      <c r="AG86" s="164" t="s">
        <v>134</v>
      </c>
      <c r="AH86" s="176">
        <f t="shared" ref="AH86:AM88" si="128">AH34/10*AH24</f>
        <v>0</v>
      </c>
      <c r="AI86" s="201">
        <f t="shared" si="128"/>
        <v>0</v>
      </c>
      <c r="AJ86" s="176">
        <f t="shared" si="128"/>
        <v>0</v>
      </c>
      <c r="AK86" s="177">
        <f t="shared" si="128"/>
        <v>4.5442998569691087</v>
      </c>
      <c r="AL86" s="178">
        <f t="shared" si="128"/>
        <v>0</v>
      </c>
      <c r="AM86" s="177">
        <f t="shared" si="128"/>
        <v>0</v>
      </c>
    </row>
    <row r="87" spans="31:39" x14ac:dyDescent="0.25">
      <c r="AE87" s="840"/>
      <c r="AF87" s="112" t="s">
        <v>9</v>
      </c>
      <c r="AG87" s="165" t="s">
        <v>134</v>
      </c>
      <c r="AH87" s="179">
        <f t="shared" si="128"/>
        <v>0</v>
      </c>
      <c r="AI87" s="202">
        <f t="shared" si="128"/>
        <v>0</v>
      </c>
      <c r="AJ87" s="179">
        <f t="shared" si="128"/>
        <v>0</v>
      </c>
      <c r="AK87" s="180">
        <f t="shared" si="128"/>
        <v>4.048109577877387</v>
      </c>
      <c r="AL87" s="181">
        <f t="shared" si="128"/>
        <v>0</v>
      </c>
      <c r="AM87" s="180">
        <f t="shared" si="128"/>
        <v>0</v>
      </c>
    </row>
    <row r="88" spans="31:39" x14ac:dyDescent="0.25">
      <c r="AE88" s="840"/>
      <c r="AF88" s="112" t="s">
        <v>7</v>
      </c>
      <c r="AG88" s="165" t="s">
        <v>134</v>
      </c>
      <c r="AH88" s="179">
        <f t="shared" si="128"/>
        <v>0</v>
      </c>
      <c r="AI88" s="202">
        <f t="shared" si="128"/>
        <v>0</v>
      </c>
      <c r="AJ88" s="179">
        <f t="shared" si="128"/>
        <v>0</v>
      </c>
      <c r="AK88" s="180">
        <f t="shared" si="128"/>
        <v>39.130413497033217</v>
      </c>
      <c r="AL88" s="181">
        <f t="shared" si="128"/>
        <v>0</v>
      </c>
      <c r="AM88" s="180">
        <f t="shared" si="128"/>
        <v>0</v>
      </c>
    </row>
    <row r="89" spans="31:39" ht="15.75" thickBot="1" x14ac:dyDescent="0.3">
      <c r="AE89" s="841"/>
      <c r="AF89" s="163" t="s">
        <v>16</v>
      </c>
      <c r="AG89" s="243" t="s">
        <v>134</v>
      </c>
      <c r="AH89" s="182">
        <f>SUM(AH86:AH88)</f>
        <v>0</v>
      </c>
      <c r="AI89" s="183">
        <f t="shared" ref="AI89:AM89" si="129">SUM(AI86:AI88)</f>
        <v>0</v>
      </c>
      <c r="AJ89" s="182">
        <f t="shared" si="129"/>
        <v>0</v>
      </c>
      <c r="AK89" s="184">
        <f t="shared" si="129"/>
        <v>47.722822931879712</v>
      </c>
      <c r="AL89" s="185">
        <f t="shared" si="129"/>
        <v>0</v>
      </c>
      <c r="AM89" s="184">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47:A52"/>
    <mergeCell ref="A13:A15"/>
    <mergeCell ref="K47:K50"/>
    <mergeCell ref="H3:I3"/>
    <mergeCell ref="K6:K10"/>
    <mergeCell ref="A40:A44"/>
    <mergeCell ref="K40:K44"/>
    <mergeCell ref="A6:A1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90" zoomScaleNormal="90" workbookViewId="0">
      <pane ySplit="4" topLeftCell="A79" activePane="bottomLeft" state="frozen"/>
      <selection pane="bottomLeft" activeCell="F89" sqref="F8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842" t="s">
        <v>66</v>
      </c>
      <c r="B3" s="844" t="s">
        <v>221</v>
      </c>
      <c r="C3" s="845"/>
      <c r="D3" s="869">
        <f>'Modell - Tunga fordon'!D89</f>
        <v>0</v>
      </c>
      <c r="E3" s="855"/>
      <c r="F3" s="842" t="s">
        <v>64</v>
      </c>
      <c r="G3" s="855"/>
      <c r="H3" s="856" t="s">
        <v>65</v>
      </c>
      <c r="I3" s="855"/>
      <c r="K3" s="842" t="s">
        <v>66</v>
      </c>
      <c r="L3" s="844" t="s">
        <v>234</v>
      </c>
      <c r="M3" s="845"/>
      <c r="N3" s="842" t="s">
        <v>63</v>
      </c>
      <c r="O3" s="855"/>
      <c r="P3" s="842" t="s">
        <v>64</v>
      </c>
      <c r="Q3" s="855"/>
      <c r="R3" s="856" t="s">
        <v>65</v>
      </c>
      <c r="S3" s="855"/>
      <c r="U3" s="842" t="s">
        <v>66</v>
      </c>
      <c r="V3" s="844" t="s">
        <v>235</v>
      </c>
      <c r="W3" s="845"/>
      <c r="X3" s="842" t="s">
        <v>63</v>
      </c>
      <c r="Y3" s="855"/>
      <c r="Z3" s="842" t="s">
        <v>64</v>
      </c>
      <c r="AA3" s="855"/>
      <c r="AB3" s="856" t="s">
        <v>65</v>
      </c>
      <c r="AC3" s="855"/>
      <c r="AE3" s="842" t="s">
        <v>66</v>
      </c>
      <c r="AF3" s="844" t="s">
        <v>232</v>
      </c>
      <c r="AG3" s="845"/>
      <c r="AH3" s="842" t="s">
        <v>63</v>
      </c>
      <c r="AI3" s="855"/>
      <c r="AJ3" s="842" t="s">
        <v>64</v>
      </c>
      <c r="AK3" s="855"/>
      <c r="AL3" s="856" t="s">
        <v>65</v>
      </c>
      <c r="AM3" s="855"/>
    </row>
    <row r="4" spans="1:39" s="105" customFormat="1" ht="41.25" customHeight="1" thickBot="1" x14ac:dyDescent="0.25">
      <c r="A4" s="843"/>
      <c r="B4" s="846"/>
      <c r="C4" s="847"/>
      <c r="D4" s="239">
        <v>2030</v>
      </c>
      <c r="E4" s="240">
        <v>2040</v>
      </c>
      <c r="F4" s="239">
        <v>2030</v>
      </c>
      <c r="G4" s="240">
        <v>2040</v>
      </c>
      <c r="H4" s="241">
        <v>2030</v>
      </c>
      <c r="I4" s="240">
        <v>2040</v>
      </c>
      <c r="K4" s="843"/>
      <c r="L4" s="846"/>
      <c r="M4" s="847"/>
      <c r="N4" s="239">
        <v>2030</v>
      </c>
      <c r="O4" s="240">
        <v>2040</v>
      </c>
      <c r="P4" s="239">
        <v>2030</v>
      </c>
      <c r="Q4" s="240">
        <v>2040</v>
      </c>
      <c r="R4" s="241">
        <v>2030</v>
      </c>
      <c r="S4" s="240">
        <v>2040</v>
      </c>
      <c r="U4" s="843"/>
      <c r="V4" s="846"/>
      <c r="W4" s="847"/>
      <c r="X4" s="239">
        <v>2030</v>
      </c>
      <c r="Y4" s="240">
        <v>2040</v>
      </c>
      <c r="Z4" s="239">
        <v>2030</v>
      </c>
      <c r="AA4" s="240">
        <v>2040</v>
      </c>
      <c r="AB4" s="241">
        <v>2030</v>
      </c>
      <c r="AC4" s="240">
        <v>2040</v>
      </c>
      <c r="AE4" s="843"/>
      <c r="AF4" s="846"/>
      <c r="AG4" s="847"/>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52"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52" t="s">
        <v>0</v>
      </c>
      <c r="L6" s="111" t="s">
        <v>9</v>
      </c>
      <c r="M6" s="164" t="s">
        <v>256</v>
      </c>
      <c r="N6" s="176">
        <f>'Modell - Drivmedelpriser'!E58</f>
        <v>13.466674098111907</v>
      </c>
      <c r="O6" s="177">
        <f>'Modell - Drivmedelpriser'!F58</f>
        <v>16.350158148247193</v>
      </c>
      <c r="P6" s="176">
        <f>'Modell - Drivmedelpriser'!G58</f>
        <v>13.466674098111907</v>
      </c>
      <c r="Q6" s="177">
        <f>'Modell - Drivmedelpriser'!H58</f>
        <v>40.643652499620138</v>
      </c>
      <c r="R6" s="178">
        <f>'Modell - Drivmedelpriser'!I58</f>
        <v>13.466674098111907</v>
      </c>
      <c r="S6" s="177">
        <f>'Modell - Drivmedelpriser'!J58</f>
        <v>16.350158148247193</v>
      </c>
      <c r="U6" s="852" t="s">
        <v>0</v>
      </c>
      <c r="V6" s="111" t="s">
        <v>9</v>
      </c>
      <c r="W6" s="164" t="s">
        <v>256</v>
      </c>
      <c r="X6" s="176">
        <f t="shared" ref="X6:AC7" si="0">N6</f>
        <v>13.466674098111907</v>
      </c>
      <c r="Y6" s="177">
        <f t="shared" si="0"/>
        <v>16.350158148247193</v>
      </c>
      <c r="Z6" s="176">
        <f t="shared" si="0"/>
        <v>13.466674098111907</v>
      </c>
      <c r="AA6" s="177">
        <f t="shared" si="0"/>
        <v>40.643652499620138</v>
      </c>
      <c r="AB6" s="178">
        <f t="shared" si="0"/>
        <v>13.466674098111907</v>
      </c>
      <c r="AC6" s="177">
        <f t="shared" si="0"/>
        <v>16.350158148247193</v>
      </c>
      <c r="AE6" s="852" t="s">
        <v>0</v>
      </c>
      <c r="AF6" s="111" t="s">
        <v>9</v>
      </c>
      <c r="AG6" s="164" t="s">
        <v>256</v>
      </c>
      <c r="AH6" s="176">
        <f>X6</f>
        <v>13.466674098111907</v>
      </c>
      <c r="AI6" s="177">
        <f t="shared" ref="AI6:AI7" si="1">Y6</f>
        <v>16.350158148247193</v>
      </c>
      <c r="AJ6" s="176">
        <f t="shared" ref="AJ6:AJ7" si="2">Z6</f>
        <v>13.466674098111907</v>
      </c>
      <c r="AK6" s="177">
        <f t="shared" ref="AK6:AK7" si="3">AA6</f>
        <v>40.643652499620138</v>
      </c>
      <c r="AL6" s="178">
        <f t="shared" ref="AL6:AL7" si="4">AB6</f>
        <v>13.466674098111907</v>
      </c>
      <c r="AM6" s="177">
        <f t="shared" ref="AM6:AM7" si="5">AC6</f>
        <v>16.350158148247193</v>
      </c>
    </row>
    <row r="7" spans="1:39" x14ac:dyDescent="0.25">
      <c r="A7" s="853"/>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53"/>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53"/>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53"/>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54"/>
      <c r="B8" s="162" t="s">
        <v>238</v>
      </c>
      <c r="C8" s="166" t="s">
        <v>25</v>
      </c>
      <c r="D8" s="259" t="s">
        <v>77</v>
      </c>
      <c r="E8" s="260" t="s">
        <v>77</v>
      </c>
      <c r="F8" s="259" t="s">
        <v>77</v>
      </c>
      <c r="G8" s="261" t="s">
        <v>77</v>
      </c>
      <c r="H8" s="262" t="s">
        <v>77</v>
      </c>
      <c r="I8" s="261" t="s">
        <v>77</v>
      </c>
      <c r="K8" s="854"/>
      <c r="L8" s="162" t="s">
        <v>238</v>
      </c>
      <c r="M8" s="166" t="s">
        <v>25</v>
      </c>
      <c r="N8" s="198">
        <f>N6/D6-1</f>
        <v>0</v>
      </c>
      <c r="O8" s="278">
        <f t="shared" ref="O8:S8" si="7">O6/E6-1</f>
        <v>0</v>
      </c>
      <c r="P8" s="198">
        <f t="shared" si="7"/>
        <v>0</v>
      </c>
      <c r="Q8" s="199">
        <f>Q6/G6-1</f>
        <v>1.4858262611959696</v>
      </c>
      <c r="R8" s="200">
        <f t="shared" si="7"/>
        <v>0</v>
      </c>
      <c r="S8" s="199">
        <f t="shared" si="7"/>
        <v>0</v>
      </c>
      <c r="U8" s="854"/>
      <c r="V8" s="162" t="s">
        <v>238</v>
      </c>
      <c r="W8" s="166" t="s">
        <v>25</v>
      </c>
      <c r="X8" s="198">
        <f t="shared" ref="X8:AC8" si="8">X6/D6-1</f>
        <v>0</v>
      </c>
      <c r="Y8" s="278">
        <f t="shared" si="8"/>
        <v>0</v>
      </c>
      <c r="Z8" s="198">
        <f t="shared" si="8"/>
        <v>0</v>
      </c>
      <c r="AA8" s="199">
        <f t="shared" si="8"/>
        <v>1.4858262611959696</v>
      </c>
      <c r="AB8" s="200">
        <f t="shared" si="8"/>
        <v>0</v>
      </c>
      <c r="AC8" s="199">
        <f t="shared" si="8"/>
        <v>0</v>
      </c>
      <c r="AE8" s="854"/>
      <c r="AF8" s="162" t="s">
        <v>238</v>
      </c>
      <c r="AG8" s="166" t="s">
        <v>25</v>
      </c>
      <c r="AH8" s="198">
        <f t="shared" ref="AH8:AM8" si="9">AH6/D6-1</f>
        <v>0</v>
      </c>
      <c r="AI8" s="278">
        <f t="shared" si="9"/>
        <v>0</v>
      </c>
      <c r="AJ8" s="198">
        <f t="shared" si="9"/>
        <v>0</v>
      </c>
      <c r="AK8" s="199">
        <f t="shared" si="9"/>
        <v>1.4858262611959696</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419</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839"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63" t="s">
        <v>38</v>
      </c>
      <c r="L11" s="572" t="s">
        <v>135</v>
      </c>
      <c r="M11" s="57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1.0426634615697707</v>
      </c>
      <c r="R11" s="176">
        <f>H11*(1+Indata!H$72*H$91)*(100%+R$8*'Indata - Effektsamband-Faktorer'!$D$6)*(1-Indata!H$20)</f>
        <v>1.3711829648990548</v>
      </c>
      <c r="S11" s="176">
        <f>I11*(1+Indata!I$72*I$91)*(100%+S$8*'Indata - Effektsamband-Faktorer'!$D$6)*(1-Indata!I$20)</f>
        <v>1.0975404858629165</v>
      </c>
      <c r="U11" s="839" t="s">
        <v>38</v>
      </c>
      <c r="V11" s="111" t="s">
        <v>135</v>
      </c>
      <c r="W11" s="111" t="s">
        <v>39</v>
      </c>
      <c r="X11" s="176">
        <f t="shared" ref="X11:AC14" si="10">N11</f>
        <v>1.409627347092486</v>
      </c>
      <c r="Y11" s="201">
        <f t="shared" si="10"/>
        <v>1.0975404858629165</v>
      </c>
      <c r="Z11" s="176">
        <f t="shared" si="10"/>
        <v>1.3711829648990548</v>
      </c>
      <c r="AA11" s="177">
        <f t="shared" si="10"/>
        <v>1.0426634615697707</v>
      </c>
      <c r="AB11" s="178">
        <f t="shared" si="10"/>
        <v>1.3711829648990548</v>
      </c>
      <c r="AC11" s="177">
        <f t="shared" si="10"/>
        <v>1.0975404858629165</v>
      </c>
      <c r="AE11" s="839" t="s">
        <v>38</v>
      </c>
      <c r="AF11" s="111" t="s">
        <v>135</v>
      </c>
      <c r="AG11" s="111" t="s">
        <v>39</v>
      </c>
      <c r="AH11" s="176">
        <f>X11</f>
        <v>1.409627347092486</v>
      </c>
      <c r="AI11" s="201">
        <f t="shared" ref="AI11:AI14" si="11">Y11</f>
        <v>1.0975404858629165</v>
      </c>
      <c r="AJ11" s="176">
        <f t="shared" ref="AJ11:AJ14" si="12">Z11</f>
        <v>1.3711829648990548</v>
      </c>
      <c r="AK11" s="177">
        <f t="shared" ref="AK11:AK14" si="13">AA11</f>
        <v>1.0426634615697707</v>
      </c>
      <c r="AL11" s="178">
        <f t="shared" ref="AL11:AL14" si="14">AB11</f>
        <v>1.3711829648990548</v>
      </c>
      <c r="AM11" s="177">
        <f t="shared" ref="AM11:AM14" si="15">AC11</f>
        <v>1.0975404858629165</v>
      </c>
    </row>
    <row r="12" spans="1:39" ht="15.75" thickBot="1" x14ac:dyDescent="0.3">
      <c r="A12" s="840"/>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64"/>
      <c r="L12" s="573" t="s">
        <v>136</v>
      </c>
      <c r="M12" s="57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1.3586603294473698</v>
      </c>
      <c r="R12" s="176">
        <f>H12*(1+Indata!H$72*H$91)*(100%+R$8*'Indata - Effektsamband-Faktorer'!$D$6)*(1-Indata!H$20)</f>
        <v>1.8016389541978322</v>
      </c>
      <c r="S12" s="176">
        <f>I12*(1+Indata!I$72*I$91)*(100%+S$8*'Indata - Effektsamband-Faktorer'!$D$6)*(1-Indata!I$20)</f>
        <v>1.4301687678393367</v>
      </c>
      <c r="U12" s="840"/>
      <c r="V12" s="112" t="s">
        <v>136</v>
      </c>
      <c r="W12" s="112" t="s">
        <v>39</v>
      </c>
      <c r="X12" s="179">
        <f t="shared" si="10"/>
        <v>1.8521521959043132</v>
      </c>
      <c r="Y12" s="202">
        <f t="shared" si="10"/>
        <v>1.4301687678393367</v>
      </c>
      <c r="Z12" s="179">
        <f t="shared" si="10"/>
        <v>1.8016389541978322</v>
      </c>
      <c r="AA12" s="180">
        <f t="shared" si="10"/>
        <v>1.3586603294473698</v>
      </c>
      <c r="AB12" s="181">
        <f t="shared" si="10"/>
        <v>1.8016389541978322</v>
      </c>
      <c r="AC12" s="180">
        <f t="shared" si="10"/>
        <v>1.4301687678393367</v>
      </c>
      <c r="AE12" s="840"/>
      <c r="AF12" s="112" t="s">
        <v>136</v>
      </c>
      <c r="AG12" s="112" t="s">
        <v>39</v>
      </c>
      <c r="AH12" s="179">
        <f>X12</f>
        <v>1.8521521959043132</v>
      </c>
      <c r="AI12" s="202">
        <f t="shared" si="11"/>
        <v>1.4301687678393367</v>
      </c>
      <c r="AJ12" s="179">
        <f t="shared" si="12"/>
        <v>1.8016389541978322</v>
      </c>
      <c r="AK12" s="180">
        <f t="shared" si="13"/>
        <v>1.3586603294473698</v>
      </c>
      <c r="AL12" s="181">
        <f t="shared" si="14"/>
        <v>1.8016389541978322</v>
      </c>
      <c r="AM12" s="180">
        <f t="shared" si="15"/>
        <v>1.4301687678393367</v>
      </c>
    </row>
    <row r="13" spans="1:39" ht="15.75" thickBot="1" x14ac:dyDescent="0.3">
      <c r="A13" s="840"/>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64"/>
      <c r="L13" s="573" t="s">
        <v>137</v>
      </c>
      <c r="M13" s="57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1.6856795606751238</v>
      </c>
      <c r="R13" s="176">
        <f>H13*(1+Indata!H$72*H$91)*(100%+R$8*'Indata - Effektsamband-Faktorer'!$D$6)*(1-Indata!H$20)</f>
        <v>2.2144610621664573</v>
      </c>
      <c r="S13" s="176">
        <f>I13*(1+Indata!I$72*I$91)*(100%+S$8*'Indata - Effektsamband-Faktorer'!$D$6)*(1-Indata!I$20)</f>
        <v>1.7743995375527619</v>
      </c>
      <c r="U13" s="840"/>
      <c r="V13" s="112" t="s">
        <v>137</v>
      </c>
      <c r="W13" s="112" t="s">
        <v>39</v>
      </c>
      <c r="X13" s="255">
        <f t="shared" si="10"/>
        <v>2.2765487554982271</v>
      </c>
      <c r="Y13" s="256">
        <f t="shared" si="10"/>
        <v>1.7743995375527619</v>
      </c>
      <c r="Z13" s="255">
        <f t="shared" si="10"/>
        <v>2.2144610621664573</v>
      </c>
      <c r="AA13" s="257">
        <f t="shared" si="10"/>
        <v>1.6856795606751238</v>
      </c>
      <c r="AB13" s="258">
        <f t="shared" si="10"/>
        <v>2.2144610621664573</v>
      </c>
      <c r="AC13" s="257">
        <f t="shared" si="10"/>
        <v>1.7743995375527619</v>
      </c>
      <c r="AE13" s="840"/>
      <c r="AF13" s="112" t="s">
        <v>137</v>
      </c>
      <c r="AG13" s="112" t="s">
        <v>39</v>
      </c>
      <c r="AH13" s="255">
        <f t="shared" ref="AH13:AH14" si="16">X13</f>
        <v>2.2765487554982271</v>
      </c>
      <c r="AI13" s="256">
        <f t="shared" si="11"/>
        <v>1.7743995375527619</v>
      </c>
      <c r="AJ13" s="255">
        <f t="shared" si="12"/>
        <v>2.2144610621664573</v>
      </c>
      <c r="AK13" s="257">
        <f t="shared" si="13"/>
        <v>1.6856795606751238</v>
      </c>
      <c r="AL13" s="258">
        <f t="shared" si="14"/>
        <v>2.2144610621664573</v>
      </c>
      <c r="AM13" s="257">
        <f t="shared" si="15"/>
        <v>1.7743995375527619</v>
      </c>
    </row>
    <row r="14" spans="1:39" x14ac:dyDescent="0.25">
      <c r="A14" s="840"/>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64"/>
      <c r="L14" s="573" t="s">
        <v>138</v>
      </c>
      <c r="M14" s="57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2.1857710968366377</v>
      </c>
      <c r="R14" s="176">
        <f>H14*(1+Indata!H$72*H$91)*(100%+R$8*'Indata - Effektsamband-Faktorer'!$D$6)*(1-Indata!H$20)</f>
        <v>2.8563960443630543</v>
      </c>
      <c r="S14" s="176">
        <f>I14*(1+Indata!I$72*I$91)*(100%+S$8*'Indata - Effektsamband-Faktorer'!$D$6)*(1-Indata!I$20)</f>
        <v>2.3008116808806713</v>
      </c>
      <c r="U14" s="840"/>
      <c r="V14" s="112" t="s">
        <v>138</v>
      </c>
      <c r="W14" s="112" t="s">
        <v>39</v>
      </c>
      <c r="X14" s="255">
        <f t="shared" si="10"/>
        <v>2.9364819147657566</v>
      </c>
      <c r="Y14" s="256">
        <f t="shared" si="10"/>
        <v>2.3008116808806713</v>
      </c>
      <c r="Z14" s="255">
        <f t="shared" si="10"/>
        <v>2.8563960443630543</v>
      </c>
      <c r="AA14" s="257">
        <f t="shared" si="10"/>
        <v>2.1857710968366377</v>
      </c>
      <c r="AB14" s="258">
        <f t="shared" si="10"/>
        <v>2.8563960443630543</v>
      </c>
      <c r="AC14" s="257">
        <f t="shared" si="10"/>
        <v>2.3008116808806713</v>
      </c>
      <c r="AE14" s="840"/>
      <c r="AF14" s="112" t="s">
        <v>138</v>
      </c>
      <c r="AG14" s="112" t="s">
        <v>39</v>
      </c>
      <c r="AH14" s="255">
        <f t="shared" si="16"/>
        <v>2.9364819147657566</v>
      </c>
      <c r="AI14" s="256">
        <f t="shared" si="11"/>
        <v>2.3008116808806713</v>
      </c>
      <c r="AJ14" s="255">
        <f t="shared" si="12"/>
        <v>2.8563960443630543</v>
      </c>
      <c r="AK14" s="257">
        <f t="shared" si="13"/>
        <v>2.1857710968366377</v>
      </c>
      <c r="AL14" s="258">
        <f t="shared" si="14"/>
        <v>2.8563960443630543</v>
      </c>
      <c r="AM14" s="257">
        <f t="shared" si="15"/>
        <v>2.3008116808806713</v>
      </c>
    </row>
    <row r="15" spans="1:39" ht="15.75" thickBot="1" x14ac:dyDescent="0.3">
      <c r="A15" s="840"/>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64"/>
      <c r="L15" s="574" t="s">
        <v>139</v>
      </c>
      <c r="M15" s="574" t="s">
        <v>39</v>
      </c>
      <c r="N15" s="182">
        <f t="shared" ref="N15:S15" si="18">SUMPRODUCT(N11:N14,N36:N39)/N40</f>
        <v>2.635417410126252</v>
      </c>
      <c r="O15" s="183">
        <f t="shared" si="18"/>
        <v>2.104120696313331</v>
      </c>
      <c r="P15" s="182">
        <f t="shared" si="18"/>
        <v>2.5476861046498795</v>
      </c>
      <c r="Q15" s="184">
        <f t="shared" si="18"/>
        <v>1.9455714457724747</v>
      </c>
      <c r="R15" s="185">
        <f t="shared" si="18"/>
        <v>2.5476861046498795</v>
      </c>
      <c r="S15" s="184">
        <f t="shared" si="18"/>
        <v>2.0479699429183946</v>
      </c>
      <c r="U15" s="840"/>
      <c r="V15" s="161" t="s">
        <v>139</v>
      </c>
      <c r="W15" s="161" t="s">
        <v>39</v>
      </c>
      <c r="X15" s="251">
        <f t="shared" ref="X15:AC15" si="19">SUMPRODUCT(X11:X14,X36:X39)/X40</f>
        <v>2.635417410126252</v>
      </c>
      <c r="Y15" s="252">
        <f t="shared" si="19"/>
        <v>2.104120696313331</v>
      </c>
      <c r="Z15" s="251">
        <f t="shared" si="19"/>
        <v>2.54768610464988</v>
      </c>
      <c r="AA15" s="253">
        <f t="shared" si="19"/>
        <v>1.9455714457724749</v>
      </c>
      <c r="AB15" s="254">
        <f t="shared" si="19"/>
        <v>2.54768610464988</v>
      </c>
      <c r="AC15" s="253">
        <f t="shared" si="19"/>
        <v>2.0479699429183946</v>
      </c>
      <c r="AE15" s="840"/>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1.9455714457724747</v>
      </c>
      <c r="AL15" s="254">
        <f t="shared" si="20"/>
        <v>2.5476861046498795</v>
      </c>
      <c r="AM15" s="253">
        <f t="shared" si="20"/>
        <v>2.0479699429183946</v>
      </c>
    </row>
    <row r="16" spans="1:39" x14ac:dyDescent="0.25">
      <c r="A16" s="840"/>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64"/>
      <c r="L16" s="573" t="s">
        <v>140</v>
      </c>
      <c r="M16" s="573" t="s">
        <v>40</v>
      </c>
      <c r="N16" s="425">
        <f>D16*(1-Indata!D$20)*(1+Indata!D$72*D$91)</f>
        <v>8.4732522945626005</v>
      </c>
      <c r="O16" s="425">
        <f>E16*(1-Indata!E$20)*(1+Indata!E$72*E$91)</f>
        <v>8.4732522945626005</v>
      </c>
      <c r="P16" s="425">
        <f>F16*(1-Indata!F$20)*(1+Indata!F$72*F$91)</f>
        <v>8.242163595619985</v>
      </c>
      <c r="Q16" s="425">
        <f>G16*(1-Indata!G$20)*(1+Indata!G$72*G$91)</f>
        <v>8.0495896798344706</v>
      </c>
      <c r="R16" s="425">
        <f>H16*(1-Indata!H$20)*(1+Indata!H$72*H$91)</f>
        <v>8.242163595619985</v>
      </c>
      <c r="S16" s="425">
        <f>I16*(1-Indata!I$20)*(1+Indata!I$72*I$91)</f>
        <v>8.4732522945626005</v>
      </c>
      <c r="U16" s="840"/>
      <c r="V16" s="112" t="s">
        <v>140</v>
      </c>
      <c r="W16" s="112" t="s">
        <v>40</v>
      </c>
      <c r="X16" s="255">
        <f t="shared" ref="X16:AC19" si="21">N16</f>
        <v>8.4732522945626005</v>
      </c>
      <c r="Y16" s="256">
        <f t="shared" si="21"/>
        <v>8.4732522945626005</v>
      </c>
      <c r="Z16" s="255">
        <f t="shared" si="21"/>
        <v>8.242163595619985</v>
      </c>
      <c r="AA16" s="257">
        <f t="shared" si="21"/>
        <v>8.0495896798344706</v>
      </c>
      <c r="AB16" s="258">
        <f t="shared" si="21"/>
        <v>8.242163595619985</v>
      </c>
      <c r="AC16" s="257">
        <f t="shared" si="21"/>
        <v>8.4732522945626005</v>
      </c>
      <c r="AE16" s="840"/>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8.0495896798344706</v>
      </c>
      <c r="AL16" s="258">
        <f t="shared" ref="AL16:AL19" si="26">AB16</f>
        <v>8.242163595619985</v>
      </c>
      <c r="AM16" s="257">
        <f t="shared" ref="AM16:AM19" si="27">AC16</f>
        <v>8.4732522945626005</v>
      </c>
    </row>
    <row r="17" spans="1:39" x14ac:dyDescent="0.25">
      <c r="A17" s="840"/>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64"/>
      <c r="L17" s="573" t="s">
        <v>141</v>
      </c>
      <c r="M17" s="573" t="s">
        <v>40</v>
      </c>
      <c r="N17" s="425">
        <f>D17*(1-Indata!D$20)*(1+Indata!D$72*D$91)</f>
        <v>8.4732522945626005</v>
      </c>
      <c r="O17" s="425">
        <f>E17*(1-Indata!E$20)*(1+Indata!E$72*E$91)</f>
        <v>8.4732522945626005</v>
      </c>
      <c r="P17" s="425">
        <f>F17*(1-Indata!F$20)*(1+Indata!F$72*F$91)</f>
        <v>8.242163595619985</v>
      </c>
      <c r="Q17" s="425">
        <f>G17*(1-Indata!G$20)*(1+Indata!G$72*G$91)</f>
        <v>8.0495896798344706</v>
      </c>
      <c r="R17" s="425">
        <f>H17*(1-Indata!H$20)*(1+Indata!H$72*H$91)</f>
        <v>8.242163595619985</v>
      </c>
      <c r="S17" s="425">
        <f>I17*(1-Indata!I$20)*(1+Indata!I$72*I$91)</f>
        <v>8.4732522945626005</v>
      </c>
      <c r="U17" s="840"/>
      <c r="V17" s="112" t="s">
        <v>141</v>
      </c>
      <c r="W17" s="112" t="s">
        <v>40</v>
      </c>
      <c r="X17" s="255">
        <f t="shared" si="21"/>
        <v>8.4732522945626005</v>
      </c>
      <c r="Y17" s="256">
        <f t="shared" si="21"/>
        <v>8.4732522945626005</v>
      </c>
      <c r="Z17" s="255">
        <f t="shared" si="21"/>
        <v>8.242163595619985</v>
      </c>
      <c r="AA17" s="257">
        <f t="shared" si="21"/>
        <v>8.0495896798344706</v>
      </c>
      <c r="AB17" s="258">
        <f t="shared" si="21"/>
        <v>8.242163595619985</v>
      </c>
      <c r="AC17" s="257">
        <f t="shared" si="21"/>
        <v>8.4732522945626005</v>
      </c>
      <c r="AE17" s="840"/>
      <c r="AF17" s="112" t="s">
        <v>141</v>
      </c>
      <c r="AG17" s="112" t="s">
        <v>40</v>
      </c>
      <c r="AH17" s="255">
        <f t="shared" si="22"/>
        <v>8.4732522945626005</v>
      </c>
      <c r="AI17" s="256">
        <f t="shared" si="23"/>
        <v>8.4732522945626005</v>
      </c>
      <c r="AJ17" s="255">
        <f t="shared" si="24"/>
        <v>8.242163595619985</v>
      </c>
      <c r="AK17" s="257">
        <f t="shared" si="25"/>
        <v>8.0495896798344706</v>
      </c>
      <c r="AL17" s="258">
        <f t="shared" si="26"/>
        <v>8.242163595619985</v>
      </c>
      <c r="AM17" s="257">
        <f t="shared" si="27"/>
        <v>8.4732522945626005</v>
      </c>
    </row>
    <row r="18" spans="1:39" x14ac:dyDescent="0.25">
      <c r="A18" s="840"/>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64"/>
      <c r="L18" s="573" t="s">
        <v>142</v>
      </c>
      <c r="M18" s="573" t="s">
        <v>40</v>
      </c>
      <c r="N18" s="425">
        <f>D18*(1-Indata!D$20)*(1+Indata!D$72*D$91)</f>
        <v>13.374188060932356</v>
      </c>
      <c r="O18" s="425">
        <f>E18*(1-Indata!E$20)*(1+Indata!E$72*E$91)</f>
        <v>13.374188060932356</v>
      </c>
      <c r="P18" s="425">
        <f>F18*(1-Indata!F$20)*(1+Indata!F$72*F$91)</f>
        <v>13.009437477452384</v>
      </c>
      <c r="Q18" s="425">
        <f>G18*(1-Indata!G$20)*(1+Indata!G$72*G$91)</f>
        <v>12.705478657885738</v>
      </c>
      <c r="R18" s="425">
        <f>H18*(1-Indata!H$20)*(1+Indata!H$72*H$91)</f>
        <v>13.009437477452384</v>
      </c>
      <c r="S18" s="425">
        <f>I18*(1-Indata!I$20)*(1+Indata!I$72*I$91)</f>
        <v>13.374188060932356</v>
      </c>
      <c r="U18" s="840"/>
      <c r="V18" s="112" t="s">
        <v>142</v>
      </c>
      <c r="W18" s="112" t="s">
        <v>40</v>
      </c>
      <c r="X18" s="255">
        <f t="shared" si="21"/>
        <v>13.374188060932356</v>
      </c>
      <c r="Y18" s="256">
        <f t="shared" si="21"/>
        <v>13.374188060932356</v>
      </c>
      <c r="Z18" s="255">
        <f t="shared" si="21"/>
        <v>13.009437477452384</v>
      </c>
      <c r="AA18" s="257">
        <f t="shared" si="21"/>
        <v>12.705478657885738</v>
      </c>
      <c r="AB18" s="258">
        <f t="shared" si="21"/>
        <v>13.009437477452384</v>
      </c>
      <c r="AC18" s="257">
        <f t="shared" si="21"/>
        <v>13.374188060932356</v>
      </c>
      <c r="AE18" s="840"/>
      <c r="AF18" s="112" t="s">
        <v>142</v>
      </c>
      <c r="AG18" s="112" t="s">
        <v>40</v>
      </c>
      <c r="AH18" s="255">
        <f t="shared" si="22"/>
        <v>13.374188060932356</v>
      </c>
      <c r="AI18" s="256">
        <f t="shared" si="23"/>
        <v>13.374188060932356</v>
      </c>
      <c r="AJ18" s="255">
        <f t="shared" si="24"/>
        <v>13.009437477452384</v>
      </c>
      <c r="AK18" s="257">
        <f t="shared" si="25"/>
        <v>12.705478657885738</v>
      </c>
      <c r="AL18" s="258">
        <f t="shared" si="26"/>
        <v>13.009437477452384</v>
      </c>
      <c r="AM18" s="257">
        <f t="shared" si="27"/>
        <v>13.374188060932356</v>
      </c>
    </row>
    <row r="19" spans="1:39" x14ac:dyDescent="0.25">
      <c r="A19" s="840"/>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64"/>
      <c r="L19" s="573" t="s">
        <v>143</v>
      </c>
      <c r="M19" s="573" t="s">
        <v>40</v>
      </c>
      <c r="N19" s="425">
        <f>D19*(1-Indata!D$20)*(1+Indata!D$72*D$91)</f>
        <v>15.182448650666799</v>
      </c>
      <c r="O19" s="425">
        <f>E19*(1-Indata!E$20)*(1+Indata!E$72*E$91)</f>
        <v>15.182448650666799</v>
      </c>
      <c r="P19" s="425">
        <f>F19*(1-Indata!F$20)*(1+Indata!F$72*F$91)</f>
        <v>14.768381869284978</v>
      </c>
      <c r="Q19" s="425">
        <f>G19*(1-Indata!G$20)*(1+Indata!G$72*G$91)</f>
        <v>14.423326218133459</v>
      </c>
      <c r="R19" s="425">
        <f>H19*(1-Indata!H$20)*(1+Indata!H$72*H$91)</f>
        <v>14.768381869284978</v>
      </c>
      <c r="S19" s="425">
        <f>I19*(1-Indata!I$20)*(1+Indata!I$72*I$91)</f>
        <v>15.182448650666799</v>
      </c>
      <c r="U19" s="840"/>
      <c r="V19" s="112" t="s">
        <v>143</v>
      </c>
      <c r="W19" s="112" t="s">
        <v>40</v>
      </c>
      <c r="X19" s="255">
        <f t="shared" si="21"/>
        <v>15.182448650666799</v>
      </c>
      <c r="Y19" s="256">
        <f t="shared" si="21"/>
        <v>15.182448650666799</v>
      </c>
      <c r="Z19" s="255">
        <f t="shared" si="21"/>
        <v>14.768381869284978</v>
      </c>
      <c r="AA19" s="257">
        <f t="shared" si="21"/>
        <v>14.423326218133459</v>
      </c>
      <c r="AB19" s="258">
        <f t="shared" si="21"/>
        <v>14.768381869284978</v>
      </c>
      <c r="AC19" s="257">
        <f t="shared" si="21"/>
        <v>15.182448650666799</v>
      </c>
      <c r="AE19" s="840"/>
      <c r="AF19" s="112" t="s">
        <v>143</v>
      </c>
      <c r="AG19" s="112" t="s">
        <v>40</v>
      </c>
      <c r="AH19" s="255">
        <f t="shared" si="22"/>
        <v>15.182448650666799</v>
      </c>
      <c r="AI19" s="256">
        <f t="shared" si="23"/>
        <v>15.182448650666799</v>
      </c>
      <c r="AJ19" s="255">
        <f t="shared" si="24"/>
        <v>14.768381869284978</v>
      </c>
      <c r="AK19" s="257">
        <f t="shared" si="25"/>
        <v>14.423326218133459</v>
      </c>
      <c r="AL19" s="258">
        <f t="shared" si="26"/>
        <v>14.768381869284978</v>
      </c>
      <c r="AM19" s="257">
        <f t="shared" si="27"/>
        <v>15.182448650666799</v>
      </c>
    </row>
    <row r="20" spans="1:39" ht="15.75" thickBot="1" x14ac:dyDescent="0.3">
      <c r="A20" s="841"/>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65"/>
      <c r="L20" s="576" t="s">
        <v>144</v>
      </c>
      <c r="M20" s="576" t="s">
        <v>40</v>
      </c>
      <c r="N20" s="182">
        <f>SUMPRODUCT(N16:N19,N41:N44)/N45</f>
        <v>11.094254818293248</v>
      </c>
      <c r="O20" s="183">
        <f t="shared" ref="O20:S20" si="29">SUMPRODUCT(O16:O19,O41:O44)/O45</f>
        <v>11.094254818293246</v>
      </c>
      <c r="P20" s="182">
        <f>SUMPRODUCT(P16:P19,P41:P44)/P45</f>
        <v>13.685395654193806</v>
      </c>
      <c r="Q20" s="184">
        <f t="shared" si="29"/>
        <v>13.365643419282735</v>
      </c>
      <c r="R20" s="185">
        <f t="shared" si="29"/>
        <v>13.685395654193806</v>
      </c>
      <c r="S20" s="184">
        <f t="shared" si="29"/>
        <v>14.069098336087091</v>
      </c>
      <c r="U20" s="841"/>
      <c r="V20" s="163" t="s">
        <v>144</v>
      </c>
      <c r="W20" s="163" t="s">
        <v>40</v>
      </c>
      <c r="X20" s="182">
        <f t="shared" ref="X20:AC20" si="30">SUMPRODUCT(X16:X19,X41:X44)/X45</f>
        <v>11.094254818293248</v>
      </c>
      <c r="Y20" s="183">
        <f t="shared" si="30"/>
        <v>11.094254818293246</v>
      </c>
      <c r="Z20" s="182">
        <f t="shared" si="30"/>
        <v>13.685395654193808</v>
      </c>
      <c r="AA20" s="184">
        <f t="shared" si="30"/>
        <v>13.365643419282737</v>
      </c>
      <c r="AB20" s="185">
        <f t="shared" si="30"/>
        <v>13.685395654193808</v>
      </c>
      <c r="AC20" s="184">
        <f t="shared" si="30"/>
        <v>14.069098336087091</v>
      </c>
      <c r="AE20" s="841"/>
      <c r="AF20" s="163" t="s">
        <v>144</v>
      </c>
      <c r="AG20" s="163" t="s">
        <v>40</v>
      </c>
      <c r="AH20" s="182">
        <f t="shared" ref="AH20:AM20" si="31">SUMPRODUCT(AH16:AH19,AH41:AH44)/AH45</f>
        <v>11.094254818293248</v>
      </c>
      <c r="AI20" s="183">
        <f t="shared" si="31"/>
        <v>11.094254818293246</v>
      </c>
      <c r="AJ20" s="182">
        <f t="shared" si="31"/>
        <v>13.685395654193808</v>
      </c>
      <c r="AK20" s="184">
        <f t="shared" si="31"/>
        <v>13.365643419282735</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c r="R21" s="73"/>
      <c r="S21" s="73"/>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839" t="s">
        <v>147</v>
      </c>
      <c r="B23" s="111" t="s">
        <v>114</v>
      </c>
      <c r="C23" s="111" t="s">
        <v>25</v>
      </c>
      <c r="D23" s="207">
        <f>Indata!D42</f>
        <v>0.15</v>
      </c>
      <c r="E23" s="207">
        <f>Indata!E42</f>
        <v>0.6</v>
      </c>
      <c r="F23" s="207">
        <f>Indata!F42</f>
        <v>0.02</v>
      </c>
      <c r="G23" s="207">
        <f>Indata!G42</f>
        <v>0.3</v>
      </c>
      <c r="H23" s="207">
        <f>Indata!H42</f>
        <v>0.02</v>
      </c>
      <c r="I23" s="207">
        <f>Indata!I42</f>
        <v>0.3</v>
      </c>
      <c r="K23" s="866" t="s">
        <v>147</v>
      </c>
      <c r="L23" s="706" t="s">
        <v>114</v>
      </c>
      <c r="M23" s="706"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20">
        <f>(MIN(I23+(1-I23)*'Indata - Effektsamband-Faktorer'!$E$10*S$8,1))</f>
        <v>0.3</v>
      </c>
      <c r="U23" s="839"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839"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840"/>
      <c r="B24" s="112" t="s">
        <v>115</v>
      </c>
      <c r="C24" s="112" t="s">
        <v>25</v>
      </c>
      <c r="D24" s="207">
        <f>Indata!D43</f>
        <v>0.15</v>
      </c>
      <c r="E24" s="207">
        <f>Indata!E43</f>
        <v>0.6</v>
      </c>
      <c r="F24" s="207">
        <f>Indata!F43</f>
        <v>0.02</v>
      </c>
      <c r="G24" s="207">
        <f>Indata!G43</f>
        <v>0.3</v>
      </c>
      <c r="H24" s="207">
        <f>Indata!H43</f>
        <v>0.02</v>
      </c>
      <c r="I24" s="207">
        <f>Indata!I43</f>
        <v>0.3</v>
      </c>
      <c r="K24" s="867"/>
      <c r="L24" s="707" t="s">
        <v>115</v>
      </c>
      <c r="M24" s="707"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23">
        <f>(MIN(I24+(1-I24)*'Indata - Effektsamband-Faktorer'!$E$10*S$8,1))</f>
        <v>0.3</v>
      </c>
      <c r="U24" s="840"/>
      <c r="V24" s="112" t="s">
        <v>115</v>
      </c>
      <c r="W24" s="112" t="s">
        <v>25</v>
      </c>
      <c r="X24" s="211">
        <f t="shared" si="32"/>
        <v>0.15</v>
      </c>
      <c r="Y24" s="212">
        <f t="shared" si="32"/>
        <v>0.6</v>
      </c>
      <c r="Z24" s="211">
        <f t="shared" si="32"/>
        <v>0.02</v>
      </c>
      <c r="AA24" s="213">
        <f t="shared" si="32"/>
        <v>0.3</v>
      </c>
      <c r="AB24" s="214">
        <f t="shared" si="32"/>
        <v>0.02</v>
      </c>
      <c r="AC24" s="213">
        <f t="shared" si="32"/>
        <v>0.3</v>
      </c>
      <c r="AE24" s="840"/>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840"/>
      <c r="B25" s="112" t="s">
        <v>116</v>
      </c>
      <c r="C25" s="112" t="s">
        <v>25</v>
      </c>
      <c r="D25" s="207">
        <f>Indata!D44</f>
        <v>4.0427955013328291E-2</v>
      </c>
      <c r="E25" s="207">
        <f>Indata!E44</f>
        <v>0.16171182005331317</v>
      </c>
      <c r="F25" s="207">
        <f>Indata!F44</f>
        <v>0.02</v>
      </c>
      <c r="G25" s="207">
        <f>Indata!G44</f>
        <v>0.3</v>
      </c>
      <c r="H25" s="207">
        <f>Indata!H44</f>
        <v>0.02</v>
      </c>
      <c r="I25" s="207">
        <f>Indata!I44</f>
        <v>0.3</v>
      </c>
      <c r="K25" s="867"/>
      <c r="L25" s="707" t="s">
        <v>116</v>
      </c>
      <c r="M25" s="707" t="s">
        <v>25</v>
      </c>
      <c r="N25" s="621">
        <f>(MIN(D25+(1-D25)*'Indata - Effektsamband-Faktorer'!$D$10*N$8,1))</f>
        <v>4.0427955013328291E-2</v>
      </c>
      <c r="O25" s="621">
        <f>(MIN(E25+(1-E25)*'Indata - Effektsamband-Faktorer'!$E$10*O$8,1))</f>
        <v>0.16171182005331317</v>
      </c>
      <c r="P25" s="621">
        <f>(MIN(F25+(1-F25)*'Indata - Effektsamband-Faktorer'!$D$10*P$8,1))</f>
        <v>0.02</v>
      </c>
      <c r="Q25" s="621">
        <f>(MIN(G25+(1-G25)*'Indata - Effektsamband-Faktorer'!$E$10*Q$8,1))</f>
        <v>0.3</v>
      </c>
      <c r="R25" s="621">
        <f>(MIN(H25+(1-H25)*'Indata - Effektsamband-Faktorer'!$D$10*R$8,1))</f>
        <v>0.02</v>
      </c>
      <c r="S25" s="622">
        <f>(MIN(I25+(1-I25)*'Indata - Effektsamband-Faktorer'!$E$10*S$8,1))</f>
        <v>0.3</v>
      </c>
      <c r="U25" s="840"/>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840"/>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841"/>
      <c r="B26" s="113" t="s">
        <v>117</v>
      </c>
      <c r="C26" s="113" t="s">
        <v>25</v>
      </c>
      <c r="D26" s="207">
        <f>Indata!D45</f>
        <v>0</v>
      </c>
      <c r="E26" s="207">
        <f>Indata!E45</f>
        <v>0</v>
      </c>
      <c r="F26" s="207">
        <f>Indata!F45</f>
        <v>0.02</v>
      </c>
      <c r="G26" s="207">
        <f>Indata!G45</f>
        <v>0.3</v>
      </c>
      <c r="H26" s="207">
        <f>Indata!H45</f>
        <v>0.02</v>
      </c>
      <c r="I26" s="207">
        <f>Indata!I45</f>
        <v>0.3</v>
      </c>
      <c r="K26" s="868"/>
      <c r="L26" s="710" t="s">
        <v>117</v>
      </c>
      <c r="M26" s="710" t="s">
        <v>25</v>
      </c>
      <c r="N26" s="618">
        <f>(MIN(D26+(1-D26)*'Indata - Effektsamband-Faktorer'!$D$10*N$8,1))</f>
        <v>0</v>
      </c>
      <c r="O26" s="618">
        <f>(MIN(E26+(1-E26)*'Indata - Effektsamband-Faktorer'!$E$10*O$8,1))</f>
        <v>0</v>
      </c>
      <c r="P26" s="618">
        <f>(MIN(F26+(1-F26)*'Indata - Effektsamband-Faktorer'!$D$10*P$8,1))</f>
        <v>0.02</v>
      </c>
      <c r="Q26" s="618">
        <f>(MIN(G26+(1-G26)*'Indata - Effektsamband-Faktorer'!$E$10*Q$8,1))</f>
        <v>0.3</v>
      </c>
      <c r="R26" s="618">
        <f>(MIN(H26+(1-H26)*'Indata - Effektsamband-Faktorer'!$D$10*R$8,1))</f>
        <v>0.02</v>
      </c>
      <c r="S26" s="619">
        <f>(MIN(I26+(1-I26)*'Indata - Effektsamband-Faktorer'!$E$10*S$8,1))</f>
        <v>0.3</v>
      </c>
      <c r="U26" s="841"/>
      <c r="V26" s="113" t="s">
        <v>117</v>
      </c>
      <c r="W26" s="113" t="s">
        <v>25</v>
      </c>
      <c r="X26" s="215">
        <f t="shared" si="32"/>
        <v>0</v>
      </c>
      <c r="Y26" s="216">
        <f t="shared" si="32"/>
        <v>0</v>
      </c>
      <c r="Z26" s="215">
        <f t="shared" si="32"/>
        <v>0.02</v>
      </c>
      <c r="AA26" s="217">
        <f t="shared" si="32"/>
        <v>0.3</v>
      </c>
      <c r="AB26" s="218">
        <f t="shared" si="32"/>
        <v>0.02</v>
      </c>
      <c r="AC26" s="217">
        <f t="shared" si="32"/>
        <v>0.3</v>
      </c>
      <c r="AE26" s="841"/>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52" t="s">
        <v>21</v>
      </c>
      <c r="B29" s="111" t="s">
        <v>114</v>
      </c>
      <c r="C29" s="111" t="s">
        <v>73</v>
      </c>
      <c r="D29" s="176">
        <f>Indata!D$16*10</f>
        <v>0</v>
      </c>
      <c r="E29" s="201">
        <f>Indata!E$16*10</f>
        <v>0</v>
      </c>
      <c r="F29" s="176">
        <f>Indata!F$16*10</f>
        <v>0</v>
      </c>
      <c r="G29" s="177">
        <f>Indata!G$16*10</f>
        <v>1.2</v>
      </c>
      <c r="H29" s="178">
        <f>Indata!H$16*10</f>
        <v>0</v>
      </c>
      <c r="I29" s="177">
        <f>Indata!I$16*10</f>
        <v>0</v>
      </c>
      <c r="K29" s="852" t="s">
        <v>21</v>
      </c>
      <c r="L29" s="111" t="s">
        <v>114</v>
      </c>
      <c r="M29" s="111" t="s">
        <v>73</v>
      </c>
      <c r="N29" s="176">
        <f>D29</f>
        <v>0</v>
      </c>
      <c r="O29" s="201">
        <f t="shared" ref="O29:O32" si="39">E29</f>
        <v>0</v>
      </c>
      <c r="P29" s="176">
        <f t="shared" ref="P29:P32" si="40">F29</f>
        <v>0</v>
      </c>
      <c r="Q29" s="177">
        <f t="shared" ref="Q29:Q32" si="41">G29</f>
        <v>1.2</v>
      </c>
      <c r="R29" s="178">
        <f t="shared" ref="R29:R32" si="42">H29</f>
        <v>0</v>
      </c>
      <c r="S29" s="177">
        <f t="shared" ref="S29:S32" si="43">I29</f>
        <v>0</v>
      </c>
      <c r="U29" s="852" t="s">
        <v>21</v>
      </c>
      <c r="V29" s="111" t="s">
        <v>114</v>
      </c>
      <c r="W29" s="111" t="s">
        <v>73</v>
      </c>
      <c r="X29" s="176">
        <f t="shared" ref="X29:AC32" si="44">N29</f>
        <v>0</v>
      </c>
      <c r="Y29" s="201">
        <f t="shared" si="44"/>
        <v>0</v>
      </c>
      <c r="Z29" s="176">
        <f t="shared" si="44"/>
        <v>0</v>
      </c>
      <c r="AA29" s="177">
        <f t="shared" si="44"/>
        <v>1.2</v>
      </c>
      <c r="AB29" s="178">
        <f t="shared" si="44"/>
        <v>0</v>
      </c>
      <c r="AC29" s="177">
        <f t="shared" si="44"/>
        <v>0</v>
      </c>
      <c r="AE29" s="852" t="s">
        <v>21</v>
      </c>
      <c r="AF29" s="111" t="s">
        <v>114</v>
      </c>
      <c r="AG29" s="111" t="s">
        <v>73</v>
      </c>
      <c r="AH29" s="176">
        <f>X29</f>
        <v>0</v>
      </c>
      <c r="AI29" s="201">
        <f t="shared" ref="AI29:AI32" si="45">Y29</f>
        <v>0</v>
      </c>
      <c r="AJ29" s="176">
        <f t="shared" ref="AJ29:AJ32" si="46">Z29</f>
        <v>0</v>
      </c>
      <c r="AK29" s="177">
        <f t="shared" ref="AK29:AK32" si="47">AA29</f>
        <v>1.2</v>
      </c>
      <c r="AL29" s="178">
        <f t="shared" ref="AL29:AL32" si="48">AB29</f>
        <v>0</v>
      </c>
      <c r="AM29" s="177">
        <f t="shared" ref="AM29:AM32" si="49">AC29</f>
        <v>0</v>
      </c>
    </row>
    <row r="30" spans="1:39" x14ac:dyDescent="0.25">
      <c r="A30" s="853"/>
      <c r="B30" s="112" t="s">
        <v>115</v>
      </c>
      <c r="C30" s="112" t="s">
        <v>73</v>
      </c>
      <c r="D30" s="179">
        <f>Indata!D$16*10</f>
        <v>0</v>
      </c>
      <c r="E30" s="202">
        <f>Indata!E$16*10</f>
        <v>0</v>
      </c>
      <c r="F30" s="179">
        <f>Indata!F$16*10</f>
        <v>0</v>
      </c>
      <c r="G30" s="180">
        <f>Indata!G$16*10</f>
        <v>1.2</v>
      </c>
      <c r="H30" s="181">
        <f>Indata!H$16*10</f>
        <v>0</v>
      </c>
      <c r="I30" s="180">
        <f>Indata!I$16*10</f>
        <v>0</v>
      </c>
      <c r="K30" s="853"/>
      <c r="L30" s="112" t="s">
        <v>115</v>
      </c>
      <c r="M30" s="112" t="s">
        <v>73</v>
      </c>
      <c r="N30" s="179">
        <f t="shared" ref="N30:N32" si="50">D30</f>
        <v>0</v>
      </c>
      <c r="O30" s="202">
        <f t="shared" si="39"/>
        <v>0</v>
      </c>
      <c r="P30" s="179">
        <f t="shared" si="40"/>
        <v>0</v>
      </c>
      <c r="Q30" s="180">
        <f t="shared" si="41"/>
        <v>1.2</v>
      </c>
      <c r="R30" s="181">
        <f t="shared" si="42"/>
        <v>0</v>
      </c>
      <c r="S30" s="180">
        <f t="shared" si="43"/>
        <v>0</v>
      </c>
      <c r="U30" s="853"/>
      <c r="V30" s="112" t="s">
        <v>115</v>
      </c>
      <c r="W30" s="112" t="s">
        <v>73</v>
      </c>
      <c r="X30" s="179">
        <f t="shared" si="44"/>
        <v>0</v>
      </c>
      <c r="Y30" s="202">
        <f t="shared" si="44"/>
        <v>0</v>
      </c>
      <c r="Z30" s="179">
        <f t="shared" si="44"/>
        <v>0</v>
      </c>
      <c r="AA30" s="180">
        <f t="shared" si="44"/>
        <v>1.2</v>
      </c>
      <c r="AB30" s="181">
        <f t="shared" si="44"/>
        <v>0</v>
      </c>
      <c r="AC30" s="180">
        <f t="shared" si="44"/>
        <v>0</v>
      </c>
      <c r="AE30" s="853"/>
      <c r="AF30" s="112" t="s">
        <v>115</v>
      </c>
      <c r="AG30" s="112" t="s">
        <v>73</v>
      </c>
      <c r="AH30" s="179">
        <f t="shared" ref="AH30:AH32" si="51">X30</f>
        <v>0</v>
      </c>
      <c r="AI30" s="202">
        <f t="shared" si="45"/>
        <v>0</v>
      </c>
      <c r="AJ30" s="179">
        <f t="shared" si="46"/>
        <v>0</v>
      </c>
      <c r="AK30" s="180">
        <f t="shared" si="47"/>
        <v>1.2</v>
      </c>
      <c r="AL30" s="181">
        <f t="shared" si="48"/>
        <v>0</v>
      </c>
      <c r="AM30" s="180">
        <f t="shared" si="49"/>
        <v>0</v>
      </c>
    </row>
    <row r="31" spans="1:39" x14ac:dyDescent="0.25">
      <c r="A31" s="853"/>
      <c r="B31" s="112" t="s">
        <v>116</v>
      </c>
      <c r="C31" s="112" t="s">
        <v>73</v>
      </c>
      <c r="D31" s="255">
        <f>Indata!D$16*10</f>
        <v>0</v>
      </c>
      <c r="E31" s="256">
        <f>Indata!E$16*10</f>
        <v>0</v>
      </c>
      <c r="F31" s="255">
        <f>Indata!F$16*10</f>
        <v>0</v>
      </c>
      <c r="G31" s="257">
        <f>Indata!G$16*10</f>
        <v>1.2</v>
      </c>
      <c r="H31" s="258">
        <f>Indata!H$16*10</f>
        <v>0</v>
      </c>
      <c r="I31" s="257">
        <f>Indata!I$16*10</f>
        <v>0</v>
      </c>
      <c r="K31" s="853"/>
      <c r="L31" s="112" t="s">
        <v>116</v>
      </c>
      <c r="M31" s="112" t="s">
        <v>73</v>
      </c>
      <c r="N31" s="255">
        <f t="shared" si="50"/>
        <v>0</v>
      </c>
      <c r="O31" s="256">
        <f t="shared" si="39"/>
        <v>0</v>
      </c>
      <c r="P31" s="255">
        <f t="shared" si="40"/>
        <v>0</v>
      </c>
      <c r="Q31" s="257">
        <f t="shared" si="41"/>
        <v>1.2</v>
      </c>
      <c r="R31" s="258">
        <f t="shared" si="42"/>
        <v>0</v>
      </c>
      <c r="S31" s="257">
        <f t="shared" si="43"/>
        <v>0</v>
      </c>
      <c r="U31" s="853"/>
      <c r="V31" s="112" t="s">
        <v>116</v>
      </c>
      <c r="W31" s="112" t="s">
        <v>73</v>
      </c>
      <c r="X31" s="255">
        <f t="shared" si="44"/>
        <v>0</v>
      </c>
      <c r="Y31" s="256">
        <f t="shared" si="44"/>
        <v>0</v>
      </c>
      <c r="Z31" s="255">
        <f t="shared" si="44"/>
        <v>0</v>
      </c>
      <c r="AA31" s="257">
        <f t="shared" si="44"/>
        <v>1.2</v>
      </c>
      <c r="AB31" s="258">
        <f t="shared" si="44"/>
        <v>0</v>
      </c>
      <c r="AC31" s="257">
        <f t="shared" si="44"/>
        <v>0</v>
      </c>
      <c r="AE31" s="853"/>
      <c r="AF31" s="112" t="s">
        <v>116</v>
      </c>
      <c r="AG31" s="112" t="s">
        <v>73</v>
      </c>
      <c r="AH31" s="255">
        <f t="shared" si="51"/>
        <v>0</v>
      </c>
      <c r="AI31" s="256">
        <f t="shared" si="45"/>
        <v>0</v>
      </c>
      <c r="AJ31" s="255">
        <f t="shared" si="46"/>
        <v>0</v>
      </c>
      <c r="AK31" s="257">
        <f t="shared" si="47"/>
        <v>1.2</v>
      </c>
      <c r="AL31" s="258">
        <f t="shared" si="48"/>
        <v>0</v>
      </c>
      <c r="AM31" s="257">
        <f t="shared" si="49"/>
        <v>0</v>
      </c>
    </row>
    <row r="32" spans="1:39" ht="15.75" thickBot="1" x14ac:dyDescent="0.3">
      <c r="A32" s="854"/>
      <c r="B32" s="113" t="s">
        <v>117</v>
      </c>
      <c r="C32" s="113" t="s">
        <v>73</v>
      </c>
      <c r="D32" s="203">
        <f>Indata!D$16*10</f>
        <v>0</v>
      </c>
      <c r="E32" s="204">
        <f>Indata!E$16*10</f>
        <v>0</v>
      </c>
      <c r="F32" s="203">
        <f>Indata!F$16*10</f>
        <v>0</v>
      </c>
      <c r="G32" s="205">
        <f>Indata!G$16*10</f>
        <v>1.2</v>
      </c>
      <c r="H32" s="206">
        <f>Indata!H$16*10</f>
        <v>0</v>
      </c>
      <c r="I32" s="205">
        <f>Indata!I$16*10</f>
        <v>0</v>
      </c>
      <c r="K32" s="854"/>
      <c r="L32" s="113" t="s">
        <v>117</v>
      </c>
      <c r="M32" s="113" t="s">
        <v>73</v>
      </c>
      <c r="N32" s="203">
        <f t="shared" si="50"/>
        <v>0</v>
      </c>
      <c r="O32" s="204">
        <f t="shared" si="39"/>
        <v>0</v>
      </c>
      <c r="P32" s="203">
        <f t="shared" si="40"/>
        <v>0</v>
      </c>
      <c r="Q32" s="205">
        <f t="shared" si="41"/>
        <v>1.2</v>
      </c>
      <c r="R32" s="206">
        <f t="shared" si="42"/>
        <v>0</v>
      </c>
      <c r="S32" s="205">
        <f t="shared" si="43"/>
        <v>0</v>
      </c>
      <c r="U32" s="854"/>
      <c r="V32" s="113" t="s">
        <v>117</v>
      </c>
      <c r="W32" s="113" t="s">
        <v>73</v>
      </c>
      <c r="X32" s="203">
        <f t="shared" si="44"/>
        <v>0</v>
      </c>
      <c r="Y32" s="204">
        <f t="shared" si="44"/>
        <v>0</v>
      </c>
      <c r="Z32" s="203">
        <f t="shared" si="44"/>
        <v>0</v>
      </c>
      <c r="AA32" s="205">
        <f t="shared" si="44"/>
        <v>1.2</v>
      </c>
      <c r="AB32" s="206">
        <f t="shared" si="44"/>
        <v>0</v>
      </c>
      <c r="AC32" s="205">
        <f t="shared" si="44"/>
        <v>0</v>
      </c>
      <c r="AE32" s="854"/>
      <c r="AF32" s="113" t="s">
        <v>117</v>
      </c>
      <c r="AG32" s="113" t="s">
        <v>73</v>
      </c>
      <c r="AH32" s="203">
        <f t="shared" si="51"/>
        <v>0</v>
      </c>
      <c r="AI32" s="204">
        <f t="shared" si="45"/>
        <v>0</v>
      </c>
      <c r="AJ32" s="203">
        <f t="shared" si="46"/>
        <v>0</v>
      </c>
      <c r="AK32" s="205">
        <f t="shared" si="47"/>
        <v>1.2</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453</v>
      </c>
      <c r="U35" s="40" t="s">
        <v>236</v>
      </c>
      <c r="AE35" s="40" t="s">
        <v>226</v>
      </c>
      <c r="AF35" s="38"/>
      <c r="AG35" s="38"/>
      <c r="AH35" s="38"/>
      <c r="AI35" s="38"/>
      <c r="AJ35" s="38"/>
      <c r="AK35" s="38"/>
      <c r="AL35" s="38"/>
      <c r="AM35" s="38"/>
    </row>
    <row r="36" spans="1:39" ht="15.75" thickBot="1" x14ac:dyDescent="0.3">
      <c r="A36" s="839"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66" t="s">
        <v>17</v>
      </c>
      <c r="L36" s="706" t="s">
        <v>135</v>
      </c>
      <c r="M36" s="706"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839"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0.14474028036233769</v>
      </c>
      <c r="AB36" s="247">
        <f t="shared" ref="AB36:AB49" si="56">R36/R$50*AB$50</f>
        <v>0.260911973484384</v>
      </c>
      <c r="AC36" s="247">
        <f t="shared" ref="AC36:AC49" si="57">S36/S$50*AC$50</f>
        <v>0.18455940234999083</v>
      </c>
      <c r="AE36" s="839" t="s">
        <v>17</v>
      </c>
      <c r="AF36" s="111" t="s">
        <v>135</v>
      </c>
      <c r="AG36" s="111" t="s">
        <v>36</v>
      </c>
      <c r="AH36" s="247">
        <f>X36*(1-Indata!D$22)</f>
        <v>0.18780957349145669</v>
      </c>
      <c r="AI36" s="220">
        <f>Y36*(1-Indata!E$22)</f>
        <v>0.10326809430239073</v>
      </c>
      <c r="AJ36" s="219">
        <f>Z36*(1-Indata!F$22)</f>
        <v>0.260911973484384</v>
      </c>
      <c r="AK36" s="220">
        <f>AA36*(1-Indata!G$22)</f>
        <v>0.12013443270074027</v>
      </c>
      <c r="AL36" s="221">
        <f>AB36*(1-Indata!H$22)</f>
        <v>0.260911973484384</v>
      </c>
      <c r="AM36" s="220">
        <f>AC36*(1-Indata!I$22)</f>
        <v>0.18455940234999083</v>
      </c>
    </row>
    <row r="37" spans="1:39" ht="15.75" thickBot="1" x14ac:dyDescent="0.3">
      <c r="A37" s="840"/>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67"/>
      <c r="L37" s="707" t="s">
        <v>136</v>
      </c>
      <c r="M37" s="707"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840"/>
      <c r="V37" s="112" t="s">
        <v>136</v>
      </c>
      <c r="W37" s="112" t="s">
        <v>36</v>
      </c>
      <c r="X37" s="247">
        <f t="shared" ref="X37:X49" si="61">N37/N$50*X$50</f>
        <v>0.20441406642615551</v>
      </c>
      <c r="Y37" s="247">
        <f t="shared" si="53"/>
        <v>0.11239816318198309</v>
      </c>
      <c r="Z37" s="247">
        <f t="shared" si="54"/>
        <v>0.28397954634427797</v>
      </c>
      <c r="AA37" s="247">
        <f t="shared" si="55"/>
        <v>0.1575369600947055</v>
      </c>
      <c r="AB37" s="247">
        <f t="shared" si="56"/>
        <v>0.28397954634427797</v>
      </c>
      <c r="AC37" s="247">
        <f t="shared" si="57"/>
        <v>0.20087654335288047</v>
      </c>
      <c r="AE37" s="840"/>
      <c r="AF37" s="112" t="s">
        <v>136</v>
      </c>
      <c r="AG37" s="112" t="s">
        <v>36</v>
      </c>
      <c r="AH37" s="222">
        <f>X37*(1-Indata!D$22)</f>
        <v>0.20441406642615551</v>
      </c>
      <c r="AI37" s="223">
        <f>Y37*(1-Indata!E$22)</f>
        <v>0.11239816318198309</v>
      </c>
      <c r="AJ37" s="222">
        <f>Z37*(1-Indata!F$22)</f>
        <v>0.28397954634427797</v>
      </c>
      <c r="AK37" s="223">
        <f>AA37*(1-Indata!G$22)</f>
        <v>0.13075567687860556</v>
      </c>
      <c r="AL37" s="224">
        <f>AB37*(1-Indata!H$22)</f>
        <v>0.28397954634427797</v>
      </c>
      <c r="AM37" s="223">
        <f>AC37*(1-Indata!I$22)</f>
        <v>0.20087654335288047</v>
      </c>
    </row>
    <row r="38" spans="1:39" ht="15.75" thickBot="1" x14ac:dyDescent="0.3">
      <c r="A38" s="840"/>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67"/>
      <c r="L38" s="707" t="s">
        <v>137</v>
      </c>
      <c r="M38" s="707"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840"/>
      <c r="V38" s="112" t="s">
        <v>137</v>
      </c>
      <c r="W38" s="112" t="s">
        <v>36</v>
      </c>
      <c r="X38" s="247">
        <f t="shared" si="61"/>
        <v>1.888631464847943</v>
      </c>
      <c r="Y38" s="247">
        <f t="shared" si="53"/>
        <v>1.9278371577004234</v>
      </c>
      <c r="Z38" s="247">
        <f t="shared" si="54"/>
        <v>2.3241536855626843</v>
      </c>
      <c r="AA38" s="247">
        <f t="shared" si="55"/>
        <v>1.2893185834326506</v>
      </c>
      <c r="AB38" s="247">
        <f t="shared" si="56"/>
        <v>2.3241536855626843</v>
      </c>
      <c r="AC38" s="247">
        <f t="shared" si="57"/>
        <v>1.6440196647496914</v>
      </c>
      <c r="AE38" s="840"/>
      <c r="AF38" s="112" t="s">
        <v>137</v>
      </c>
      <c r="AG38" s="112" t="s">
        <v>36</v>
      </c>
      <c r="AH38" s="222">
        <f>X38*(1-Indata!D$22)</f>
        <v>1.888631464847943</v>
      </c>
      <c r="AI38" s="223">
        <f>Y38*(1-Indata!E$22)</f>
        <v>1.9278371577004234</v>
      </c>
      <c r="AJ38" s="222">
        <f>Z38*(1-Indata!F$22)</f>
        <v>2.3241536855626843</v>
      </c>
      <c r="AK38" s="223">
        <f>AA38*(1-Indata!G$22)</f>
        <v>1.0701344242491</v>
      </c>
      <c r="AL38" s="224">
        <f>AB38*(1-Indata!H$22)</f>
        <v>2.3241536855626843</v>
      </c>
      <c r="AM38" s="223">
        <f>AC38*(1-Indata!I$22)</f>
        <v>1.6440196647496914</v>
      </c>
    </row>
    <row r="39" spans="1:39" ht="15.75" thickBot="1" x14ac:dyDescent="0.3">
      <c r="A39" s="840"/>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67"/>
      <c r="L39" s="707" t="s">
        <v>138</v>
      </c>
      <c r="M39" s="707"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840"/>
      <c r="V39" s="112" t="s">
        <v>138</v>
      </c>
      <c r="W39" s="112" t="s">
        <v>36</v>
      </c>
      <c r="X39" s="247">
        <f t="shared" si="61"/>
        <v>3.5477319739661044</v>
      </c>
      <c r="Y39" s="247">
        <f t="shared" si="53"/>
        <v>4.1453210591289906</v>
      </c>
      <c r="Z39" s="247">
        <f t="shared" si="54"/>
        <v>4.1893438842656474</v>
      </c>
      <c r="AA39" s="247">
        <f t="shared" si="55"/>
        <v>2.3240282929336189</v>
      </c>
      <c r="AB39" s="247">
        <f t="shared" si="56"/>
        <v>4.1893438842656474</v>
      </c>
      <c r="AC39" s="247">
        <f t="shared" si="57"/>
        <v>2.9633856706270834</v>
      </c>
      <c r="AE39" s="840"/>
      <c r="AF39" s="112" t="s">
        <v>138</v>
      </c>
      <c r="AG39" s="112" t="s">
        <v>36</v>
      </c>
      <c r="AH39" s="248">
        <f>X39*(1-Indata!D$22)</f>
        <v>3.5477319739661044</v>
      </c>
      <c r="AI39" s="249">
        <f>Y39*(1-Indata!E$22)</f>
        <v>4.1453210591289906</v>
      </c>
      <c r="AJ39" s="248">
        <f>Z39*(1-Indata!F$22)</f>
        <v>4.1893438842656474</v>
      </c>
      <c r="AK39" s="249">
        <f>AA39*(1-Indata!G$22)</f>
        <v>1.9289434831349035</v>
      </c>
      <c r="AL39" s="250">
        <f>AB39*(1-Indata!H$22)</f>
        <v>4.1893438842656474</v>
      </c>
      <c r="AM39" s="249">
        <f>AC39*(1-Indata!I$22)</f>
        <v>2.9633856706270834</v>
      </c>
    </row>
    <row r="40" spans="1:39" ht="15.75" thickBot="1" x14ac:dyDescent="0.3">
      <c r="A40" s="840"/>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67"/>
      <c r="L40" s="708" t="s">
        <v>158</v>
      </c>
      <c r="M40" s="708"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840"/>
      <c r="V40" s="161" t="s">
        <v>158</v>
      </c>
      <c r="W40" s="161" t="s">
        <v>36</v>
      </c>
      <c r="X40" s="247">
        <f t="shared" si="61"/>
        <v>5.82858707873166</v>
      </c>
      <c r="Y40" s="247">
        <f t="shared" si="53"/>
        <v>6.2888244743137882</v>
      </c>
      <c r="Z40" s="247">
        <f t="shared" si="54"/>
        <v>7.058389089656993</v>
      </c>
      <c r="AA40" s="247">
        <f t="shared" si="55"/>
        <v>3.915624116823313</v>
      </c>
      <c r="AB40" s="247">
        <f t="shared" si="56"/>
        <v>7.058389089656993</v>
      </c>
      <c r="AC40" s="247">
        <f t="shared" si="57"/>
        <v>4.9928412810796461</v>
      </c>
      <c r="AE40" s="840"/>
      <c r="AF40" s="161" t="s">
        <v>158</v>
      </c>
      <c r="AG40" s="161" t="s">
        <v>36</v>
      </c>
      <c r="AH40" s="244">
        <f>SUM(AH36:AH39)</f>
        <v>5.82858707873166</v>
      </c>
      <c r="AI40" s="245">
        <f>SUM(AI36:AI39)</f>
        <v>6.2888244743137882</v>
      </c>
      <c r="AJ40" s="244">
        <f>SUM(AJ36:AJ39)</f>
        <v>7.0583890896569939</v>
      </c>
      <c r="AK40" s="245">
        <f t="shared" ref="AK40" si="69">SUM(AK36:AK39)</f>
        <v>3.2499680169633494</v>
      </c>
      <c r="AL40" s="246">
        <f t="shared" ref="AL40" si="70">SUM(AL36:AL39)</f>
        <v>7.0583890896569939</v>
      </c>
      <c r="AM40" s="245">
        <f t="shared" ref="AM40" si="71">SUM(AM36:AM39)</f>
        <v>4.9928412810796461</v>
      </c>
    </row>
    <row r="41" spans="1:39" ht="15.75" thickBot="1" x14ac:dyDescent="0.3">
      <c r="A41" s="840"/>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67"/>
      <c r="L41" s="707" t="s">
        <v>140</v>
      </c>
      <c r="M41" s="707"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840"/>
      <c r="V41" s="112" t="s">
        <v>140</v>
      </c>
      <c r="W41" s="112" t="s">
        <v>36</v>
      </c>
      <c r="X41" s="247">
        <f t="shared" si="61"/>
        <v>3.3142865910257058E-2</v>
      </c>
      <c r="Y41" s="247">
        <f t="shared" si="53"/>
        <v>0.15490214145358608</v>
      </c>
      <c r="Z41" s="247">
        <f>P41/P$50*Z$50</f>
        <v>5.3247341527425307E-3</v>
      </c>
      <c r="AA41" s="247">
        <f>Q41/Q$50*AA$50</f>
        <v>6.2031548726716151E-2</v>
      </c>
      <c r="AB41" s="247">
        <f t="shared" si="56"/>
        <v>5.3247341527425307E-3</v>
      </c>
      <c r="AC41" s="247">
        <f t="shared" si="57"/>
        <v>7.9096886721424634E-2</v>
      </c>
      <c r="AE41" s="840"/>
      <c r="AF41" s="112" t="s">
        <v>140</v>
      </c>
      <c r="AG41" s="112" t="s">
        <v>36</v>
      </c>
      <c r="AH41" s="248">
        <f>X41*(1-Indata!D$22)</f>
        <v>3.3142865910257058E-2</v>
      </c>
      <c r="AI41" s="249">
        <f>Y41*(1-Indata!E$22)</f>
        <v>0.15490214145358608</v>
      </c>
      <c r="AJ41" s="248">
        <f>Z41*(1-Indata!F$22)</f>
        <v>5.3247341527425307E-3</v>
      </c>
      <c r="AK41" s="249">
        <f>AA41*(1-Indata!G$22)</f>
        <v>5.1486185443174404E-2</v>
      </c>
      <c r="AL41" s="250">
        <f>AB41*(1-Indata!H$22)</f>
        <v>5.3247341527425307E-3</v>
      </c>
      <c r="AM41" s="249">
        <f>AC41*(1-Indata!I$22)</f>
        <v>7.9096886721424634E-2</v>
      </c>
    </row>
    <row r="42" spans="1:39" ht="15.75" thickBot="1" x14ac:dyDescent="0.3">
      <c r="A42" s="840"/>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67"/>
      <c r="L42" s="707" t="s">
        <v>141</v>
      </c>
      <c r="M42" s="707"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840"/>
      <c r="V42" s="112" t="s">
        <v>141</v>
      </c>
      <c r="W42" s="112" t="s">
        <v>36</v>
      </c>
      <c r="X42" s="247">
        <f t="shared" si="61"/>
        <v>3.6073070545792146E-2</v>
      </c>
      <c r="Y42" s="247">
        <f t="shared" si="53"/>
        <v>0.16859724477297461</v>
      </c>
      <c r="Z42" s="247">
        <f t="shared" si="54"/>
        <v>5.7955009458015919E-3</v>
      </c>
      <c r="AA42" s="247">
        <f t="shared" si="55"/>
        <v>6.7515840040588082E-2</v>
      </c>
      <c r="AB42" s="247">
        <f t="shared" si="56"/>
        <v>5.7955009458015919E-3</v>
      </c>
      <c r="AC42" s="247">
        <f t="shared" si="57"/>
        <v>8.6089947151234497E-2</v>
      </c>
      <c r="AE42" s="840"/>
      <c r="AF42" s="112" t="s">
        <v>141</v>
      </c>
      <c r="AG42" s="112" t="s">
        <v>36</v>
      </c>
      <c r="AH42" s="248">
        <f>X42*(1-Indata!D$22)</f>
        <v>3.6073070545792146E-2</v>
      </c>
      <c r="AI42" s="249">
        <f>Y42*(1-Indata!E$22)</f>
        <v>0.16859724477297461</v>
      </c>
      <c r="AJ42" s="248">
        <f>Z42*(1-Indata!F$22)</f>
        <v>5.7955009458015919E-3</v>
      </c>
      <c r="AK42" s="249">
        <f>AA42*(1-Indata!G$22)</f>
        <v>5.6038147233688107E-2</v>
      </c>
      <c r="AL42" s="250">
        <f>AB42*(1-Indata!H$22)</f>
        <v>5.7955009458015919E-3</v>
      </c>
      <c r="AM42" s="249">
        <f>AC42*(1-Indata!I$22)</f>
        <v>8.6089947151234497E-2</v>
      </c>
    </row>
    <row r="43" spans="1:39" ht="15.75" thickBot="1" x14ac:dyDescent="0.3">
      <c r="A43" s="840"/>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67"/>
      <c r="L43" s="707" t="s">
        <v>142</v>
      </c>
      <c r="M43" s="707"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840"/>
      <c r="V43" s="112" t="s">
        <v>142</v>
      </c>
      <c r="W43" s="112" t="s">
        <v>36</v>
      </c>
      <c r="X43" s="247">
        <f t="shared" si="61"/>
        <v>7.9570375456998105E-2</v>
      </c>
      <c r="Y43" s="247">
        <f t="shared" si="53"/>
        <v>0.37189365542285041</v>
      </c>
      <c r="Z43" s="247">
        <f t="shared" si="54"/>
        <v>4.7431707868626216E-2</v>
      </c>
      <c r="AA43" s="247">
        <f>Q43/Q$50*AA$50</f>
        <v>0.55256510718542173</v>
      </c>
      <c r="AB43" s="247">
        <f t="shared" si="56"/>
        <v>4.7431707868626216E-2</v>
      </c>
      <c r="AC43" s="247">
        <f t="shared" si="57"/>
        <v>0.70457985632129638</v>
      </c>
      <c r="AE43" s="840"/>
      <c r="AF43" s="112" t="s">
        <v>142</v>
      </c>
      <c r="AG43" s="112" t="s">
        <v>36</v>
      </c>
      <c r="AH43" s="248">
        <f>X43*(1-Indata!D$22)</f>
        <v>7.9570375456998105E-2</v>
      </c>
      <c r="AI43" s="249">
        <f>Y43*(1-Indata!E$22)</f>
        <v>0.37189365542285041</v>
      </c>
      <c r="AJ43" s="248">
        <f>Z43*(1-Indata!F$22)</f>
        <v>4.7431707868626216E-2</v>
      </c>
      <c r="AK43" s="249">
        <f>AA43*(1-Indata!G$22)</f>
        <v>0.4586290389639</v>
      </c>
      <c r="AL43" s="250">
        <f>AB43*(1-Indata!H$22)</f>
        <v>4.7431707868626216E-2</v>
      </c>
      <c r="AM43" s="249">
        <f>AC43*(1-Indata!I$22)</f>
        <v>0.70457985632129638</v>
      </c>
    </row>
    <row r="44" spans="1:39" ht="15.75" thickBot="1" x14ac:dyDescent="0.3">
      <c r="A44" s="840"/>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67"/>
      <c r="L44" s="707" t="s">
        <v>143</v>
      </c>
      <c r="M44" s="707"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840"/>
      <c r="V44" s="112" t="s">
        <v>143</v>
      </c>
      <c r="W44" s="112" t="s">
        <v>36</v>
      </c>
      <c r="X44" s="247">
        <f t="shared" si="61"/>
        <v>0</v>
      </c>
      <c r="Y44" s="247">
        <f t="shared" si="53"/>
        <v>0</v>
      </c>
      <c r="Z44" s="247">
        <f t="shared" si="54"/>
        <v>8.5496813964605053E-2</v>
      </c>
      <c r="AA44" s="247">
        <f t="shared" si="55"/>
        <v>0.99601212554297935</v>
      </c>
      <c r="AB44" s="247">
        <f t="shared" si="56"/>
        <v>8.5496813964605053E-2</v>
      </c>
      <c r="AC44" s="247">
        <f t="shared" si="57"/>
        <v>1.2700224302687497</v>
      </c>
      <c r="AE44" s="840"/>
      <c r="AF44" s="112" t="s">
        <v>143</v>
      </c>
      <c r="AG44" s="112" t="s">
        <v>36</v>
      </c>
      <c r="AH44" s="248">
        <f>X44*(1-Indata!D$22)</f>
        <v>0</v>
      </c>
      <c r="AI44" s="249">
        <f>Y44*(1-Indata!E$22)</f>
        <v>0</v>
      </c>
      <c r="AJ44" s="248">
        <f>Z44*(1-Indata!F$22)</f>
        <v>8.5496813964605053E-2</v>
      </c>
      <c r="AK44" s="249">
        <f>AA44*(1-Indata!G$22)</f>
        <v>0.82669006420067281</v>
      </c>
      <c r="AL44" s="250">
        <f>AB44*(1-Indata!H$22)</f>
        <v>8.5496813964605053E-2</v>
      </c>
      <c r="AM44" s="249">
        <f>AC44*(1-Indata!I$22)</f>
        <v>1.2700224302687497</v>
      </c>
    </row>
    <row r="45" spans="1:39" ht="15.75" thickBot="1" x14ac:dyDescent="0.3">
      <c r="A45" s="840"/>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67"/>
      <c r="L45" s="708" t="s">
        <v>159</v>
      </c>
      <c r="M45" s="708"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840"/>
      <c r="V45" s="161" t="s">
        <v>159</v>
      </c>
      <c r="W45" s="161" t="s">
        <v>36</v>
      </c>
      <c r="X45" s="247">
        <f t="shared" si="61"/>
        <v>0.14878631191304731</v>
      </c>
      <c r="Y45" s="247">
        <f t="shared" si="53"/>
        <v>0.69539304164941118</v>
      </c>
      <c r="Z45" s="247">
        <f t="shared" si="54"/>
        <v>0.14404875693177538</v>
      </c>
      <c r="AA45" s="247">
        <f>Q45/Q$50*AA$50</f>
        <v>1.6781246214957053</v>
      </c>
      <c r="AB45" s="247">
        <f t="shared" si="56"/>
        <v>0.14404875693177538</v>
      </c>
      <c r="AC45" s="247">
        <f t="shared" si="57"/>
        <v>2.1397891204627051</v>
      </c>
      <c r="AE45" s="840"/>
      <c r="AF45" s="161" t="s">
        <v>159</v>
      </c>
      <c r="AG45" s="161" t="s">
        <v>36</v>
      </c>
      <c r="AH45" s="244">
        <f>SUM(AH41:AH44)</f>
        <v>0.14878631191304731</v>
      </c>
      <c r="AI45" s="245">
        <f>SUM(AI41:AI44)</f>
        <v>0.69539304164941118</v>
      </c>
      <c r="AJ45" s="244">
        <f t="shared" ref="AJ45" si="83">SUM(AJ41:AJ44)</f>
        <v>0.14404875693177538</v>
      </c>
      <c r="AK45" s="245">
        <f t="shared" ref="AK45" si="84">SUM(AK41:AK44)</f>
        <v>1.3928434358414354</v>
      </c>
      <c r="AL45" s="246">
        <f t="shared" ref="AL45" si="85">SUM(AL41:AL44)</f>
        <v>0.14404875693177538</v>
      </c>
      <c r="AM45" s="245">
        <f t="shared" ref="AM45" si="86">SUM(AM41:AM44)</f>
        <v>2.1397891204627051</v>
      </c>
    </row>
    <row r="46" spans="1:39" ht="15.75" thickBot="1" x14ac:dyDescent="0.3">
      <c r="A46" s="840"/>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67"/>
      <c r="L46" s="707" t="s">
        <v>160</v>
      </c>
      <c r="M46" s="707"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840"/>
      <c r="V46" s="112" t="s">
        <v>160</v>
      </c>
      <c r="W46" s="112" t="s">
        <v>36</v>
      </c>
      <c r="X46" s="247">
        <f t="shared" si="61"/>
        <v>0.22095243940171372</v>
      </c>
      <c r="Y46" s="247">
        <f t="shared" si="53"/>
        <v>0.25817023575597681</v>
      </c>
      <c r="Z46" s="247">
        <f t="shared" si="54"/>
        <v>0.26623670763712654</v>
      </c>
      <c r="AA46" s="247">
        <f t="shared" si="55"/>
        <v>0.20677182908905387</v>
      </c>
      <c r="AB46" s="247">
        <f t="shared" si="56"/>
        <v>0.26623670763712654</v>
      </c>
      <c r="AC46" s="247">
        <f t="shared" si="57"/>
        <v>0.26365628907141547</v>
      </c>
      <c r="AE46" s="840"/>
      <c r="AF46" s="112" t="s">
        <v>160</v>
      </c>
      <c r="AG46" s="112" t="s">
        <v>36</v>
      </c>
      <c r="AH46" s="248">
        <f>AH36+AH41</f>
        <v>0.22095243940171375</v>
      </c>
      <c r="AI46" s="249">
        <f t="shared" ref="AI46:AM46" si="89">AI36+AI41</f>
        <v>0.25817023575597681</v>
      </c>
      <c r="AJ46" s="248">
        <f t="shared" si="89"/>
        <v>0.26623670763712654</v>
      </c>
      <c r="AK46" s="249">
        <f t="shared" si="89"/>
        <v>0.17162061814391466</v>
      </c>
      <c r="AL46" s="250">
        <f t="shared" si="89"/>
        <v>0.26623670763712654</v>
      </c>
      <c r="AM46" s="249">
        <f t="shared" si="89"/>
        <v>0.26365628907141547</v>
      </c>
    </row>
    <row r="47" spans="1:39" ht="15.75" thickBot="1" x14ac:dyDescent="0.3">
      <c r="A47" s="840"/>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67"/>
      <c r="L47" s="707" t="s">
        <v>161</v>
      </c>
      <c r="M47" s="707"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840"/>
      <c r="V47" s="112" t="s">
        <v>161</v>
      </c>
      <c r="W47" s="112" t="s">
        <v>36</v>
      </c>
      <c r="X47" s="247">
        <f t="shared" si="61"/>
        <v>0.24048713697194765</v>
      </c>
      <c r="Y47" s="247">
        <f t="shared" si="53"/>
        <v>0.2809954079549577</v>
      </c>
      <c r="Z47" s="247">
        <f t="shared" si="54"/>
        <v>0.28977504729007958</v>
      </c>
      <c r="AA47" s="247">
        <f t="shared" si="55"/>
        <v>0.22505280013529361</v>
      </c>
      <c r="AB47" s="247">
        <f t="shared" si="56"/>
        <v>0.28977504729007958</v>
      </c>
      <c r="AC47" s="247">
        <f t="shared" si="57"/>
        <v>0.28696649050411499</v>
      </c>
      <c r="AE47" s="840"/>
      <c r="AF47" s="112" t="s">
        <v>161</v>
      </c>
      <c r="AG47" s="112" t="s">
        <v>36</v>
      </c>
      <c r="AH47" s="222">
        <f t="shared" ref="AH47:AM47" si="92">AH37+AH42</f>
        <v>0.24048713697194765</v>
      </c>
      <c r="AI47" s="223">
        <f t="shared" si="92"/>
        <v>0.2809954079549577</v>
      </c>
      <c r="AJ47" s="222">
        <f t="shared" si="92"/>
        <v>0.28977504729007958</v>
      </c>
      <c r="AK47" s="223">
        <f t="shared" si="92"/>
        <v>0.18679382411229367</v>
      </c>
      <c r="AL47" s="224">
        <f t="shared" si="92"/>
        <v>0.28977504729007958</v>
      </c>
      <c r="AM47" s="223">
        <f t="shared" si="92"/>
        <v>0.28696649050411493</v>
      </c>
    </row>
    <row r="48" spans="1:39" ht="15.75" thickBot="1" x14ac:dyDescent="0.3">
      <c r="A48" s="840"/>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67"/>
      <c r="L48" s="707" t="s">
        <v>162</v>
      </c>
      <c r="M48" s="707"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840"/>
      <c r="V48" s="112" t="s">
        <v>162</v>
      </c>
      <c r="W48" s="112" t="s">
        <v>36</v>
      </c>
      <c r="X48" s="247">
        <f t="shared" si="61"/>
        <v>1.9682018403049411</v>
      </c>
      <c r="Y48" s="247">
        <f t="shared" si="53"/>
        <v>2.2997308131232739</v>
      </c>
      <c r="Z48" s="247">
        <f t="shared" si="54"/>
        <v>2.3715853934313103</v>
      </c>
      <c r="AA48" s="247">
        <f t="shared" si="55"/>
        <v>1.8418836906180727</v>
      </c>
      <c r="AB48" s="247">
        <f t="shared" si="56"/>
        <v>2.3715853934313103</v>
      </c>
      <c r="AC48" s="247">
        <f t="shared" si="57"/>
        <v>2.3485995210709882</v>
      </c>
      <c r="AE48" s="840"/>
      <c r="AF48" s="112" t="s">
        <v>162</v>
      </c>
      <c r="AG48" s="112" t="s">
        <v>36</v>
      </c>
      <c r="AH48" s="222">
        <f t="shared" ref="AH48:AM48" si="95">AH38+AH43</f>
        <v>1.9682018403049411</v>
      </c>
      <c r="AI48" s="223">
        <f t="shared" si="95"/>
        <v>2.2997308131232739</v>
      </c>
      <c r="AJ48" s="222">
        <f t="shared" si="95"/>
        <v>2.3715853934313107</v>
      </c>
      <c r="AK48" s="223">
        <f t="shared" si="95"/>
        <v>1.5287634632130001</v>
      </c>
      <c r="AL48" s="224">
        <f t="shared" si="95"/>
        <v>2.3715853934313107</v>
      </c>
      <c r="AM48" s="223">
        <f t="shared" si="95"/>
        <v>2.3485995210709878</v>
      </c>
    </row>
    <row r="49" spans="1:39" x14ac:dyDescent="0.25">
      <c r="A49" s="840"/>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67"/>
      <c r="L49" s="707" t="s">
        <v>163</v>
      </c>
      <c r="M49" s="707"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840"/>
      <c r="V49" s="112" t="s">
        <v>163</v>
      </c>
      <c r="W49" s="112" t="s">
        <v>36</v>
      </c>
      <c r="X49" s="247">
        <f t="shared" si="61"/>
        <v>3.5477319739661044</v>
      </c>
      <c r="Y49" s="247">
        <f t="shared" si="53"/>
        <v>4.1453210591289906</v>
      </c>
      <c r="Z49" s="247">
        <f t="shared" si="54"/>
        <v>4.2748406982302516</v>
      </c>
      <c r="AA49" s="247">
        <f t="shared" si="55"/>
        <v>3.3200404184765984</v>
      </c>
      <c r="AB49" s="247">
        <f t="shared" si="56"/>
        <v>4.2748406982302516</v>
      </c>
      <c r="AC49" s="247">
        <f t="shared" si="57"/>
        <v>4.2334081008958329</v>
      </c>
      <c r="AE49" s="840"/>
      <c r="AF49" s="112" t="s">
        <v>163</v>
      </c>
      <c r="AG49" s="112" t="s">
        <v>36</v>
      </c>
      <c r="AH49" s="248">
        <f t="shared" ref="AH49:AM49" si="98">AH39+AH44</f>
        <v>3.5477319739661044</v>
      </c>
      <c r="AI49" s="249">
        <f t="shared" si="98"/>
        <v>4.1453210591289906</v>
      </c>
      <c r="AJ49" s="248">
        <f t="shared" si="98"/>
        <v>4.2748406982302525</v>
      </c>
      <c r="AK49" s="249">
        <f t="shared" si="98"/>
        <v>2.7556335473355764</v>
      </c>
      <c r="AL49" s="250">
        <f t="shared" si="98"/>
        <v>4.2748406982302525</v>
      </c>
      <c r="AM49" s="249">
        <f t="shared" si="98"/>
        <v>4.2334081008958329</v>
      </c>
    </row>
    <row r="50" spans="1:39" ht="15.75" thickBot="1" x14ac:dyDescent="0.3">
      <c r="A50" s="841"/>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68"/>
      <c r="L50" s="709" t="s">
        <v>164</v>
      </c>
      <c r="M50" s="709"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841"/>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5.5937487383190181</v>
      </c>
      <c r="AB50" s="182">
        <f>R50*(1+R$86*'Indata - Effektsamband-Faktorer'!$D$9)</f>
        <v>7.2024378465887686</v>
      </c>
      <c r="AC50" s="182">
        <f>S50*(1+S$86*'Indata - Effektsamband-Faktorer'!$E$9)</f>
        <v>7.1326304015423512</v>
      </c>
      <c r="AE50" s="841"/>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4.6428114528047848</v>
      </c>
      <c r="AL50" s="185">
        <f t="shared" ref="AL50" si="107">SUM(AL46:AL49)</f>
        <v>7.2024378465887695</v>
      </c>
      <c r="AM50" s="184">
        <f t="shared" ref="AM50" si="108">SUM(AM46:AM49)</f>
        <v>7.1326304015423512</v>
      </c>
    </row>
    <row r="51" spans="1:39" x14ac:dyDescent="0.25">
      <c r="D51" s="571"/>
      <c r="E51" s="571"/>
      <c r="F51" s="571"/>
      <c r="G51" s="571"/>
      <c r="H51" s="571"/>
      <c r="I51" s="571"/>
      <c r="N51" s="571"/>
      <c r="O51" s="571"/>
      <c r="P51" s="571"/>
      <c r="Q51" s="571"/>
      <c r="R51" s="571"/>
      <c r="S51" s="571"/>
      <c r="U51" s="570"/>
      <c r="V51" s="161"/>
      <c r="W51" s="161"/>
      <c r="X51" s="571"/>
      <c r="Y51" s="571"/>
      <c r="Z51" s="571"/>
      <c r="AA51" s="571"/>
      <c r="AB51" s="571"/>
      <c r="AC51" s="571"/>
      <c r="AE51" s="570"/>
      <c r="AF51" s="161"/>
      <c r="AG51" s="161"/>
      <c r="AH51" s="571"/>
      <c r="AI51" s="571"/>
      <c r="AJ51" s="571"/>
      <c r="AK51" s="571"/>
      <c r="AL51" s="571"/>
      <c r="AM51" s="571"/>
    </row>
    <row r="52" spans="1:39" ht="15.75" thickBot="1" x14ac:dyDescent="0.3">
      <c r="A52" s="40" t="s">
        <v>418</v>
      </c>
      <c r="D52" s="571"/>
      <c r="E52" s="571"/>
      <c r="F52" s="571"/>
      <c r="G52" s="571"/>
      <c r="H52" s="571"/>
      <c r="I52" s="571"/>
      <c r="K52" s="40" t="s">
        <v>424</v>
      </c>
      <c r="N52" s="571"/>
      <c r="O52" s="571"/>
      <c r="P52" s="571"/>
      <c r="Q52" s="571"/>
      <c r="R52" s="571"/>
      <c r="S52" s="571"/>
      <c r="U52" s="40" t="s">
        <v>425</v>
      </c>
      <c r="X52" s="571"/>
      <c r="Y52" s="571"/>
      <c r="Z52" s="571"/>
      <c r="AA52" s="571"/>
      <c r="AB52" s="571"/>
      <c r="AC52" s="571"/>
      <c r="AE52" s="570"/>
      <c r="AF52" s="161"/>
      <c r="AG52" s="161"/>
      <c r="AH52" s="571"/>
      <c r="AI52" s="571"/>
      <c r="AJ52" s="571"/>
      <c r="AK52" s="571"/>
      <c r="AL52" s="571"/>
      <c r="AM52" s="571"/>
    </row>
    <row r="53" spans="1:39" ht="15.75" thickBot="1" x14ac:dyDescent="0.3">
      <c r="A53" s="863" t="s">
        <v>76</v>
      </c>
      <c r="B53" s="572" t="s">
        <v>135</v>
      </c>
      <c r="C53" s="572" t="s">
        <v>73</v>
      </c>
      <c r="D53" s="247">
        <f>Indata!D54</f>
        <v>171.96222222222224</v>
      </c>
      <c r="E53" s="247">
        <f>D53</f>
        <v>171.96222222222224</v>
      </c>
      <c r="F53" s="247">
        <f>D53</f>
        <v>171.96222222222224</v>
      </c>
      <c r="G53" s="247">
        <f>D53</f>
        <v>171.96222222222224</v>
      </c>
      <c r="H53" s="247">
        <f>D53</f>
        <v>171.96222222222224</v>
      </c>
      <c r="I53" s="247">
        <f>D53</f>
        <v>171.96222222222224</v>
      </c>
      <c r="K53" s="863" t="s">
        <v>76</v>
      </c>
      <c r="L53" s="572" t="s">
        <v>135</v>
      </c>
      <c r="M53" s="57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63" t="s">
        <v>76</v>
      </c>
      <c r="V53" s="572" t="s">
        <v>135</v>
      </c>
      <c r="W53" s="57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63" t="s">
        <v>76</v>
      </c>
      <c r="AF53" s="572" t="s">
        <v>135</v>
      </c>
      <c r="AG53" s="57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64"/>
      <c r="B54" s="573" t="s">
        <v>136</v>
      </c>
      <c r="C54" s="57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64"/>
      <c r="L54" s="573" t="s">
        <v>136</v>
      </c>
      <c r="M54" s="57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64"/>
      <c r="V54" s="573" t="s">
        <v>136</v>
      </c>
      <c r="W54" s="57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64"/>
      <c r="AF54" s="573" t="s">
        <v>136</v>
      </c>
      <c r="AG54" s="57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64"/>
      <c r="B55" s="573" t="s">
        <v>137</v>
      </c>
      <c r="C55" s="57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64"/>
      <c r="L55" s="573" t="s">
        <v>137</v>
      </c>
      <c r="M55" s="57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64"/>
      <c r="V55" s="573" t="s">
        <v>137</v>
      </c>
      <c r="W55" s="57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64"/>
      <c r="AF55" s="573" t="s">
        <v>137</v>
      </c>
      <c r="AG55" s="57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64"/>
      <c r="B56" s="573" t="s">
        <v>138</v>
      </c>
      <c r="C56" s="57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64"/>
      <c r="L56" s="573" t="s">
        <v>138</v>
      </c>
      <c r="M56" s="57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64"/>
      <c r="V56" s="573" t="s">
        <v>138</v>
      </c>
      <c r="W56" s="57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64"/>
      <c r="AF56" s="573" t="s">
        <v>138</v>
      </c>
      <c r="AG56" s="57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64"/>
      <c r="B57" s="574" t="s">
        <v>183</v>
      </c>
      <c r="C57" s="574"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64"/>
      <c r="L57" s="574" t="s">
        <v>183</v>
      </c>
      <c r="M57" s="57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64"/>
      <c r="V57" s="574" t="s">
        <v>183</v>
      </c>
      <c r="W57" s="57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64"/>
      <c r="AF57" s="574" t="s">
        <v>183</v>
      </c>
      <c r="AG57" s="57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64"/>
      <c r="B58" s="573" t="s">
        <v>140</v>
      </c>
      <c r="C58" s="573" t="s">
        <v>73</v>
      </c>
      <c r="D58" s="248">
        <f>Indata!D54</f>
        <v>171.96222222222224</v>
      </c>
      <c r="E58" s="247">
        <f>D58</f>
        <v>171.96222222222224</v>
      </c>
      <c r="F58" s="247">
        <f>D58</f>
        <v>171.96222222222224</v>
      </c>
      <c r="G58" s="247">
        <f>D58</f>
        <v>171.96222222222224</v>
      </c>
      <c r="H58" s="247">
        <f>D58</f>
        <v>171.96222222222224</v>
      </c>
      <c r="I58" s="247">
        <f>D58</f>
        <v>171.96222222222224</v>
      </c>
      <c r="K58" s="864"/>
      <c r="L58" s="573" t="s">
        <v>140</v>
      </c>
      <c r="M58" s="57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64"/>
      <c r="V58" s="573" t="s">
        <v>140</v>
      </c>
      <c r="W58" s="573"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64"/>
      <c r="AF58" s="573" t="s">
        <v>140</v>
      </c>
      <c r="AG58" s="573"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64"/>
      <c r="B59" s="573" t="s">
        <v>141</v>
      </c>
      <c r="C59" s="573"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64"/>
      <c r="L59" s="573" t="s">
        <v>141</v>
      </c>
      <c r="M59" s="57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64"/>
      <c r="V59" s="573" t="s">
        <v>141</v>
      </c>
      <c r="W59" s="573"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64"/>
      <c r="AF59" s="573" t="s">
        <v>141</v>
      </c>
      <c r="AG59" s="573"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64"/>
      <c r="B60" s="573" t="s">
        <v>142</v>
      </c>
      <c r="C60" s="573"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64"/>
      <c r="L60" s="573" t="s">
        <v>142</v>
      </c>
      <c r="M60" s="57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64"/>
      <c r="V60" s="573" t="s">
        <v>142</v>
      </c>
      <c r="W60" s="573"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64"/>
      <c r="AF60" s="573" t="s">
        <v>142</v>
      </c>
      <c r="AG60" s="573"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64"/>
      <c r="B61" s="573" t="s">
        <v>143</v>
      </c>
      <c r="C61" s="573"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64"/>
      <c r="L61" s="573" t="s">
        <v>143</v>
      </c>
      <c r="M61" s="57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64"/>
      <c r="V61" s="573" t="s">
        <v>143</v>
      </c>
      <c r="W61" s="573"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64"/>
      <c r="AF61" s="573" t="s">
        <v>143</v>
      </c>
      <c r="AG61" s="573"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64"/>
      <c r="B62" s="574" t="s">
        <v>184</v>
      </c>
      <c r="C62" s="574"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64"/>
      <c r="L62" s="574" t="s">
        <v>184</v>
      </c>
      <c r="M62" s="574"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64"/>
      <c r="V62" s="574" t="s">
        <v>184</v>
      </c>
      <c r="W62" s="574" t="s">
        <v>73</v>
      </c>
      <c r="X62" s="244">
        <f t="shared" ref="X62:AC62" si="147">SUMPRODUCT(X58:X61,X41:X44)/X45</f>
        <v>145.41594298684637</v>
      </c>
      <c r="Y62" s="244">
        <f t="shared" si="147"/>
        <v>145.41594298684637</v>
      </c>
      <c r="Z62" s="244">
        <f t="shared" si="147"/>
        <v>107.78203712685878</v>
      </c>
      <c r="AA62" s="244">
        <f t="shared" si="147"/>
        <v>137.86074516226122</v>
      </c>
      <c r="AB62" s="244">
        <f t="shared" si="147"/>
        <v>107.78203712685878</v>
      </c>
      <c r="AC62" s="244">
        <f t="shared" si="147"/>
        <v>137.86074516226122</v>
      </c>
      <c r="AE62" s="864"/>
      <c r="AF62" s="574" t="s">
        <v>184</v>
      </c>
      <c r="AG62" s="574" t="s">
        <v>73</v>
      </c>
      <c r="AH62" s="244">
        <f t="shared" ref="AH62:AM62" si="148">SUMPRODUCT(AH58:AH61,AH41:AH44)/AH45</f>
        <v>145.41594298684637</v>
      </c>
      <c r="AI62" s="244">
        <f t="shared" si="148"/>
        <v>145.41594298684637</v>
      </c>
      <c r="AJ62" s="244">
        <f t="shared" si="148"/>
        <v>107.78203712685878</v>
      </c>
      <c r="AK62" s="244">
        <f t="shared" si="148"/>
        <v>137.86074516226122</v>
      </c>
      <c r="AL62" s="244">
        <f t="shared" si="148"/>
        <v>107.78203712685878</v>
      </c>
      <c r="AM62" s="244">
        <f t="shared" si="148"/>
        <v>137.86074516226122</v>
      </c>
    </row>
    <row r="63" spans="1:39" x14ac:dyDescent="0.25">
      <c r="A63" s="864"/>
      <c r="B63" s="573" t="s">
        <v>160</v>
      </c>
      <c r="C63" s="573"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64"/>
      <c r="L63" s="573" t="s">
        <v>160</v>
      </c>
      <c r="M63" s="573"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64"/>
      <c r="V63" s="573" t="s">
        <v>160</v>
      </c>
      <c r="W63" s="573"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64"/>
      <c r="AF63" s="573" t="s">
        <v>160</v>
      </c>
      <c r="AG63" s="573"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64"/>
      <c r="B64" s="573" t="s">
        <v>161</v>
      </c>
      <c r="C64" s="573"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64"/>
      <c r="L64" s="573" t="s">
        <v>161</v>
      </c>
      <c r="M64" s="573"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64"/>
      <c r="V64" s="573" t="s">
        <v>161</v>
      </c>
      <c r="W64" s="573"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64"/>
      <c r="AF64" s="573" t="s">
        <v>161</v>
      </c>
      <c r="AG64" s="573"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64"/>
      <c r="B65" s="573" t="s">
        <v>162</v>
      </c>
      <c r="C65" s="573"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64"/>
      <c r="L65" s="573" t="s">
        <v>162</v>
      </c>
      <c r="M65" s="573"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64"/>
      <c r="V65" s="573" t="s">
        <v>162</v>
      </c>
      <c r="W65" s="573"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64"/>
      <c r="AF65" s="573" t="s">
        <v>162</v>
      </c>
      <c r="AG65" s="573"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64"/>
      <c r="B66" s="573" t="s">
        <v>163</v>
      </c>
      <c r="C66" s="573"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64"/>
      <c r="L66" s="573" t="s">
        <v>163</v>
      </c>
      <c r="M66" s="573"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64"/>
      <c r="V66" s="573" t="s">
        <v>163</v>
      </c>
      <c r="W66" s="573"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64"/>
      <c r="AF66" s="573" t="s">
        <v>163</v>
      </c>
      <c r="AG66" s="573"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64"/>
      <c r="B67" s="574" t="s">
        <v>185</v>
      </c>
      <c r="C67" s="574"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64"/>
      <c r="L67" s="574" t="s">
        <v>185</v>
      </c>
      <c r="M67" s="574"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64"/>
      <c r="V67" s="574" t="s">
        <v>185</v>
      </c>
      <c r="W67" s="574"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64"/>
      <c r="AF67" s="574" t="s">
        <v>185</v>
      </c>
      <c r="AG67" s="574"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65"/>
      <c r="B68" s="575" t="s">
        <v>228</v>
      </c>
      <c r="C68" s="575" t="s">
        <v>25</v>
      </c>
      <c r="D68" s="198" t="s">
        <v>77</v>
      </c>
      <c r="E68" s="199" t="s">
        <v>77</v>
      </c>
      <c r="F68" s="198" t="s">
        <v>77</v>
      </c>
      <c r="G68" s="199" t="s">
        <v>77</v>
      </c>
      <c r="H68" s="200" t="s">
        <v>77</v>
      </c>
      <c r="I68" s="199" t="s">
        <v>77</v>
      </c>
      <c r="K68" s="865"/>
      <c r="L68" s="575" t="s">
        <v>228</v>
      </c>
      <c r="M68" s="575" t="s">
        <v>25</v>
      </c>
      <c r="N68" s="198">
        <f>(N67-D67)/D67</f>
        <v>0</v>
      </c>
      <c r="O68" s="198">
        <f t="shared" ref="O68:S68" si="157">(O67-E67)/E67</f>
        <v>0</v>
      </c>
      <c r="P68" s="198">
        <f t="shared" si="157"/>
        <v>-0.21818181818181814</v>
      </c>
      <c r="Q68" s="198">
        <f t="shared" si="157"/>
        <v>0</v>
      </c>
      <c r="R68" s="198">
        <f t="shared" si="157"/>
        <v>-0.21818181818181814</v>
      </c>
      <c r="S68" s="198">
        <f t="shared" si="157"/>
        <v>0</v>
      </c>
      <c r="U68" s="865"/>
      <c r="V68" s="575" t="s">
        <v>228</v>
      </c>
      <c r="W68" s="575" t="s">
        <v>25</v>
      </c>
      <c r="X68" s="198"/>
      <c r="Y68" s="199" t="s">
        <v>77</v>
      </c>
      <c r="Z68" s="198" t="s">
        <v>77</v>
      </c>
      <c r="AA68" s="199" t="s">
        <v>77</v>
      </c>
      <c r="AB68" s="200" t="s">
        <v>77</v>
      </c>
      <c r="AC68" s="199" t="s">
        <v>77</v>
      </c>
      <c r="AE68" s="865"/>
      <c r="AF68" s="575" t="s">
        <v>228</v>
      </c>
      <c r="AG68" s="575"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422</v>
      </c>
      <c r="B70" s="75"/>
      <c r="C70" s="75"/>
      <c r="D70" s="73"/>
      <c r="E70" s="73"/>
      <c r="F70" s="73"/>
      <c r="G70" s="73"/>
      <c r="H70" s="73"/>
      <c r="I70" s="73"/>
      <c r="K70" s="40" t="s">
        <v>423</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63" t="s">
        <v>76</v>
      </c>
      <c r="B71" s="572" t="s">
        <v>135</v>
      </c>
      <c r="C71" s="572" t="s">
        <v>73</v>
      </c>
      <c r="D71" s="247">
        <f t="shared" ref="D71:I74" si="158">D$6*D11+D29+D53</f>
        <v>190.94521430530281</v>
      </c>
      <c r="E71" s="247">
        <f t="shared" si="158"/>
        <v>189.90718274018499</v>
      </c>
      <c r="F71" s="247">
        <f t="shared" si="158"/>
        <v>190.94521430530281</v>
      </c>
      <c r="G71" s="247">
        <f t="shared" si="158"/>
        <v>191.10718274018498</v>
      </c>
      <c r="H71" s="247">
        <f t="shared" si="158"/>
        <v>190.94521430530281</v>
      </c>
      <c r="I71" s="247">
        <f t="shared" si="158"/>
        <v>189.90718274018499</v>
      </c>
      <c r="K71" s="839" t="s">
        <v>76</v>
      </c>
      <c r="L71" s="111" t="s">
        <v>135</v>
      </c>
      <c r="M71" s="111" t="s">
        <v>73</v>
      </c>
      <c r="N71" s="247">
        <f t="shared" ref="N71:S74" si="159">N$6*N11+N29+N53</f>
        <v>190.94521430530281</v>
      </c>
      <c r="O71" s="247">
        <f t="shared" si="159"/>
        <v>189.90718274018499</v>
      </c>
      <c r="P71" s="247">
        <f t="shared" si="159"/>
        <v>152.90846603637033</v>
      </c>
      <c r="Q71" s="247">
        <f t="shared" si="159"/>
        <v>215.53987362831504</v>
      </c>
      <c r="R71" s="247">
        <f t="shared" si="159"/>
        <v>152.90846603637033</v>
      </c>
      <c r="S71" s="247">
        <f t="shared" si="159"/>
        <v>189.90718274018499</v>
      </c>
      <c r="U71" s="839" t="s">
        <v>76</v>
      </c>
      <c r="V71" s="111" t="s">
        <v>135</v>
      </c>
      <c r="W71" s="111" t="s">
        <v>73</v>
      </c>
      <c r="X71" s="247">
        <f t="shared" ref="X71:AC74" si="160">N71</f>
        <v>190.94521430530281</v>
      </c>
      <c r="Y71" s="220">
        <f t="shared" si="160"/>
        <v>189.90718274018499</v>
      </c>
      <c r="Z71" s="219">
        <f t="shared" si="160"/>
        <v>152.90846603637033</v>
      </c>
      <c r="AA71" s="220">
        <f t="shared" si="160"/>
        <v>215.53987362831504</v>
      </c>
      <c r="AB71" s="221">
        <f t="shared" si="160"/>
        <v>152.90846603637033</v>
      </c>
      <c r="AC71" s="220">
        <f t="shared" si="160"/>
        <v>189.90718274018499</v>
      </c>
      <c r="AE71" s="839" t="s">
        <v>76</v>
      </c>
      <c r="AF71" s="111" t="s">
        <v>135</v>
      </c>
      <c r="AG71" s="111" t="s">
        <v>73</v>
      </c>
      <c r="AH71" s="247">
        <f>X71</f>
        <v>190.94521430530281</v>
      </c>
      <c r="AI71" s="220">
        <f t="shared" ref="AI71:AI74" si="161">Y71</f>
        <v>189.90718274018499</v>
      </c>
      <c r="AJ71" s="219">
        <f>Z71</f>
        <v>152.90846603637033</v>
      </c>
      <c r="AK71" s="220">
        <f t="shared" ref="AK71:AK74" si="162">AA71</f>
        <v>215.53987362831504</v>
      </c>
      <c r="AL71" s="221">
        <f t="shared" ref="AL71:AL74" si="163">AB71</f>
        <v>152.90846603637033</v>
      </c>
      <c r="AM71" s="220">
        <f t="shared" ref="AM71:AM74" si="164">AC71</f>
        <v>189.90718274018499</v>
      </c>
    </row>
    <row r="72" spans="1:39" ht="15.75" thickBot="1" x14ac:dyDescent="0.3">
      <c r="A72" s="864"/>
      <c r="B72" s="573" t="s">
        <v>136</v>
      </c>
      <c r="C72" s="573" t="s">
        <v>73</v>
      </c>
      <c r="D72" s="247">
        <f t="shared" si="158"/>
        <v>176.41566333567897</v>
      </c>
      <c r="E72" s="247">
        <f t="shared" si="158"/>
        <v>174.85681886619025</v>
      </c>
      <c r="F72" s="247">
        <f t="shared" si="158"/>
        <v>176.41566333567897</v>
      </c>
      <c r="G72" s="247">
        <f t="shared" si="158"/>
        <v>176.05681886619024</v>
      </c>
      <c r="H72" s="247">
        <f t="shared" si="158"/>
        <v>176.41566333567897</v>
      </c>
      <c r="I72" s="247">
        <f t="shared" si="158"/>
        <v>174.85681886619025</v>
      </c>
      <c r="K72" s="840"/>
      <c r="L72" s="112" t="s">
        <v>136</v>
      </c>
      <c r="M72" s="112" t="s">
        <v>73</v>
      </c>
      <c r="N72" s="247">
        <f t="shared" si="159"/>
        <v>176.41566333567897</v>
      </c>
      <c r="O72" s="247">
        <f t="shared" si="159"/>
        <v>174.85681886619025</v>
      </c>
      <c r="P72" s="247">
        <f t="shared" si="159"/>
        <v>142.68669069925139</v>
      </c>
      <c r="Q72" s="247">
        <f t="shared" si="159"/>
        <v>207.89425162841158</v>
      </c>
      <c r="R72" s="247">
        <f t="shared" si="159"/>
        <v>142.68669069925139</v>
      </c>
      <c r="S72" s="247">
        <f t="shared" si="159"/>
        <v>174.85681886619025</v>
      </c>
      <c r="U72" s="840"/>
      <c r="V72" s="112" t="s">
        <v>136</v>
      </c>
      <c r="W72" s="112" t="s">
        <v>73</v>
      </c>
      <c r="X72" s="222">
        <f t="shared" si="160"/>
        <v>176.41566333567897</v>
      </c>
      <c r="Y72" s="223">
        <f t="shared" si="160"/>
        <v>174.85681886619025</v>
      </c>
      <c r="Z72" s="222">
        <f t="shared" si="160"/>
        <v>142.68669069925139</v>
      </c>
      <c r="AA72" s="223">
        <f t="shared" si="160"/>
        <v>207.89425162841158</v>
      </c>
      <c r="AB72" s="224">
        <f t="shared" si="160"/>
        <v>142.68669069925139</v>
      </c>
      <c r="AC72" s="223">
        <f t="shared" si="160"/>
        <v>174.85681886619025</v>
      </c>
      <c r="AE72" s="840"/>
      <c r="AF72" s="112" t="s">
        <v>136</v>
      </c>
      <c r="AG72" s="112" t="s">
        <v>73</v>
      </c>
      <c r="AH72" s="222">
        <f>X72</f>
        <v>176.41566333567897</v>
      </c>
      <c r="AI72" s="223">
        <f t="shared" si="161"/>
        <v>174.85681886619025</v>
      </c>
      <c r="AJ72" s="222">
        <f t="shared" ref="AJ72:AJ74" si="165">Z72</f>
        <v>142.68669069925139</v>
      </c>
      <c r="AK72" s="223">
        <f t="shared" si="162"/>
        <v>207.89425162841158</v>
      </c>
      <c r="AL72" s="224">
        <f t="shared" si="163"/>
        <v>142.68669069925139</v>
      </c>
      <c r="AM72" s="223">
        <f t="shared" si="164"/>
        <v>174.85681886619025</v>
      </c>
    </row>
    <row r="73" spans="1:39" ht="15.75" thickBot="1" x14ac:dyDescent="0.3">
      <c r="A73" s="864"/>
      <c r="B73" s="573" t="s">
        <v>137</v>
      </c>
      <c r="C73" s="573" t="s">
        <v>73</v>
      </c>
      <c r="D73" s="247">
        <f t="shared" si="158"/>
        <v>162.27025001897198</v>
      </c>
      <c r="E73" s="247">
        <f t="shared" si="158"/>
        <v>160.62442291737943</v>
      </c>
      <c r="F73" s="247">
        <f t="shared" si="158"/>
        <v>162.27025001897198</v>
      </c>
      <c r="G73" s="247">
        <f t="shared" si="158"/>
        <v>161.82442291737942</v>
      </c>
      <c r="H73" s="247">
        <f t="shared" si="158"/>
        <v>162.27025001897198</v>
      </c>
      <c r="I73" s="247">
        <f t="shared" si="158"/>
        <v>160.62442291737943</v>
      </c>
      <c r="K73" s="840"/>
      <c r="L73" s="112" t="s">
        <v>137</v>
      </c>
      <c r="M73" s="112" t="s">
        <v>73</v>
      </c>
      <c r="N73" s="247">
        <f t="shared" si="159"/>
        <v>162.27025001897198</v>
      </c>
      <c r="O73" s="247">
        <f t="shared" si="159"/>
        <v>160.62442291737943</v>
      </c>
      <c r="P73" s="247">
        <f t="shared" si="159"/>
        <v>132.71863495423167</v>
      </c>
      <c r="Q73" s="247">
        <f t="shared" si="159"/>
        <v>201.32488415000716</v>
      </c>
      <c r="R73" s="247">
        <f t="shared" si="159"/>
        <v>132.71863495423167</v>
      </c>
      <c r="S73" s="247">
        <f t="shared" si="159"/>
        <v>160.62442291737943</v>
      </c>
      <c r="U73" s="840"/>
      <c r="V73" s="112" t="s">
        <v>137</v>
      </c>
      <c r="W73" s="112" t="s">
        <v>73</v>
      </c>
      <c r="X73" s="222">
        <f t="shared" si="160"/>
        <v>162.27025001897198</v>
      </c>
      <c r="Y73" s="223">
        <f t="shared" si="160"/>
        <v>160.62442291737943</v>
      </c>
      <c r="Z73" s="222">
        <f t="shared" si="160"/>
        <v>132.71863495423167</v>
      </c>
      <c r="AA73" s="223">
        <f t="shared" si="160"/>
        <v>201.32488415000716</v>
      </c>
      <c r="AB73" s="224">
        <f t="shared" si="160"/>
        <v>132.71863495423167</v>
      </c>
      <c r="AC73" s="223">
        <f t="shared" si="160"/>
        <v>160.62442291737943</v>
      </c>
      <c r="AE73" s="840"/>
      <c r="AF73" s="112" t="s">
        <v>137</v>
      </c>
      <c r="AG73" s="112" t="s">
        <v>73</v>
      </c>
      <c r="AH73" s="222">
        <f>X73</f>
        <v>162.27025001897198</v>
      </c>
      <c r="AI73" s="223">
        <f t="shared" si="161"/>
        <v>160.62442291737943</v>
      </c>
      <c r="AJ73" s="222">
        <f t="shared" si="165"/>
        <v>132.71863495423167</v>
      </c>
      <c r="AK73" s="223">
        <f t="shared" si="162"/>
        <v>201.32488415000716</v>
      </c>
      <c r="AL73" s="224">
        <f t="shared" si="163"/>
        <v>132.71863495423167</v>
      </c>
      <c r="AM73" s="223">
        <f t="shared" si="164"/>
        <v>160.62442291737943</v>
      </c>
    </row>
    <row r="74" spans="1:39" x14ac:dyDescent="0.25">
      <c r="A74" s="864"/>
      <c r="B74" s="573" t="s">
        <v>138</v>
      </c>
      <c r="C74" s="573" t="s">
        <v>73</v>
      </c>
      <c r="D74" s="247">
        <f t="shared" si="158"/>
        <v>177.82507729823442</v>
      </c>
      <c r="E74" s="247">
        <f t="shared" si="158"/>
        <v>175.89906720881777</v>
      </c>
      <c r="F74" s="247">
        <f t="shared" si="158"/>
        <v>177.82507729823442</v>
      </c>
      <c r="G74" s="247">
        <f t="shared" si="158"/>
        <v>177.09906720881779</v>
      </c>
      <c r="H74" s="247">
        <f t="shared" si="158"/>
        <v>177.82507729823442</v>
      </c>
      <c r="I74" s="247">
        <f t="shared" si="158"/>
        <v>175.89906720881777</v>
      </c>
      <c r="K74" s="840"/>
      <c r="L74" s="112" t="s">
        <v>138</v>
      </c>
      <c r="M74" s="112" t="s">
        <v>73</v>
      </c>
      <c r="N74" s="247">
        <f t="shared" si="159"/>
        <v>177.82507729823442</v>
      </c>
      <c r="O74" s="247">
        <f t="shared" si="159"/>
        <v>175.89906720881777</v>
      </c>
      <c r="P74" s="247">
        <f t="shared" si="159"/>
        <v>146.57631083102103</v>
      </c>
      <c r="Q74" s="247">
        <f t="shared" si="159"/>
        <v>228.31815326062622</v>
      </c>
      <c r="R74" s="247">
        <f t="shared" si="159"/>
        <v>146.57631083102103</v>
      </c>
      <c r="S74" s="247">
        <f t="shared" si="159"/>
        <v>175.89906720881777</v>
      </c>
      <c r="U74" s="840"/>
      <c r="V74" s="112" t="s">
        <v>138</v>
      </c>
      <c r="W74" s="112" t="s">
        <v>73</v>
      </c>
      <c r="X74" s="248">
        <f t="shared" si="160"/>
        <v>177.82507729823442</v>
      </c>
      <c r="Y74" s="249">
        <f t="shared" si="160"/>
        <v>175.89906720881777</v>
      </c>
      <c r="Z74" s="248">
        <f t="shared" si="160"/>
        <v>146.57631083102103</v>
      </c>
      <c r="AA74" s="249">
        <f t="shared" si="160"/>
        <v>228.31815326062622</v>
      </c>
      <c r="AB74" s="250">
        <f t="shared" si="160"/>
        <v>146.57631083102103</v>
      </c>
      <c r="AC74" s="249">
        <f t="shared" si="160"/>
        <v>175.89906720881777</v>
      </c>
      <c r="AE74" s="840"/>
      <c r="AF74" s="112" t="s">
        <v>138</v>
      </c>
      <c r="AG74" s="112" t="s">
        <v>73</v>
      </c>
      <c r="AH74" s="248">
        <f t="shared" ref="AH74" si="166">X74</f>
        <v>177.82507729823442</v>
      </c>
      <c r="AI74" s="249">
        <f t="shared" si="161"/>
        <v>175.89906720881777</v>
      </c>
      <c r="AJ74" s="248">
        <f t="shared" si="165"/>
        <v>146.57631083102103</v>
      </c>
      <c r="AK74" s="249">
        <f t="shared" si="162"/>
        <v>228.31815326062622</v>
      </c>
      <c r="AL74" s="250">
        <f t="shared" si="163"/>
        <v>146.57631083102103</v>
      </c>
      <c r="AM74" s="249">
        <f t="shared" si="164"/>
        <v>175.89906720881777</v>
      </c>
    </row>
    <row r="75" spans="1:39" x14ac:dyDescent="0.25">
      <c r="A75" s="864"/>
      <c r="B75" s="574" t="s">
        <v>183</v>
      </c>
      <c r="C75" s="574" t="s">
        <v>73</v>
      </c>
      <c r="D75" s="244">
        <f t="shared" ref="D75:I75" si="167">SUMPRODUCT(D71:D74,D36:D39)/D40</f>
        <v>173.15819104151814</v>
      </c>
      <c r="E75" s="245">
        <f t="shared" si="167"/>
        <v>171.42802777145798</v>
      </c>
      <c r="F75" s="244">
        <f t="shared" si="167"/>
        <v>173.13153424933503</v>
      </c>
      <c r="G75" s="245">
        <f t="shared" si="167"/>
        <v>172.54537761183377</v>
      </c>
      <c r="H75" s="246">
        <f t="shared" si="167"/>
        <v>173.13153424933503</v>
      </c>
      <c r="I75" s="245">
        <f t="shared" si="167"/>
        <v>171.34537761183375</v>
      </c>
      <c r="K75" s="840"/>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218.13587491742123</v>
      </c>
      <c r="R75" s="246">
        <f>SUMPRODUCT(R71:R74,R36:R39)/R40</f>
        <v>142.09089560246696</v>
      </c>
      <c r="S75" s="245">
        <f>SUMPRODUCT(S71:S74,S36:S39)/S40</f>
        <v>171.34537761183375</v>
      </c>
      <c r="U75" s="840"/>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218.13587491742123</v>
      </c>
      <c r="AB75" s="246">
        <f>SUMPRODUCT(AB71:AB74,AB36:AB39)/AB40</f>
        <v>142.09089560246696</v>
      </c>
      <c r="AC75" s="245">
        <f>SUMPRODUCT(AC71:AC74,AC36:AC39)/AC40</f>
        <v>171.34537761183375</v>
      </c>
      <c r="AE75" s="840"/>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218.13587491742123</v>
      </c>
      <c r="AL75" s="246">
        <f>SUMPRODUCT(AL71:AL74,AL36:AL39)/AL40</f>
        <v>142.09089560246696</v>
      </c>
      <c r="AM75" s="245">
        <f>SUMPRODUCT(AM71:AM74,AM36:AM39)/AM40</f>
        <v>171.34537761183375</v>
      </c>
    </row>
    <row r="76" spans="1:39" x14ac:dyDescent="0.25">
      <c r="A76" s="864"/>
      <c r="B76" s="573" t="s">
        <v>140</v>
      </c>
      <c r="C76" s="573" t="s">
        <v>73</v>
      </c>
      <c r="D76" s="248">
        <f t="shared" ref="D76:I79" si="168">D$7*D16+D29+D58</f>
        <v>182.10919972655253</v>
      </c>
      <c r="E76" s="248">
        <f t="shared" si="168"/>
        <v>183.85358449241139</v>
      </c>
      <c r="F76" s="248">
        <f t="shared" si="168"/>
        <v>182.10919972655253</v>
      </c>
      <c r="G76" s="248">
        <f t="shared" si="168"/>
        <v>185.0535844924114</v>
      </c>
      <c r="H76" s="248">
        <f t="shared" si="168"/>
        <v>182.10919972655253</v>
      </c>
      <c r="I76" s="248">
        <f t="shared" si="168"/>
        <v>183.85358449241139</v>
      </c>
      <c r="K76" s="840"/>
      <c r="L76" s="112" t="s">
        <v>140</v>
      </c>
      <c r="M76" s="112" t="s">
        <v>73</v>
      </c>
      <c r="N76" s="248">
        <f t="shared" ref="N76:S79" si="169">N$7*N16+N29+N58</f>
        <v>182.10919972655253</v>
      </c>
      <c r="O76" s="248">
        <f t="shared" si="169"/>
        <v>183.85358449241139</v>
      </c>
      <c r="P76" s="248">
        <f t="shared" si="169"/>
        <v>144.31343367340415</v>
      </c>
      <c r="Q76" s="248">
        <f t="shared" si="169"/>
        <v>184.45901637890194</v>
      </c>
      <c r="R76" s="248">
        <f t="shared" si="169"/>
        <v>144.31343367340415</v>
      </c>
      <c r="S76" s="248">
        <f t="shared" si="169"/>
        <v>183.85358449241139</v>
      </c>
      <c r="U76" s="840"/>
      <c r="V76" s="112" t="s">
        <v>140</v>
      </c>
      <c r="W76" s="112" t="s">
        <v>73</v>
      </c>
      <c r="X76" s="248">
        <f t="shared" ref="X76:AC79" si="170">N76</f>
        <v>182.10919972655253</v>
      </c>
      <c r="Y76" s="249">
        <f t="shared" si="170"/>
        <v>183.85358449241139</v>
      </c>
      <c r="Z76" s="248">
        <f t="shared" si="170"/>
        <v>144.31343367340415</v>
      </c>
      <c r="AA76" s="249">
        <f t="shared" si="170"/>
        <v>184.45901637890194</v>
      </c>
      <c r="AB76" s="250">
        <f t="shared" si="170"/>
        <v>144.31343367340415</v>
      </c>
      <c r="AC76" s="249">
        <f t="shared" si="170"/>
        <v>183.85358449241139</v>
      </c>
      <c r="AE76" s="840"/>
      <c r="AF76" s="112" t="s">
        <v>140</v>
      </c>
      <c r="AG76" s="112" t="s">
        <v>73</v>
      </c>
      <c r="AH76" s="248">
        <f>X76</f>
        <v>182.10919972655253</v>
      </c>
      <c r="AI76" s="249">
        <f t="shared" ref="AI76:AI79" si="171">Y76</f>
        <v>183.85358449241139</v>
      </c>
      <c r="AJ76" s="248">
        <f>Z76</f>
        <v>144.31343367340415</v>
      </c>
      <c r="AK76" s="249">
        <f t="shared" ref="AK76:AK79" si="172">AA76</f>
        <v>184.45901637890194</v>
      </c>
      <c r="AL76" s="250">
        <f>AB76</f>
        <v>144.31343367340415</v>
      </c>
      <c r="AM76" s="249">
        <f t="shared" ref="AM76:AM79" si="173">AC76</f>
        <v>183.85358449241139</v>
      </c>
    </row>
    <row r="77" spans="1:39" x14ac:dyDescent="0.25">
      <c r="A77" s="864"/>
      <c r="B77" s="573" t="s">
        <v>141</v>
      </c>
      <c r="C77" s="573" t="s">
        <v>73</v>
      </c>
      <c r="D77" s="248">
        <f t="shared" si="168"/>
        <v>161.62031083766357</v>
      </c>
      <c r="E77" s="248">
        <f t="shared" si="168"/>
        <v>163.36469560352242</v>
      </c>
      <c r="F77" s="248">
        <f t="shared" si="168"/>
        <v>161.62031083766357</v>
      </c>
      <c r="G77" s="248">
        <f t="shared" si="168"/>
        <v>164.56469560352244</v>
      </c>
      <c r="H77" s="248">
        <f t="shared" si="168"/>
        <v>161.62031083766357</v>
      </c>
      <c r="I77" s="248">
        <f t="shared" si="168"/>
        <v>163.36469560352242</v>
      </c>
      <c r="K77" s="840"/>
      <c r="L77" s="112" t="s">
        <v>141</v>
      </c>
      <c r="M77" s="112" t="s">
        <v>73</v>
      </c>
      <c r="N77" s="248">
        <f t="shared" si="169"/>
        <v>161.62031083766357</v>
      </c>
      <c r="O77" s="248">
        <f t="shared" si="169"/>
        <v>163.36469560352242</v>
      </c>
      <c r="P77" s="248">
        <f t="shared" si="169"/>
        <v>128.29484781481821</v>
      </c>
      <c r="Q77" s="248">
        <f t="shared" si="169"/>
        <v>163.97012749001297</v>
      </c>
      <c r="R77" s="248">
        <f t="shared" si="169"/>
        <v>128.29484781481821</v>
      </c>
      <c r="S77" s="248">
        <f t="shared" si="169"/>
        <v>163.36469560352242</v>
      </c>
      <c r="U77" s="840"/>
      <c r="V77" s="112" t="s">
        <v>141</v>
      </c>
      <c r="W77" s="112" t="s">
        <v>73</v>
      </c>
      <c r="X77" s="248">
        <f t="shared" si="170"/>
        <v>161.62031083766357</v>
      </c>
      <c r="Y77" s="249">
        <f t="shared" si="170"/>
        <v>163.36469560352242</v>
      </c>
      <c r="Z77" s="248">
        <f t="shared" si="170"/>
        <v>128.29484781481821</v>
      </c>
      <c r="AA77" s="249">
        <f t="shared" si="170"/>
        <v>163.97012749001297</v>
      </c>
      <c r="AB77" s="250">
        <f t="shared" si="170"/>
        <v>128.29484781481821</v>
      </c>
      <c r="AC77" s="249">
        <f t="shared" si="170"/>
        <v>163.36469560352242</v>
      </c>
      <c r="AE77" s="840"/>
      <c r="AF77" s="112" t="s">
        <v>141</v>
      </c>
      <c r="AG77" s="112" t="s">
        <v>73</v>
      </c>
      <c r="AH77" s="248">
        <f>X77</f>
        <v>161.62031083766357</v>
      </c>
      <c r="AI77" s="249">
        <f t="shared" si="171"/>
        <v>163.36469560352242</v>
      </c>
      <c r="AJ77" s="248">
        <f t="shared" ref="AJ77:AJ79" si="174">Z77</f>
        <v>128.29484781481821</v>
      </c>
      <c r="AK77" s="249">
        <f t="shared" si="172"/>
        <v>163.97012749001297</v>
      </c>
      <c r="AL77" s="250">
        <f t="shared" ref="AL77:AL79" si="175">AB77</f>
        <v>128.29484781481821</v>
      </c>
      <c r="AM77" s="249">
        <f t="shared" si="173"/>
        <v>163.36469560352242</v>
      </c>
    </row>
    <row r="78" spans="1:39" x14ac:dyDescent="0.25">
      <c r="A78" s="864"/>
      <c r="B78" s="573" t="s">
        <v>142</v>
      </c>
      <c r="C78" s="573" t="s">
        <v>73</v>
      </c>
      <c r="D78" s="248">
        <f t="shared" si="168"/>
        <v>147.62870710368779</v>
      </c>
      <c r="E78" s="248">
        <f t="shared" si="168"/>
        <v>150.38204538492755</v>
      </c>
      <c r="F78" s="248">
        <f t="shared" si="168"/>
        <v>147.62870710368779</v>
      </c>
      <c r="G78" s="248">
        <f t="shared" si="168"/>
        <v>151.58204538492757</v>
      </c>
      <c r="H78" s="248">
        <f t="shared" si="168"/>
        <v>147.62870710368779</v>
      </c>
      <c r="I78" s="248">
        <f t="shared" si="168"/>
        <v>150.38204538492755</v>
      </c>
      <c r="K78" s="840"/>
      <c r="L78" s="112" t="s">
        <v>142</v>
      </c>
      <c r="M78" s="112" t="s">
        <v>73</v>
      </c>
      <c r="N78" s="248">
        <f t="shared" si="169"/>
        <v>147.62870710368779</v>
      </c>
      <c r="O78" s="248">
        <f t="shared" si="169"/>
        <v>150.38204538492755</v>
      </c>
      <c r="P78" s="248">
        <f t="shared" si="169"/>
        <v>118.47640684572796</v>
      </c>
      <c r="Q78" s="248">
        <f t="shared" si="169"/>
        <v>150.64357860869194</v>
      </c>
      <c r="R78" s="248">
        <f t="shared" si="169"/>
        <v>118.47640684572796</v>
      </c>
      <c r="S78" s="248">
        <f t="shared" si="169"/>
        <v>150.38204538492755</v>
      </c>
      <c r="U78" s="840"/>
      <c r="V78" s="112" t="s">
        <v>142</v>
      </c>
      <c r="W78" s="112" t="s">
        <v>73</v>
      </c>
      <c r="X78" s="248">
        <f t="shared" si="170"/>
        <v>147.62870710368779</v>
      </c>
      <c r="Y78" s="249">
        <f t="shared" si="170"/>
        <v>150.38204538492755</v>
      </c>
      <c r="Z78" s="248">
        <f t="shared" si="170"/>
        <v>118.47640684572796</v>
      </c>
      <c r="AA78" s="249">
        <f t="shared" si="170"/>
        <v>150.64357860869194</v>
      </c>
      <c r="AB78" s="250">
        <f t="shared" si="170"/>
        <v>118.47640684572796</v>
      </c>
      <c r="AC78" s="249">
        <f t="shared" si="170"/>
        <v>150.38204538492755</v>
      </c>
      <c r="AE78" s="840"/>
      <c r="AF78" s="112" t="s">
        <v>142</v>
      </c>
      <c r="AG78" s="112" t="s">
        <v>73</v>
      </c>
      <c r="AH78" s="248">
        <f>X78</f>
        <v>147.62870710368779</v>
      </c>
      <c r="AI78" s="249">
        <f t="shared" si="171"/>
        <v>150.38204538492755</v>
      </c>
      <c r="AJ78" s="248">
        <f t="shared" si="174"/>
        <v>118.47640684572796</v>
      </c>
      <c r="AK78" s="249">
        <f t="shared" si="172"/>
        <v>150.64357860869194</v>
      </c>
      <c r="AL78" s="250">
        <f t="shared" si="175"/>
        <v>118.47640684572796</v>
      </c>
      <c r="AM78" s="249">
        <f t="shared" si="173"/>
        <v>150.38204538492755</v>
      </c>
    </row>
    <row r="79" spans="1:39" x14ac:dyDescent="0.25">
      <c r="A79" s="864"/>
      <c r="B79" s="573" t="s">
        <v>143</v>
      </c>
      <c r="C79" s="573" t="s">
        <v>73</v>
      </c>
      <c r="D79" s="248">
        <f t="shared" si="168"/>
        <v>156.46187669078199</v>
      </c>
      <c r="E79" s="248">
        <f t="shared" si="168"/>
        <v>159.58748079343013</v>
      </c>
      <c r="F79" s="248">
        <f t="shared" si="168"/>
        <v>156.46187669078199</v>
      </c>
      <c r="G79" s="248">
        <f t="shared" si="168"/>
        <v>160.78748079343012</v>
      </c>
      <c r="H79" s="248">
        <f t="shared" si="168"/>
        <v>156.46187669078199</v>
      </c>
      <c r="I79" s="248">
        <f t="shared" si="168"/>
        <v>159.58748079343013</v>
      </c>
      <c r="K79" s="840"/>
      <c r="L79" s="112" t="s">
        <v>143</v>
      </c>
      <c r="M79" s="112" t="s">
        <v>73</v>
      </c>
      <c r="N79" s="248">
        <f t="shared" si="169"/>
        <v>156.46187669078199</v>
      </c>
      <c r="O79" s="248">
        <f t="shared" si="169"/>
        <v>159.58748079343013</v>
      </c>
      <c r="P79" s="248">
        <f t="shared" si="169"/>
        <v>125.7957429674082</v>
      </c>
      <c r="Q79" s="248">
        <f t="shared" si="169"/>
        <v>159.72212837161285</v>
      </c>
      <c r="R79" s="248">
        <f t="shared" si="169"/>
        <v>125.7957429674082</v>
      </c>
      <c r="S79" s="248">
        <f t="shared" si="169"/>
        <v>159.58748079343013</v>
      </c>
      <c r="U79" s="840"/>
      <c r="V79" s="112" t="s">
        <v>143</v>
      </c>
      <c r="W79" s="112" t="s">
        <v>73</v>
      </c>
      <c r="X79" s="248">
        <f t="shared" si="170"/>
        <v>156.46187669078199</v>
      </c>
      <c r="Y79" s="249">
        <f t="shared" si="170"/>
        <v>159.58748079343013</v>
      </c>
      <c r="Z79" s="248">
        <f t="shared" si="170"/>
        <v>125.7957429674082</v>
      </c>
      <c r="AA79" s="249">
        <f t="shared" si="170"/>
        <v>159.72212837161285</v>
      </c>
      <c r="AB79" s="250">
        <f t="shared" si="170"/>
        <v>125.7957429674082</v>
      </c>
      <c r="AC79" s="249">
        <f t="shared" si="170"/>
        <v>159.58748079343013</v>
      </c>
      <c r="AE79" s="840"/>
      <c r="AF79" s="112" t="s">
        <v>143</v>
      </c>
      <c r="AG79" s="112" t="s">
        <v>73</v>
      </c>
      <c r="AH79" s="248">
        <f t="shared" ref="AH79" si="176">X79</f>
        <v>156.46187669078199</v>
      </c>
      <c r="AI79" s="249">
        <f t="shared" si="171"/>
        <v>159.58748079343013</v>
      </c>
      <c r="AJ79" s="248">
        <f t="shared" si="174"/>
        <v>125.7957429674082</v>
      </c>
      <c r="AK79" s="249">
        <f t="shared" si="172"/>
        <v>159.72212837161285</v>
      </c>
      <c r="AL79" s="250">
        <f t="shared" si="175"/>
        <v>125.7957429674082</v>
      </c>
      <c r="AM79" s="249">
        <f t="shared" si="173"/>
        <v>159.58748079343013</v>
      </c>
    </row>
    <row r="80" spans="1:39" x14ac:dyDescent="0.25">
      <c r="A80" s="864"/>
      <c r="B80" s="574" t="s">
        <v>184</v>
      </c>
      <c r="C80" s="574" t="s">
        <v>73</v>
      </c>
      <c r="D80" s="244">
        <f t="shared" ref="D80:I80" si="177">SUMPRODUCT(D76:D79,D41:D44)/D45</f>
        <v>158.70165078298615</v>
      </c>
      <c r="E80" s="245">
        <f t="shared" si="177"/>
        <v>160.98562019883911</v>
      </c>
      <c r="F80" s="244">
        <f t="shared" si="177"/>
        <v>154.70891860967484</v>
      </c>
      <c r="G80" s="245">
        <f t="shared" si="177"/>
        <v>158.80531776712584</v>
      </c>
      <c r="H80" s="246">
        <f t="shared" si="177"/>
        <v>154.70891860967484</v>
      </c>
      <c r="I80" s="245">
        <f t="shared" si="177"/>
        <v>157.60531776712583</v>
      </c>
      <c r="K80" s="840"/>
      <c r="L80" s="161" t="s">
        <v>184</v>
      </c>
      <c r="M80" s="161" t="s">
        <v>73</v>
      </c>
      <c r="N80" s="244">
        <f t="shared" ref="N80:S80" si="178">SUMPRODUCT(N76:N79,N41:N44)/N45</f>
        <v>158.70165078298615</v>
      </c>
      <c r="O80" s="245">
        <f t="shared" si="178"/>
        <v>160.98562019883911</v>
      </c>
      <c r="P80" s="244">
        <f t="shared" si="178"/>
        <v>124.1707149347975</v>
      </c>
      <c r="Q80" s="245">
        <f t="shared" si="178"/>
        <v>157.81808913688261</v>
      </c>
      <c r="R80" s="246">
        <f t="shared" si="178"/>
        <v>124.1707149347975</v>
      </c>
      <c r="S80" s="245">
        <f t="shared" si="178"/>
        <v>157.60531776712583</v>
      </c>
      <c r="U80" s="840"/>
      <c r="V80" s="161" t="s">
        <v>184</v>
      </c>
      <c r="W80" s="161" t="s">
        <v>73</v>
      </c>
      <c r="X80" s="244">
        <f t="shared" ref="X80:AC80" si="179">SUMPRODUCT(X76:X79,X41:X44)/X45</f>
        <v>158.70165078298615</v>
      </c>
      <c r="Y80" s="245">
        <f t="shared" si="179"/>
        <v>160.98562019883911</v>
      </c>
      <c r="Z80" s="244">
        <f t="shared" si="179"/>
        <v>124.17071493479752</v>
      </c>
      <c r="AA80" s="245">
        <f t="shared" si="179"/>
        <v>157.81808913688261</v>
      </c>
      <c r="AB80" s="246">
        <f t="shared" si="179"/>
        <v>124.17071493479752</v>
      </c>
      <c r="AC80" s="245">
        <f t="shared" si="179"/>
        <v>157.60531776712585</v>
      </c>
      <c r="AE80" s="840"/>
      <c r="AF80" s="161" t="s">
        <v>184</v>
      </c>
      <c r="AG80" s="161" t="s">
        <v>73</v>
      </c>
      <c r="AH80" s="244">
        <f t="shared" ref="AH80:AM80" si="180">SUMPRODUCT(AH76:AH79,AH41:AH44)/AH45</f>
        <v>158.70165078298615</v>
      </c>
      <c r="AI80" s="245">
        <f t="shared" si="180"/>
        <v>160.98562019883911</v>
      </c>
      <c r="AJ80" s="244">
        <f t="shared" si="180"/>
        <v>124.17071493479752</v>
      </c>
      <c r="AK80" s="245">
        <f t="shared" si="180"/>
        <v>157.81808913688261</v>
      </c>
      <c r="AL80" s="246">
        <f t="shared" si="180"/>
        <v>124.17071493479752</v>
      </c>
      <c r="AM80" s="245">
        <f t="shared" si="180"/>
        <v>157.60531776712585</v>
      </c>
    </row>
    <row r="81" spans="1:39" x14ac:dyDescent="0.25">
      <c r="A81" s="864"/>
      <c r="B81" s="573" t="s">
        <v>160</v>
      </c>
      <c r="C81" s="573" t="s">
        <v>73</v>
      </c>
      <c r="D81" s="248">
        <f t="shared" ref="D81:I84" si="181">(1-D23)*(D$6*D11+D53)+D23*(D$7*D16+D58)+D29</f>
        <v>189.61981211849027</v>
      </c>
      <c r="E81" s="248">
        <f t="shared" si="181"/>
        <v>186.27502379152082</v>
      </c>
      <c r="F81" s="248">
        <f t="shared" si="181"/>
        <v>190.7684940137278</v>
      </c>
      <c r="G81" s="248">
        <f t="shared" si="181"/>
        <v>189.29110326585288</v>
      </c>
      <c r="H81" s="248">
        <f t="shared" si="181"/>
        <v>190.7684940137278</v>
      </c>
      <c r="I81" s="248">
        <f t="shared" si="181"/>
        <v>188.09110326585289</v>
      </c>
      <c r="K81" s="840"/>
      <c r="L81" s="112" t="s">
        <v>160</v>
      </c>
      <c r="M81" s="112" t="s">
        <v>73</v>
      </c>
      <c r="N81" s="248">
        <f t="shared" ref="N81:S84" si="182">(1-N23)*(N$6*N11+N53)+N23*(N$7*N16+N58)+N29</f>
        <v>189.61981211849027</v>
      </c>
      <c r="O81" s="248">
        <f t="shared" si="182"/>
        <v>186.27502379152082</v>
      </c>
      <c r="P81" s="248">
        <f t="shared" si="182"/>
        <v>152.73656538911101</v>
      </c>
      <c r="Q81" s="248">
        <f t="shared" si="182"/>
        <v>206.21561645349109</v>
      </c>
      <c r="R81" s="248">
        <f t="shared" si="182"/>
        <v>152.73656538911101</v>
      </c>
      <c r="S81" s="248">
        <f t="shared" si="182"/>
        <v>188.09110326585289</v>
      </c>
      <c r="U81" s="840"/>
      <c r="V81" s="112" t="s">
        <v>160</v>
      </c>
      <c r="W81" s="112" t="s">
        <v>73</v>
      </c>
      <c r="X81" s="248">
        <f t="shared" ref="X81:AC84" si="183">N81</f>
        <v>189.61981211849027</v>
      </c>
      <c r="Y81" s="249">
        <f t="shared" si="183"/>
        <v>186.27502379152082</v>
      </c>
      <c r="Z81" s="248">
        <f t="shared" si="183"/>
        <v>152.73656538911101</v>
      </c>
      <c r="AA81" s="249">
        <f t="shared" si="183"/>
        <v>206.21561645349109</v>
      </c>
      <c r="AB81" s="250">
        <f t="shared" si="183"/>
        <v>152.73656538911101</v>
      </c>
      <c r="AC81" s="249">
        <f t="shared" si="183"/>
        <v>188.09110326585289</v>
      </c>
      <c r="AE81" s="840"/>
      <c r="AF81" s="112" t="s">
        <v>160</v>
      </c>
      <c r="AG81" s="112" t="s">
        <v>73</v>
      </c>
      <c r="AH81" s="248">
        <f>X81</f>
        <v>189.61981211849027</v>
      </c>
      <c r="AI81" s="249">
        <f t="shared" ref="AI81:AI84" si="184">Y81</f>
        <v>186.27502379152082</v>
      </c>
      <c r="AJ81" s="248">
        <f>Z81</f>
        <v>152.73656538911101</v>
      </c>
      <c r="AK81" s="249">
        <f t="shared" ref="AK81:AK84" si="185">AA81</f>
        <v>206.21561645349109</v>
      </c>
      <c r="AL81" s="250">
        <f>AB81</f>
        <v>152.73656538911101</v>
      </c>
      <c r="AM81" s="249">
        <f t="shared" ref="AM81:AM84" si="186">AC81</f>
        <v>188.09110326585289</v>
      </c>
    </row>
    <row r="82" spans="1:39" x14ac:dyDescent="0.25">
      <c r="A82" s="864"/>
      <c r="B82" s="573" t="s">
        <v>161</v>
      </c>
      <c r="C82" s="573" t="s">
        <v>73</v>
      </c>
      <c r="D82" s="248">
        <f t="shared" si="181"/>
        <v>174.19636046097665</v>
      </c>
      <c r="E82" s="248">
        <f t="shared" si="181"/>
        <v>167.96154490858956</v>
      </c>
      <c r="F82" s="248">
        <f t="shared" si="181"/>
        <v>176.11975628571867</v>
      </c>
      <c r="G82" s="248">
        <f t="shared" si="181"/>
        <v>172.60918188738987</v>
      </c>
      <c r="H82" s="248">
        <f t="shared" si="181"/>
        <v>176.11975628571867</v>
      </c>
      <c r="I82" s="248">
        <f t="shared" si="181"/>
        <v>171.40918188738988</v>
      </c>
      <c r="K82" s="840"/>
      <c r="L82" s="112" t="s">
        <v>161</v>
      </c>
      <c r="M82" s="112" t="s">
        <v>73</v>
      </c>
      <c r="N82" s="248">
        <f t="shared" si="182"/>
        <v>174.19636046097665</v>
      </c>
      <c r="O82" s="248">
        <f t="shared" si="182"/>
        <v>167.96154490858956</v>
      </c>
      <c r="P82" s="248">
        <f t="shared" si="182"/>
        <v>142.39885384156273</v>
      </c>
      <c r="Q82" s="248">
        <f t="shared" si="182"/>
        <v>194.71701438689198</v>
      </c>
      <c r="R82" s="248">
        <f t="shared" si="182"/>
        <v>142.39885384156273</v>
      </c>
      <c r="S82" s="248">
        <f t="shared" si="182"/>
        <v>171.40918188738988</v>
      </c>
      <c r="U82" s="840"/>
      <c r="V82" s="112" t="s">
        <v>161</v>
      </c>
      <c r="W82" s="112" t="s">
        <v>73</v>
      </c>
      <c r="X82" s="222">
        <f t="shared" si="183"/>
        <v>174.19636046097665</v>
      </c>
      <c r="Y82" s="223">
        <f t="shared" si="183"/>
        <v>167.96154490858956</v>
      </c>
      <c r="Z82" s="222">
        <f t="shared" si="183"/>
        <v>142.39885384156273</v>
      </c>
      <c r="AA82" s="223">
        <f t="shared" si="183"/>
        <v>194.71701438689198</v>
      </c>
      <c r="AB82" s="224">
        <f t="shared" si="183"/>
        <v>142.39885384156273</v>
      </c>
      <c r="AC82" s="223">
        <f t="shared" si="183"/>
        <v>171.40918188738988</v>
      </c>
      <c r="AE82" s="840"/>
      <c r="AF82" s="112" t="s">
        <v>161</v>
      </c>
      <c r="AG82" s="112" t="s">
        <v>73</v>
      </c>
      <c r="AH82" s="222">
        <f>X82</f>
        <v>174.19636046097665</v>
      </c>
      <c r="AI82" s="223">
        <f t="shared" si="184"/>
        <v>167.96154490858956</v>
      </c>
      <c r="AJ82" s="222">
        <f t="shared" ref="AJ82:AJ84" si="187">Z82</f>
        <v>142.39885384156273</v>
      </c>
      <c r="AK82" s="223">
        <f t="shared" si="185"/>
        <v>194.71701438689198</v>
      </c>
      <c r="AL82" s="224">
        <f t="shared" ref="AL82:AL84" si="188">AB82</f>
        <v>142.39885384156273</v>
      </c>
      <c r="AM82" s="223">
        <f t="shared" si="186"/>
        <v>171.40918188738988</v>
      </c>
    </row>
    <row r="83" spans="1:39" x14ac:dyDescent="0.25">
      <c r="A83" s="864"/>
      <c r="B83" s="573" t="s">
        <v>162</v>
      </c>
      <c r="C83" s="573" t="s">
        <v>73</v>
      </c>
      <c r="D83" s="248">
        <f t="shared" si="181"/>
        <v>161.67832238066717</v>
      </c>
      <c r="E83" s="248">
        <f t="shared" si="181"/>
        <v>158.96810940493347</v>
      </c>
      <c r="F83" s="248">
        <f t="shared" si="181"/>
        <v>161.9774191606663</v>
      </c>
      <c r="G83" s="248">
        <f t="shared" si="181"/>
        <v>158.75170965764386</v>
      </c>
      <c r="H83" s="248">
        <f t="shared" si="181"/>
        <v>161.9774191606663</v>
      </c>
      <c r="I83" s="248">
        <f t="shared" si="181"/>
        <v>157.55170965764387</v>
      </c>
      <c r="K83" s="840"/>
      <c r="L83" s="112" t="s">
        <v>162</v>
      </c>
      <c r="M83" s="112" t="s">
        <v>73</v>
      </c>
      <c r="N83" s="248">
        <f t="shared" si="182"/>
        <v>161.67832238066717</v>
      </c>
      <c r="O83" s="248">
        <f t="shared" si="182"/>
        <v>158.96810940493347</v>
      </c>
      <c r="P83" s="248">
        <f t="shared" si="182"/>
        <v>132.43379039206161</v>
      </c>
      <c r="Q83" s="248">
        <f t="shared" si="182"/>
        <v>186.12049248761258</v>
      </c>
      <c r="R83" s="248">
        <f t="shared" si="182"/>
        <v>132.43379039206161</v>
      </c>
      <c r="S83" s="248">
        <f t="shared" si="182"/>
        <v>157.55170965764387</v>
      </c>
      <c r="U83" s="840"/>
      <c r="V83" s="112" t="s">
        <v>162</v>
      </c>
      <c r="W83" s="112" t="s">
        <v>73</v>
      </c>
      <c r="X83" s="222">
        <f t="shared" si="183"/>
        <v>161.67832238066717</v>
      </c>
      <c r="Y83" s="223">
        <f t="shared" si="183"/>
        <v>158.96810940493347</v>
      </c>
      <c r="Z83" s="222">
        <f t="shared" si="183"/>
        <v>132.43379039206161</v>
      </c>
      <c r="AA83" s="223">
        <f t="shared" si="183"/>
        <v>186.12049248761258</v>
      </c>
      <c r="AB83" s="224">
        <f t="shared" si="183"/>
        <v>132.43379039206161</v>
      </c>
      <c r="AC83" s="223">
        <f t="shared" si="183"/>
        <v>157.55170965764387</v>
      </c>
      <c r="AE83" s="840"/>
      <c r="AF83" s="112" t="s">
        <v>162</v>
      </c>
      <c r="AG83" s="112" t="s">
        <v>73</v>
      </c>
      <c r="AH83" s="222">
        <f>X83</f>
        <v>161.67832238066717</v>
      </c>
      <c r="AI83" s="223">
        <f t="shared" si="184"/>
        <v>158.96810940493347</v>
      </c>
      <c r="AJ83" s="222">
        <f t="shared" si="187"/>
        <v>132.43379039206161</v>
      </c>
      <c r="AK83" s="223">
        <f t="shared" si="185"/>
        <v>186.12049248761258</v>
      </c>
      <c r="AL83" s="224">
        <f t="shared" si="188"/>
        <v>132.43379039206161</v>
      </c>
      <c r="AM83" s="223">
        <f t="shared" si="186"/>
        <v>157.55170965764387</v>
      </c>
    </row>
    <row r="84" spans="1:39" x14ac:dyDescent="0.25">
      <c r="A84" s="864"/>
      <c r="B84" s="573" t="s">
        <v>163</v>
      </c>
      <c r="C84" s="573" t="s">
        <v>73</v>
      </c>
      <c r="D84" s="248">
        <f t="shared" si="181"/>
        <v>177.82507729823442</v>
      </c>
      <c r="E84" s="248">
        <f t="shared" si="181"/>
        <v>175.89906720881777</v>
      </c>
      <c r="F84" s="248">
        <f t="shared" si="181"/>
        <v>177.39781328608535</v>
      </c>
      <c r="G84" s="248">
        <f t="shared" si="181"/>
        <v>172.20559128420146</v>
      </c>
      <c r="H84" s="248">
        <f t="shared" si="181"/>
        <v>177.39781328608535</v>
      </c>
      <c r="I84" s="248">
        <f t="shared" si="181"/>
        <v>171.00559128420147</v>
      </c>
      <c r="K84" s="840"/>
      <c r="L84" s="112" t="s">
        <v>163</v>
      </c>
      <c r="M84" s="112" t="s">
        <v>73</v>
      </c>
      <c r="N84" s="248">
        <f t="shared" si="182"/>
        <v>177.82507729823442</v>
      </c>
      <c r="O84" s="248">
        <f t="shared" si="182"/>
        <v>175.89906720881777</v>
      </c>
      <c r="P84" s="248">
        <f t="shared" si="182"/>
        <v>146.16069947374876</v>
      </c>
      <c r="Q84" s="248">
        <f t="shared" si="182"/>
        <v>207.73934579392218</v>
      </c>
      <c r="R84" s="248">
        <f t="shared" si="182"/>
        <v>146.16069947374876</v>
      </c>
      <c r="S84" s="248">
        <f t="shared" si="182"/>
        <v>171.00559128420147</v>
      </c>
      <c r="U84" s="840"/>
      <c r="V84" s="112" t="s">
        <v>163</v>
      </c>
      <c r="W84" s="112" t="s">
        <v>73</v>
      </c>
      <c r="X84" s="248">
        <f t="shared" si="183"/>
        <v>177.82507729823442</v>
      </c>
      <c r="Y84" s="249">
        <f t="shared" si="183"/>
        <v>175.89906720881777</v>
      </c>
      <c r="Z84" s="248">
        <f t="shared" si="183"/>
        <v>146.16069947374876</v>
      </c>
      <c r="AA84" s="249">
        <f t="shared" si="183"/>
        <v>207.73934579392218</v>
      </c>
      <c r="AB84" s="250">
        <f t="shared" si="183"/>
        <v>146.16069947374876</v>
      </c>
      <c r="AC84" s="249">
        <f t="shared" si="183"/>
        <v>171.00559128420147</v>
      </c>
      <c r="AE84" s="840"/>
      <c r="AF84" s="112" t="s">
        <v>163</v>
      </c>
      <c r="AG84" s="112" t="s">
        <v>73</v>
      </c>
      <c r="AH84" s="248">
        <f t="shared" ref="AH84" si="189">X84</f>
        <v>177.82507729823442</v>
      </c>
      <c r="AI84" s="249">
        <f t="shared" si="184"/>
        <v>175.89906720881777</v>
      </c>
      <c r="AJ84" s="248">
        <f t="shared" si="187"/>
        <v>146.16069947374876</v>
      </c>
      <c r="AK84" s="249">
        <f t="shared" si="185"/>
        <v>207.73934579392218</v>
      </c>
      <c r="AL84" s="250">
        <f t="shared" si="188"/>
        <v>146.16069947374876</v>
      </c>
      <c r="AM84" s="249">
        <f t="shared" si="186"/>
        <v>171.00559128420147</v>
      </c>
    </row>
    <row r="85" spans="1:39" x14ac:dyDescent="0.25">
      <c r="A85" s="864"/>
      <c r="B85" s="574" t="s">
        <v>185</v>
      </c>
      <c r="C85" s="574" t="s">
        <v>73</v>
      </c>
      <c r="D85" s="172">
        <f t="shared" ref="D85:I85" si="190">SUMPRODUCT(D81:D84,D46:D49)/D50</f>
        <v>172.79834480680643</v>
      </c>
      <c r="E85" s="173">
        <f t="shared" si="190"/>
        <v>170.38831537025214</v>
      </c>
      <c r="F85" s="172">
        <f t="shared" si="190"/>
        <v>172.76308193654182</v>
      </c>
      <c r="G85" s="173">
        <f t="shared" si="190"/>
        <v>168.42335965842136</v>
      </c>
      <c r="H85" s="174">
        <f t="shared" si="190"/>
        <v>172.76308193654182</v>
      </c>
      <c r="I85" s="173">
        <f t="shared" si="190"/>
        <v>167.22335965842137</v>
      </c>
      <c r="K85" s="840"/>
      <c r="L85" s="161" t="s">
        <v>185</v>
      </c>
      <c r="M85" s="161" t="s">
        <v>73</v>
      </c>
      <c r="N85" s="172">
        <f t="shared" ref="N85:S85" si="191">SUMPRODUCT(N81:N84,N46:N49)/N50</f>
        <v>172.79834480680643</v>
      </c>
      <c r="O85" s="173">
        <f t="shared" si="191"/>
        <v>170.38831537025214</v>
      </c>
      <c r="P85" s="172">
        <f t="shared" si="191"/>
        <v>141.73249198911356</v>
      </c>
      <c r="Q85" s="173">
        <f t="shared" si="191"/>
        <v>200.04053918325963</v>
      </c>
      <c r="R85" s="174">
        <f t="shared" si="191"/>
        <v>141.73249198911356</v>
      </c>
      <c r="S85" s="173">
        <f t="shared" si="191"/>
        <v>167.22335965842137</v>
      </c>
      <c r="U85" s="840"/>
      <c r="V85" s="161" t="s">
        <v>185</v>
      </c>
      <c r="W85" s="161" t="s">
        <v>73</v>
      </c>
      <c r="X85" s="172">
        <f t="shared" ref="X85:AC85" si="192">SUMPRODUCT(X81:X84,X46:X49)/X50</f>
        <v>172.79834480680643</v>
      </c>
      <c r="Y85" s="173">
        <f t="shared" si="192"/>
        <v>170.38831537025214</v>
      </c>
      <c r="Z85" s="172">
        <f t="shared" si="192"/>
        <v>141.73249198911356</v>
      </c>
      <c r="AA85" s="173">
        <f t="shared" si="192"/>
        <v>200.04053918325965</v>
      </c>
      <c r="AB85" s="174">
        <f t="shared" si="192"/>
        <v>141.73249198911356</v>
      </c>
      <c r="AC85" s="173">
        <f t="shared" si="192"/>
        <v>167.22335965842134</v>
      </c>
      <c r="AE85" s="840"/>
      <c r="AF85" s="161" t="s">
        <v>185</v>
      </c>
      <c r="AG85" s="161" t="s">
        <v>73</v>
      </c>
      <c r="AH85" s="172">
        <f t="shared" ref="AH85:AM85" si="193">SUMPRODUCT(AH81:AH84,AH46:AH49)/AH50</f>
        <v>172.79834480680643</v>
      </c>
      <c r="AI85" s="173">
        <f t="shared" si="193"/>
        <v>170.38831537025214</v>
      </c>
      <c r="AJ85" s="172">
        <f t="shared" si="193"/>
        <v>141.73249198911356</v>
      </c>
      <c r="AK85" s="173">
        <f t="shared" si="193"/>
        <v>200.04053918325963</v>
      </c>
      <c r="AL85" s="174">
        <f t="shared" si="193"/>
        <v>141.73249198911356</v>
      </c>
      <c r="AM85" s="173">
        <f t="shared" si="193"/>
        <v>167.22335965842134</v>
      </c>
    </row>
    <row r="86" spans="1:39" ht="15.75" thickBot="1" x14ac:dyDescent="0.3">
      <c r="A86" s="865"/>
      <c r="B86" s="575" t="s">
        <v>228</v>
      </c>
      <c r="C86" s="575" t="s">
        <v>25</v>
      </c>
      <c r="D86" s="198" t="s">
        <v>77</v>
      </c>
      <c r="E86" s="199" t="s">
        <v>77</v>
      </c>
      <c r="F86" s="198" t="s">
        <v>77</v>
      </c>
      <c r="G86" s="199" t="s">
        <v>77</v>
      </c>
      <c r="H86" s="200" t="s">
        <v>77</v>
      </c>
      <c r="I86" s="199" t="s">
        <v>77</v>
      </c>
      <c r="K86" s="841"/>
      <c r="L86" s="162" t="s">
        <v>228</v>
      </c>
      <c r="M86" s="162" t="s">
        <v>25</v>
      </c>
      <c r="N86" s="198">
        <f>N85/D85-1</f>
        <v>0</v>
      </c>
      <c r="O86" s="199">
        <f t="shared" ref="O86" si="194">O85/E85-1</f>
        <v>0</v>
      </c>
      <c r="P86" s="198">
        <f>P85/D85-1</f>
        <v>-0.17978096290462386</v>
      </c>
      <c r="Q86" s="199">
        <f>Q85/E85-1</f>
        <v>0.17402733132593906</v>
      </c>
      <c r="R86" s="200">
        <f>R85/D85-1</f>
        <v>-0.17978096290462386</v>
      </c>
      <c r="S86" s="199">
        <f>S85/E85-1</f>
        <v>-1.8574957472602183E-2</v>
      </c>
      <c r="U86" s="841"/>
      <c r="V86" s="162" t="s">
        <v>228</v>
      </c>
      <c r="W86" s="162" t="s">
        <v>25</v>
      </c>
      <c r="X86" s="198">
        <f>X85/D85-1</f>
        <v>0</v>
      </c>
      <c r="Y86" s="199">
        <f>Y85/E85-1</f>
        <v>0</v>
      </c>
      <c r="Z86" s="198">
        <f>Z85/D85-1</f>
        <v>-0.17978096290462386</v>
      </c>
      <c r="AA86" s="199">
        <f>AA85/E85-1</f>
        <v>0.17402733132593928</v>
      </c>
      <c r="AB86" s="200">
        <f>AB85/D85-1</f>
        <v>-0.17978096290462386</v>
      </c>
      <c r="AC86" s="199">
        <f>AC85/E85-1</f>
        <v>-1.8574957472602405E-2</v>
      </c>
      <c r="AE86" s="841"/>
      <c r="AF86" s="162" t="s">
        <v>228</v>
      </c>
      <c r="AG86" s="162" t="s">
        <v>25</v>
      </c>
      <c r="AH86" s="198">
        <f>AH85/D85-1</f>
        <v>0</v>
      </c>
      <c r="AI86" s="199">
        <f>AI85/E85-1</f>
        <v>0</v>
      </c>
      <c r="AJ86" s="198">
        <f>AJ85/D85-1</f>
        <v>-0.17978096290462386</v>
      </c>
      <c r="AK86" s="199">
        <f>AK85/E85-1</f>
        <v>0.17402733132593906</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356" t="s">
        <v>479</v>
      </c>
      <c r="AE88" s="367" t="s">
        <v>261</v>
      </c>
      <c r="AF88" s="368"/>
      <c r="AG88" s="368"/>
      <c r="AH88" s="38"/>
      <c r="AI88" s="38"/>
      <c r="AJ88" s="38"/>
      <c r="AK88" s="38"/>
      <c r="AL88" s="38"/>
      <c r="AM88" s="38"/>
    </row>
    <row r="89" spans="1:39" ht="30.75" thickBot="1" x14ac:dyDescent="0.3">
      <c r="A89" s="860" t="s">
        <v>480</v>
      </c>
      <c r="B89" s="716" t="s">
        <v>481</v>
      </c>
      <c r="C89" s="712" t="s">
        <v>448</v>
      </c>
      <c r="D89" s="612">
        <f>Indata!D70</f>
        <v>0</v>
      </c>
      <c r="E89" s="612">
        <f>Indata!E70</f>
        <v>0</v>
      </c>
      <c r="F89" s="612">
        <f>Indata!F70</f>
        <v>0.5</v>
      </c>
      <c r="G89" s="612">
        <f>Indata!G70</f>
        <v>0</v>
      </c>
      <c r="H89" s="612">
        <f>Indata!H70</f>
        <v>0.5</v>
      </c>
      <c r="I89" s="614">
        <f>Indata!I70</f>
        <v>0</v>
      </c>
      <c r="AE89" s="839"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1.0760557935864326</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61"/>
      <c r="B90" s="713" t="s">
        <v>444</v>
      </c>
      <c r="C90" s="714" t="s">
        <v>448</v>
      </c>
      <c r="D90" s="611">
        <f>Indata!D73</f>
        <v>0</v>
      </c>
      <c r="E90" s="611">
        <f>Indata!E73</f>
        <v>0</v>
      </c>
      <c r="F90" s="611">
        <f>Indata!F73</f>
        <v>0.2</v>
      </c>
      <c r="G90" s="611">
        <f>Indata!G73</f>
        <v>0</v>
      </c>
      <c r="H90" s="611">
        <f>Indata!H73</f>
        <v>0.2</v>
      </c>
      <c r="I90" s="614">
        <f>Indata!I73</f>
        <v>0</v>
      </c>
      <c r="AE90" s="840"/>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62"/>
      <c r="B91" s="715" t="s">
        <v>442</v>
      </c>
      <c r="C91" s="697" t="s">
        <v>443</v>
      </c>
      <c r="D91" s="613">
        <f>D89*(1)/((1-D89)+D89*(1+D90))</f>
        <v>0</v>
      </c>
      <c r="E91" s="613">
        <f>E89*(1+E90)/((1-E89)+E89*(1+E90))</f>
        <v>0</v>
      </c>
      <c r="F91" s="613">
        <f>F89*(1+F90)/((1-F89)+F89*(1+F90))</f>
        <v>0.54545454545454541</v>
      </c>
      <c r="G91" s="613">
        <f>G89*(1+G90)/((1-G89)+G89*(1+G90))</f>
        <v>0</v>
      </c>
      <c r="H91" s="613">
        <f>H89*(1+H90)/((1-H89)+H89*(1+H90))</f>
        <v>0.54545454545454541</v>
      </c>
      <c r="I91" s="614">
        <f>I89*(1+I90)/((1-I89)+I89*(1+I90))</f>
        <v>0</v>
      </c>
      <c r="AE91" s="841"/>
      <c r="AF91" s="163" t="s">
        <v>16</v>
      </c>
      <c r="AG91" s="163" t="s">
        <v>126</v>
      </c>
      <c r="AH91" s="195">
        <f>SUM(AH89:AH90)</f>
        <v>2.6531104436628112</v>
      </c>
      <c r="AI91" s="196">
        <f t="shared" ref="AI91:AM91" si="195">SUM(AI89:AI90)</f>
        <v>2.2855080268112538</v>
      </c>
      <c r="AJ91" s="195">
        <f t="shared" si="195"/>
        <v>3.1059477295077573</v>
      </c>
      <c r="AK91" s="196">
        <f>SUM(AK89:AK90)</f>
        <v>1.0760557935864326</v>
      </c>
      <c r="AL91" s="195">
        <f t="shared" si="195"/>
        <v>3.1059477295077573</v>
      </c>
      <c r="AM91" s="196">
        <f t="shared" si="195"/>
        <v>1.7660946222159428</v>
      </c>
    </row>
    <row r="92" spans="1:39" x14ac:dyDescent="0.25">
      <c r="AE92" s="839"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0.93059095634396005</v>
      </c>
      <c r="AL92" s="219">
        <f>'Indata - Effektsamband-Faktorer'!$D$16*'Modell - Tunga fordon'!AL$40</f>
        <v>2.3657934293422564</v>
      </c>
      <c r="AM92" s="220">
        <f>'Indata - Effektsamband-Faktorer'!$E$16*'Modell - Tunga fordon'!AM$40</f>
        <v>1.4296426667530211</v>
      </c>
    </row>
    <row r="93" spans="1:39" x14ac:dyDescent="0.25">
      <c r="AE93" s="840"/>
      <c r="AF93" s="112" t="s">
        <v>7</v>
      </c>
      <c r="AG93" s="112" t="s">
        <v>319</v>
      </c>
      <c r="AH93" s="365">
        <v>0</v>
      </c>
      <c r="AI93" s="366">
        <v>0</v>
      </c>
      <c r="AJ93" s="365">
        <v>0</v>
      </c>
      <c r="AK93" s="366">
        <v>0</v>
      </c>
      <c r="AL93" s="365">
        <v>0</v>
      </c>
      <c r="AM93" s="366">
        <v>0</v>
      </c>
    </row>
    <row r="94" spans="1:39" ht="15.75" thickBot="1" x14ac:dyDescent="0.3">
      <c r="AE94" s="841"/>
      <c r="AF94" s="163" t="s">
        <v>16</v>
      </c>
      <c r="AG94" s="163" t="s">
        <v>319</v>
      </c>
      <c r="AH94" s="195">
        <f t="shared" ref="AH94:AM94" si="196">SUM(AH92:AH93)</f>
        <v>1.9535949121051688</v>
      </c>
      <c r="AI94" s="196">
        <f t="shared" si="196"/>
        <v>1.8007325460695351</v>
      </c>
      <c r="AJ94" s="195">
        <f t="shared" si="196"/>
        <v>2.3657934293422564</v>
      </c>
      <c r="AK94" s="196">
        <f t="shared" si="196"/>
        <v>0.93059095634396005</v>
      </c>
      <c r="AL94" s="195">
        <f t="shared" si="196"/>
        <v>2.3657934293422564</v>
      </c>
      <c r="AM94" s="196">
        <f t="shared" si="196"/>
        <v>1.4296426667530211</v>
      </c>
    </row>
    <row r="95" spans="1:39" x14ac:dyDescent="0.25">
      <c r="AE95" s="839"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1.5007458441841795E-2</v>
      </c>
      <c r="AL95" s="219">
        <f>'Indata - Effektsamband-Faktorer'!$D$19*'Modell - Tunga fordon'!AL$40</f>
        <v>3.8432008633693733E-2</v>
      </c>
      <c r="AM95" s="220">
        <f>'Indata - Effektsamband-Faktorer'!$E$19*'Modell - Tunga fordon'!AM$40</f>
        <v>2.3055567821410945E-2</v>
      </c>
    </row>
    <row r="96" spans="1:39" x14ac:dyDescent="0.25">
      <c r="AE96" s="840"/>
      <c r="AF96" s="112" t="s">
        <v>7</v>
      </c>
      <c r="AG96" s="112" t="s">
        <v>319</v>
      </c>
      <c r="AH96" s="365">
        <v>0</v>
      </c>
      <c r="AI96" s="366">
        <v>0</v>
      </c>
      <c r="AJ96" s="365">
        <v>0</v>
      </c>
      <c r="AK96" s="366">
        <v>0</v>
      </c>
      <c r="AL96" s="365">
        <v>0</v>
      </c>
      <c r="AM96" s="366">
        <v>0</v>
      </c>
    </row>
    <row r="97" spans="31:39" ht="15.75" thickBot="1" x14ac:dyDescent="0.3">
      <c r="AE97" s="841"/>
      <c r="AF97" s="163" t="s">
        <v>16</v>
      </c>
      <c r="AG97" s="163" t="s">
        <v>319</v>
      </c>
      <c r="AH97" s="195">
        <f t="shared" ref="AH97:AM97" si="197">SUM(AH95:AH96)</f>
        <v>3.1735896971207704E-2</v>
      </c>
      <c r="AI97" s="196">
        <f t="shared" si="197"/>
        <v>2.9040061764818929E-2</v>
      </c>
      <c r="AJ97" s="195">
        <f t="shared" si="197"/>
        <v>3.8432008633693733E-2</v>
      </c>
      <c r="AK97" s="196">
        <f t="shared" si="197"/>
        <v>1.5007458441841795E-2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0.92856229056095696</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839"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4.1517113295854484</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840"/>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1.9578044151378962</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841"/>
      <c r="AF103" s="113" t="s">
        <v>7</v>
      </c>
      <c r="AG103" s="167" t="s">
        <v>127</v>
      </c>
      <c r="AH103" s="225">
        <f t="shared" ref="AH103:AM103" si="198">AH20*AH45/10</f>
        <v>0.1650673257837407</v>
      </c>
      <c r="AI103" s="226">
        <f t="shared" si="198"/>
        <v>0.77148676029265761</v>
      </c>
      <c r="AJ103" s="225">
        <f t="shared" si="198"/>
        <v>0.19713642321061389</v>
      </c>
      <c r="AK103" s="226">
        <f t="shared" si="198"/>
        <v>1.8616248702345235</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839"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13.169010697049661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840"/>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6.4862291492931181</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840"/>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0.62662293132094049</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840"/>
      <c r="AF109" s="161" t="s">
        <v>16</v>
      </c>
      <c r="AG109" s="161" t="s">
        <v>134</v>
      </c>
      <c r="AH109" s="195">
        <f>SUM(AH106:AH108)</f>
        <v>8.7074875617644114</v>
      </c>
      <c r="AI109" s="429">
        <f t="shared" ref="AI109:AM109" si="199">SUM(AI106:AI108)</f>
        <v>9.3450380509178412</v>
      </c>
      <c r="AJ109" s="195">
        <f t="shared" si="199"/>
        <v>10.195007065914501</v>
      </c>
      <c r="AK109" s="429">
        <f t="shared" si="199"/>
        <v>20.281862777663722</v>
      </c>
      <c r="AL109" s="195">
        <f t="shared" si="199"/>
        <v>10.195007065914501</v>
      </c>
      <c r="AM109" s="196">
        <f t="shared" si="199"/>
        <v>8.0339135634877401</v>
      </c>
    </row>
    <row r="110" spans="31:39" ht="14.45" customHeight="1" x14ac:dyDescent="0.25">
      <c r="AE110" s="839" t="s">
        <v>196</v>
      </c>
      <c r="AF110" s="111" t="s">
        <v>114</v>
      </c>
      <c r="AG110" s="111" t="s">
        <v>134</v>
      </c>
      <c r="AH110" s="425">
        <f t="shared" ref="AH110:AM113" si="200">AH46/10*AH29</f>
        <v>0</v>
      </c>
      <c r="AI110" s="426">
        <f t="shared" si="200"/>
        <v>0</v>
      </c>
      <c r="AJ110" s="425">
        <f t="shared" si="200"/>
        <v>0</v>
      </c>
      <c r="AK110" s="426">
        <f t="shared" si="200"/>
        <v>2.0594474177269759E-2</v>
      </c>
      <c r="AL110" s="430">
        <f t="shared" si="200"/>
        <v>0</v>
      </c>
      <c r="AM110" s="426">
        <f t="shared" si="200"/>
        <v>0</v>
      </c>
    </row>
    <row r="111" spans="31:39" x14ac:dyDescent="0.25">
      <c r="AE111" s="840"/>
      <c r="AF111" s="112" t="s">
        <v>115</v>
      </c>
      <c r="AG111" s="112" t="s">
        <v>134</v>
      </c>
      <c r="AH111" s="179">
        <f t="shared" si="200"/>
        <v>0</v>
      </c>
      <c r="AI111" s="180">
        <f t="shared" si="200"/>
        <v>0</v>
      </c>
      <c r="AJ111" s="179">
        <f t="shared" si="200"/>
        <v>0</v>
      </c>
      <c r="AK111" s="180">
        <f t="shared" si="200"/>
        <v>2.2415258893475242E-2</v>
      </c>
      <c r="AL111" s="181">
        <f t="shared" si="200"/>
        <v>0</v>
      </c>
      <c r="AM111" s="180">
        <f t="shared" si="200"/>
        <v>0</v>
      </c>
    </row>
    <row r="112" spans="31:39" x14ac:dyDescent="0.25">
      <c r="AE112" s="840"/>
      <c r="AF112" s="112" t="s">
        <v>116</v>
      </c>
      <c r="AG112" s="112" t="s">
        <v>134</v>
      </c>
      <c r="AH112" s="179">
        <f t="shared" si="200"/>
        <v>0</v>
      </c>
      <c r="AI112" s="180">
        <f t="shared" si="200"/>
        <v>0</v>
      </c>
      <c r="AJ112" s="179">
        <f t="shared" si="200"/>
        <v>0</v>
      </c>
      <c r="AK112" s="180">
        <f t="shared" si="200"/>
        <v>0.18345161558556</v>
      </c>
      <c r="AL112" s="181">
        <f t="shared" si="200"/>
        <v>0</v>
      </c>
      <c r="AM112" s="180">
        <f t="shared" si="200"/>
        <v>0</v>
      </c>
    </row>
    <row r="113" spans="31:39" x14ac:dyDescent="0.25">
      <c r="AE113" s="840"/>
      <c r="AF113" s="112" t="s">
        <v>117</v>
      </c>
      <c r="AG113" s="112" t="s">
        <v>134</v>
      </c>
      <c r="AH113" s="179">
        <f t="shared" si="200"/>
        <v>0</v>
      </c>
      <c r="AI113" s="180">
        <f t="shared" si="200"/>
        <v>0</v>
      </c>
      <c r="AJ113" s="179">
        <f t="shared" si="200"/>
        <v>0</v>
      </c>
      <c r="AK113" s="180">
        <f t="shared" si="200"/>
        <v>0.33067602568026916</v>
      </c>
      <c r="AL113" s="181">
        <f t="shared" si="200"/>
        <v>0</v>
      </c>
      <c r="AM113" s="180">
        <f t="shared" si="200"/>
        <v>0</v>
      </c>
    </row>
    <row r="114" spans="31:39" ht="15.75" thickBot="1" x14ac:dyDescent="0.3">
      <c r="AE114" s="841"/>
      <c r="AF114" s="163" t="s">
        <v>16</v>
      </c>
      <c r="AG114" s="163" t="s">
        <v>134</v>
      </c>
      <c r="AH114" s="182">
        <f>SUM(AH110:AH113)</f>
        <v>0</v>
      </c>
      <c r="AI114" s="184">
        <f t="shared" ref="AI114:AM114" si="201">SUM(AI110:AI113)</f>
        <v>0</v>
      </c>
      <c r="AJ114" s="182">
        <f t="shared" si="201"/>
        <v>0</v>
      </c>
      <c r="AK114" s="184">
        <f t="shared" si="201"/>
        <v>0.55713737433657418</v>
      </c>
      <c r="AL114" s="185">
        <f t="shared" si="201"/>
        <v>0</v>
      </c>
      <c r="AM114" s="184">
        <f t="shared" si="201"/>
        <v>0</v>
      </c>
    </row>
  </sheetData>
  <mergeCells count="55">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93"/>
  <sheetViews>
    <sheetView zoomScaleNormal="100" workbookViewId="0">
      <pane xSplit="3" ySplit="7" topLeftCell="E49" activePane="bottomRight" state="frozen"/>
      <selection pane="topRight" activeCell="D1" sqref="D1"/>
      <selection pane="bottomLeft" activeCell="A8" sqref="A8"/>
      <selection pane="bottomRight" activeCell="F55" sqref="F55"/>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48" t="s">
        <v>470</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82" t="s">
        <v>405</v>
      </c>
      <c r="E5" s="783"/>
      <c r="F5" s="782" t="s">
        <v>403</v>
      </c>
      <c r="G5" s="783"/>
      <c r="H5" s="782" t="s">
        <v>404</v>
      </c>
      <c r="I5" s="783"/>
      <c r="J5" s="777" t="s">
        <v>15</v>
      </c>
      <c r="K5" s="778"/>
      <c r="L5" s="105"/>
      <c r="M5" s="105"/>
      <c r="N5" s="105"/>
      <c r="O5" s="105"/>
      <c r="P5" s="105"/>
      <c r="Q5" s="105"/>
      <c r="R5" s="105"/>
      <c r="S5" s="105"/>
    </row>
    <row r="6" spans="1:19" s="64" customFormat="1" ht="61.5" customHeight="1" thickBot="1" x14ac:dyDescent="0.3">
      <c r="A6" s="72" t="s">
        <v>202</v>
      </c>
      <c r="B6" s="114"/>
      <c r="C6" s="115"/>
      <c r="D6" s="786" t="s">
        <v>483</v>
      </c>
      <c r="E6" s="787"/>
      <c r="F6" s="788" t="s">
        <v>402</v>
      </c>
      <c r="G6" s="789"/>
      <c r="H6" s="788" t="s">
        <v>537</v>
      </c>
      <c r="I6" s="789"/>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77" t="s">
        <v>15</v>
      </c>
      <c r="K7" s="778"/>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77" t="s">
        <v>15</v>
      </c>
      <c r="K8" s="778"/>
      <c r="L8" s="105"/>
      <c r="M8" s="105"/>
      <c r="N8" s="105"/>
      <c r="O8" s="105"/>
      <c r="P8" s="105"/>
      <c r="Q8" s="105"/>
      <c r="R8" s="105"/>
      <c r="S8" s="105"/>
    </row>
    <row r="9" spans="1:19" x14ac:dyDescent="0.25">
      <c r="A9" s="784" t="s">
        <v>1</v>
      </c>
      <c r="B9" s="98" t="s">
        <v>11</v>
      </c>
      <c r="C9" s="98" t="s">
        <v>10</v>
      </c>
      <c r="D9" s="42">
        <v>7.4999999999999997E-2</v>
      </c>
      <c r="E9" s="43">
        <v>7.4999999999999997E-2</v>
      </c>
      <c r="F9" s="650">
        <f>EMA!B66</f>
        <v>7.4999999999999997E-2</v>
      </c>
      <c r="G9" s="651">
        <f>MIN(EMA!C76,10%)</f>
        <v>0.1</v>
      </c>
      <c r="H9" s="631">
        <f>D9</f>
        <v>7.4999999999999997E-2</v>
      </c>
      <c r="I9" s="635">
        <f>E9</f>
        <v>7.4999999999999997E-2</v>
      </c>
      <c r="J9" s="38" t="s">
        <v>356</v>
      </c>
    </row>
    <row r="10" spans="1:19" x14ac:dyDescent="0.25">
      <c r="A10" s="785"/>
      <c r="B10" s="38" t="s">
        <v>12</v>
      </c>
      <c r="C10" s="38" t="s">
        <v>10</v>
      </c>
      <c r="D10" s="45">
        <v>0</v>
      </c>
      <c r="E10" s="46">
        <v>0</v>
      </c>
      <c r="F10" s="638">
        <f>EMA!B65</f>
        <v>0</v>
      </c>
      <c r="G10" s="652">
        <f>MAX(0,EMA!C76-10%)</f>
        <v>0.17</v>
      </c>
      <c r="H10" s="69">
        <f t="shared" ref="H10:H23" si="0">D10</f>
        <v>0</v>
      </c>
      <c r="I10" s="636">
        <f t="shared" ref="I10:I23" si="1">E10</f>
        <v>0</v>
      </c>
      <c r="J10" s="38" t="s">
        <v>356</v>
      </c>
    </row>
    <row r="11" spans="1:19" x14ac:dyDescent="0.25">
      <c r="A11" s="785"/>
      <c r="B11" s="38" t="s">
        <v>13</v>
      </c>
      <c r="C11" s="38" t="s">
        <v>10</v>
      </c>
      <c r="D11" s="45">
        <v>7.0000000000000007E-2</v>
      </c>
      <c r="E11" s="46">
        <v>7.0000000000000007E-2</v>
      </c>
      <c r="F11" s="638">
        <v>7.0000000000000007E-2</v>
      </c>
      <c r="G11" s="652">
        <f>MIN(7%,EMA!C75)</f>
        <v>7.0000000000000007E-2</v>
      </c>
      <c r="H11" s="69">
        <f t="shared" si="0"/>
        <v>7.0000000000000007E-2</v>
      </c>
      <c r="I11" s="636">
        <f t="shared" si="1"/>
        <v>7.0000000000000007E-2</v>
      </c>
      <c r="J11" s="38" t="s">
        <v>356</v>
      </c>
    </row>
    <row r="12" spans="1:19" ht="15.75" thickBot="1" x14ac:dyDescent="0.3">
      <c r="A12" s="785"/>
      <c r="B12" s="38" t="s">
        <v>37</v>
      </c>
      <c r="C12" s="38" t="s">
        <v>10</v>
      </c>
      <c r="D12" s="65">
        <v>0.25</v>
      </c>
      <c r="E12" s="66">
        <v>0.25</v>
      </c>
      <c r="F12" s="653">
        <f>EMA!B63</f>
        <v>0.25</v>
      </c>
      <c r="G12" s="654">
        <f>MAX(0,EMA!C75-7%)</f>
        <v>0.26</v>
      </c>
      <c r="H12" s="633">
        <f t="shared" si="0"/>
        <v>0.25</v>
      </c>
      <c r="I12" s="634">
        <f t="shared" si="1"/>
        <v>0.25</v>
      </c>
      <c r="J12" s="38" t="s">
        <v>356</v>
      </c>
    </row>
    <row r="13" spans="1:19" x14ac:dyDescent="0.25">
      <c r="A13" s="784" t="s">
        <v>41</v>
      </c>
      <c r="B13" s="98" t="s">
        <v>8</v>
      </c>
      <c r="C13" s="98" t="s">
        <v>42</v>
      </c>
      <c r="D13" s="42">
        <v>0.02</v>
      </c>
      <c r="E13" s="43">
        <v>0.02</v>
      </c>
      <c r="F13" s="655">
        <f>EMA!B69</f>
        <v>0.02</v>
      </c>
      <c r="G13" s="656">
        <f>EMA!C69</f>
        <v>0.12</v>
      </c>
      <c r="H13" s="631">
        <f t="shared" si="0"/>
        <v>0.02</v>
      </c>
      <c r="I13" s="635">
        <f t="shared" si="1"/>
        <v>0.02</v>
      </c>
      <c r="J13" s="38" t="s">
        <v>308</v>
      </c>
    </row>
    <row r="14" spans="1:19" ht="15.75" thickBot="1" x14ac:dyDescent="0.3">
      <c r="A14" s="790"/>
      <c r="B14" s="99" t="s">
        <v>9</v>
      </c>
      <c r="C14" s="99" t="s">
        <v>43</v>
      </c>
      <c r="D14" s="48">
        <v>0.02</v>
      </c>
      <c r="E14" s="49">
        <v>0.02</v>
      </c>
      <c r="F14" s="657">
        <f>EMA!B70</f>
        <v>0.02</v>
      </c>
      <c r="G14" s="658">
        <f>EMA!C70</f>
        <v>0.1</v>
      </c>
      <c r="H14" s="632">
        <f t="shared" si="0"/>
        <v>0.02</v>
      </c>
      <c r="I14" s="637">
        <f t="shared" si="1"/>
        <v>0.02</v>
      </c>
      <c r="J14" s="38" t="s">
        <v>308</v>
      </c>
    </row>
    <row r="15" spans="1:19" x14ac:dyDescent="0.25">
      <c r="A15" s="784" t="s">
        <v>21</v>
      </c>
      <c r="B15" s="98" t="s">
        <v>182</v>
      </c>
      <c r="C15" s="98" t="s">
        <v>24</v>
      </c>
      <c r="D15" s="51">
        <v>0</v>
      </c>
      <c r="E15" s="52">
        <v>0</v>
      </c>
      <c r="F15" s="659">
        <f>EMA!B67</f>
        <v>0</v>
      </c>
      <c r="G15" s="660">
        <f>EMA!C67</f>
        <v>0.74</v>
      </c>
      <c r="H15" s="631">
        <f t="shared" si="0"/>
        <v>0</v>
      </c>
      <c r="I15" s="635">
        <f t="shared" si="1"/>
        <v>0</v>
      </c>
      <c r="J15" s="38" t="s">
        <v>58</v>
      </c>
    </row>
    <row r="16" spans="1:19" ht="15.75" thickBot="1" x14ac:dyDescent="0.3">
      <c r="A16" s="790"/>
      <c r="B16" s="99" t="s">
        <v>318</v>
      </c>
      <c r="C16" s="99" t="s">
        <v>24</v>
      </c>
      <c r="D16" s="55">
        <v>0</v>
      </c>
      <c r="E16" s="56">
        <v>0</v>
      </c>
      <c r="F16" s="661">
        <f>EMA!B68</f>
        <v>0</v>
      </c>
      <c r="G16" s="662">
        <f>EMA!C68</f>
        <v>0.12</v>
      </c>
      <c r="H16" s="632">
        <f t="shared" si="0"/>
        <v>0</v>
      </c>
      <c r="I16" s="637">
        <f t="shared" si="1"/>
        <v>0</v>
      </c>
      <c r="J16" s="38" t="s">
        <v>58</v>
      </c>
    </row>
    <row r="17" spans="1:19" ht="15.75" thickBot="1" x14ac:dyDescent="0.3">
      <c r="A17" s="116" t="s">
        <v>53</v>
      </c>
      <c r="B17" s="100" t="s">
        <v>372</v>
      </c>
      <c r="C17" s="100" t="s">
        <v>72</v>
      </c>
      <c r="D17" s="67" t="s">
        <v>60</v>
      </c>
      <c r="E17" s="68" t="s">
        <v>60</v>
      </c>
      <c r="F17" s="663" t="str">
        <f>EMA!B61</f>
        <v>1. Beslutad politik</v>
      </c>
      <c r="G17" s="663" t="str">
        <f>EMA!C61</f>
        <v>2. Mer ambitiös politik</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77" t="s">
        <v>15</v>
      </c>
      <c r="K18" s="778"/>
      <c r="L18" s="105"/>
      <c r="M18" s="105"/>
      <c r="N18" s="105"/>
      <c r="O18" s="105"/>
      <c r="P18" s="105"/>
      <c r="Q18" s="105"/>
      <c r="R18" s="105"/>
      <c r="S18" s="105"/>
    </row>
    <row r="19" spans="1:19" x14ac:dyDescent="0.25">
      <c r="A19" s="784" t="s">
        <v>22</v>
      </c>
      <c r="B19" s="98" t="s">
        <v>182</v>
      </c>
      <c r="C19" s="117" t="s">
        <v>25</v>
      </c>
      <c r="D19" s="44">
        <v>0</v>
      </c>
      <c r="E19" s="85">
        <v>0</v>
      </c>
      <c r="F19" s="655">
        <f>EMA!B71</f>
        <v>0</v>
      </c>
      <c r="G19" s="656">
        <f>EMA!C71</f>
        <v>0.05</v>
      </c>
      <c r="H19" s="631">
        <f t="shared" si="0"/>
        <v>0</v>
      </c>
      <c r="I19" s="635">
        <f t="shared" si="1"/>
        <v>0</v>
      </c>
      <c r="J19" s="75" t="s">
        <v>250</v>
      </c>
    </row>
    <row r="20" spans="1:19" ht="15.75" thickBot="1" x14ac:dyDescent="0.3">
      <c r="A20" s="790"/>
      <c r="B20" s="99" t="s">
        <v>318</v>
      </c>
      <c r="C20" s="118" t="s">
        <v>25</v>
      </c>
      <c r="D20" s="50">
        <v>0</v>
      </c>
      <c r="E20" s="86">
        <v>0</v>
      </c>
      <c r="F20" s="657">
        <f>EMA!B72</f>
        <v>0</v>
      </c>
      <c r="G20" s="658">
        <f>EMA!C72</f>
        <v>0.05</v>
      </c>
      <c r="H20" s="633">
        <f t="shared" si="0"/>
        <v>0</v>
      </c>
      <c r="I20" s="637">
        <f t="shared" si="1"/>
        <v>0</v>
      </c>
      <c r="J20" s="75" t="s">
        <v>250</v>
      </c>
    </row>
    <row r="21" spans="1:19" x14ac:dyDescent="0.25">
      <c r="A21" s="785" t="s">
        <v>23</v>
      </c>
      <c r="B21" s="98" t="s">
        <v>182</v>
      </c>
      <c r="C21" s="119" t="s">
        <v>25</v>
      </c>
      <c r="D21" s="87">
        <v>0</v>
      </c>
      <c r="E21" s="88">
        <v>0</v>
      </c>
      <c r="F21" s="655">
        <f>EMA!B73</f>
        <v>0</v>
      </c>
      <c r="G21" s="656">
        <f>EMA!C73</f>
        <v>0.26</v>
      </c>
      <c r="H21" s="631">
        <f t="shared" si="0"/>
        <v>0</v>
      </c>
      <c r="I21" s="635">
        <f t="shared" si="1"/>
        <v>0</v>
      </c>
      <c r="J21" s="75" t="s">
        <v>249</v>
      </c>
    </row>
    <row r="22" spans="1:19" ht="15.75" thickBot="1" x14ac:dyDescent="0.3">
      <c r="A22" s="790"/>
      <c r="B22" s="99" t="s">
        <v>318</v>
      </c>
      <c r="C22" s="120" t="s">
        <v>25</v>
      </c>
      <c r="D22" s="50">
        <v>0</v>
      </c>
      <c r="E22" s="86">
        <v>0</v>
      </c>
      <c r="F22" s="657">
        <f>EMA!B74</f>
        <v>0</v>
      </c>
      <c r="G22" s="658">
        <f>EMA!C74</f>
        <v>0.17</v>
      </c>
      <c r="H22" s="633">
        <f t="shared" si="0"/>
        <v>0</v>
      </c>
      <c r="I22" s="637">
        <f t="shared" si="1"/>
        <v>0</v>
      </c>
      <c r="J22" s="75" t="s">
        <v>249</v>
      </c>
    </row>
    <row r="23" spans="1:19" ht="15.75" thickBot="1" x14ac:dyDescent="0.3">
      <c r="A23" s="331" t="s">
        <v>297</v>
      </c>
      <c r="B23" s="99" t="s">
        <v>298</v>
      </c>
      <c r="C23" s="99" t="s">
        <v>307</v>
      </c>
      <c r="D23" s="67" t="s">
        <v>330</v>
      </c>
      <c r="E23" s="68" t="s">
        <v>330</v>
      </c>
      <c r="F23" s="664" t="str">
        <f>EMA!B62</f>
        <v>Beslutad politik</v>
      </c>
      <c r="G23" s="665"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77" t="s">
        <v>15</v>
      </c>
      <c r="K24" s="778"/>
      <c r="L24" s="105"/>
      <c r="M24" s="105"/>
      <c r="N24" s="105"/>
      <c r="O24" s="105"/>
      <c r="P24" s="105"/>
      <c r="Q24" s="105"/>
      <c r="R24" s="105"/>
      <c r="S24" s="105"/>
    </row>
    <row r="25" spans="1:19" ht="14.45" customHeight="1" x14ac:dyDescent="0.25">
      <c r="A25" s="784"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0.17452833971320139</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85"/>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0.15547166028679862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790"/>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0.67</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84"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85"/>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790"/>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791"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796"/>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796"/>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792"/>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21.888963239913203</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793"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797"/>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77" t="s">
        <v>15</v>
      </c>
      <c r="K41" s="778"/>
      <c r="L41" s="105"/>
      <c r="M41" s="105"/>
      <c r="N41" s="105"/>
      <c r="O41" s="105"/>
      <c r="P41" s="105"/>
      <c r="Q41" s="105"/>
      <c r="R41" s="105"/>
      <c r="S41" s="105"/>
    </row>
    <row r="42" spans="1:19" ht="14.45" customHeight="1" x14ac:dyDescent="0.25">
      <c r="A42" s="791"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796"/>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794"/>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794"/>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791"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796"/>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794"/>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794"/>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791"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796"/>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794"/>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794"/>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79" t="s">
        <v>420</v>
      </c>
      <c r="B54" s="720" t="s">
        <v>114</v>
      </c>
      <c r="C54" s="712" t="s">
        <v>73</v>
      </c>
      <c r="D54" s="639">
        <f>'Indata - Fordon och Trafik'!C46</f>
        <v>171.96222222222224</v>
      </c>
      <c r="E54" s="640">
        <f>'Indata - Fordon och Trafik'!D46</f>
        <v>171.96222222222224</v>
      </c>
      <c r="F54" s="558">
        <f>D54</f>
        <v>171.96222222222224</v>
      </c>
      <c r="G54" s="564">
        <f t="shared" si="5"/>
        <v>171.96222222222224</v>
      </c>
      <c r="H54" s="558">
        <f t="shared" ref="H54:I54" si="7">F54</f>
        <v>171.96222222222224</v>
      </c>
      <c r="I54" s="559">
        <f t="shared" si="7"/>
        <v>171.96222222222224</v>
      </c>
      <c r="J54" s="38" t="s">
        <v>471</v>
      </c>
      <c r="K54" s="26"/>
      <c r="L54" s="26"/>
      <c r="M54" s="26"/>
      <c r="N54" s="26"/>
      <c r="O54" s="26"/>
      <c r="P54" s="26"/>
      <c r="Q54" s="26"/>
      <c r="R54" s="26"/>
      <c r="S54" s="26"/>
    </row>
    <row r="55" spans="1:19" x14ac:dyDescent="0.25">
      <c r="A55" s="780"/>
      <c r="B55" s="721" t="s">
        <v>115</v>
      </c>
      <c r="C55" s="714" t="s">
        <v>73</v>
      </c>
      <c r="D55" s="641">
        <f>'Indata - Fordon och Trafik'!C47</f>
        <v>151.47333333333327</v>
      </c>
      <c r="E55" s="642">
        <f>'Indata - Fordon och Trafik'!D47</f>
        <v>151.47333333333327</v>
      </c>
      <c r="F55" s="560">
        <f t="shared" ref="F55:F57" si="8">D55</f>
        <v>151.47333333333327</v>
      </c>
      <c r="G55" s="565">
        <f t="shared" ref="G55:G57" si="9">E55</f>
        <v>151.47333333333327</v>
      </c>
      <c r="H55" s="560">
        <f t="shared" ref="H55:H57" si="10">F55</f>
        <v>151.47333333333327</v>
      </c>
      <c r="I55" s="561">
        <f t="shared" ref="I55:I57" si="11">G55</f>
        <v>151.47333333333327</v>
      </c>
      <c r="J55" s="38" t="s">
        <v>472</v>
      </c>
      <c r="K55" s="26"/>
      <c r="L55" s="26"/>
      <c r="M55" s="26"/>
      <c r="N55" s="26"/>
      <c r="O55" s="26"/>
      <c r="P55" s="26"/>
      <c r="Q55" s="26"/>
      <c r="R55" s="26"/>
      <c r="S55" s="26"/>
    </row>
    <row r="56" spans="1:19" x14ac:dyDescent="0.25">
      <c r="A56" s="780"/>
      <c r="B56" s="721" t="s">
        <v>116</v>
      </c>
      <c r="C56" s="714" t="s">
        <v>73</v>
      </c>
      <c r="D56" s="641">
        <f>'Indata - Fordon och Trafik'!C48</f>
        <v>131.61270986021509</v>
      </c>
      <c r="E56" s="643">
        <f>'Indata - Fordon och Trafik'!D48</f>
        <v>131.61270986021509</v>
      </c>
      <c r="F56" s="560">
        <f t="shared" si="8"/>
        <v>131.61270986021509</v>
      </c>
      <c r="G56" s="565">
        <f t="shared" si="9"/>
        <v>131.61270986021509</v>
      </c>
      <c r="H56" s="560">
        <f t="shared" si="10"/>
        <v>131.61270986021509</v>
      </c>
      <c r="I56" s="561">
        <f t="shared" si="11"/>
        <v>131.61270986021509</v>
      </c>
      <c r="J56" s="38" t="s">
        <v>473</v>
      </c>
      <c r="K56" s="26"/>
      <c r="L56" s="26"/>
      <c r="M56" s="26"/>
      <c r="N56" s="26"/>
      <c r="O56" s="26"/>
      <c r="P56" s="26"/>
      <c r="Q56" s="26"/>
      <c r="R56" s="26"/>
      <c r="S56" s="26"/>
    </row>
    <row r="57" spans="1:19" ht="15.75" thickBot="1" x14ac:dyDescent="0.3">
      <c r="A57" s="781"/>
      <c r="B57" s="722" t="s">
        <v>117</v>
      </c>
      <c r="C57" s="723" t="s">
        <v>73</v>
      </c>
      <c r="D57" s="644">
        <f>'Indata - Fordon och Trafik'!C49</f>
        <v>138.28043235708435</v>
      </c>
      <c r="E57" s="645">
        <f>'Indata - Fordon och Trafik'!D49</f>
        <v>138.28043235708435</v>
      </c>
      <c r="F57" s="562">
        <f t="shared" si="8"/>
        <v>138.28043235708435</v>
      </c>
      <c r="G57" s="566">
        <f t="shared" si="9"/>
        <v>138.28043235708435</v>
      </c>
      <c r="H57" s="562">
        <f t="shared" si="10"/>
        <v>138.28043235708435</v>
      </c>
      <c r="I57" s="563">
        <f t="shared" si="11"/>
        <v>138.28043235708435</v>
      </c>
      <c r="J57" s="38" t="s">
        <v>474</v>
      </c>
      <c r="K57" s="26"/>
      <c r="L57" s="26"/>
      <c r="M57" s="26"/>
      <c r="N57" s="26"/>
      <c r="O57" s="26"/>
      <c r="P57" s="26"/>
      <c r="Q57" s="26"/>
      <c r="R57" s="26"/>
      <c r="S57" s="26"/>
    </row>
    <row r="58" spans="1:19" s="38" customFormat="1" ht="15" customHeight="1" x14ac:dyDescent="0.2">
      <c r="A58" s="785" t="s">
        <v>0</v>
      </c>
      <c r="B58" s="38" t="s">
        <v>9</v>
      </c>
      <c r="C58" s="38" t="s">
        <v>256</v>
      </c>
      <c r="D58" s="553">
        <f>'Modell - Drivmedelpriser'!E58</f>
        <v>13.466674098111907</v>
      </c>
      <c r="E58" s="55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85"/>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793" t="s">
        <v>17</v>
      </c>
      <c r="B60" s="309" t="s">
        <v>118</v>
      </c>
      <c r="C60" s="310" t="s">
        <v>36</v>
      </c>
      <c r="D60" s="484">
        <f t="shared" ref="D60:I60" si="12">SUM(D61:D64)</f>
        <v>5.9773733906447069</v>
      </c>
      <c r="E60" s="385">
        <f t="shared" si="12"/>
        <v>6.9842175159631985</v>
      </c>
      <c r="F60" s="384">
        <f t="shared" si="12"/>
        <v>5.9773733906447069</v>
      </c>
      <c r="G60" s="385">
        <f>SUM(G61:G64)</f>
        <v>6.9842175159631985</v>
      </c>
      <c r="H60" s="384">
        <f t="shared" si="12"/>
        <v>5.9773733906447069</v>
      </c>
      <c r="I60" s="385">
        <f t="shared" si="12"/>
        <v>6.9842175159631985</v>
      </c>
      <c r="J60" s="38" t="s">
        <v>61</v>
      </c>
    </row>
    <row r="61" spans="1:19" x14ac:dyDescent="0.25">
      <c r="A61" s="794"/>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794"/>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794"/>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795"/>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683">
        <f>EMA!B4</f>
        <v>0</v>
      </c>
      <c r="G65" s="684">
        <f>EMA!C4</f>
        <v>0</v>
      </c>
      <c r="H65" s="685">
        <f>EMA!B4</f>
        <v>0</v>
      </c>
      <c r="I65" s="685">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77" t="s">
        <v>15</v>
      </c>
      <c r="K66" s="778"/>
    </row>
    <row r="67" spans="1:19" x14ac:dyDescent="0.25">
      <c r="A67" s="791"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792"/>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417</v>
      </c>
      <c r="B69" s="108" t="s">
        <v>18</v>
      </c>
      <c r="C69" s="108" t="s">
        <v>14</v>
      </c>
      <c r="D69" s="393">
        <v>2030</v>
      </c>
      <c r="E69" s="394">
        <v>2040</v>
      </c>
      <c r="F69" s="393">
        <v>2030</v>
      </c>
      <c r="G69" s="394">
        <v>2040</v>
      </c>
      <c r="H69" s="393">
        <v>2030</v>
      </c>
      <c r="I69" s="394">
        <v>2040</v>
      </c>
      <c r="J69" s="777" t="s">
        <v>15</v>
      </c>
      <c r="K69" s="778"/>
    </row>
    <row r="70" spans="1:19" ht="15.75" thickBot="1" x14ac:dyDescent="0.3">
      <c r="A70" s="717" t="s">
        <v>441</v>
      </c>
      <c r="B70" s="718" t="s">
        <v>119</v>
      </c>
      <c r="C70" s="718" t="s">
        <v>19</v>
      </c>
      <c r="D70" s="567">
        <v>0</v>
      </c>
      <c r="E70" s="568">
        <v>0</v>
      </c>
      <c r="F70" s="672">
        <f>EMA!B11</f>
        <v>0.5</v>
      </c>
      <c r="G70" s="672">
        <f>EMA!C11</f>
        <v>0</v>
      </c>
      <c r="H70" s="674">
        <f>EMA!B11</f>
        <v>0.5</v>
      </c>
      <c r="I70" s="675">
        <f>EMA!C11</f>
        <v>0</v>
      </c>
    </row>
    <row r="71" spans="1:19" ht="15.75" thickBot="1" x14ac:dyDescent="0.3">
      <c r="A71" s="719" t="s">
        <v>445</v>
      </c>
      <c r="B71" s="693" t="s">
        <v>119</v>
      </c>
      <c r="C71" s="693" t="s">
        <v>421</v>
      </c>
      <c r="D71" s="615">
        <v>0</v>
      </c>
      <c r="E71" s="569">
        <v>0</v>
      </c>
      <c r="F71" s="673">
        <f>EMA!B14</f>
        <v>-0.4</v>
      </c>
      <c r="G71" s="673">
        <f>EMA!C14</f>
        <v>0</v>
      </c>
      <c r="H71" s="676">
        <f>EMA!B14</f>
        <v>-0.4</v>
      </c>
      <c r="I71" s="677">
        <f>EMA!C14</f>
        <v>0</v>
      </c>
    </row>
    <row r="72" spans="1:19" ht="15.75" thickBot="1" x14ac:dyDescent="0.3">
      <c r="A72" s="719" t="s">
        <v>446</v>
      </c>
      <c r="B72" s="693" t="s">
        <v>119</v>
      </c>
      <c r="C72" s="693" t="s">
        <v>421</v>
      </c>
      <c r="D72" s="615">
        <v>0</v>
      </c>
      <c r="E72" s="569">
        <v>0</v>
      </c>
      <c r="F72" s="673">
        <f>EMA!B12</f>
        <v>-0.05</v>
      </c>
      <c r="G72" s="673">
        <f>EMA!C12</f>
        <v>0</v>
      </c>
      <c r="H72" s="676">
        <f>EMA!B12</f>
        <v>-0.05</v>
      </c>
      <c r="I72" s="677">
        <f>EMA!C12</f>
        <v>0</v>
      </c>
    </row>
    <row r="73" spans="1:19" ht="15.75" thickBot="1" x14ac:dyDescent="0.3">
      <c r="A73" s="719" t="s">
        <v>447</v>
      </c>
      <c r="B73" s="693" t="s">
        <v>119</v>
      </c>
      <c r="C73" s="693" t="s">
        <v>421</v>
      </c>
      <c r="D73" s="567">
        <v>0</v>
      </c>
      <c r="E73" s="568">
        <v>0</v>
      </c>
      <c r="F73" s="673">
        <f>EMA!B13</f>
        <v>0.2</v>
      </c>
      <c r="G73" s="673">
        <f>EMA!C13</f>
        <v>0</v>
      </c>
      <c r="H73" s="674">
        <f>EMA!B13</f>
        <v>0.2</v>
      </c>
      <c r="I73" s="675">
        <f>EMA!C13</f>
        <v>0</v>
      </c>
    </row>
    <row r="74" spans="1:19" x14ac:dyDescent="0.25">
      <c r="A74" s="680" t="s">
        <v>426</v>
      </c>
      <c r="B74" s="693" t="s">
        <v>182</v>
      </c>
      <c r="C74" s="695" t="s">
        <v>427</v>
      </c>
      <c r="D74" s="606">
        <v>0</v>
      </c>
      <c r="E74" s="606">
        <v>0</v>
      </c>
      <c r="F74" s="666">
        <f>EMA!B15</f>
        <v>0</v>
      </c>
      <c r="G74" s="667">
        <f>EMA!C15</f>
        <v>0</v>
      </c>
      <c r="H74" s="678">
        <f t="shared" ref="H74:I77" si="15">F74</f>
        <v>0</v>
      </c>
      <c r="I74" s="667">
        <f t="shared" si="15"/>
        <v>0</v>
      </c>
    </row>
    <row r="75" spans="1:19" x14ac:dyDescent="0.25">
      <c r="A75" s="681" t="s">
        <v>428</v>
      </c>
      <c r="B75" s="649" t="s">
        <v>182</v>
      </c>
      <c r="C75" s="696" t="s">
        <v>421</v>
      </c>
      <c r="D75" s="607">
        <v>0.05</v>
      </c>
      <c r="E75" s="607">
        <v>0.1</v>
      </c>
      <c r="F75" s="668">
        <f>EMA!B17</f>
        <v>0</v>
      </c>
      <c r="G75" s="724">
        <f>EMA!C17</f>
        <v>0</v>
      </c>
      <c r="H75" s="668">
        <f t="shared" si="15"/>
        <v>0</v>
      </c>
      <c r="I75" s="669">
        <f t="shared" si="15"/>
        <v>0</v>
      </c>
      <c r="J75" s="38" t="s">
        <v>250</v>
      </c>
    </row>
    <row r="76" spans="1:19" x14ac:dyDescent="0.25">
      <c r="A76" s="681" t="s">
        <v>429</v>
      </c>
      <c r="B76" s="649" t="s">
        <v>182</v>
      </c>
      <c r="C76" s="696" t="s">
        <v>421</v>
      </c>
      <c r="D76" s="608">
        <v>0.5</v>
      </c>
      <c r="E76" s="608">
        <v>0.5</v>
      </c>
      <c r="F76" s="668">
        <f>EMA!B18</f>
        <v>0</v>
      </c>
      <c r="G76" s="724">
        <f>EMA!C18</f>
        <v>0</v>
      </c>
      <c r="H76" s="668">
        <f t="shared" si="15"/>
        <v>0</v>
      </c>
      <c r="I76" s="669">
        <f t="shared" si="15"/>
        <v>0</v>
      </c>
      <c r="J76" s="38" t="s">
        <v>440</v>
      </c>
    </row>
    <row r="77" spans="1:19" ht="15.75" thickBot="1" x14ac:dyDescent="0.3">
      <c r="A77" s="682" t="s">
        <v>430</v>
      </c>
      <c r="B77" s="694" t="s">
        <v>182</v>
      </c>
      <c r="C77" s="697" t="s">
        <v>431</v>
      </c>
      <c r="D77" s="605">
        <v>1.5</v>
      </c>
      <c r="E77" s="605">
        <v>1.5</v>
      </c>
      <c r="F77" s="670">
        <f>EMA!B16</f>
        <v>0</v>
      </c>
      <c r="G77" s="671">
        <f>EMA!C16</f>
        <v>0</v>
      </c>
      <c r="H77" s="679">
        <f t="shared" si="15"/>
        <v>0</v>
      </c>
      <c r="I77" s="671">
        <f t="shared" si="15"/>
        <v>0</v>
      </c>
    </row>
    <row r="78" spans="1:19" x14ac:dyDescent="0.25">
      <c r="B78" s="26"/>
      <c r="C78" s="26"/>
      <c r="D78" s="600"/>
      <c r="E78" s="26"/>
    </row>
    <row r="79" spans="1:19" x14ac:dyDescent="0.25">
      <c r="B79" s="26"/>
      <c r="C79" s="26"/>
      <c r="D79" s="624"/>
      <c r="E79" s="624"/>
      <c r="G79" s="137"/>
    </row>
    <row r="80" spans="1:19" x14ac:dyDescent="0.25">
      <c r="B80" s="26"/>
      <c r="C80" s="26"/>
      <c r="D80" s="624"/>
      <c r="E80" s="624"/>
      <c r="F80" s="137"/>
    </row>
    <row r="81" spans="2:7" x14ac:dyDescent="0.25">
      <c r="B81" s="26"/>
      <c r="C81" s="26"/>
      <c r="D81" s="624"/>
      <c r="E81" s="624"/>
      <c r="G81" s="137"/>
    </row>
    <row r="82" spans="2:7" x14ac:dyDescent="0.25">
      <c r="B82" s="26"/>
      <c r="C82" s="26"/>
      <c r="D82" s="624"/>
      <c r="E82" s="624"/>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Normal="100" workbookViewId="0">
      <pane xSplit="3" ySplit="6" topLeftCell="D70" activePane="bottomRight" state="frozen"/>
      <selection pane="topRight" activeCell="D1" sqref="D1"/>
      <selection pane="bottomLeft" activeCell="A6" sqref="A6"/>
      <selection pane="bottomRight" activeCell="E67" sqref="E6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82" t="s">
        <v>63</v>
      </c>
      <c r="E4" s="783"/>
      <c r="F4" s="782" t="s">
        <v>64</v>
      </c>
      <c r="G4" s="783"/>
      <c r="H4" s="782" t="s">
        <v>65</v>
      </c>
      <c r="I4" s="783"/>
      <c r="J4" s="38"/>
      <c r="K4" s="38"/>
      <c r="L4" s="38"/>
      <c r="M4" s="38"/>
      <c r="N4" s="38"/>
      <c r="O4" s="38"/>
      <c r="P4" s="38"/>
      <c r="Q4" s="38"/>
    </row>
    <row r="5" spans="1:17" s="64" customFormat="1" ht="61.9" customHeight="1" thickBot="1" x14ac:dyDescent="0.3">
      <c r="A5" s="263" t="s">
        <v>202</v>
      </c>
      <c r="B5" s="264"/>
      <c r="C5" s="265"/>
      <c r="D5" s="809" t="str">
        <f>Indata!D6</f>
        <v>Beslutad politik - Trafikverkets basscenario, ändras ej av EMA.</v>
      </c>
      <c r="E5" s="810"/>
      <c r="F5" s="809" t="str">
        <f>Indata!F6</f>
        <v>Policy scenario (EMA)</v>
      </c>
      <c r="G5" s="810"/>
      <c r="H5" s="809" t="str">
        <f>Indata!H6</f>
        <v>Reference scenario for comparison (beslutad politik, varierande X)</v>
      </c>
      <c r="I5" s="810"/>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806" t="s">
        <v>0</v>
      </c>
      <c r="B7" s="266" t="s">
        <v>100</v>
      </c>
      <c r="C7" s="266" t="s">
        <v>204</v>
      </c>
      <c r="D7" s="431">
        <f>'Modell - Lätta fordon'!AH6</f>
        <v>17.911754192557677</v>
      </c>
      <c r="E7" s="432">
        <f>'Modell - Lätta fordon'!AI6</f>
        <v>21.293751803814949</v>
      </c>
      <c r="F7" s="431">
        <f>'Modell - Lätta fordon'!AJ6</f>
        <v>17.911754192557677</v>
      </c>
      <c r="G7" s="433">
        <f>'Modell - Lätta fordon'!AK6</f>
        <v>89.538606904281451</v>
      </c>
      <c r="H7" s="434">
        <f>'Modell - Lätta fordon'!AL6</f>
        <v>17.911754192557677</v>
      </c>
      <c r="I7" s="433">
        <f>'Modell - Lätta fordon'!AM6</f>
        <v>21.293751803814949</v>
      </c>
    </row>
    <row r="8" spans="1:17" x14ac:dyDescent="0.25">
      <c r="A8" s="807"/>
      <c r="B8" s="75" t="s">
        <v>101</v>
      </c>
      <c r="C8" s="75" t="s">
        <v>204</v>
      </c>
      <c r="D8" s="435">
        <f>'Modell - Lätta fordon'!AH7</f>
        <v>19.069168234099362</v>
      </c>
      <c r="E8" s="436">
        <f>'Modell - Lätta fordon'!AI7</f>
        <v>22.557131724953557</v>
      </c>
      <c r="F8" s="435">
        <f>'Modell - Lätta fordon'!AJ7</f>
        <v>19.069168234099362</v>
      </c>
      <c r="G8" s="437">
        <f>'Modell - Lätta fordon'!AK7</f>
        <v>52.892831516527906</v>
      </c>
      <c r="H8" s="438">
        <f>'Modell - Lätta fordon'!AL7</f>
        <v>19.069168234099362</v>
      </c>
      <c r="I8" s="437">
        <f>'Modell - Lätta fordon'!AM7</f>
        <v>22.557131724953557</v>
      </c>
    </row>
    <row r="9" spans="1:17" x14ac:dyDescent="0.25">
      <c r="A9" s="807"/>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807"/>
      <c r="B10" s="75" t="s">
        <v>179</v>
      </c>
      <c r="C10" s="75" t="s">
        <v>256</v>
      </c>
      <c r="D10" s="435">
        <f>'Modell - Tunga fordon'!AH6</f>
        <v>13.466674098111907</v>
      </c>
      <c r="E10" s="436">
        <f>'Modell - Tunga fordon'!AI6</f>
        <v>16.350158148247193</v>
      </c>
      <c r="F10" s="435">
        <f>'Modell - Tunga fordon'!AJ6</f>
        <v>13.466674098111907</v>
      </c>
      <c r="G10" s="437">
        <f>'Modell - Tunga fordon'!AK6</f>
        <v>40.643652499620138</v>
      </c>
      <c r="H10" s="438">
        <f>'Modell - Tunga fordon'!AL6</f>
        <v>13.466674098111907</v>
      </c>
      <c r="I10" s="437">
        <f>'Modell - Tunga fordon'!AM6</f>
        <v>16.350158148247193</v>
      </c>
    </row>
    <row r="11" spans="1:17" ht="15.75" thickBot="1" x14ac:dyDescent="0.3">
      <c r="A11" s="808"/>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806"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0.41377350182107514</v>
      </c>
      <c r="H12" s="434">
        <f>'Modell - Lätta fordon'!AL13</f>
        <v>0.60765334265455651</v>
      </c>
      <c r="I12" s="433">
        <f>'Modell - Lätta fordon'!AM13</f>
        <v>0.49219920755019081</v>
      </c>
    </row>
    <row r="13" spans="1:17" x14ac:dyDescent="0.25">
      <c r="A13" s="807"/>
      <c r="B13" s="75" t="s">
        <v>101</v>
      </c>
      <c r="C13" s="75" t="s">
        <v>39</v>
      </c>
      <c r="D13" s="435">
        <f>'Modell - Lätta fordon'!AH14</f>
        <v>0.60691454404542722</v>
      </c>
      <c r="E13" s="436">
        <f>'Modell - Lätta fordon'!AI14</f>
        <v>0.49160078067679608</v>
      </c>
      <c r="F13" s="435">
        <f>'Modell - Lätta fordon'!AJ14</f>
        <v>0.60691454404542722</v>
      </c>
      <c r="G13" s="437">
        <f>'Modell - Lätta fordon'!AK14</f>
        <v>0.41327042668566238</v>
      </c>
      <c r="H13" s="438">
        <f>'Modell - Lätta fordon'!AL14</f>
        <v>0.60691454404542722</v>
      </c>
      <c r="I13" s="437">
        <f>'Modell - Lätta fordon'!AM14</f>
        <v>0.49160078067679608</v>
      </c>
    </row>
    <row r="14" spans="1:17" x14ac:dyDescent="0.25">
      <c r="A14" s="807"/>
      <c r="B14" s="75" t="s">
        <v>102</v>
      </c>
      <c r="C14" s="75" t="s">
        <v>40</v>
      </c>
      <c r="D14" s="435">
        <f>'Modell - Lätta fordon'!AH15</f>
        <v>1.6150000000000002</v>
      </c>
      <c r="E14" s="436">
        <f>'Modell - Lätta fordon'!AI15</f>
        <v>1.6150000000000002</v>
      </c>
      <c r="F14" s="435">
        <f>'Modell - Lätta fordon'!AJ15</f>
        <v>1.6150000000000002</v>
      </c>
      <c r="G14" s="437">
        <f>'Modell - Lätta fordon'!AK15</f>
        <v>1.5342500000000001</v>
      </c>
      <c r="H14" s="438">
        <f>'Modell - Lätta fordon'!AL15</f>
        <v>1.6150000000000002</v>
      </c>
      <c r="I14" s="437">
        <f>'Modell - Lätta fordon'!AM15</f>
        <v>1.6150000000000002</v>
      </c>
    </row>
    <row r="15" spans="1:17" x14ac:dyDescent="0.25">
      <c r="A15" s="807"/>
      <c r="B15" s="75" t="s">
        <v>351</v>
      </c>
      <c r="C15" s="75" t="s">
        <v>39</v>
      </c>
      <c r="D15" s="443">
        <f>'Modell - Tunga fordon'!AH15</f>
        <v>2.635417410126252</v>
      </c>
      <c r="E15" s="436">
        <f>'Modell - Tunga fordon'!AI15</f>
        <v>2.104120696313331</v>
      </c>
      <c r="F15" s="435">
        <f>'Modell - Tunga fordon'!AJ15</f>
        <v>2.5476861046498795</v>
      </c>
      <c r="G15" s="437">
        <f>'Modell - Tunga fordon'!AK15</f>
        <v>1.9455714457724747</v>
      </c>
      <c r="H15" s="438">
        <f>'Modell - Tunga fordon'!AL15</f>
        <v>2.5476861046498795</v>
      </c>
      <c r="I15" s="437">
        <f>'Modell - Tunga fordon'!AM15</f>
        <v>2.0479699429183946</v>
      </c>
    </row>
    <row r="16" spans="1:17" ht="15.75" thickBot="1" x14ac:dyDescent="0.3">
      <c r="A16" s="808"/>
      <c r="B16" s="267" t="s">
        <v>317</v>
      </c>
      <c r="C16" s="267" t="s">
        <v>40</v>
      </c>
      <c r="D16" s="439">
        <f>'Modell - Tunga fordon'!AH16</f>
        <v>8.4732522945626005</v>
      </c>
      <c r="E16" s="440">
        <f>'Modell - Tunga fordon'!AI16</f>
        <v>8.4732522945626005</v>
      </c>
      <c r="F16" s="439">
        <f>'Modell - Tunga fordon'!AJ16</f>
        <v>8.242163595619985</v>
      </c>
      <c r="G16" s="441">
        <f>'Modell - Tunga fordon'!AK16</f>
        <v>8.0495896798344706</v>
      </c>
      <c r="H16" s="442">
        <f>'Modell - Tunga fordon'!AL16</f>
        <v>8.242163595619985</v>
      </c>
      <c r="I16" s="441">
        <f>'Modell - Tunga fordon'!AM16</f>
        <v>8.4732522945626005</v>
      </c>
    </row>
    <row r="17" spans="1:11" x14ac:dyDescent="0.25">
      <c r="A17" s="806" t="s">
        <v>21</v>
      </c>
      <c r="B17" s="266" t="s">
        <v>182</v>
      </c>
      <c r="C17" s="266" t="s">
        <v>73</v>
      </c>
      <c r="D17" s="431">
        <f>'Modell - Lätta fordon'!AH24</f>
        <v>0</v>
      </c>
      <c r="E17" s="432">
        <f>'Modell - Lätta fordon'!AI24</f>
        <v>0</v>
      </c>
      <c r="F17" s="431">
        <f>'Modell - Lätta fordon'!AJ24</f>
        <v>0</v>
      </c>
      <c r="G17" s="433">
        <f>'Modell - Lätta fordon'!AK24</f>
        <v>7.4</v>
      </c>
      <c r="H17" s="434">
        <f>'Modell - Lätta fordon'!AL24</f>
        <v>0</v>
      </c>
      <c r="I17" s="433">
        <f>'Modell - Lätta fordon'!AM24</f>
        <v>0</v>
      </c>
    </row>
    <row r="18" spans="1:11" ht="15.75" thickBot="1" x14ac:dyDescent="0.3">
      <c r="A18" s="808"/>
      <c r="B18" s="267" t="s">
        <v>318</v>
      </c>
      <c r="C18" s="267" t="s">
        <v>73</v>
      </c>
      <c r="D18" s="439">
        <f>'Modell - Tunga fordon'!AH29</f>
        <v>0</v>
      </c>
      <c r="E18" s="440">
        <f>'Modell - Tunga fordon'!AI29</f>
        <v>0</v>
      </c>
      <c r="F18" s="439">
        <f>'Modell - Tunga fordon'!AJ29</f>
        <v>0</v>
      </c>
      <c r="G18" s="441">
        <f>'Modell - Tunga fordon'!AK29</f>
        <v>1.2</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806"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54.458702926965231</v>
      </c>
      <c r="H20" s="434">
        <f>'Modell - Lätta fordon'!AL40</f>
        <v>20.894137307914438</v>
      </c>
      <c r="I20" s="433">
        <f>'Modell - Lätta fordon'!AM40</f>
        <v>20.490767763608162</v>
      </c>
      <c r="J20" s="360"/>
      <c r="K20" s="389"/>
    </row>
    <row r="21" spans="1:11" x14ac:dyDescent="0.25">
      <c r="A21" s="807"/>
      <c r="B21" s="75" t="s">
        <v>101</v>
      </c>
      <c r="C21" s="75" t="s">
        <v>73</v>
      </c>
      <c r="D21" s="443">
        <f>'Modell - Lätta fordon'!AH41</f>
        <v>21.583355544123954</v>
      </c>
      <c r="E21" s="446">
        <f>'Modell - Lätta fordon'!AI41</f>
        <v>21.099103565816492</v>
      </c>
      <c r="F21" s="435">
        <f>'Modell - Lätta fordon'!AJ41</f>
        <v>21.583355544123954</v>
      </c>
      <c r="G21" s="437">
        <f>'Modell - Lätta fordon'!AK41</f>
        <v>39.269043049448335</v>
      </c>
      <c r="H21" s="438">
        <f>'Modell - Lätta fordon'!AL41</f>
        <v>21.583355544123954</v>
      </c>
      <c r="I21" s="437">
        <f>'Modell - Lätta fordon'!AM41</f>
        <v>21.099103565816492</v>
      </c>
    </row>
    <row r="22" spans="1:11" x14ac:dyDescent="0.25">
      <c r="A22" s="807"/>
      <c r="B22" s="75" t="s">
        <v>102</v>
      </c>
      <c r="C22" s="75" t="s">
        <v>73</v>
      </c>
      <c r="D22" s="443">
        <f>'Modell - Lätta fordon'!AH42</f>
        <v>15.615515788043478</v>
      </c>
      <c r="E22" s="446">
        <f>'Modell - Lätta fordon'!AI42</f>
        <v>16.728198124999999</v>
      </c>
      <c r="F22" s="435">
        <f>'Modell - Lätta fordon'!AJ42</f>
        <v>15.615515788043478</v>
      </c>
      <c r="G22" s="437">
        <f>'Modell - Lätta fordon'!AK42</f>
        <v>23.792288218749999</v>
      </c>
      <c r="H22" s="438">
        <f>'Modell - Lätta fordon'!AL42</f>
        <v>15.615515788043478</v>
      </c>
      <c r="I22" s="437">
        <f>'Modell - Lätta fordon'!AM42</f>
        <v>16.728198124999999</v>
      </c>
    </row>
    <row r="23" spans="1:11" x14ac:dyDescent="0.25">
      <c r="A23" s="807"/>
      <c r="B23" s="356" t="s">
        <v>178</v>
      </c>
      <c r="C23" s="356" t="s">
        <v>73</v>
      </c>
      <c r="D23" s="447">
        <f>'Modell - Lätta fordon'!AH43</f>
        <v>20.74</v>
      </c>
      <c r="E23" s="448">
        <f>'Modell - Lätta fordon'!AI43</f>
        <v>19.655019213344737</v>
      </c>
      <c r="F23" s="447">
        <f>'Modell - Lätta fordon'!AJ43</f>
        <v>20.236024700220387</v>
      </c>
      <c r="G23" s="449">
        <f>'Modell - Lätta fordon'!AK43</f>
        <v>28.025252050861496</v>
      </c>
      <c r="H23" s="450">
        <f>'Modell - Lätta fordon'!AL43</f>
        <v>20.236024700220387</v>
      </c>
      <c r="I23" s="449">
        <f>'Modell - Lätta fordon'!AM43</f>
        <v>19.250316494987008</v>
      </c>
    </row>
    <row r="24" spans="1:11" x14ac:dyDescent="0.25">
      <c r="A24" s="807"/>
      <c r="B24" s="75" t="s">
        <v>351</v>
      </c>
      <c r="C24" s="75" t="s">
        <v>73</v>
      </c>
      <c r="D24" s="435">
        <f>'Modell - Tunga fordon'!AH75</f>
        <v>173.15819104151814</v>
      </c>
      <c r="E24" s="436">
        <f>'Modell - Tunga fordon'!AI75</f>
        <v>171.42802777145798</v>
      </c>
      <c r="F24" s="435">
        <f>'Modell - Tunga fordon'!AJ75</f>
        <v>142.09089560246696</v>
      </c>
      <c r="G24" s="437">
        <f>'Modell - Tunga fordon'!AK75</f>
        <v>218.13587491742123</v>
      </c>
      <c r="H24" s="438">
        <f>'Modell - Tunga fordon'!AL75</f>
        <v>142.09089560246696</v>
      </c>
      <c r="I24" s="437">
        <f>'Modell - Tunga fordon'!AM75</f>
        <v>171.34537761183375</v>
      </c>
    </row>
    <row r="25" spans="1:11" x14ac:dyDescent="0.25">
      <c r="A25" s="807"/>
      <c r="B25" s="75" t="s">
        <v>317</v>
      </c>
      <c r="C25" s="75" t="s">
        <v>73</v>
      </c>
      <c r="D25" s="451">
        <f>'Modell - Tunga fordon'!AH80</f>
        <v>158.70165078298615</v>
      </c>
      <c r="E25" s="452">
        <f>'Modell - Tunga fordon'!AI80</f>
        <v>160.98562019883911</v>
      </c>
      <c r="F25" s="451">
        <f>'Modell - Tunga fordon'!AJ80</f>
        <v>124.17071493479752</v>
      </c>
      <c r="G25" s="453">
        <f>'Modell - Tunga fordon'!AK80</f>
        <v>157.81808913688261</v>
      </c>
      <c r="H25" s="454">
        <f>'Modell - Tunga fordon'!AL80</f>
        <v>124.17071493479752</v>
      </c>
      <c r="I25" s="453">
        <f>'Modell - Tunga fordon'!AM80</f>
        <v>157.60531776712585</v>
      </c>
    </row>
    <row r="26" spans="1:11" ht="15.75" thickBot="1" x14ac:dyDescent="0.3">
      <c r="A26" s="808"/>
      <c r="B26" s="357" t="s">
        <v>352</v>
      </c>
      <c r="C26" s="357" t="s">
        <v>73</v>
      </c>
      <c r="D26" s="455">
        <f>'Modell - Tunga fordon'!AH85</f>
        <v>172.79834480680643</v>
      </c>
      <c r="E26" s="456">
        <f>'Modell - Tunga fordon'!AI85</f>
        <v>170.38831537025214</v>
      </c>
      <c r="F26" s="455">
        <f>'Modell - Tunga fordon'!AJ85</f>
        <v>141.73249198911356</v>
      </c>
      <c r="G26" s="390">
        <f>'Modell - Tunga fordon'!AK85</f>
        <v>200.04053918325963</v>
      </c>
      <c r="H26" s="388">
        <f>'Modell - Tunga fordon'!AL85</f>
        <v>141.73249198911356</v>
      </c>
      <c r="I26" s="390">
        <f>'Modell - Tunga fordon'!AM85</f>
        <v>167.22335965842134</v>
      </c>
    </row>
    <row r="27" spans="1:11" x14ac:dyDescent="0.25">
      <c r="A27" s="806"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6.140945752660957</v>
      </c>
      <c r="H27" s="434">
        <f>'Modell - Lätta fordon'!AL34</f>
        <v>35.228240198326176</v>
      </c>
      <c r="I27" s="433">
        <f>'Modell - Lätta fordon'!AM34</f>
        <v>30.913829807482287</v>
      </c>
    </row>
    <row r="28" spans="1:11" x14ac:dyDescent="0.25">
      <c r="A28" s="807"/>
      <c r="B28" s="75" t="s">
        <v>101</v>
      </c>
      <c r="C28" s="75" t="s">
        <v>36</v>
      </c>
      <c r="D28" s="516">
        <f>'Modell - Lätta fordon'!AH35</f>
        <v>37.395523495653713</v>
      </c>
      <c r="E28" s="517">
        <f>'Modell - Lätta fordon'!AI35</f>
        <v>30.966214284259014</v>
      </c>
      <c r="F28" s="516">
        <f>'Modell - Lätta fordon'!AJ35</f>
        <v>37.668574859572288</v>
      </c>
      <c r="G28" s="518">
        <f>'Modell - Lätta fordon'!AK35</f>
        <v>5.4704183484829549</v>
      </c>
      <c r="H28" s="519">
        <f>'Modell - Lätta fordon'!AL35</f>
        <v>37.668574859572288</v>
      </c>
      <c r="I28" s="518">
        <f>'Modell - Lätta fordon'!AM35</f>
        <v>31.157757934601015</v>
      </c>
    </row>
    <row r="29" spans="1:11" x14ac:dyDescent="0.25">
      <c r="A29" s="807"/>
      <c r="B29" s="75" t="s">
        <v>102</v>
      </c>
      <c r="C29" s="75" t="s">
        <v>36</v>
      </c>
      <c r="D29" s="516">
        <f>'Modell - Lätta fordon'!AH36</f>
        <v>15.885746734167313</v>
      </c>
      <c r="E29" s="517">
        <f>'Modell - Lätta fordon'!AI36</f>
        <v>37.81</v>
      </c>
      <c r="F29" s="516">
        <f>'Modell - Lätta fordon'!AJ36</f>
        <v>16.001739890758198</v>
      </c>
      <c r="G29" s="518">
        <f>'Modell - Lätta fordon'!AK36</f>
        <v>52.878937158152993</v>
      </c>
      <c r="H29" s="519">
        <f>'Modell - Lätta fordon'!AL36</f>
        <v>16.001739890758198</v>
      </c>
      <c r="I29" s="518">
        <f>'Modell - Lätta fordon'!AM36</f>
        <v>38.043876358051058</v>
      </c>
    </row>
    <row r="30" spans="1:11" x14ac:dyDescent="0.25">
      <c r="A30" s="807"/>
      <c r="B30" s="356" t="s">
        <v>103</v>
      </c>
      <c r="C30" s="356" t="s">
        <v>36</v>
      </c>
      <c r="D30" s="515">
        <f>'Modell - Lätta fordon'!AH37</f>
        <v>88.254148523151741</v>
      </c>
      <c r="E30" s="520">
        <f>'Modell - Lätta fordon'!AI37</f>
        <v>99.5</v>
      </c>
      <c r="F30" s="521">
        <f>'Modell - Lätta fordon'!AJ37</f>
        <v>88.898554948656667</v>
      </c>
      <c r="G30" s="522">
        <f>'Modell - Lätta fordon'!AK37</f>
        <v>64.490301259296899</v>
      </c>
      <c r="H30" s="523">
        <f>'Modell - Lätta fordon'!AL37</f>
        <v>88.898554948656667</v>
      </c>
      <c r="I30" s="522">
        <f>'Modell - Lätta fordon'!AM37</f>
        <v>100.11546410013436</v>
      </c>
    </row>
    <row r="31" spans="1:11" x14ac:dyDescent="0.25">
      <c r="A31" s="807"/>
      <c r="B31" s="75" t="s">
        <v>353</v>
      </c>
      <c r="C31" s="75" t="s">
        <v>36</v>
      </c>
      <c r="D31" s="516">
        <f>'Modell - Tunga fordon'!AH40</f>
        <v>5.82858707873166</v>
      </c>
      <c r="E31" s="517">
        <f>'Modell - Tunga fordon'!AI40</f>
        <v>6.2888244743137882</v>
      </c>
      <c r="F31" s="516">
        <f>'Modell - Tunga fordon'!AJ40</f>
        <v>7.0583890896569939</v>
      </c>
      <c r="G31" s="518">
        <f>'Modell - Tunga fordon'!AK40</f>
        <v>3.2499680169633494</v>
      </c>
      <c r="H31" s="519">
        <f>'Modell - Tunga fordon'!AL40</f>
        <v>7.0583890896569939</v>
      </c>
      <c r="I31" s="518">
        <f>'Modell - Tunga fordon'!AM40</f>
        <v>4.9928412810796461</v>
      </c>
    </row>
    <row r="32" spans="1:11" x14ac:dyDescent="0.25">
      <c r="A32" s="807"/>
      <c r="B32" s="75" t="s">
        <v>317</v>
      </c>
      <c r="C32" s="75" t="s">
        <v>36</v>
      </c>
      <c r="D32" s="524">
        <f>'Modell - Tunga fordon'!AH45</f>
        <v>0.14878631191304731</v>
      </c>
      <c r="E32" s="525">
        <f>'Modell - Tunga fordon'!AI45</f>
        <v>0.69539304164941118</v>
      </c>
      <c r="F32" s="524">
        <f>'Modell - Tunga fordon'!AJ45</f>
        <v>0.14404875693177538</v>
      </c>
      <c r="G32" s="526">
        <f>'Modell - Tunga fordon'!AK45</f>
        <v>1.3928434358414354</v>
      </c>
      <c r="H32" s="527">
        <f>'Modell - Tunga fordon'!AL45</f>
        <v>0.14404875693177538</v>
      </c>
      <c r="I32" s="526">
        <f>'Modell - Tunga fordon'!AM45</f>
        <v>2.1397891204627051</v>
      </c>
    </row>
    <row r="33" spans="1:9" x14ac:dyDescent="0.25">
      <c r="A33" s="807"/>
      <c r="B33" s="356" t="s">
        <v>354</v>
      </c>
      <c r="C33" s="356" t="s">
        <v>36</v>
      </c>
      <c r="D33" s="515">
        <f>'Modell - Tunga fordon'!AH50</f>
        <v>5.9773733906447069</v>
      </c>
      <c r="E33" s="520">
        <f>'Modell - Tunga fordon'!AI50</f>
        <v>6.9842175159631985</v>
      </c>
      <c r="F33" s="515">
        <f>'Modell - Tunga fordon'!AJ50</f>
        <v>7.2024378465887695</v>
      </c>
      <c r="G33" s="522">
        <f>'Modell - Tunga fordon'!AK50</f>
        <v>4.6428114528047848</v>
      </c>
      <c r="H33" s="523">
        <f>'Modell - Tunga fordon'!AL50</f>
        <v>7.2024378465887695</v>
      </c>
      <c r="I33" s="522">
        <f>'Modell - Tunga fordon'!AM50</f>
        <v>7.1326304015423512</v>
      </c>
    </row>
    <row r="34" spans="1:9" ht="15.75" thickBot="1" x14ac:dyDescent="0.3">
      <c r="A34" s="808"/>
      <c r="B34" s="357" t="s">
        <v>331</v>
      </c>
      <c r="C34" s="357" t="s">
        <v>36</v>
      </c>
      <c r="D34" s="528">
        <f>D30+D33</f>
        <v>94.231521913796442</v>
      </c>
      <c r="E34" s="529">
        <f t="shared" ref="E34:I34" si="0">E30+E33</f>
        <v>106.48421751596319</v>
      </c>
      <c r="F34" s="528">
        <f t="shared" si="0"/>
        <v>96.100992795245432</v>
      </c>
      <c r="G34" s="530">
        <f>G30+G33</f>
        <v>69.133112712101678</v>
      </c>
      <c r="H34" s="531">
        <f t="shared" si="0"/>
        <v>96.100992795245432</v>
      </c>
      <c r="I34" s="530">
        <f t="shared" si="0"/>
        <v>107.24809450167672</v>
      </c>
    </row>
    <row r="35" spans="1:9" x14ac:dyDescent="0.25">
      <c r="A35" s="807" t="s">
        <v>284</v>
      </c>
      <c r="B35" s="75" t="s">
        <v>182</v>
      </c>
      <c r="C35" s="75" t="s">
        <v>19</v>
      </c>
      <c r="D35" s="94">
        <f>D29/D30</f>
        <v>0.18</v>
      </c>
      <c r="E35" s="95">
        <f t="shared" ref="E35:I35" si="1">E29/E30</f>
        <v>0.38</v>
      </c>
      <c r="F35" s="94">
        <f t="shared" si="1"/>
        <v>0.18</v>
      </c>
      <c r="G35" s="96">
        <f t="shared" si="1"/>
        <v>0.81995177764082761</v>
      </c>
      <c r="H35" s="97">
        <f t="shared" si="1"/>
        <v>0.18</v>
      </c>
      <c r="I35" s="96">
        <f t="shared" si="1"/>
        <v>0.38</v>
      </c>
    </row>
    <row r="36" spans="1:9" ht="15.75" thickBot="1" x14ac:dyDescent="0.3">
      <c r="A36" s="808"/>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804"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0.82249319552737798</v>
      </c>
      <c r="H37" s="458">
        <f>'Modell - Lätta fordon'!AL56</f>
        <v>8.6217081694868458</v>
      </c>
      <c r="I37" s="459">
        <f>'Modell - Lätta fordon'!AM56</f>
        <v>5.9671839667949103</v>
      </c>
    </row>
    <row r="38" spans="1:9" x14ac:dyDescent="0.25">
      <c r="A38" s="805"/>
      <c r="B38" s="75" t="s">
        <v>318</v>
      </c>
      <c r="C38" s="75" t="s">
        <v>186</v>
      </c>
      <c r="D38" s="460">
        <f>'Modell - Tunga fordon'!AH91</f>
        <v>2.6531104436628112</v>
      </c>
      <c r="E38" s="461">
        <f>'Modell - Tunga fordon'!AI91</f>
        <v>2.2855080268112538</v>
      </c>
      <c r="F38" s="460">
        <f>'Modell - Tunga fordon'!AJ91</f>
        <v>3.1059477295077573</v>
      </c>
      <c r="G38" s="461">
        <f>'Modell - Tunga fordon'!AK91</f>
        <v>1.0760557935864326</v>
      </c>
      <c r="H38" s="460">
        <f>'Modell - Tunga fordon'!AL91</f>
        <v>3.1059477295077573</v>
      </c>
      <c r="I38" s="461">
        <f>'Modell - Tunga fordon'!AM91</f>
        <v>1.7660946222159428</v>
      </c>
    </row>
    <row r="39" spans="1:9" x14ac:dyDescent="0.25">
      <c r="A39" s="805"/>
      <c r="B39" s="75" t="s">
        <v>309</v>
      </c>
      <c r="C39" s="75" t="s">
        <v>186</v>
      </c>
      <c r="D39" s="474">
        <v>0</v>
      </c>
      <c r="E39" s="475">
        <v>0</v>
      </c>
      <c r="F39" s="474">
        <v>0</v>
      </c>
      <c r="G39" s="475">
        <v>0</v>
      </c>
      <c r="H39" s="474">
        <v>0</v>
      </c>
      <c r="I39" s="475">
        <v>0</v>
      </c>
    </row>
    <row r="40" spans="1:9" x14ac:dyDescent="0.25">
      <c r="A40" s="805"/>
      <c r="B40" s="356" t="s">
        <v>16</v>
      </c>
      <c r="C40" s="356" t="s">
        <v>186</v>
      </c>
      <c r="D40" s="462">
        <f>SUM(D37:D39)</f>
        <v>11.21232171264937</v>
      </c>
      <c r="E40" s="463">
        <f t="shared" ref="E40:I40" si="3">SUM(E37:E39)</f>
        <v>8.2160084747964586</v>
      </c>
      <c r="F40" s="462">
        <f t="shared" si="3"/>
        <v>11.727655898994604</v>
      </c>
      <c r="G40" s="463">
        <f>SUM(G37:G39)</f>
        <v>1.8985489891138105</v>
      </c>
      <c r="H40" s="462">
        <f t="shared" si="3"/>
        <v>11.727655898994604</v>
      </c>
      <c r="I40" s="463">
        <f t="shared" si="3"/>
        <v>7.7332785890108529</v>
      </c>
    </row>
    <row r="41" spans="1:9" ht="15.75" thickBot="1" x14ac:dyDescent="0.3">
      <c r="A41" s="805"/>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-0.89952640828144526</v>
      </c>
      <c r="H41" s="476">
        <f>H40/SUM('Indata - Utsläpp'!$B$15:$B$17)-1</f>
        <v>-0.37935775301679708</v>
      </c>
      <c r="I41" s="477">
        <f>I40/SUM('Indata - Utsläpp'!$B$15:$B$17)-1</f>
        <v>-0.59074520591602175</v>
      </c>
    </row>
    <row r="42" spans="1:9" x14ac:dyDescent="0.25">
      <c r="A42" s="806"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0.82201664683421893</v>
      </c>
      <c r="H42" s="458">
        <f>'Modell - Lätta fordon'!AL60</f>
        <v>7.9261448468440436</v>
      </c>
      <c r="I42" s="459">
        <f>'Modell - Lätta fordon'!AM60</f>
        <v>4.5069962960924492</v>
      </c>
    </row>
    <row r="43" spans="1:9" x14ac:dyDescent="0.25">
      <c r="A43" s="807"/>
      <c r="B43" s="75" t="s">
        <v>318</v>
      </c>
      <c r="C43" s="75" t="s">
        <v>319</v>
      </c>
      <c r="D43" s="460">
        <f>'Modell - Tunga fordon'!AH94</f>
        <v>1.9535949121051688</v>
      </c>
      <c r="E43" s="461">
        <f>'Modell - Tunga fordon'!AI94</f>
        <v>1.8007325460695351</v>
      </c>
      <c r="F43" s="460">
        <f>'Modell - Tunga fordon'!AJ94</f>
        <v>2.3657934293422564</v>
      </c>
      <c r="G43" s="461">
        <f>'Modell - Tunga fordon'!AK94</f>
        <v>0.93059095634396005</v>
      </c>
      <c r="H43" s="460">
        <f>'Modell - Tunga fordon'!AL94</f>
        <v>2.3657934293422564</v>
      </c>
      <c r="I43" s="461">
        <f>'Modell - Tunga fordon'!AM94</f>
        <v>1.4296426667530211</v>
      </c>
    </row>
    <row r="44" spans="1:9" x14ac:dyDescent="0.25">
      <c r="A44" s="807"/>
      <c r="B44" s="356" t="s">
        <v>16</v>
      </c>
      <c r="C44" s="356" t="s">
        <v>319</v>
      </c>
      <c r="D44" s="462">
        <f t="shared" ref="D44:I44" si="4">SUM(D42:D43)</f>
        <v>9.8222848467547585</v>
      </c>
      <c r="E44" s="463">
        <f t="shared" si="4"/>
        <v>6.2800218895486593</v>
      </c>
      <c r="F44" s="462">
        <f t="shared" si="4"/>
        <v>10.291938276186301</v>
      </c>
      <c r="G44" s="463">
        <f t="shared" si="4"/>
        <v>1.752607603178179</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-0.97071896437241889</v>
      </c>
      <c r="H45" s="476">
        <f>H44/'Indata - Utsläpp'!$B$26-1</f>
        <v>-0.82805129294464264</v>
      </c>
      <c r="I45" s="477">
        <f>I44/'Indata - Utsläpp'!$B$26-1</f>
        <v>-0.90081582627854673</v>
      </c>
    </row>
    <row r="46" spans="1:9" x14ac:dyDescent="0.25">
      <c r="A46" s="807"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1.9255602720610707E-2</v>
      </c>
      <c r="H46" s="458">
        <f>'Modell - Lätta fordon'!AL64</f>
        <v>0.12963482450900987</v>
      </c>
      <c r="I46" s="459">
        <f>'Modell - Lätta fordon'!AM64</f>
        <v>0.10425765412328467</v>
      </c>
    </row>
    <row r="47" spans="1:9" x14ac:dyDescent="0.25">
      <c r="A47" s="807"/>
      <c r="B47" s="75" t="s">
        <v>318</v>
      </c>
      <c r="C47" s="269" t="s">
        <v>319</v>
      </c>
      <c r="D47" s="460">
        <f>'Modell - Tunga fordon'!AH97</f>
        <v>3.1735896971207704E-2</v>
      </c>
      <c r="E47" s="461">
        <f>'Modell - Tunga fordon'!AI97</f>
        <v>2.9040061764818929E-2</v>
      </c>
      <c r="F47" s="460">
        <f>'Modell - Tunga fordon'!AJ97</f>
        <v>3.8432008633693733E-2</v>
      </c>
      <c r="G47" s="461">
        <f>'Modell - Tunga fordon'!AK97</f>
        <v>1.5007458441841795E-2</v>
      </c>
      <c r="H47" s="460">
        <f>'Modell - Tunga fordon'!AL97</f>
        <v>3.8432008633693733E-2</v>
      </c>
      <c r="I47" s="461">
        <f>'Modell - Tunga fordon'!AM97</f>
        <v>2.3055567821410945E-2</v>
      </c>
    </row>
    <row r="48" spans="1:9" x14ac:dyDescent="0.25">
      <c r="A48" s="807"/>
      <c r="B48" s="356" t="s">
        <v>16</v>
      </c>
      <c r="C48" s="358" t="s">
        <v>319</v>
      </c>
      <c r="D48" s="462">
        <f t="shared" ref="D48:I48" si="5">SUM(D46:D47)</f>
        <v>0.16043102663443456</v>
      </c>
      <c r="E48" s="463">
        <f t="shared" si="5"/>
        <v>0.13265678749753124</v>
      </c>
      <c r="F48" s="462">
        <f t="shared" si="5"/>
        <v>0.1680668331427036</v>
      </c>
      <c r="G48" s="463">
        <f t="shared" si="5"/>
        <v>3.42630611624525E-2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-0.97544218666682014</v>
      </c>
      <c r="H49" s="476">
        <f>H48/'Indata - Utsläpp'!$B$24-1</f>
        <v>-0.87953925376813102</v>
      </c>
      <c r="I49" s="477">
        <f>I48/'Indata - Utsläpp'!$B$24-1</f>
        <v>-0.90874912417954734</v>
      </c>
    </row>
    <row r="50" spans="1:15" x14ac:dyDescent="0.25">
      <c r="A50" s="806"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12.898060251859381</v>
      </c>
      <c r="H50" s="458">
        <f>'Modell - Lätta fordon'!AL65</f>
        <v>17.779710989731335</v>
      </c>
      <c r="I50" s="459">
        <f>'Modell - Lätta fordon'!AM65</f>
        <v>20.023092820026875</v>
      </c>
    </row>
    <row r="51" spans="1:15" x14ac:dyDescent="0.25">
      <c r="A51" s="807"/>
      <c r="B51" s="75" t="s">
        <v>318</v>
      </c>
      <c r="C51" s="269" t="s">
        <v>319</v>
      </c>
      <c r="D51" s="460">
        <f>'Modell - Tunga fordon'!AH98</f>
        <v>1.1954746781289414</v>
      </c>
      <c r="E51" s="461">
        <f>'Modell - Tunga fordon'!AI98</f>
        <v>1.3968435031926398</v>
      </c>
      <c r="F51" s="460">
        <f>'Modell - Tunga fordon'!AJ98</f>
        <v>1.4404875693177539</v>
      </c>
      <c r="G51" s="461">
        <f>'Modell - Tunga fordon'!AK98</f>
        <v>0.92856229056095696</v>
      </c>
      <c r="H51" s="460">
        <f>'Modell - Tunga fordon'!AL98</f>
        <v>1.4404875693177539</v>
      </c>
      <c r="I51" s="461">
        <f>'Modell - Tunga fordon'!AM98</f>
        <v>1.4265260803084703</v>
      </c>
    </row>
    <row r="52" spans="1:15" x14ac:dyDescent="0.25">
      <c r="A52" s="807"/>
      <c r="B52" s="356" t="s">
        <v>16</v>
      </c>
      <c r="C52" s="358" t="s">
        <v>319</v>
      </c>
      <c r="D52" s="462">
        <f t="shared" ref="D52:I52" si="6">SUM(D50:D51)</f>
        <v>18.846304382759293</v>
      </c>
      <c r="E52" s="463">
        <f t="shared" si="6"/>
        <v>21.29684350319264</v>
      </c>
      <c r="F52" s="462">
        <f t="shared" si="6"/>
        <v>19.220198559049088</v>
      </c>
      <c r="G52" s="463">
        <f t="shared" si="6"/>
        <v>13.826622542420338</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-9.398147099088705E-3</v>
      </c>
      <c r="H53" s="479">
        <f>H52/'Indata - Utsläpp'!$B$25-1</f>
        <v>0.37702206358087165</v>
      </c>
      <c r="I53" s="480">
        <f>I52/'Indata - Utsläpp'!$B$25-1</f>
        <v>0.5367478327770383</v>
      </c>
    </row>
    <row r="54" spans="1:15" x14ac:dyDescent="0.25">
      <c r="A54" s="801"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3.1723765568527185</v>
      </c>
      <c r="H54" s="458">
        <f>'Modell - Lätta fordon'!AL73</f>
        <v>33.253944318297087</v>
      </c>
      <c r="I54" s="459">
        <f>'Modell - Lätta fordon'!AM73</f>
        <v>23.015235615003597</v>
      </c>
    </row>
    <row r="55" spans="1:15" x14ac:dyDescent="0.25">
      <c r="A55" s="802"/>
      <c r="B55" s="75" t="s">
        <v>314</v>
      </c>
      <c r="C55" s="75" t="s">
        <v>127</v>
      </c>
      <c r="D55" s="460">
        <f>'Modell - Lätta fordon'!AH74</f>
        <v>7.7470767782154928</v>
      </c>
      <c r="E55" s="461">
        <f>'Modell - Lätta fordon'!AI74</f>
        <v>5.2344186079651784</v>
      </c>
      <c r="F55" s="460">
        <f>'Modell - Lätta fordon'!AJ74</f>
        <v>7.8036437060971027</v>
      </c>
      <c r="G55" s="461">
        <f>'Modell - Lätta fordon'!AK74</f>
        <v>1.2359391925503549</v>
      </c>
      <c r="H55" s="460">
        <f>'Modell - Lätta fordon'!AL74</f>
        <v>7.8036437060971027</v>
      </c>
      <c r="I55" s="461">
        <f>'Modell - Lätta fordon'!AM74</f>
        <v>5.2667964646312866</v>
      </c>
    </row>
    <row r="56" spans="1:15" x14ac:dyDescent="0.25">
      <c r="A56" s="802"/>
      <c r="B56" s="75" t="s">
        <v>102</v>
      </c>
      <c r="C56" s="75" t="s">
        <v>127</v>
      </c>
      <c r="D56" s="460">
        <f>'Modell - Lätta fordon'!AH75</f>
        <v>2.5655480975680214</v>
      </c>
      <c r="E56" s="461">
        <f>'Modell - Lätta fordon'!AI75</f>
        <v>6.1063150000000013</v>
      </c>
      <c r="F56" s="460">
        <f>'Modell - Lätta fordon'!AJ75</f>
        <v>2.5842809923574492</v>
      </c>
      <c r="G56" s="461">
        <f>'Modell - Lätta fordon'!AK75</f>
        <v>8.1129509334896248</v>
      </c>
      <c r="H56" s="460">
        <f>'Modell - Lätta fordon'!AL75</f>
        <v>2.5842809923574492</v>
      </c>
      <c r="I56" s="461">
        <f>'Modell - Lätta fordon'!AM75</f>
        <v>6.144086031825247</v>
      </c>
    </row>
    <row r="57" spans="1:15" x14ac:dyDescent="0.25">
      <c r="A57" s="802"/>
      <c r="B57" s="75" t="s">
        <v>311</v>
      </c>
      <c r="C57" s="75" t="s">
        <v>127</v>
      </c>
      <c r="D57" s="460">
        <f>'Modell - Tunga fordon'!AH101</f>
        <v>10.236410373187224</v>
      </c>
      <c r="E57" s="461">
        <f>'Modell - Tunga fordon'!AI101</f>
        <v>8.8181018357284593</v>
      </c>
      <c r="F57" s="460">
        <f>'Modell - Tunga fordon'!AJ101</f>
        <v>11.98357785400631</v>
      </c>
      <c r="G57" s="461">
        <f>'Modell - Tunga fordon'!AK101</f>
        <v>4.1517113295854484</v>
      </c>
      <c r="H57" s="460">
        <f>'Modell - Tunga fordon'!AL101</f>
        <v>11.98357785400631</v>
      </c>
      <c r="I57" s="461">
        <f>'Modell - Tunga fordon'!AM101</f>
        <v>6.8140658652426138</v>
      </c>
      <c r="L57" s="481"/>
      <c r="M57" s="481"/>
      <c r="N57" s="481"/>
      <c r="O57" s="481"/>
    </row>
    <row r="58" spans="1:15" x14ac:dyDescent="0.25">
      <c r="A58" s="802"/>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2.9278044151378961</v>
      </c>
      <c r="H58" s="460">
        <f>'Modell - Tunga fordon'!AL102+Indata!H67</f>
        <v>8.438184627842368</v>
      </c>
      <c r="I58" s="461">
        <f>'Modell - Tunga fordon'!AM102+Indata!I67</f>
        <v>4.9594994479099341</v>
      </c>
    </row>
    <row r="59" spans="1:15" x14ac:dyDescent="0.25">
      <c r="A59" s="802"/>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2.9816248702345236</v>
      </c>
      <c r="H59" s="460">
        <f>'Modell - Tunga fordon'!AL103+Indata!H68</f>
        <v>0.45713642321061387</v>
      </c>
      <c r="I59" s="461">
        <f>'Modell - Tunga fordon'!AM103+Indata!I68</f>
        <v>3.5704903554279106</v>
      </c>
    </row>
    <row r="60" spans="1:15" x14ac:dyDescent="0.25">
      <c r="A60" s="802"/>
      <c r="B60" s="356" t="s">
        <v>193</v>
      </c>
      <c r="C60" s="356" t="s">
        <v>127</v>
      </c>
      <c r="D60" s="462">
        <f>D54+D57</f>
        <v>43.249304030936798</v>
      </c>
      <c r="E60" s="463">
        <f t="shared" ref="E60:I60" si="7">E54+E57</f>
        <v>31.691850304820203</v>
      </c>
      <c r="F60" s="462">
        <f t="shared" si="7"/>
        <v>45.2375221723034</v>
      </c>
      <c r="G60" s="463">
        <f>G54+G57</f>
        <v>7.3240878864381669</v>
      </c>
      <c r="H60" s="462">
        <f t="shared" si="7"/>
        <v>45.2375221723034</v>
      </c>
      <c r="I60" s="463">
        <f t="shared" si="7"/>
        <v>29.829301480246212</v>
      </c>
      <c r="L60" s="481"/>
      <c r="M60" s="481"/>
      <c r="N60" s="481"/>
      <c r="O60" s="481"/>
    </row>
    <row r="61" spans="1:15" x14ac:dyDescent="0.25">
      <c r="A61" s="802"/>
      <c r="B61" s="356" t="s">
        <v>194</v>
      </c>
      <c r="C61" s="356" t="s">
        <v>127</v>
      </c>
      <c r="D61" s="462">
        <f>D55+D58</f>
        <v>15.3982232817075</v>
      </c>
      <c r="E61" s="463">
        <f t="shared" ref="E61:I61" si="8">E55+E58</f>
        <v>11.096666492219871</v>
      </c>
      <c r="F61" s="462">
        <f>F55+F58</f>
        <v>16.24182833393947</v>
      </c>
      <c r="G61" s="463">
        <f>G55+G58</f>
        <v>4.163743607688251</v>
      </c>
      <c r="H61" s="462">
        <f t="shared" si="8"/>
        <v>16.24182833393947</v>
      </c>
      <c r="I61" s="463">
        <f t="shared" si="8"/>
        <v>10.226295912541222</v>
      </c>
    </row>
    <row r="62" spans="1:15" x14ac:dyDescent="0.25">
      <c r="A62" s="802"/>
      <c r="B62" s="356" t="s">
        <v>195</v>
      </c>
      <c r="C62" s="356" t="s">
        <v>127</v>
      </c>
      <c r="D62" s="462">
        <f>D56+D59</f>
        <v>2.9906154233517621</v>
      </c>
      <c r="E62" s="463">
        <f>E56+E59</f>
        <v>7.4378017602926594</v>
      </c>
      <c r="F62" s="462">
        <f>F56+F59</f>
        <v>3.0414174155680631</v>
      </c>
      <c r="G62" s="463">
        <f>G56+G59</f>
        <v>11.094575803724148</v>
      </c>
      <c r="H62" s="462">
        <f>H56+H59</f>
        <v>3.0414174155680631</v>
      </c>
      <c r="I62" s="463">
        <f>I56+I59</f>
        <v>9.7145763872531568</v>
      </c>
    </row>
    <row r="63" spans="1:15" ht="15.75" thickBot="1" x14ac:dyDescent="0.3">
      <c r="A63" s="803"/>
      <c r="B63" s="357" t="s">
        <v>357</v>
      </c>
      <c r="C63" s="357" t="s">
        <v>127</v>
      </c>
      <c r="D63" s="464">
        <f>SUM(D60:D62)</f>
        <v>61.638142735996063</v>
      </c>
      <c r="E63" s="465">
        <f t="shared" ref="E63:I63" si="9">SUM(E60:E62)</f>
        <v>50.226318557332732</v>
      </c>
      <c r="F63" s="464">
        <f t="shared" si="9"/>
        <v>64.520767921810929</v>
      </c>
      <c r="G63" s="465">
        <f t="shared" si="9"/>
        <v>22.582407297850565</v>
      </c>
      <c r="H63" s="464">
        <f t="shared" si="9"/>
        <v>64.520767921810929</v>
      </c>
      <c r="I63" s="465">
        <f t="shared" si="9"/>
        <v>49.770173780040594</v>
      </c>
    </row>
    <row r="64" spans="1:15" x14ac:dyDescent="0.25">
      <c r="A64" s="802"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16.388990001443581</v>
      </c>
      <c r="H64" s="483">
        <f>'Modell - Lätta fordon'!AL83</f>
        <v>24.513088900346119</v>
      </c>
      <c r="I64" s="482">
        <f>'Modell - Lätta fordon'!AM83</f>
        <v>20.804089238348755</v>
      </c>
    </row>
    <row r="65" spans="1:9" x14ac:dyDescent="0.25">
      <c r="A65" s="802"/>
      <c r="B65" s="75" t="s">
        <v>192</v>
      </c>
      <c r="C65" s="269" t="s">
        <v>134</v>
      </c>
      <c r="D65" s="435">
        <f>'Modell - Lätta fordon'!AH84</f>
        <v>5.3590207809846397</v>
      </c>
      <c r="E65" s="436">
        <f>'Modell - Lätta fordon'!AI84</f>
        <v>4.4448355030893012</v>
      </c>
      <c r="F65" s="435">
        <f>'Modell - Lätta fordon'!AJ84</f>
        <v>5.398150810376686</v>
      </c>
      <c r="G65" s="437">
        <f>'Modell - Lätta fordon'!AK84</f>
        <v>6.6392920746410065</v>
      </c>
      <c r="H65" s="438">
        <f>'Modell - Lätta fordon'!AL84</f>
        <v>5.398150810376686</v>
      </c>
      <c r="I65" s="437">
        <f>'Modell - Lätta fordon'!AM84</f>
        <v>4.4723293391009014</v>
      </c>
    </row>
    <row r="66" spans="1:9" x14ac:dyDescent="0.25">
      <c r="A66" s="802"/>
      <c r="B66" s="75" t="s">
        <v>102</v>
      </c>
      <c r="C66" s="269" t="s">
        <v>134</v>
      </c>
      <c r="D66" s="435">
        <f>'Modell - Lätta fordon'!AH85</f>
        <v>0.86356348964139595</v>
      </c>
      <c r="E66" s="436">
        <f>'Modell - Lätta fordon'!AI85</f>
        <v>2.0553856290000003</v>
      </c>
      <c r="F66" s="435">
        <f>'Modell - Lätta fordon'!AJ85</f>
        <v>0.86986898202751739</v>
      </c>
      <c r="G66" s="437">
        <f>'Modell - Lätta fordon'!AK85</f>
        <v>2.7308192842126071</v>
      </c>
      <c r="H66" s="438">
        <f>'Modell - Lätta fordon'!AL85</f>
        <v>0.86986898202751739</v>
      </c>
      <c r="I66" s="437">
        <f>'Modell - Lätta fordon'!AM85</f>
        <v>2.0680993583123781</v>
      </c>
    </row>
    <row r="67" spans="1:9" x14ac:dyDescent="0.25">
      <c r="A67" s="802"/>
      <c r="B67" s="75" t="s">
        <v>316</v>
      </c>
      <c r="C67" s="269" t="s">
        <v>134</v>
      </c>
      <c r="D67" s="435">
        <f>'Modell - Tunga fordon'!AH106</f>
        <v>5.8833096119358101</v>
      </c>
      <c r="E67" s="436">
        <f>'Modell - Tunga fordon'!AI106</f>
        <v>6.178041813034266</v>
      </c>
      <c r="F67" s="435">
        <f>'Modell - Tunga fordon'!AJ106</f>
        <v>6.8874826431860301</v>
      </c>
      <c r="G67" s="437">
        <f>'Modell - Tunga fordon'!AK106</f>
        <v>13.169010697049661</v>
      </c>
      <c r="H67" s="438">
        <f>'Modell - Tunga fordon'!AL106</f>
        <v>6.8874826431860301</v>
      </c>
      <c r="I67" s="437">
        <f>'Modell - Tunga fordon'!AM106</f>
        <v>4.7739961066984788</v>
      </c>
    </row>
    <row r="68" spans="1:9" x14ac:dyDescent="0.25">
      <c r="A68" s="802"/>
      <c r="B68" s="75" t="s">
        <v>315</v>
      </c>
      <c r="C68" s="269" t="s">
        <v>134</v>
      </c>
      <c r="D68" s="435">
        <f>'Modell - Tunga fordon'!AH107</f>
        <v>2.768616287969794</v>
      </c>
      <c r="E68" s="436">
        <f>'Modell - Tunga fordon'!AI107</f>
        <v>2.9073137943690668</v>
      </c>
      <c r="F68" s="435">
        <f>'Modell - Tunga fordon'!AJ107</f>
        <v>3.2411683026757787</v>
      </c>
      <c r="G68" s="437">
        <f>'Modell - Tunga fordon'!AK107</f>
        <v>6.4862291492931181</v>
      </c>
      <c r="H68" s="438">
        <f>'Modell - Tunga fordon'!AL107</f>
        <v>3.2411683026757787</v>
      </c>
      <c r="I68" s="437">
        <f>'Modell - Tunga fordon'!AM107</f>
        <v>2.246586403152226</v>
      </c>
    </row>
    <row r="69" spans="1:9" x14ac:dyDescent="0.25">
      <c r="A69" s="802"/>
      <c r="B69" s="75" t="s">
        <v>317</v>
      </c>
      <c r="C69" s="269" t="s">
        <v>134</v>
      </c>
      <c r="D69" s="435">
        <f>'Modell - Tunga fordon'!AH108</f>
        <v>5.5561661858807121E-2</v>
      </c>
      <c r="E69" s="436">
        <f>'Modell - Tunga fordon'!AI108</f>
        <v>0.25968244351450853</v>
      </c>
      <c r="F69" s="435">
        <f>'Modell - Tunga fordon'!AJ108</f>
        <v>6.6356120052692619E-2</v>
      </c>
      <c r="G69" s="437">
        <f>'Modell - Tunga fordon'!AK108</f>
        <v>0.62662293132094049</v>
      </c>
      <c r="H69" s="438">
        <f>'Modell - Tunga fordon'!AL108</f>
        <v>6.6356120052692619E-2</v>
      </c>
      <c r="I69" s="437">
        <f>'Modell - Tunga fordon'!AM108</f>
        <v>1.0133310536370346</v>
      </c>
    </row>
    <row r="70" spans="1:9" x14ac:dyDescent="0.25">
      <c r="A70" s="802"/>
      <c r="B70" s="356" t="s">
        <v>193</v>
      </c>
      <c r="C70" s="358" t="s">
        <v>134</v>
      </c>
      <c r="D70" s="447">
        <f>D64+D67</f>
        <v>30.218708424906719</v>
      </c>
      <c r="E70" s="457">
        <f t="shared" ref="E70:I70" si="10">E64+E67</f>
        <v>26.8542370224507</v>
      </c>
      <c r="F70" s="447">
        <f t="shared" si="10"/>
        <v>31.400571543532148</v>
      </c>
      <c r="G70" s="449">
        <f t="shared" si="10"/>
        <v>29.558000698493242</v>
      </c>
      <c r="H70" s="450">
        <f t="shared" si="10"/>
        <v>31.400571543532148</v>
      </c>
      <c r="I70" s="449">
        <f t="shared" si="10"/>
        <v>25.578085345047235</v>
      </c>
    </row>
    <row r="71" spans="1:9" x14ac:dyDescent="0.25">
      <c r="A71" s="802"/>
      <c r="B71" s="356" t="s">
        <v>194</v>
      </c>
      <c r="C71" s="358" t="s">
        <v>134</v>
      </c>
      <c r="D71" s="447">
        <f>D65+D68</f>
        <v>8.1276370689544333</v>
      </c>
      <c r="E71" s="457">
        <f t="shared" ref="E71:I71" si="11">E65+E68</f>
        <v>7.352149297458368</v>
      </c>
      <c r="F71" s="447">
        <f t="shared" si="11"/>
        <v>8.6393191130524656</v>
      </c>
      <c r="G71" s="449">
        <f t="shared" si="11"/>
        <v>13.125521223934125</v>
      </c>
      <c r="H71" s="450">
        <f t="shared" si="11"/>
        <v>8.6393191130524656</v>
      </c>
      <c r="I71" s="449">
        <f t="shared" si="11"/>
        <v>6.7189157422531274</v>
      </c>
    </row>
    <row r="72" spans="1:9" ht="15.75" thickBot="1" x14ac:dyDescent="0.3">
      <c r="A72" s="803"/>
      <c r="B72" s="357" t="s">
        <v>195</v>
      </c>
      <c r="C72" s="359" t="s">
        <v>134</v>
      </c>
      <c r="D72" s="468">
        <f>D66+D69</f>
        <v>0.91912515150020302</v>
      </c>
      <c r="E72" s="469">
        <f t="shared" ref="E72:I72" si="12">E66+E69</f>
        <v>2.3150680725145087</v>
      </c>
      <c r="F72" s="468">
        <f>F66+F69</f>
        <v>0.93622510208021004</v>
      </c>
      <c r="G72" s="470">
        <f t="shared" si="12"/>
        <v>3.3574422155335477</v>
      </c>
      <c r="H72" s="471">
        <f t="shared" si="12"/>
        <v>0.93622510208021004</v>
      </c>
      <c r="I72" s="470">
        <f t="shared" si="12"/>
        <v>3.0814304119494125</v>
      </c>
    </row>
    <row r="73" spans="1:9" x14ac:dyDescent="0.25">
      <c r="A73" s="801" t="s">
        <v>198</v>
      </c>
      <c r="B73" s="266" t="s">
        <v>182</v>
      </c>
      <c r="C73" s="266" t="s">
        <v>134</v>
      </c>
      <c r="D73" s="431">
        <f>'Modell - Lätta fordon'!AH89</f>
        <v>0</v>
      </c>
      <c r="E73" s="432">
        <f>'Modell - Lätta fordon'!AI89</f>
        <v>0</v>
      </c>
      <c r="F73" s="431">
        <f>'Modell - Lätta fordon'!AJ89</f>
        <v>0</v>
      </c>
      <c r="G73" s="433">
        <f>'Modell - Lätta fordon'!AK89</f>
        <v>47.722822931879712</v>
      </c>
      <c r="H73" s="434">
        <f>'Modell - Lätta fordon'!AL89</f>
        <v>0</v>
      </c>
      <c r="I73" s="433">
        <f>'Modell - Lätta fordon'!AM89</f>
        <v>0</v>
      </c>
    </row>
    <row r="74" spans="1:9" x14ac:dyDescent="0.25">
      <c r="A74" s="802"/>
      <c r="B74" s="75" t="s">
        <v>318</v>
      </c>
      <c r="C74" s="269" t="s">
        <v>134</v>
      </c>
      <c r="D74" s="435">
        <f>'Modell - Tunga fordon'!AH114</f>
        <v>0</v>
      </c>
      <c r="E74" s="436">
        <f>'Modell - Tunga fordon'!AI114</f>
        <v>0</v>
      </c>
      <c r="F74" s="435">
        <f>'Modell - Tunga fordon'!AJ114</f>
        <v>0</v>
      </c>
      <c r="G74" s="437">
        <f>'Modell - Tunga fordon'!AK114</f>
        <v>0.55713737433657418</v>
      </c>
      <c r="H74" s="438">
        <f>'Modell - Tunga fordon'!AL114</f>
        <v>0</v>
      </c>
      <c r="I74" s="437">
        <f>'Modell - Tunga fordon'!AM114</f>
        <v>0</v>
      </c>
    </row>
    <row r="75" spans="1:9" ht="15.75" thickBot="1" x14ac:dyDescent="0.3">
      <c r="A75" s="803"/>
      <c r="B75" s="357" t="s">
        <v>272</v>
      </c>
      <c r="C75" s="357" t="s">
        <v>134</v>
      </c>
      <c r="D75" s="455">
        <f>SUM(D73:D74)</f>
        <v>0</v>
      </c>
      <c r="E75" s="456">
        <f t="shared" ref="E75:I75" si="13">SUM(E73:E74)</f>
        <v>0</v>
      </c>
      <c r="F75" s="455">
        <f t="shared" si="13"/>
        <v>0</v>
      </c>
      <c r="G75" s="390">
        <f t="shared" si="13"/>
        <v>48.279960306216289</v>
      </c>
      <c r="H75" s="388">
        <f t="shared" si="13"/>
        <v>0</v>
      </c>
      <c r="I75" s="390">
        <f t="shared" si="13"/>
        <v>0</v>
      </c>
    </row>
    <row r="76" spans="1:9" x14ac:dyDescent="0.25">
      <c r="A76" s="801" t="s">
        <v>199</v>
      </c>
      <c r="B76" s="266" t="s">
        <v>182</v>
      </c>
      <c r="C76" s="266" t="s">
        <v>134</v>
      </c>
      <c r="D76" s="431">
        <f>SUM(D64:D66,D73)</f>
        <v>30.557983083596945</v>
      </c>
      <c r="E76" s="432">
        <f t="shared" ref="E76:I76" si="14">SUM(E64:E66,E73)</f>
        <v>27.176416341505735</v>
      </c>
      <c r="F76" s="431">
        <f t="shared" si="14"/>
        <v>30.781108692750323</v>
      </c>
      <c r="G76" s="433">
        <f t="shared" si="14"/>
        <v>73.481924292176899</v>
      </c>
      <c r="H76" s="434">
        <f t="shared" si="14"/>
        <v>30.781108692750323</v>
      </c>
      <c r="I76" s="433">
        <f t="shared" si="14"/>
        <v>27.344517935762035</v>
      </c>
    </row>
    <row r="77" spans="1:9" x14ac:dyDescent="0.25">
      <c r="A77" s="802"/>
      <c r="B77" s="75" t="s">
        <v>318</v>
      </c>
      <c r="C77" s="269" t="s">
        <v>134</v>
      </c>
      <c r="D77" s="435">
        <f>SUM(D67:D69,D74)</f>
        <v>8.7074875617644114</v>
      </c>
      <c r="E77" s="436">
        <f t="shared" ref="E77:I77" si="15">SUM(E67:E69,E74)</f>
        <v>9.3450380509178412</v>
      </c>
      <c r="F77" s="435">
        <f t="shared" si="15"/>
        <v>10.195007065914501</v>
      </c>
      <c r="G77" s="437">
        <f t="shared" si="15"/>
        <v>20.839000152000295</v>
      </c>
      <c r="H77" s="438">
        <f t="shared" si="15"/>
        <v>10.195007065914501</v>
      </c>
      <c r="I77" s="437">
        <f t="shared" si="15"/>
        <v>8.0339135634877401</v>
      </c>
    </row>
    <row r="78" spans="1:9" ht="15.75" thickBot="1" x14ac:dyDescent="0.3">
      <c r="A78" s="802"/>
      <c r="B78" s="356" t="s">
        <v>272</v>
      </c>
      <c r="C78" s="356" t="s">
        <v>134</v>
      </c>
      <c r="D78" s="533">
        <f>SUM(D76:D77)</f>
        <v>39.265470645361354</v>
      </c>
      <c r="E78" s="534">
        <f t="shared" ref="E78" si="16">SUM(E76:E77)</f>
        <v>36.521454392423578</v>
      </c>
      <c r="F78" s="533">
        <f t="shared" ref="F78" si="17">SUM(F76:F77)</f>
        <v>40.976115758664825</v>
      </c>
      <c r="G78" s="535">
        <f t="shared" ref="G78" si="18">SUM(G76:G77)</f>
        <v>94.320924444177194</v>
      </c>
      <c r="H78" s="536">
        <f t="shared" ref="H78" si="19">SUM(H76:H77)</f>
        <v>40.976115758664825</v>
      </c>
      <c r="I78" s="535">
        <f t="shared" ref="I78" si="20">SUM(I76:I77)</f>
        <v>35.378431499249771</v>
      </c>
    </row>
    <row r="79" spans="1:9" x14ac:dyDescent="0.25">
      <c r="A79" s="798" t="s">
        <v>407</v>
      </c>
      <c r="B79" s="691" t="s">
        <v>182</v>
      </c>
      <c r="C79" s="691" t="s">
        <v>134</v>
      </c>
      <c r="D79" s="537"/>
      <c r="E79" s="542"/>
      <c r="F79" s="545">
        <f t="shared" ref="F79:G81" si="21">F76-H76</f>
        <v>0</v>
      </c>
      <c r="G79" s="538">
        <f t="shared" si="21"/>
        <v>46.137406356414864</v>
      </c>
      <c r="H79" s="551"/>
      <c r="I79" s="538"/>
    </row>
    <row r="80" spans="1:9" x14ac:dyDescent="0.25">
      <c r="A80" s="799"/>
      <c r="B80" s="692" t="s">
        <v>318</v>
      </c>
      <c r="C80" s="692" t="s">
        <v>134</v>
      </c>
      <c r="D80" s="539"/>
      <c r="E80" s="543"/>
      <c r="F80" s="546">
        <f t="shared" si="21"/>
        <v>0</v>
      </c>
      <c r="G80" s="540">
        <f t="shared" si="21"/>
        <v>12.805086588512555</v>
      </c>
      <c r="H80" s="548"/>
      <c r="I80" s="540"/>
    </row>
    <row r="81" spans="1:9" ht="15.75" thickBot="1" x14ac:dyDescent="0.3">
      <c r="A81" s="800"/>
      <c r="B81" s="711" t="s">
        <v>272</v>
      </c>
      <c r="C81" s="711" t="s">
        <v>134</v>
      </c>
      <c r="D81" s="541"/>
      <c r="E81" s="544"/>
      <c r="F81" s="550">
        <f t="shared" si="21"/>
        <v>0</v>
      </c>
      <c r="G81" s="547">
        <f>G78-I78</f>
        <v>58.942492944927423</v>
      </c>
      <c r="H81" s="549"/>
      <c r="I81" s="547"/>
    </row>
  </sheetData>
  <mergeCells count="21">
    <mergeCell ref="D4:E4"/>
    <mergeCell ref="F4:G4"/>
    <mergeCell ref="H4:I4"/>
    <mergeCell ref="D5:E5"/>
    <mergeCell ref="F5:G5"/>
    <mergeCell ref="H5:I5"/>
    <mergeCell ref="A17:A18"/>
    <mergeCell ref="A20:A26"/>
    <mergeCell ref="A35:A36"/>
    <mergeCell ref="A7:A11"/>
    <mergeCell ref="A12:A16"/>
    <mergeCell ref="A27:A34"/>
    <mergeCell ref="A79:A81"/>
    <mergeCell ref="A73:A75"/>
    <mergeCell ref="A76:A78"/>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272"/>
  <sheetViews>
    <sheetView tabSelected="1" topLeftCell="A25" zoomScale="85" zoomScaleNormal="85" workbookViewId="0">
      <pane xSplit="1" topLeftCell="B1" activePane="topRight" state="frozen"/>
      <selection activeCell="A6" sqref="A6"/>
      <selection pane="topRight" activeCell="C57" sqref="C57"/>
    </sheetView>
  </sheetViews>
  <sheetFormatPr defaultRowHeight="15" x14ac:dyDescent="0.25"/>
  <cols>
    <col min="1" max="1" width="75.5703125" style="26" bestFit="1" customWidth="1"/>
    <col min="2" max="2" width="9.140625" style="89" hidden="1" customWidth="1"/>
    <col min="3" max="3" width="36.42578125" style="89" customWidth="1"/>
    <col min="4" max="4" width="119.5703125" style="26" customWidth="1"/>
    <col min="5" max="16384" width="9.140625" style="26"/>
  </cols>
  <sheetData>
    <row r="1" spans="1:4" x14ac:dyDescent="0.25">
      <c r="A1" s="811" t="s">
        <v>385</v>
      </c>
      <c r="B1" s="819" t="s">
        <v>502</v>
      </c>
      <c r="C1" s="819"/>
      <c r="D1" s="815" t="s">
        <v>386</v>
      </c>
    </row>
    <row r="2" spans="1:4" x14ac:dyDescent="0.25">
      <c r="A2" s="812"/>
      <c r="B2" s="725">
        <v>2030</v>
      </c>
      <c r="C2" s="726">
        <v>2040</v>
      </c>
      <c r="D2" s="816"/>
    </row>
    <row r="3" spans="1:4" x14ac:dyDescent="0.25">
      <c r="A3" s="733" t="s">
        <v>484</v>
      </c>
      <c r="B3" s="734">
        <v>0</v>
      </c>
      <c r="C3" s="768">
        <v>0</v>
      </c>
      <c r="D3" s="557" t="s">
        <v>503</v>
      </c>
    </row>
    <row r="4" spans="1:4" x14ac:dyDescent="0.25">
      <c r="A4" s="735" t="s">
        <v>485</v>
      </c>
      <c r="B4" s="736">
        <v>0</v>
      </c>
      <c r="C4" s="769">
        <v>0</v>
      </c>
      <c r="D4" s="557" t="s">
        <v>503</v>
      </c>
    </row>
    <row r="5" spans="1:4" x14ac:dyDescent="0.25">
      <c r="A5" s="735" t="s">
        <v>487</v>
      </c>
      <c r="B5" s="736">
        <v>0.18</v>
      </c>
      <c r="C5" s="769">
        <v>0.68</v>
      </c>
      <c r="D5" s="557" t="s">
        <v>504</v>
      </c>
    </row>
    <row r="6" spans="1:4" x14ac:dyDescent="0.25">
      <c r="A6" s="735" t="s">
        <v>490</v>
      </c>
      <c r="B6" s="736">
        <v>0.02</v>
      </c>
      <c r="C6" s="769">
        <v>0.3</v>
      </c>
      <c r="D6" s="557" t="s">
        <v>504</v>
      </c>
    </row>
    <row r="7" spans="1:4" x14ac:dyDescent="0.25">
      <c r="A7" s="735" t="s">
        <v>486</v>
      </c>
      <c r="B7" s="736">
        <v>1</v>
      </c>
      <c r="C7" s="769">
        <v>1</v>
      </c>
      <c r="D7" s="557" t="s">
        <v>505</v>
      </c>
    </row>
    <row r="8" spans="1:4" x14ac:dyDescent="0.25">
      <c r="A8" s="735" t="s">
        <v>488</v>
      </c>
      <c r="B8" s="736">
        <v>1</v>
      </c>
      <c r="C8" s="769">
        <v>1</v>
      </c>
      <c r="D8" s="557" t="s">
        <v>505</v>
      </c>
    </row>
    <row r="9" spans="1:4" x14ac:dyDescent="0.25">
      <c r="A9" s="735" t="s">
        <v>489</v>
      </c>
      <c r="B9" s="736">
        <v>1</v>
      </c>
      <c r="C9" s="769">
        <v>1</v>
      </c>
      <c r="D9" s="557" t="s">
        <v>505</v>
      </c>
    </row>
    <row r="10" spans="1:4" x14ac:dyDescent="0.25">
      <c r="A10" s="735" t="s">
        <v>406</v>
      </c>
      <c r="B10" s="736" t="s">
        <v>460</v>
      </c>
      <c r="C10" s="737" t="s">
        <v>460</v>
      </c>
      <c r="D10" s="557" t="s">
        <v>520</v>
      </c>
    </row>
    <row r="11" spans="1:4" x14ac:dyDescent="0.25">
      <c r="A11" s="735" t="s">
        <v>516</v>
      </c>
      <c r="B11" s="736">
        <v>0.5</v>
      </c>
      <c r="C11" s="769">
        <v>0</v>
      </c>
      <c r="D11" s="557" t="s">
        <v>506</v>
      </c>
    </row>
    <row r="12" spans="1:4" x14ac:dyDescent="0.25">
      <c r="A12" s="735" t="s">
        <v>515</v>
      </c>
      <c r="B12" s="736">
        <v>-0.05</v>
      </c>
      <c r="C12" s="769">
        <v>0</v>
      </c>
      <c r="D12" s="557" t="s">
        <v>507</v>
      </c>
    </row>
    <row r="13" spans="1:4" x14ac:dyDescent="0.25">
      <c r="A13" s="735" t="s">
        <v>517</v>
      </c>
      <c r="B13" s="736">
        <v>0.2</v>
      </c>
      <c r="C13" s="769">
        <v>0</v>
      </c>
      <c r="D13" s="557" t="s">
        <v>508</v>
      </c>
    </row>
    <row r="14" spans="1:4" x14ac:dyDescent="0.25">
      <c r="A14" s="735" t="s">
        <v>518</v>
      </c>
      <c r="B14" s="736">
        <v>-0.4</v>
      </c>
      <c r="C14" s="769">
        <v>0</v>
      </c>
      <c r="D14" s="557" t="s">
        <v>509</v>
      </c>
    </row>
    <row r="15" spans="1:4" x14ac:dyDescent="0.25">
      <c r="A15" s="738" t="s">
        <v>514</v>
      </c>
      <c r="B15" s="736">
        <v>0</v>
      </c>
      <c r="C15" s="769">
        <v>0</v>
      </c>
      <c r="D15" s="557" t="s">
        <v>510</v>
      </c>
    </row>
    <row r="16" spans="1:4" x14ac:dyDescent="0.25">
      <c r="A16" s="738" t="s">
        <v>513</v>
      </c>
      <c r="B16" s="736">
        <v>0</v>
      </c>
      <c r="C16" s="769">
        <v>0</v>
      </c>
      <c r="D16" s="557" t="s">
        <v>511</v>
      </c>
    </row>
    <row r="17" spans="1:4" x14ac:dyDescent="0.25">
      <c r="A17" s="738" t="s">
        <v>512</v>
      </c>
      <c r="B17" s="739">
        <v>0</v>
      </c>
      <c r="C17" s="769">
        <v>0</v>
      </c>
      <c r="D17" s="557" t="s">
        <v>521</v>
      </c>
    </row>
    <row r="18" spans="1:4" x14ac:dyDescent="0.25">
      <c r="A18" s="738" t="s">
        <v>519</v>
      </c>
      <c r="B18" s="739">
        <v>0</v>
      </c>
      <c r="C18" s="769">
        <v>0</v>
      </c>
      <c r="D18" s="557" t="s">
        <v>522</v>
      </c>
    </row>
    <row r="19" spans="1:4" ht="15.75" thickBot="1" x14ac:dyDescent="0.3">
      <c r="A19" s="740"/>
      <c r="B19" s="741"/>
      <c r="C19" s="742"/>
      <c r="D19" s="727"/>
    </row>
    <row r="20" spans="1:4" x14ac:dyDescent="0.25">
      <c r="A20" s="811" t="s">
        <v>501</v>
      </c>
      <c r="B20" s="817" t="s">
        <v>502</v>
      </c>
      <c r="C20" s="818"/>
      <c r="D20" s="820" t="s">
        <v>386</v>
      </c>
    </row>
    <row r="21" spans="1:4" ht="15" customHeight="1" x14ac:dyDescent="0.25">
      <c r="A21" s="812"/>
      <c r="B21" s="728">
        <v>2030</v>
      </c>
      <c r="C21" s="729">
        <v>2040</v>
      </c>
      <c r="D21" s="821"/>
    </row>
    <row r="22" spans="1:4" x14ac:dyDescent="0.25">
      <c r="A22" s="735" t="s">
        <v>528</v>
      </c>
      <c r="B22" s="743">
        <v>7.0000000000000007E-2</v>
      </c>
      <c r="C22" s="770">
        <v>0.19</v>
      </c>
      <c r="D22" s="557" t="s">
        <v>523</v>
      </c>
    </row>
    <row r="23" spans="1:4" x14ac:dyDescent="0.25">
      <c r="A23" s="735" t="s">
        <v>529</v>
      </c>
      <c r="B23" s="743">
        <v>-0.1</v>
      </c>
      <c r="C23" s="770">
        <v>-0.1</v>
      </c>
      <c r="D23" s="557" t="s">
        <v>523</v>
      </c>
    </row>
    <row r="24" spans="1:4" x14ac:dyDescent="0.25">
      <c r="A24" s="735" t="s">
        <v>530</v>
      </c>
      <c r="B24" s="743">
        <v>-0.2</v>
      </c>
      <c r="C24" s="770">
        <v>-0.2</v>
      </c>
      <c r="D24" s="557" t="s">
        <v>523</v>
      </c>
    </row>
    <row r="25" spans="1:4" x14ac:dyDescent="0.25">
      <c r="A25" s="735" t="s">
        <v>531</v>
      </c>
      <c r="B25" s="743">
        <v>-1.1399999999999999</v>
      </c>
      <c r="C25" s="770">
        <v>-1.1439999999999999</v>
      </c>
      <c r="D25" s="557" t="s">
        <v>523</v>
      </c>
    </row>
    <row r="26" spans="1:4" x14ac:dyDescent="0.25">
      <c r="A26" s="735" t="s">
        <v>532</v>
      </c>
      <c r="B26" s="743">
        <v>0</v>
      </c>
      <c r="C26" s="771">
        <v>0</v>
      </c>
      <c r="D26" s="557" t="s">
        <v>523</v>
      </c>
    </row>
    <row r="27" spans="1:4" x14ac:dyDescent="0.25">
      <c r="A27" s="735" t="s">
        <v>533</v>
      </c>
      <c r="B27" s="743">
        <v>-0.05</v>
      </c>
      <c r="C27" s="771">
        <v>-0.05</v>
      </c>
      <c r="D27" s="557" t="s">
        <v>523</v>
      </c>
    </row>
    <row r="28" spans="1:4" x14ac:dyDescent="0.25">
      <c r="A28" s="735"/>
      <c r="B28" s="743"/>
      <c r="C28" s="737"/>
      <c r="D28" s="557"/>
    </row>
    <row r="29" spans="1:4" x14ac:dyDescent="0.25">
      <c r="A29" s="735"/>
      <c r="B29" s="743"/>
      <c r="C29" s="737"/>
      <c r="D29" s="557"/>
    </row>
    <row r="30" spans="1:4" x14ac:dyDescent="0.25">
      <c r="A30" s="735"/>
      <c r="B30" s="743"/>
      <c r="C30" s="737"/>
      <c r="D30" s="557"/>
    </row>
    <row r="31" spans="1:4" x14ac:dyDescent="0.25">
      <c r="A31" s="735"/>
      <c r="B31" s="743"/>
      <c r="C31" s="744"/>
      <c r="D31" s="557"/>
    </row>
    <row r="32" spans="1:4" ht="15.75" thickBot="1" x14ac:dyDescent="0.3">
      <c r="A32" s="745"/>
      <c r="B32" s="746"/>
      <c r="C32" s="747"/>
      <c r="D32" s="630"/>
    </row>
    <row r="33" spans="1:4" x14ac:dyDescent="0.25">
      <c r="A33" s="811" t="s">
        <v>387</v>
      </c>
      <c r="B33" s="813" t="s">
        <v>502</v>
      </c>
      <c r="C33" s="814"/>
      <c r="D33" s="820" t="s">
        <v>386</v>
      </c>
    </row>
    <row r="34" spans="1:4" x14ac:dyDescent="0.25">
      <c r="A34" s="812"/>
      <c r="B34" s="730">
        <v>2030</v>
      </c>
      <c r="C34" s="731">
        <v>2040</v>
      </c>
      <c r="D34" s="821"/>
    </row>
    <row r="35" spans="1:4" x14ac:dyDescent="0.25">
      <c r="A35" s="735" t="s">
        <v>454</v>
      </c>
      <c r="B35" s="732">
        <f>Resultat!F37/'Indata - Utsläpp'!B15-1</f>
        <v>-0.36809526755446753</v>
      </c>
      <c r="C35" s="769">
        <f>Resultat!G37/'Indata - Utsläpp'!B15-1</f>
        <v>-0.93971759047732495</v>
      </c>
      <c r="D35" s="557" t="s">
        <v>534</v>
      </c>
    </row>
    <row r="36" spans="1:4" x14ac:dyDescent="0.25">
      <c r="A36" s="735" t="s">
        <v>455</v>
      </c>
      <c r="B36" s="732">
        <f>Resultat!F38/'Indata - Utsläpp'!B16-1</f>
        <v>-0.30794391053748726</v>
      </c>
      <c r="C36" s="769">
        <f>Resultat!G38/'Indata - Utsläpp'!B16-1</f>
        <v>-0.76023712264116927</v>
      </c>
      <c r="D36" s="557" t="s">
        <v>534</v>
      </c>
    </row>
    <row r="37" spans="1:4" x14ac:dyDescent="0.25">
      <c r="A37" s="735" t="s">
        <v>456</v>
      </c>
      <c r="B37" s="732">
        <f>Resultat!F41</f>
        <v>-0.37935775301679708</v>
      </c>
      <c r="C37" s="769">
        <f>Resultat!G41</f>
        <v>-0.89952640828144526</v>
      </c>
      <c r="D37" s="557" t="s">
        <v>534</v>
      </c>
    </row>
    <row r="38" spans="1:4" x14ac:dyDescent="0.25">
      <c r="A38" s="735" t="s">
        <v>388</v>
      </c>
      <c r="B38" s="736">
        <f>Resultat!F30</f>
        <v>88.898554948656667</v>
      </c>
      <c r="C38" s="769">
        <f>Resultat!G30</f>
        <v>64.490301259296899</v>
      </c>
      <c r="D38" s="557" t="s">
        <v>391</v>
      </c>
    </row>
    <row r="39" spans="1:4" x14ac:dyDescent="0.25">
      <c r="A39" s="735" t="s">
        <v>389</v>
      </c>
      <c r="B39" s="736">
        <f>Resultat!F33</f>
        <v>7.2024378465887695</v>
      </c>
      <c r="C39" s="769">
        <f>Resultat!G33</f>
        <v>4.6428114528047848</v>
      </c>
      <c r="D39" s="557" t="s">
        <v>391</v>
      </c>
    </row>
    <row r="40" spans="1:4" x14ac:dyDescent="0.25">
      <c r="A40" s="735" t="s">
        <v>390</v>
      </c>
      <c r="B40" s="736">
        <f>Resultat!F34</f>
        <v>96.100992795245432</v>
      </c>
      <c r="C40" s="769">
        <f>Resultat!G34</f>
        <v>69.133112712101678</v>
      </c>
      <c r="D40" s="557" t="s">
        <v>391</v>
      </c>
    </row>
    <row r="41" spans="1:4" x14ac:dyDescent="0.25">
      <c r="A41" s="735" t="s">
        <v>493</v>
      </c>
      <c r="B41" s="736">
        <f>Resultat!F61</f>
        <v>16.24182833393947</v>
      </c>
      <c r="C41" s="769">
        <f>Resultat!G61</f>
        <v>4.163743607688251</v>
      </c>
      <c r="D41" s="557" t="s">
        <v>393</v>
      </c>
    </row>
    <row r="42" spans="1:4" x14ac:dyDescent="0.25">
      <c r="A42" s="735" t="s">
        <v>457</v>
      </c>
      <c r="B42" s="736">
        <f>Resultat!F60</f>
        <v>45.2375221723034</v>
      </c>
      <c r="C42" s="769">
        <f>Resultat!G60</f>
        <v>7.3240878864381669</v>
      </c>
      <c r="D42" s="557" t="s">
        <v>393</v>
      </c>
    </row>
    <row r="43" spans="1:4" x14ac:dyDescent="0.25">
      <c r="A43" s="735" t="s">
        <v>494</v>
      </c>
      <c r="B43" s="736">
        <f>Resultat!F62</f>
        <v>3.0414174155680631</v>
      </c>
      <c r="C43" s="769">
        <f>Resultat!G62</f>
        <v>11.094575803724148</v>
      </c>
      <c r="D43" s="557" t="s">
        <v>393</v>
      </c>
    </row>
    <row r="44" spans="1:4" x14ac:dyDescent="0.25">
      <c r="A44" s="735" t="s">
        <v>392</v>
      </c>
      <c r="B44" s="736">
        <f>Resultat!F63</f>
        <v>64.520767921810929</v>
      </c>
      <c r="C44" s="769">
        <f>Resultat!G63</f>
        <v>22.582407297850565</v>
      </c>
      <c r="D44" s="557" t="s">
        <v>393</v>
      </c>
    </row>
    <row r="45" spans="1:4" x14ac:dyDescent="0.25">
      <c r="A45" s="735" t="s">
        <v>394</v>
      </c>
      <c r="B45" s="732">
        <f>Resultat!F35</f>
        <v>0.18</v>
      </c>
      <c r="C45" s="769">
        <f>Resultat!G35</f>
        <v>0.81995177764082761</v>
      </c>
      <c r="D45" s="557" t="s">
        <v>535</v>
      </c>
    </row>
    <row r="46" spans="1:4" x14ac:dyDescent="0.25">
      <c r="A46" s="735" t="s">
        <v>395</v>
      </c>
      <c r="B46" s="732">
        <f>Resultat!F36</f>
        <v>1.9999999999999997E-2</v>
      </c>
      <c r="C46" s="769">
        <f>Resultat!G36</f>
        <v>0.3</v>
      </c>
      <c r="D46" s="557" t="s">
        <v>535</v>
      </c>
    </row>
    <row r="47" spans="1:4" x14ac:dyDescent="0.25">
      <c r="A47" s="735" t="s">
        <v>396</v>
      </c>
      <c r="B47" s="732">
        <f>B43/B44</f>
        <v>4.7138580545938093E-2</v>
      </c>
      <c r="C47" s="769">
        <f>C43/C44</f>
        <v>0.4912928749088743</v>
      </c>
      <c r="D47" s="557" t="s">
        <v>535</v>
      </c>
    </row>
    <row r="48" spans="1:4" x14ac:dyDescent="0.25">
      <c r="A48" s="735" t="s">
        <v>397</v>
      </c>
      <c r="B48" s="736">
        <f>Resultat!F23/Resultat!H23</f>
        <v>1</v>
      </c>
      <c r="C48" s="769">
        <f>Resultat!G23/Resultat!I23</f>
        <v>1.4558333136060166</v>
      </c>
      <c r="D48" s="557" t="s">
        <v>536</v>
      </c>
    </row>
    <row r="49" spans="1:4" x14ac:dyDescent="0.25">
      <c r="A49" s="735" t="s">
        <v>398</v>
      </c>
      <c r="B49" s="736">
        <f>Resultat!F26/Resultat!H26</f>
        <v>1</v>
      </c>
      <c r="C49" s="769">
        <f>Resultat!G26/Resultat!I26</f>
        <v>1.1962475792369693</v>
      </c>
      <c r="D49" s="557" t="s">
        <v>401</v>
      </c>
    </row>
    <row r="50" spans="1:4" x14ac:dyDescent="0.25">
      <c r="A50" s="735" t="s">
        <v>400</v>
      </c>
      <c r="B50" s="748">
        <f>Resultat!F81</f>
        <v>0</v>
      </c>
      <c r="C50" s="769">
        <f>Resultat!G81</f>
        <v>58.942492944927423</v>
      </c>
      <c r="D50" s="557" t="s">
        <v>399</v>
      </c>
    </row>
    <row r="51" spans="1:4" x14ac:dyDescent="0.25">
      <c r="A51" s="735" t="s">
        <v>458</v>
      </c>
      <c r="B51" s="743"/>
      <c r="C51" s="769">
        <f>Resultat!G10/Resultat!I10</f>
        <v>2.4858262611959696</v>
      </c>
      <c r="D51" s="557" t="s">
        <v>538</v>
      </c>
    </row>
    <row r="52" spans="1:4" x14ac:dyDescent="0.25">
      <c r="A52" s="735" t="s">
        <v>415</v>
      </c>
      <c r="B52" s="743"/>
      <c r="C52" s="769">
        <f>AVERAGE(Resultat!G7/Resultat!I7,Resultat!G8/Resultat!I8)</f>
        <v>3.2748812373003426</v>
      </c>
      <c r="D52" s="557" t="s">
        <v>538</v>
      </c>
    </row>
    <row r="53" spans="1:4" x14ac:dyDescent="0.25">
      <c r="A53" s="735" t="s">
        <v>491</v>
      </c>
      <c r="B53" s="743"/>
      <c r="C53" s="769">
        <f>Resultat!G23</f>
        <v>28.025252050861496</v>
      </c>
      <c r="D53" s="557" t="s">
        <v>416</v>
      </c>
    </row>
    <row r="54" spans="1:4" x14ac:dyDescent="0.25">
      <c r="A54" s="735" t="s">
        <v>492</v>
      </c>
      <c r="B54" s="743"/>
      <c r="C54" s="769">
        <f>Resultat!G26</f>
        <v>200.04053918325963</v>
      </c>
      <c r="D54" s="557" t="s">
        <v>416</v>
      </c>
    </row>
    <row r="55" spans="1:4" x14ac:dyDescent="0.25">
      <c r="A55" s="735" t="s">
        <v>449</v>
      </c>
      <c r="B55" s="743"/>
      <c r="C55" s="769">
        <f>Resultat!G23-Resultat!E23</f>
        <v>8.3702328375167596</v>
      </c>
      <c r="D55" s="557" t="s">
        <v>416</v>
      </c>
    </row>
    <row r="56" spans="1:4" x14ac:dyDescent="0.25">
      <c r="A56" s="735" t="s">
        <v>450</v>
      </c>
      <c r="B56" s="743"/>
      <c r="C56" s="769">
        <f>Resultat!G26-Resultat!E26</f>
        <v>29.652223813007481</v>
      </c>
      <c r="D56" s="557" t="s">
        <v>416</v>
      </c>
    </row>
    <row r="57" spans="1:4" x14ac:dyDescent="0.25">
      <c r="A57" s="735" t="s">
        <v>539</v>
      </c>
      <c r="B57" s="749">
        <f>Resultat!F40</f>
        <v>11.727655898994604</v>
      </c>
      <c r="C57" s="769">
        <f>Resultat!G40</f>
        <v>1.8985489891138105</v>
      </c>
      <c r="D57" s="557" t="s">
        <v>540</v>
      </c>
    </row>
    <row r="58" spans="1:4" ht="15.75" thickBot="1" x14ac:dyDescent="0.3">
      <c r="A58" s="745" t="s">
        <v>461</v>
      </c>
      <c r="B58" s="750">
        <f>Resultat!F78</f>
        <v>40.976115758664825</v>
      </c>
      <c r="C58" s="772">
        <f>Resultat!G78</f>
        <v>94.320924444177194</v>
      </c>
      <c r="D58" s="630" t="s">
        <v>399</v>
      </c>
    </row>
    <row r="59" spans="1:4" x14ac:dyDescent="0.25">
      <c r="A59" s="811" t="s">
        <v>408</v>
      </c>
      <c r="B59" s="813" t="s">
        <v>502</v>
      </c>
      <c r="C59" s="814"/>
      <c r="D59" s="820" t="s">
        <v>386</v>
      </c>
    </row>
    <row r="60" spans="1:4" x14ac:dyDescent="0.25">
      <c r="A60" s="812"/>
      <c r="B60" s="730">
        <v>2030</v>
      </c>
      <c r="C60" s="731">
        <v>2040</v>
      </c>
      <c r="D60" s="821"/>
    </row>
    <row r="61" spans="1:4" x14ac:dyDescent="0.25">
      <c r="A61" s="735" t="s">
        <v>409</v>
      </c>
      <c r="B61" s="743" t="s">
        <v>60</v>
      </c>
      <c r="C61" s="751" t="s">
        <v>549</v>
      </c>
      <c r="D61" s="557" t="s">
        <v>541</v>
      </c>
    </row>
    <row r="62" spans="1:4" x14ac:dyDescent="0.25">
      <c r="A62" s="735" t="s">
        <v>410</v>
      </c>
      <c r="B62" s="743" t="s">
        <v>330</v>
      </c>
      <c r="C62" s="744" t="s">
        <v>379</v>
      </c>
      <c r="D62" s="557" t="s">
        <v>541</v>
      </c>
    </row>
    <row r="63" spans="1:4" x14ac:dyDescent="0.25">
      <c r="A63" s="735" t="s">
        <v>411</v>
      </c>
      <c r="B63" s="739">
        <v>0.25</v>
      </c>
      <c r="C63" s="769">
        <v>0.25</v>
      </c>
      <c r="D63" s="557" t="s">
        <v>542</v>
      </c>
    </row>
    <row r="64" spans="1:4" x14ac:dyDescent="0.25">
      <c r="A64" s="735" t="s">
        <v>412</v>
      </c>
      <c r="B64" s="739">
        <v>7.0000000000000007E-2</v>
      </c>
      <c r="C64" s="769">
        <v>7.0000000000000007E-2</v>
      </c>
      <c r="D64" s="557" t="s">
        <v>542</v>
      </c>
    </row>
    <row r="65" spans="1:4" x14ac:dyDescent="0.25">
      <c r="A65" s="735" t="s">
        <v>413</v>
      </c>
      <c r="B65" s="739">
        <v>0</v>
      </c>
      <c r="C65" s="769">
        <v>0</v>
      </c>
      <c r="D65" s="557" t="s">
        <v>542</v>
      </c>
    </row>
    <row r="66" spans="1:4" x14ac:dyDescent="0.25">
      <c r="A66" s="735" t="s">
        <v>414</v>
      </c>
      <c r="B66" s="752">
        <v>7.4999999999999997E-2</v>
      </c>
      <c r="C66" s="769">
        <v>7.4999999999999997E-2</v>
      </c>
      <c r="D66" s="557" t="s">
        <v>542</v>
      </c>
    </row>
    <row r="67" spans="1:4" x14ac:dyDescent="0.25">
      <c r="A67" s="735" t="s">
        <v>499</v>
      </c>
      <c r="B67" s="743">
        <v>0</v>
      </c>
      <c r="C67" s="769">
        <v>0.74</v>
      </c>
      <c r="D67" s="557" t="s">
        <v>548</v>
      </c>
    </row>
    <row r="68" spans="1:4" x14ac:dyDescent="0.25">
      <c r="A68" s="735" t="s">
        <v>500</v>
      </c>
      <c r="B68" s="743">
        <v>0</v>
      </c>
      <c r="C68" s="769">
        <v>0.12</v>
      </c>
      <c r="D68" s="557" t="s">
        <v>548</v>
      </c>
    </row>
    <row r="69" spans="1:4" x14ac:dyDescent="0.25">
      <c r="A69" s="735" t="s">
        <v>497</v>
      </c>
      <c r="B69" s="739">
        <v>0.02</v>
      </c>
      <c r="C69" s="769">
        <v>0.12</v>
      </c>
      <c r="D69" s="557" t="s">
        <v>547</v>
      </c>
    </row>
    <row r="70" spans="1:4" x14ac:dyDescent="0.25">
      <c r="A70" s="735" t="s">
        <v>498</v>
      </c>
      <c r="B70" s="739">
        <v>0.02</v>
      </c>
      <c r="C70" s="769">
        <v>0.1</v>
      </c>
      <c r="D70" s="557" t="s">
        <v>547</v>
      </c>
    </row>
    <row r="71" spans="1:4" x14ac:dyDescent="0.25">
      <c r="A71" s="735" t="s">
        <v>524</v>
      </c>
      <c r="B71" s="739">
        <v>0</v>
      </c>
      <c r="C71" s="769">
        <v>0.05</v>
      </c>
      <c r="D71" s="557" t="s">
        <v>546</v>
      </c>
    </row>
    <row r="72" spans="1:4" x14ac:dyDescent="0.25">
      <c r="A72" s="735" t="s">
        <v>525</v>
      </c>
      <c r="B72" s="739">
        <v>0</v>
      </c>
      <c r="C72" s="769">
        <v>0.05</v>
      </c>
      <c r="D72" s="557" t="s">
        <v>545</v>
      </c>
    </row>
    <row r="73" spans="1:4" x14ac:dyDescent="0.25">
      <c r="A73" s="735" t="s">
        <v>526</v>
      </c>
      <c r="B73" s="739">
        <v>0</v>
      </c>
      <c r="C73" s="769">
        <v>0.26</v>
      </c>
      <c r="D73" s="557" t="s">
        <v>544</v>
      </c>
    </row>
    <row r="74" spans="1:4" x14ac:dyDescent="0.25">
      <c r="A74" s="735" t="s">
        <v>527</v>
      </c>
      <c r="B74" s="739">
        <v>0</v>
      </c>
      <c r="C74" s="769">
        <v>0.17</v>
      </c>
      <c r="D74" s="557" t="s">
        <v>543</v>
      </c>
    </row>
    <row r="75" spans="1:4" x14ac:dyDescent="0.25">
      <c r="A75" s="735" t="s">
        <v>495</v>
      </c>
      <c r="B75" s="743"/>
      <c r="C75" s="769">
        <v>0.33</v>
      </c>
      <c r="D75" s="557" t="s">
        <v>542</v>
      </c>
    </row>
    <row r="76" spans="1:4" ht="15.75" thickBot="1" x14ac:dyDescent="0.3">
      <c r="A76" s="745" t="s">
        <v>496</v>
      </c>
      <c r="B76" s="746"/>
      <c r="C76" s="772">
        <v>0.27</v>
      </c>
      <c r="D76" s="630" t="s">
        <v>542</v>
      </c>
    </row>
    <row r="77" spans="1:4" x14ac:dyDescent="0.25">
      <c r="A77" s="753"/>
      <c r="B77" s="743"/>
      <c r="C77" s="744"/>
    </row>
    <row r="78" spans="1:4" x14ac:dyDescent="0.25">
      <c r="A78" s="753"/>
      <c r="B78" s="743"/>
      <c r="C78" s="744"/>
    </row>
    <row r="79" spans="1:4" x14ac:dyDescent="0.25">
      <c r="A79" s="753"/>
      <c r="B79" s="743"/>
      <c r="C79" s="744"/>
    </row>
    <row r="80" spans="1:4" x14ac:dyDescent="0.25">
      <c r="A80" s="753"/>
      <c r="B80" s="743"/>
      <c r="C80" s="744"/>
    </row>
    <row r="81" spans="1:3" x14ac:dyDescent="0.25">
      <c r="A81" s="753"/>
      <c r="B81" s="743"/>
      <c r="C81" s="744"/>
    </row>
    <row r="82" spans="1:3" x14ac:dyDescent="0.25">
      <c r="A82" s="753"/>
      <c r="B82" s="743"/>
      <c r="C82" s="744"/>
    </row>
    <row r="83" spans="1:3" x14ac:dyDescent="0.25">
      <c r="A83" s="753"/>
      <c r="B83" s="743"/>
      <c r="C83" s="744"/>
    </row>
    <row r="84" spans="1:3" x14ac:dyDescent="0.25">
      <c r="A84" s="753"/>
      <c r="B84" s="743"/>
      <c r="C84" s="744"/>
    </row>
    <row r="85" spans="1:3" x14ac:dyDescent="0.25">
      <c r="A85" s="753"/>
      <c r="B85" s="743"/>
      <c r="C85" s="744"/>
    </row>
    <row r="86" spans="1:3" x14ac:dyDescent="0.25">
      <c r="A86" s="753"/>
      <c r="B86" s="743"/>
      <c r="C86" s="744"/>
    </row>
    <row r="87" spans="1:3" x14ac:dyDescent="0.25">
      <c r="A87" s="753"/>
      <c r="B87" s="743"/>
      <c r="C87" s="744"/>
    </row>
    <row r="88" spans="1:3" x14ac:dyDescent="0.25">
      <c r="A88" s="753"/>
      <c r="B88" s="743"/>
      <c r="C88" s="744"/>
    </row>
    <row r="89" spans="1:3" x14ac:dyDescent="0.25">
      <c r="A89" s="753"/>
      <c r="B89" s="743"/>
      <c r="C89" s="744"/>
    </row>
    <row r="90" spans="1:3" x14ac:dyDescent="0.25">
      <c r="A90" s="753"/>
      <c r="B90" s="743"/>
      <c r="C90" s="744"/>
    </row>
    <row r="91" spans="1:3" x14ac:dyDescent="0.25">
      <c r="A91" s="753"/>
      <c r="B91" s="743"/>
      <c r="C91" s="744"/>
    </row>
    <row r="92" spans="1:3" x14ac:dyDescent="0.25">
      <c r="A92" s="753"/>
      <c r="B92" s="743"/>
      <c r="C92" s="744"/>
    </row>
    <row r="93" spans="1:3" x14ac:dyDescent="0.25">
      <c r="A93" s="753"/>
      <c r="B93" s="743"/>
      <c r="C93" s="744"/>
    </row>
    <row r="94" spans="1:3" x14ac:dyDescent="0.25">
      <c r="A94" s="753"/>
      <c r="B94" s="743"/>
      <c r="C94" s="744"/>
    </row>
    <row r="95" spans="1:3" x14ac:dyDescent="0.25">
      <c r="A95" s="753"/>
      <c r="B95" s="743"/>
      <c r="C95" s="744"/>
    </row>
    <row r="96" spans="1:3" x14ac:dyDescent="0.25">
      <c r="A96" s="753"/>
      <c r="B96" s="743"/>
      <c r="C96" s="744"/>
    </row>
    <row r="97" spans="1:3" x14ac:dyDescent="0.25">
      <c r="A97" s="753"/>
      <c r="B97" s="743"/>
      <c r="C97" s="744"/>
    </row>
    <row r="98" spans="1:3" x14ac:dyDescent="0.25">
      <c r="A98" s="753"/>
      <c r="B98" s="743"/>
      <c r="C98" s="744"/>
    </row>
    <row r="99" spans="1:3" x14ac:dyDescent="0.25">
      <c r="A99" s="753"/>
      <c r="B99" s="743"/>
      <c r="C99" s="744"/>
    </row>
    <row r="100" spans="1:3" x14ac:dyDescent="0.25">
      <c r="A100" s="753"/>
      <c r="B100" s="743"/>
      <c r="C100" s="744"/>
    </row>
    <row r="101" spans="1:3" x14ac:dyDescent="0.25">
      <c r="A101" s="753"/>
      <c r="B101" s="743"/>
      <c r="C101" s="744"/>
    </row>
    <row r="102" spans="1:3" x14ac:dyDescent="0.25">
      <c r="A102" s="753"/>
      <c r="B102" s="743"/>
      <c r="C102" s="744"/>
    </row>
    <row r="103" spans="1:3" x14ac:dyDescent="0.25">
      <c r="A103" s="753"/>
      <c r="B103" s="743"/>
      <c r="C103" s="744"/>
    </row>
    <row r="104" spans="1:3" x14ac:dyDescent="0.25">
      <c r="A104" s="753"/>
      <c r="B104" s="743"/>
      <c r="C104" s="744"/>
    </row>
    <row r="105" spans="1:3" x14ac:dyDescent="0.25">
      <c r="A105" s="753"/>
      <c r="B105" s="743"/>
      <c r="C105" s="744"/>
    </row>
    <row r="106" spans="1:3" x14ac:dyDescent="0.25">
      <c r="A106" s="753"/>
      <c r="B106" s="743"/>
      <c r="C106" s="744"/>
    </row>
    <row r="107" spans="1:3" x14ac:dyDescent="0.25">
      <c r="A107" s="753"/>
      <c r="B107" s="743"/>
      <c r="C107" s="744"/>
    </row>
    <row r="108" spans="1:3" x14ac:dyDescent="0.25">
      <c r="A108" s="753"/>
      <c r="B108" s="743"/>
      <c r="C108" s="744"/>
    </row>
    <row r="109" spans="1:3" x14ac:dyDescent="0.25">
      <c r="A109" s="753"/>
      <c r="B109" s="743"/>
      <c r="C109" s="744"/>
    </row>
    <row r="110" spans="1:3" x14ac:dyDescent="0.25">
      <c r="A110" s="753"/>
      <c r="B110" s="743"/>
      <c r="C110" s="744"/>
    </row>
    <row r="111" spans="1:3" x14ac:dyDescent="0.25">
      <c r="A111" s="753"/>
      <c r="B111" s="743"/>
      <c r="C111" s="744"/>
    </row>
    <row r="112" spans="1:3" x14ac:dyDescent="0.25">
      <c r="A112" s="753"/>
      <c r="B112" s="743"/>
      <c r="C112" s="744"/>
    </row>
    <row r="113" spans="1:3" x14ac:dyDescent="0.25">
      <c r="A113" s="753"/>
      <c r="B113" s="743"/>
      <c r="C113" s="744"/>
    </row>
    <row r="114" spans="1:3" x14ac:dyDescent="0.25">
      <c r="A114" s="753"/>
      <c r="B114" s="743"/>
      <c r="C114" s="744"/>
    </row>
    <row r="115" spans="1:3" x14ac:dyDescent="0.25">
      <c r="A115" s="753"/>
      <c r="B115" s="743"/>
      <c r="C115" s="744"/>
    </row>
    <row r="116" spans="1:3" x14ac:dyDescent="0.25">
      <c r="A116" s="753"/>
      <c r="B116" s="743"/>
      <c r="C116" s="744"/>
    </row>
    <row r="117" spans="1:3" x14ac:dyDescent="0.25">
      <c r="A117" s="753"/>
      <c r="B117" s="743"/>
      <c r="C117" s="744"/>
    </row>
    <row r="118" spans="1:3" x14ac:dyDescent="0.25">
      <c r="A118" s="753"/>
      <c r="B118" s="743"/>
      <c r="C118" s="744"/>
    </row>
    <row r="119" spans="1:3" x14ac:dyDescent="0.25">
      <c r="A119" s="753"/>
      <c r="B119" s="743"/>
      <c r="C119" s="744"/>
    </row>
    <row r="120" spans="1:3" x14ac:dyDescent="0.25">
      <c r="A120" s="753"/>
      <c r="B120" s="743"/>
      <c r="C120" s="744"/>
    </row>
    <row r="121" spans="1:3" x14ac:dyDescent="0.25">
      <c r="A121" s="753"/>
      <c r="B121" s="743"/>
      <c r="C121" s="744"/>
    </row>
    <row r="122" spans="1:3" x14ac:dyDescent="0.25">
      <c r="A122" s="753"/>
      <c r="B122" s="743"/>
      <c r="C122" s="744"/>
    </row>
    <row r="123" spans="1:3" x14ac:dyDescent="0.25">
      <c r="A123" s="753"/>
      <c r="B123" s="743"/>
      <c r="C123" s="744"/>
    </row>
    <row r="124" spans="1:3" x14ac:dyDescent="0.25">
      <c r="A124" s="753"/>
      <c r="B124" s="743"/>
      <c r="C124" s="744"/>
    </row>
    <row r="125" spans="1:3" x14ac:dyDescent="0.25">
      <c r="A125" s="753"/>
      <c r="B125" s="743"/>
      <c r="C125" s="744"/>
    </row>
    <row r="126" spans="1:3" x14ac:dyDescent="0.25">
      <c r="A126" s="753"/>
      <c r="B126" s="743"/>
      <c r="C126" s="744"/>
    </row>
    <row r="127" spans="1:3" x14ac:dyDescent="0.25">
      <c r="A127" s="753"/>
      <c r="B127" s="743"/>
      <c r="C127" s="744"/>
    </row>
    <row r="128" spans="1:3" x14ac:dyDescent="0.25">
      <c r="A128" s="753"/>
      <c r="B128" s="743"/>
      <c r="C128" s="744"/>
    </row>
    <row r="129" spans="1:3" x14ac:dyDescent="0.25">
      <c r="A129" s="753"/>
      <c r="B129" s="743"/>
      <c r="C129" s="744"/>
    </row>
    <row r="130" spans="1:3" x14ac:dyDescent="0.25">
      <c r="A130" s="753"/>
      <c r="B130" s="743"/>
      <c r="C130" s="744"/>
    </row>
    <row r="131" spans="1:3" x14ac:dyDescent="0.25">
      <c r="A131" s="753"/>
      <c r="B131" s="743"/>
      <c r="C131" s="744"/>
    </row>
    <row r="132" spans="1:3" x14ac:dyDescent="0.25">
      <c r="A132" s="753"/>
      <c r="B132" s="743"/>
      <c r="C132" s="744"/>
    </row>
    <row r="133" spans="1:3" x14ac:dyDescent="0.25">
      <c r="A133" s="753"/>
      <c r="B133" s="743"/>
      <c r="C133" s="744"/>
    </row>
    <row r="134" spans="1:3" x14ac:dyDescent="0.25">
      <c r="A134" s="753"/>
      <c r="B134" s="743"/>
      <c r="C134" s="744"/>
    </row>
    <row r="135" spans="1:3" x14ac:dyDescent="0.25">
      <c r="A135" s="753"/>
      <c r="B135" s="743"/>
      <c r="C135" s="744"/>
    </row>
    <row r="136" spans="1:3" x14ac:dyDescent="0.25">
      <c r="A136" s="753"/>
      <c r="B136" s="743"/>
      <c r="C136" s="744"/>
    </row>
    <row r="137" spans="1:3" x14ac:dyDescent="0.25">
      <c r="A137" s="753"/>
      <c r="B137" s="743"/>
      <c r="C137" s="744"/>
    </row>
    <row r="138" spans="1:3" x14ac:dyDescent="0.25">
      <c r="A138" s="753"/>
      <c r="B138" s="743"/>
      <c r="C138" s="744"/>
    </row>
    <row r="139" spans="1:3" x14ac:dyDescent="0.25">
      <c r="A139" s="753"/>
      <c r="B139" s="743"/>
      <c r="C139" s="744"/>
    </row>
    <row r="140" spans="1:3" x14ac:dyDescent="0.25">
      <c r="A140" s="753"/>
      <c r="B140" s="743"/>
      <c r="C140" s="744"/>
    </row>
    <row r="141" spans="1:3" x14ac:dyDescent="0.25">
      <c r="A141" s="753"/>
      <c r="B141" s="743"/>
      <c r="C141" s="744"/>
    </row>
    <row r="142" spans="1:3" x14ac:dyDescent="0.25">
      <c r="A142" s="753"/>
      <c r="B142" s="743"/>
      <c r="C142" s="744"/>
    </row>
    <row r="143" spans="1:3" x14ac:dyDescent="0.25">
      <c r="A143" s="753"/>
      <c r="B143" s="743"/>
      <c r="C143" s="744"/>
    </row>
    <row r="144" spans="1:3" x14ac:dyDescent="0.25">
      <c r="A144" s="753"/>
      <c r="B144" s="743"/>
      <c r="C144" s="744"/>
    </row>
    <row r="145" spans="1:3" x14ac:dyDescent="0.25">
      <c r="A145" s="753"/>
      <c r="B145" s="743"/>
      <c r="C145" s="744"/>
    </row>
    <row r="146" spans="1:3" x14ac:dyDescent="0.25">
      <c r="A146" s="753"/>
      <c r="B146" s="743"/>
      <c r="C146" s="744"/>
    </row>
    <row r="147" spans="1:3" x14ac:dyDescent="0.25">
      <c r="A147" s="753"/>
      <c r="B147" s="743"/>
      <c r="C147" s="744"/>
    </row>
    <row r="148" spans="1:3" x14ac:dyDescent="0.25">
      <c r="A148" s="753"/>
      <c r="B148" s="743"/>
      <c r="C148" s="744"/>
    </row>
    <row r="149" spans="1:3" x14ac:dyDescent="0.25">
      <c r="A149" s="753"/>
      <c r="B149" s="743"/>
      <c r="C149" s="744"/>
    </row>
    <row r="150" spans="1:3" x14ac:dyDescent="0.25">
      <c r="A150" s="753"/>
      <c r="B150" s="743"/>
      <c r="C150" s="744"/>
    </row>
    <row r="151" spans="1:3" x14ac:dyDescent="0.25">
      <c r="A151" s="753"/>
      <c r="B151" s="743"/>
      <c r="C151" s="744"/>
    </row>
    <row r="152" spans="1:3" x14ac:dyDescent="0.25">
      <c r="A152" s="753"/>
      <c r="B152" s="743"/>
      <c r="C152" s="744"/>
    </row>
    <row r="153" spans="1:3" x14ac:dyDescent="0.25">
      <c r="A153" s="753"/>
      <c r="B153" s="743"/>
      <c r="C153" s="744"/>
    </row>
    <row r="154" spans="1:3" x14ac:dyDescent="0.25">
      <c r="A154" s="753"/>
      <c r="B154" s="743"/>
      <c r="C154" s="744"/>
    </row>
    <row r="155" spans="1:3" x14ac:dyDescent="0.25">
      <c r="A155" s="753"/>
      <c r="B155" s="743"/>
      <c r="C155" s="744"/>
    </row>
    <row r="156" spans="1:3" x14ac:dyDescent="0.25">
      <c r="A156" s="753"/>
      <c r="B156" s="743"/>
      <c r="C156" s="744"/>
    </row>
    <row r="157" spans="1:3" x14ac:dyDescent="0.25">
      <c r="A157" s="753"/>
      <c r="B157" s="743"/>
      <c r="C157" s="744"/>
    </row>
    <row r="158" spans="1:3" x14ac:dyDescent="0.25">
      <c r="A158" s="753"/>
      <c r="B158" s="743"/>
      <c r="C158" s="744"/>
    </row>
    <row r="159" spans="1:3" x14ac:dyDescent="0.25">
      <c r="A159" s="753"/>
      <c r="B159" s="743"/>
      <c r="C159" s="744"/>
    </row>
    <row r="160" spans="1:3" x14ac:dyDescent="0.25">
      <c r="A160" s="753"/>
      <c r="B160" s="743"/>
      <c r="C160" s="744"/>
    </row>
    <row r="161" spans="1:3" x14ac:dyDescent="0.25">
      <c r="A161" s="753"/>
      <c r="B161" s="743"/>
      <c r="C161" s="744"/>
    </row>
    <row r="162" spans="1:3" x14ac:dyDescent="0.25">
      <c r="A162" s="753"/>
      <c r="B162" s="743"/>
      <c r="C162" s="744"/>
    </row>
    <row r="163" spans="1:3" x14ac:dyDescent="0.25">
      <c r="A163" s="753"/>
      <c r="B163" s="743"/>
      <c r="C163" s="744"/>
    </row>
    <row r="164" spans="1:3" x14ac:dyDescent="0.25">
      <c r="A164" s="753"/>
      <c r="B164" s="743"/>
      <c r="C164" s="744"/>
    </row>
    <row r="165" spans="1:3" x14ac:dyDescent="0.25">
      <c r="A165" s="753"/>
      <c r="B165" s="743"/>
      <c r="C165" s="744"/>
    </row>
    <row r="166" spans="1:3" x14ac:dyDescent="0.25">
      <c r="A166" s="753"/>
      <c r="B166" s="743"/>
      <c r="C166" s="744"/>
    </row>
    <row r="167" spans="1:3" x14ac:dyDescent="0.25">
      <c r="A167" s="753"/>
      <c r="B167" s="743"/>
      <c r="C167" s="744"/>
    </row>
    <row r="168" spans="1:3" x14ac:dyDescent="0.25">
      <c r="A168" s="753"/>
      <c r="B168" s="743"/>
      <c r="C168" s="744"/>
    </row>
    <row r="169" spans="1:3" x14ac:dyDescent="0.25">
      <c r="A169" s="753"/>
      <c r="B169" s="743"/>
      <c r="C169" s="744"/>
    </row>
    <row r="170" spans="1:3" x14ac:dyDescent="0.25">
      <c r="A170" s="753"/>
      <c r="B170" s="743"/>
      <c r="C170" s="744"/>
    </row>
    <row r="171" spans="1:3" x14ac:dyDescent="0.25">
      <c r="A171" s="753"/>
      <c r="B171" s="743"/>
      <c r="C171" s="744"/>
    </row>
    <row r="172" spans="1:3" x14ac:dyDescent="0.25">
      <c r="A172" s="753"/>
      <c r="B172" s="743"/>
      <c r="C172" s="744"/>
    </row>
    <row r="173" spans="1:3" x14ac:dyDescent="0.25">
      <c r="A173" s="753"/>
      <c r="B173" s="743"/>
      <c r="C173" s="744"/>
    </row>
    <row r="174" spans="1:3" x14ac:dyDescent="0.25">
      <c r="A174" s="753"/>
      <c r="B174" s="743"/>
      <c r="C174" s="744"/>
    </row>
    <row r="175" spans="1:3" x14ac:dyDescent="0.25">
      <c r="A175" s="753"/>
      <c r="B175" s="743"/>
      <c r="C175" s="744"/>
    </row>
    <row r="176" spans="1:3" x14ac:dyDescent="0.25">
      <c r="A176" s="753"/>
      <c r="B176" s="743"/>
      <c r="C176" s="744"/>
    </row>
    <row r="177" spans="1:3" x14ac:dyDescent="0.25">
      <c r="A177" s="753"/>
      <c r="B177" s="743"/>
      <c r="C177" s="744"/>
    </row>
    <row r="178" spans="1:3" x14ac:dyDescent="0.25">
      <c r="A178" s="753"/>
      <c r="B178" s="743"/>
      <c r="C178" s="744"/>
    </row>
    <row r="179" spans="1:3" x14ac:dyDescent="0.25">
      <c r="A179" s="753"/>
      <c r="B179" s="743"/>
      <c r="C179" s="744"/>
    </row>
    <row r="180" spans="1:3" x14ac:dyDescent="0.25">
      <c r="A180" s="753"/>
      <c r="B180" s="743"/>
      <c r="C180" s="744"/>
    </row>
    <row r="181" spans="1:3" x14ac:dyDescent="0.25">
      <c r="A181" s="753"/>
      <c r="B181" s="743"/>
      <c r="C181" s="744"/>
    </row>
    <row r="182" spans="1:3" x14ac:dyDescent="0.25">
      <c r="A182" s="753"/>
      <c r="B182" s="743"/>
      <c r="C182" s="744"/>
    </row>
    <row r="183" spans="1:3" x14ac:dyDescent="0.25">
      <c r="A183" s="753"/>
      <c r="B183" s="743"/>
      <c r="C183" s="744"/>
    </row>
    <row r="184" spans="1:3" x14ac:dyDescent="0.25">
      <c r="A184" s="753"/>
      <c r="B184" s="743"/>
      <c r="C184" s="744"/>
    </row>
    <row r="185" spans="1:3" x14ac:dyDescent="0.25">
      <c r="A185" s="753"/>
      <c r="B185" s="743"/>
      <c r="C185" s="744"/>
    </row>
    <row r="186" spans="1:3" x14ac:dyDescent="0.25">
      <c r="A186" s="753"/>
      <c r="B186" s="743"/>
      <c r="C186" s="744"/>
    </row>
    <row r="187" spans="1:3" x14ac:dyDescent="0.25">
      <c r="A187" s="753"/>
      <c r="B187" s="743"/>
      <c r="C187" s="744"/>
    </row>
    <row r="188" spans="1:3" x14ac:dyDescent="0.25">
      <c r="A188" s="753"/>
      <c r="B188" s="743"/>
      <c r="C188" s="744"/>
    </row>
    <row r="189" spans="1:3" x14ac:dyDescent="0.25">
      <c r="A189" s="753"/>
      <c r="B189" s="743"/>
      <c r="C189" s="744"/>
    </row>
    <row r="190" spans="1:3" x14ac:dyDescent="0.25">
      <c r="A190" s="753"/>
      <c r="B190" s="743"/>
      <c r="C190" s="744"/>
    </row>
    <row r="191" spans="1:3" x14ac:dyDescent="0.25">
      <c r="A191" s="753"/>
      <c r="B191" s="743"/>
      <c r="C191" s="744"/>
    </row>
    <row r="192" spans="1:3" x14ac:dyDescent="0.25">
      <c r="A192" s="753"/>
      <c r="B192" s="743"/>
      <c r="C192" s="744"/>
    </row>
    <row r="193" spans="1:3" x14ac:dyDescent="0.25">
      <c r="A193" s="753"/>
      <c r="B193" s="743"/>
      <c r="C193" s="744"/>
    </row>
    <row r="194" spans="1:3" x14ac:dyDescent="0.25">
      <c r="A194" s="753"/>
      <c r="B194" s="743"/>
      <c r="C194" s="744"/>
    </row>
    <row r="195" spans="1:3" x14ac:dyDescent="0.25">
      <c r="A195" s="753"/>
      <c r="B195" s="743"/>
      <c r="C195" s="744"/>
    </row>
    <row r="196" spans="1:3" x14ac:dyDescent="0.25">
      <c r="A196" s="753"/>
      <c r="B196" s="743"/>
      <c r="C196" s="744"/>
    </row>
    <row r="197" spans="1:3" x14ac:dyDescent="0.25">
      <c r="A197" s="753"/>
      <c r="B197" s="743"/>
      <c r="C197" s="744"/>
    </row>
    <row r="198" spans="1:3" x14ac:dyDescent="0.25">
      <c r="A198" s="753"/>
      <c r="B198" s="743"/>
      <c r="C198" s="744"/>
    </row>
    <row r="199" spans="1:3" x14ac:dyDescent="0.25">
      <c r="A199" s="753"/>
      <c r="B199" s="743"/>
      <c r="C199" s="744"/>
    </row>
    <row r="200" spans="1:3" x14ac:dyDescent="0.25">
      <c r="A200" s="753"/>
      <c r="B200" s="743"/>
      <c r="C200" s="744"/>
    </row>
    <row r="201" spans="1:3" x14ac:dyDescent="0.25">
      <c r="A201" s="753"/>
      <c r="B201" s="743"/>
      <c r="C201" s="744"/>
    </row>
    <row r="202" spans="1:3" x14ac:dyDescent="0.25">
      <c r="A202" s="753"/>
      <c r="B202" s="743"/>
      <c r="C202" s="744"/>
    </row>
    <row r="203" spans="1:3" x14ac:dyDescent="0.25">
      <c r="A203" s="753"/>
      <c r="B203" s="743"/>
      <c r="C203" s="744"/>
    </row>
    <row r="204" spans="1:3" x14ac:dyDescent="0.25">
      <c r="A204" s="753"/>
      <c r="B204" s="743"/>
      <c r="C204" s="744"/>
    </row>
    <row r="205" spans="1:3" x14ac:dyDescent="0.25">
      <c r="A205" s="753"/>
      <c r="B205" s="743"/>
      <c r="C205" s="744"/>
    </row>
    <row r="206" spans="1:3" x14ac:dyDescent="0.25">
      <c r="A206" s="753"/>
      <c r="B206" s="743"/>
      <c r="C206" s="744"/>
    </row>
    <row r="207" spans="1:3" x14ac:dyDescent="0.25">
      <c r="A207" s="753"/>
      <c r="B207" s="743"/>
      <c r="C207" s="744"/>
    </row>
    <row r="208" spans="1:3" x14ac:dyDescent="0.25">
      <c r="A208" s="753"/>
      <c r="B208" s="743"/>
      <c r="C208" s="744"/>
    </row>
    <row r="209" spans="1:3" x14ac:dyDescent="0.25">
      <c r="A209" s="753"/>
      <c r="B209" s="743"/>
      <c r="C209" s="744"/>
    </row>
    <row r="210" spans="1:3" x14ac:dyDescent="0.25">
      <c r="A210" s="753"/>
      <c r="B210" s="743"/>
      <c r="C210" s="744"/>
    </row>
    <row r="211" spans="1:3" x14ac:dyDescent="0.25">
      <c r="A211" s="753"/>
      <c r="B211" s="743"/>
      <c r="C211" s="744"/>
    </row>
    <row r="212" spans="1:3" x14ac:dyDescent="0.25">
      <c r="A212" s="753"/>
      <c r="B212" s="743"/>
      <c r="C212" s="744"/>
    </row>
    <row r="213" spans="1:3" x14ac:dyDescent="0.25">
      <c r="A213" s="753"/>
      <c r="B213" s="743"/>
      <c r="C213" s="744"/>
    </row>
    <row r="214" spans="1:3" x14ac:dyDescent="0.25">
      <c r="A214" s="753"/>
      <c r="B214" s="743"/>
      <c r="C214" s="744"/>
    </row>
    <row r="215" spans="1:3" x14ac:dyDescent="0.25">
      <c r="A215" s="753"/>
      <c r="B215" s="743"/>
      <c r="C215" s="744"/>
    </row>
    <row r="216" spans="1:3" x14ac:dyDescent="0.25">
      <c r="A216" s="753"/>
      <c r="B216" s="743"/>
      <c r="C216" s="744"/>
    </row>
    <row r="217" spans="1:3" x14ac:dyDescent="0.25">
      <c r="A217" s="753"/>
      <c r="B217" s="743"/>
      <c r="C217" s="744"/>
    </row>
    <row r="218" spans="1:3" x14ac:dyDescent="0.25">
      <c r="A218" s="753"/>
      <c r="B218" s="743"/>
      <c r="C218" s="744"/>
    </row>
    <row r="219" spans="1:3" x14ac:dyDescent="0.25">
      <c r="A219" s="753"/>
      <c r="B219" s="743"/>
      <c r="C219" s="744"/>
    </row>
    <row r="220" spans="1:3" x14ac:dyDescent="0.25">
      <c r="A220" s="753"/>
      <c r="B220" s="743"/>
      <c r="C220" s="744"/>
    </row>
    <row r="221" spans="1:3" x14ac:dyDescent="0.25">
      <c r="A221" s="753"/>
      <c r="B221" s="743"/>
      <c r="C221" s="744"/>
    </row>
    <row r="222" spans="1:3" x14ac:dyDescent="0.25">
      <c r="A222" s="753"/>
      <c r="B222" s="743"/>
      <c r="C222" s="744"/>
    </row>
    <row r="223" spans="1:3" x14ac:dyDescent="0.25">
      <c r="A223" s="753"/>
      <c r="B223" s="743"/>
      <c r="C223" s="744"/>
    </row>
    <row r="224" spans="1:3" x14ac:dyDescent="0.25">
      <c r="A224" s="753"/>
      <c r="B224" s="743"/>
      <c r="C224" s="744"/>
    </row>
    <row r="225" spans="1:3" x14ac:dyDescent="0.25">
      <c r="A225" s="753"/>
      <c r="B225" s="743"/>
      <c r="C225" s="744"/>
    </row>
    <row r="226" spans="1:3" x14ac:dyDescent="0.25">
      <c r="A226" s="753"/>
      <c r="B226" s="743"/>
      <c r="C226" s="744"/>
    </row>
    <row r="227" spans="1:3" x14ac:dyDescent="0.25">
      <c r="A227" s="753"/>
      <c r="B227" s="743"/>
      <c r="C227" s="744"/>
    </row>
    <row r="228" spans="1:3" x14ac:dyDescent="0.25">
      <c r="A228" s="753"/>
      <c r="B228" s="743"/>
      <c r="C228" s="744"/>
    </row>
    <row r="229" spans="1:3" x14ac:dyDescent="0.25">
      <c r="A229" s="753"/>
      <c r="B229" s="743"/>
      <c r="C229" s="744"/>
    </row>
    <row r="230" spans="1:3" x14ac:dyDescent="0.25">
      <c r="A230" s="753"/>
      <c r="B230" s="743"/>
      <c r="C230" s="744"/>
    </row>
    <row r="231" spans="1:3" x14ac:dyDescent="0.25">
      <c r="A231" s="753"/>
      <c r="B231" s="743"/>
      <c r="C231" s="744"/>
    </row>
    <row r="232" spans="1:3" x14ac:dyDescent="0.25">
      <c r="A232" s="753"/>
      <c r="B232" s="743"/>
      <c r="C232" s="744"/>
    </row>
    <row r="233" spans="1:3" x14ac:dyDescent="0.25">
      <c r="A233" s="753"/>
      <c r="B233" s="743"/>
      <c r="C233" s="744"/>
    </row>
    <row r="234" spans="1:3" x14ac:dyDescent="0.25">
      <c r="A234" s="753"/>
      <c r="B234" s="743"/>
      <c r="C234" s="744"/>
    </row>
    <row r="235" spans="1:3" x14ac:dyDescent="0.25">
      <c r="A235" s="753"/>
      <c r="B235" s="743"/>
      <c r="C235" s="744"/>
    </row>
    <row r="236" spans="1:3" x14ac:dyDescent="0.25">
      <c r="A236" s="753"/>
      <c r="B236" s="743"/>
      <c r="C236" s="744"/>
    </row>
    <row r="237" spans="1:3" x14ac:dyDescent="0.25">
      <c r="A237" s="753"/>
      <c r="B237" s="743"/>
      <c r="C237" s="744"/>
    </row>
    <row r="238" spans="1:3" x14ac:dyDescent="0.25">
      <c r="A238" s="753"/>
      <c r="B238" s="743"/>
      <c r="C238" s="744"/>
    </row>
    <row r="239" spans="1:3" x14ac:dyDescent="0.25">
      <c r="A239" s="753"/>
      <c r="B239" s="743"/>
      <c r="C239" s="744"/>
    </row>
    <row r="240" spans="1:3" x14ac:dyDescent="0.25">
      <c r="A240" s="753"/>
      <c r="B240" s="743"/>
      <c r="C240" s="744"/>
    </row>
    <row r="241" spans="1:3" x14ac:dyDescent="0.25">
      <c r="A241" s="753"/>
      <c r="B241" s="743"/>
      <c r="C241" s="744"/>
    </row>
    <row r="242" spans="1:3" x14ac:dyDescent="0.25">
      <c r="A242" s="753"/>
      <c r="B242" s="743"/>
      <c r="C242" s="744"/>
    </row>
    <row r="243" spans="1:3" x14ac:dyDescent="0.25">
      <c r="A243" s="753"/>
      <c r="B243" s="743"/>
      <c r="C243" s="744"/>
    </row>
    <row r="244" spans="1:3" x14ac:dyDescent="0.25">
      <c r="A244" s="753"/>
      <c r="B244" s="743"/>
      <c r="C244" s="744"/>
    </row>
    <row r="245" spans="1:3" x14ac:dyDescent="0.25">
      <c r="A245" s="753"/>
      <c r="B245" s="743"/>
      <c r="C245" s="744"/>
    </row>
    <row r="246" spans="1:3" x14ac:dyDescent="0.25">
      <c r="A246" s="753"/>
      <c r="B246" s="743"/>
      <c r="C246" s="744"/>
    </row>
    <row r="247" spans="1:3" x14ac:dyDescent="0.25">
      <c r="A247" s="753"/>
      <c r="B247" s="743"/>
      <c r="C247" s="744"/>
    </row>
    <row r="248" spans="1:3" x14ac:dyDescent="0.25">
      <c r="A248" s="753"/>
      <c r="B248" s="743"/>
      <c r="C248" s="744"/>
    </row>
    <row r="249" spans="1:3" x14ac:dyDescent="0.25">
      <c r="A249" s="753"/>
      <c r="B249" s="743"/>
      <c r="C249" s="744"/>
    </row>
    <row r="250" spans="1:3" x14ac:dyDescent="0.25">
      <c r="A250" s="753"/>
      <c r="B250" s="743"/>
      <c r="C250" s="744"/>
    </row>
    <row r="251" spans="1:3" x14ac:dyDescent="0.25">
      <c r="A251" s="753"/>
      <c r="B251" s="743"/>
      <c r="C251" s="744"/>
    </row>
    <row r="252" spans="1:3" x14ac:dyDescent="0.25">
      <c r="A252" s="753"/>
      <c r="B252" s="743"/>
      <c r="C252" s="744"/>
    </row>
    <row r="253" spans="1:3" x14ac:dyDescent="0.25">
      <c r="A253" s="753"/>
      <c r="B253" s="743"/>
      <c r="C253" s="744"/>
    </row>
    <row r="254" spans="1:3" x14ac:dyDescent="0.25">
      <c r="A254" s="753"/>
      <c r="B254" s="743"/>
      <c r="C254" s="744"/>
    </row>
    <row r="255" spans="1:3" x14ac:dyDescent="0.25">
      <c r="A255" s="753"/>
      <c r="B255" s="743"/>
      <c r="C255" s="744"/>
    </row>
    <row r="256" spans="1:3" x14ac:dyDescent="0.25">
      <c r="A256" s="753"/>
      <c r="B256" s="743"/>
      <c r="C256" s="744"/>
    </row>
    <row r="257" spans="1:3" x14ac:dyDescent="0.25">
      <c r="A257" s="753"/>
      <c r="B257" s="743"/>
      <c r="C257" s="744"/>
    </row>
    <row r="258" spans="1:3" x14ac:dyDescent="0.25">
      <c r="A258" s="753"/>
      <c r="B258" s="743"/>
      <c r="C258" s="744"/>
    </row>
    <row r="259" spans="1:3" x14ac:dyDescent="0.25">
      <c r="A259" s="753"/>
      <c r="B259" s="743"/>
      <c r="C259" s="744"/>
    </row>
    <row r="260" spans="1:3" x14ac:dyDescent="0.25">
      <c r="A260" s="753"/>
      <c r="B260" s="743"/>
      <c r="C260" s="744"/>
    </row>
    <row r="261" spans="1:3" x14ac:dyDescent="0.25">
      <c r="A261" s="753"/>
      <c r="B261" s="743"/>
      <c r="C261" s="744"/>
    </row>
    <row r="262" spans="1:3" x14ac:dyDescent="0.25">
      <c r="A262" s="753"/>
      <c r="B262" s="743"/>
      <c r="C262" s="744"/>
    </row>
    <row r="263" spans="1:3" x14ac:dyDescent="0.25">
      <c r="A263" s="753"/>
      <c r="B263" s="743"/>
      <c r="C263" s="744"/>
    </row>
    <row r="264" spans="1:3" x14ac:dyDescent="0.25">
      <c r="A264" s="753"/>
      <c r="B264" s="743"/>
      <c r="C264" s="744"/>
    </row>
    <row r="265" spans="1:3" x14ac:dyDescent="0.25">
      <c r="A265" s="753"/>
      <c r="B265" s="743"/>
      <c r="C265" s="744"/>
    </row>
    <row r="266" spans="1:3" x14ac:dyDescent="0.25">
      <c r="A266" s="753"/>
      <c r="B266" s="743"/>
      <c r="C266" s="744"/>
    </row>
    <row r="267" spans="1:3" x14ac:dyDescent="0.25">
      <c r="A267" s="753"/>
      <c r="B267" s="743"/>
      <c r="C267" s="744"/>
    </row>
    <row r="268" spans="1:3" x14ac:dyDescent="0.25">
      <c r="A268" s="753"/>
      <c r="B268" s="743"/>
      <c r="C268" s="744"/>
    </row>
    <row r="269" spans="1:3" x14ac:dyDescent="0.25">
      <c r="A269" s="753"/>
      <c r="B269" s="743"/>
      <c r="C269" s="744"/>
    </row>
    <row r="270" spans="1:3" x14ac:dyDescent="0.25">
      <c r="A270" s="753"/>
      <c r="B270" s="743"/>
      <c r="C270" s="744"/>
    </row>
    <row r="271" spans="1:3" x14ac:dyDescent="0.25">
      <c r="A271" s="753"/>
      <c r="B271" s="743"/>
      <c r="C271" s="744"/>
    </row>
    <row r="272" spans="1:3" x14ac:dyDescent="0.25">
      <c r="A272" s="753"/>
      <c r="B272" s="743"/>
      <c r="C272" s="744"/>
    </row>
  </sheetData>
  <mergeCells count="12">
    <mergeCell ref="A33:A34"/>
    <mergeCell ref="A59:A60"/>
    <mergeCell ref="B59:C59"/>
    <mergeCell ref="D1:D2"/>
    <mergeCell ref="A1:A2"/>
    <mergeCell ref="B20:C20"/>
    <mergeCell ref="B1:C1"/>
    <mergeCell ref="D33:D34"/>
    <mergeCell ref="B33:C33"/>
    <mergeCell ref="D20:D21"/>
    <mergeCell ref="D59:D60"/>
    <mergeCell ref="A20:A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53"/>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822" t="s">
        <v>60</v>
      </c>
      <c r="B3" s="822"/>
      <c r="C3" s="822"/>
      <c r="D3" s="822"/>
      <c r="E3" s="80"/>
      <c r="F3" s="822" t="s">
        <v>252</v>
      </c>
      <c r="G3" s="822"/>
      <c r="H3" s="822"/>
      <c r="I3" s="822"/>
      <c r="M3" s="822" t="s">
        <v>304</v>
      </c>
      <c r="N3" s="823"/>
      <c r="O3" s="823"/>
      <c r="P3" s="823"/>
    </row>
    <row r="4" spans="1:16" s="39" customFormat="1" ht="13.5" thickBot="1" x14ac:dyDescent="0.25">
      <c r="A4" s="824" t="s">
        <v>54</v>
      </c>
      <c r="B4" s="824"/>
      <c r="C4" s="824"/>
      <c r="D4" s="824"/>
      <c r="E4" s="157"/>
      <c r="F4" s="824" t="s">
        <v>253</v>
      </c>
      <c r="G4" s="824"/>
      <c r="H4" s="824"/>
      <c r="I4" s="824"/>
      <c r="K4" s="61" t="s">
        <v>62</v>
      </c>
      <c r="M4" s="344" t="s">
        <v>305</v>
      </c>
      <c r="N4" s="332"/>
      <c r="O4" s="332"/>
      <c r="P4" s="332"/>
    </row>
    <row r="5" spans="1:16" ht="15.75" thickBot="1" x14ac:dyDescent="0.3">
      <c r="A5" s="825" t="s">
        <v>55</v>
      </c>
      <c r="B5" s="825"/>
      <c r="C5" s="825"/>
      <c r="D5" s="825"/>
      <c r="E5" s="41"/>
      <c r="F5" s="825" t="s">
        <v>56</v>
      </c>
      <c r="G5" s="825"/>
      <c r="H5" s="825"/>
      <c r="I5" s="825"/>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822" t="s">
        <v>329</v>
      </c>
      <c r="N11" s="823"/>
      <c r="O11" s="823"/>
      <c r="P11" s="823"/>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822" t="s">
        <v>328</v>
      </c>
      <c r="N19" s="823"/>
      <c r="O19" s="823"/>
      <c r="P19" s="823"/>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687" t="s">
        <v>463</v>
      </c>
      <c r="B45" s="32">
        <v>2017</v>
      </c>
      <c r="C45" s="627">
        <v>2030</v>
      </c>
      <c r="D45" s="628">
        <v>2040</v>
      </c>
    </row>
    <row r="46" spans="1:9" x14ac:dyDescent="0.25">
      <c r="A46" s="688" t="s">
        <v>464</v>
      </c>
      <c r="B46" s="146"/>
      <c r="C46" s="555">
        <v>171.96222222222224</v>
      </c>
      <c r="D46" s="556">
        <v>171.96222222222224</v>
      </c>
    </row>
    <row r="47" spans="1:9" x14ac:dyDescent="0.25">
      <c r="A47" s="689" t="s">
        <v>465</v>
      </c>
      <c r="B47" s="149"/>
      <c r="C47" s="26">
        <v>151.47333333333327</v>
      </c>
      <c r="D47" s="557">
        <v>151.47333333333327</v>
      </c>
    </row>
    <row r="48" spans="1:9" x14ac:dyDescent="0.25">
      <c r="A48" s="689" t="s">
        <v>466</v>
      </c>
      <c r="B48" s="149"/>
      <c r="C48" s="26">
        <v>131.61270986021509</v>
      </c>
      <c r="D48" s="557">
        <v>131.61270986021509</v>
      </c>
    </row>
    <row r="49" spans="1:4" ht="15.75" thickBot="1" x14ac:dyDescent="0.3">
      <c r="A49" s="690" t="s">
        <v>467</v>
      </c>
      <c r="B49" s="152"/>
      <c r="C49" s="629">
        <v>138.28043235708435</v>
      </c>
      <c r="D49" s="630">
        <v>138.28043235708435</v>
      </c>
    </row>
    <row r="50" spans="1:4" x14ac:dyDescent="0.25">
      <c r="A50" s="38"/>
      <c r="B50" s="150"/>
      <c r="C50" s="315"/>
      <c r="D50" s="315"/>
    </row>
    <row r="51" spans="1:4" x14ac:dyDescent="0.25">
      <c r="A51" s="31"/>
      <c r="B51" s="150"/>
      <c r="C51" s="315"/>
      <c r="D51" s="315"/>
    </row>
    <row r="52" spans="1:4" x14ac:dyDescent="0.25">
      <c r="A52" s="31"/>
      <c r="B52" s="150"/>
      <c r="C52" s="315"/>
      <c r="D52" s="315"/>
    </row>
    <row r="53" spans="1:4" x14ac:dyDescent="0.25">
      <c r="A53" s="31"/>
      <c r="B53" s="150"/>
      <c r="C53" s="315"/>
      <c r="D53" s="315"/>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793" t="s">
        <v>288</v>
      </c>
      <c r="B4" s="831" t="s">
        <v>205</v>
      </c>
      <c r="C4" s="832"/>
      <c r="D4" s="698">
        <f>EMA!B22</f>
        <v>7.0000000000000007E-2</v>
      </c>
      <c r="E4" s="699">
        <f>EMA!C22</f>
        <v>0.19</v>
      </c>
      <c r="F4" s="98" t="s">
        <v>323</v>
      </c>
      <c r="G4" s="38"/>
      <c r="H4" s="38"/>
      <c r="I4" s="38"/>
      <c r="J4" s="38"/>
      <c r="K4" s="38"/>
      <c r="L4" s="38"/>
      <c r="M4" s="38"/>
      <c r="N4" s="38"/>
      <c r="O4" s="38"/>
    </row>
    <row r="5" spans="1:15" ht="15" customHeight="1" x14ac:dyDescent="0.25">
      <c r="A5" s="828"/>
      <c r="B5" s="826" t="s">
        <v>170</v>
      </c>
      <c r="C5" s="827"/>
      <c r="D5" s="700">
        <f>EMA!B27</f>
        <v>-0.05</v>
      </c>
      <c r="E5" s="700">
        <f>EMA!C27</f>
        <v>-0.05</v>
      </c>
      <c r="F5" s="38" t="s">
        <v>69</v>
      </c>
      <c r="G5" s="38"/>
      <c r="H5" s="38"/>
      <c r="I5" s="38"/>
      <c r="J5" s="38"/>
      <c r="K5" s="38"/>
      <c r="L5" s="38"/>
      <c r="M5" s="38"/>
      <c r="N5" s="38"/>
      <c r="O5" s="38"/>
    </row>
    <row r="6" spans="1:15" ht="15" customHeight="1" x14ac:dyDescent="0.25">
      <c r="A6" s="828"/>
      <c r="B6" s="826" t="s">
        <v>171</v>
      </c>
      <c r="C6" s="827"/>
      <c r="D6" s="617">
        <v>0</v>
      </c>
      <c r="E6" s="616">
        <v>0</v>
      </c>
      <c r="F6" s="38" t="s">
        <v>70</v>
      </c>
      <c r="G6" s="38"/>
      <c r="H6" s="38"/>
      <c r="I6" s="38"/>
      <c r="J6" s="38"/>
      <c r="K6" s="38"/>
      <c r="L6" s="38"/>
      <c r="M6" s="38"/>
      <c r="N6" s="38"/>
      <c r="O6" s="38"/>
    </row>
    <row r="7" spans="1:15" ht="15" customHeight="1" x14ac:dyDescent="0.25">
      <c r="A7" s="828"/>
      <c r="B7" s="826" t="s">
        <v>172</v>
      </c>
      <c r="C7" s="827"/>
      <c r="D7" s="700">
        <f>EMA!B23</f>
        <v>-0.1</v>
      </c>
      <c r="E7" s="701">
        <f>EMA!C23</f>
        <v>-0.1</v>
      </c>
      <c r="F7" s="38" t="s">
        <v>68</v>
      </c>
      <c r="G7" s="38"/>
      <c r="H7" s="38"/>
      <c r="I7" s="38"/>
      <c r="J7" s="38"/>
      <c r="K7" s="38"/>
      <c r="L7" s="38"/>
      <c r="M7" s="38"/>
      <c r="N7" s="38"/>
      <c r="O7" s="38"/>
    </row>
    <row r="8" spans="1:15" ht="15" customHeight="1" x14ac:dyDescent="0.25">
      <c r="A8" s="828"/>
      <c r="B8" s="826" t="s">
        <v>173</v>
      </c>
      <c r="C8" s="827"/>
      <c r="D8" s="700">
        <f>EMA!B24</f>
        <v>-0.2</v>
      </c>
      <c r="E8" s="701">
        <f>EMA!C24</f>
        <v>-0.2</v>
      </c>
      <c r="F8" s="38" t="s">
        <v>206</v>
      </c>
      <c r="G8" s="38"/>
      <c r="H8" s="38"/>
      <c r="I8" s="38"/>
      <c r="J8" s="38"/>
      <c r="K8" s="38"/>
      <c r="L8" s="38"/>
      <c r="M8" s="38"/>
      <c r="N8" s="38"/>
      <c r="O8" s="38"/>
    </row>
    <row r="9" spans="1:15" ht="15" customHeight="1" x14ac:dyDescent="0.25">
      <c r="A9" s="828"/>
      <c r="B9" s="826" t="s">
        <v>174</v>
      </c>
      <c r="C9" s="827"/>
      <c r="D9" s="702">
        <f>EMA!B25</f>
        <v>-1.1399999999999999</v>
      </c>
      <c r="E9" s="703">
        <f>EMA!C25</f>
        <v>-1.1439999999999999</v>
      </c>
      <c r="F9" s="38" t="s">
        <v>322</v>
      </c>
      <c r="G9" s="38"/>
      <c r="H9" s="38"/>
      <c r="I9" s="38"/>
      <c r="J9" s="38"/>
      <c r="K9" s="38"/>
      <c r="L9" s="38"/>
      <c r="M9" s="38"/>
      <c r="N9" s="38"/>
      <c r="O9" s="38"/>
    </row>
    <row r="10" spans="1:15" ht="15" customHeight="1" thickBot="1" x14ac:dyDescent="0.3">
      <c r="A10" s="797"/>
      <c r="B10" s="829" t="s">
        <v>452</v>
      </c>
      <c r="C10" s="830"/>
      <c r="D10" s="704">
        <f>EMA!B26</f>
        <v>0</v>
      </c>
      <c r="E10" s="705">
        <f>EMA!C26</f>
        <v>0</v>
      </c>
      <c r="F10" s="38" t="s">
        <v>451</v>
      </c>
      <c r="G10" s="38"/>
      <c r="H10" s="38"/>
      <c r="I10" s="38"/>
      <c r="J10" s="38"/>
      <c r="K10" s="38"/>
      <c r="L10" s="38"/>
      <c r="M10" s="38"/>
      <c r="N10" s="38"/>
      <c r="O10" s="38"/>
    </row>
    <row r="11" spans="1:15" ht="15" customHeight="1" x14ac:dyDescent="0.25">
      <c r="A11" s="785" t="s">
        <v>259</v>
      </c>
      <c r="B11" s="38" t="s">
        <v>8</v>
      </c>
      <c r="C11" s="119" t="s">
        <v>92</v>
      </c>
      <c r="D11" s="76">
        <v>2.36</v>
      </c>
      <c r="E11" s="77">
        <v>2.36</v>
      </c>
      <c r="F11" s="304" t="s">
        <v>285</v>
      </c>
      <c r="G11" s="38"/>
      <c r="H11" s="38"/>
      <c r="I11" s="38"/>
      <c r="J11" s="38"/>
      <c r="K11" s="38"/>
      <c r="L11" s="38"/>
      <c r="M11" s="38"/>
      <c r="N11" s="38"/>
      <c r="O11" s="38"/>
    </row>
    <row r="12" spans="1:15" ht="15" customHeight="1" x14ac:dyDescent="0.25">
      <c r="A12" s="785"/>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85" t="s">
        <v>67</v>
      </c>
      <c r="B13" s="38" t="s">
        <v>7</v>
      </c>
      <c r="C13" s="299" t="s">
        <v>268</v>
      </c>
      <c r="D13" s="55">
        <v>0</v>
      </c>
      <c r="E13" s="56">
        <v>0</v>
      </c>
      <c r="F13" s="376" t="s">
        <v>287</v>
      </c>
      <c r="G13" s="38"/>
      <c r="H13" s="38"/>
      <c r="I13" s="38"/>
      <c r="J13" s="38"/>
      <c r="K13" s="38"/>
      <c r="L13" s="38"/>
      <c r="M13" s="38"/>
      <c r="N13" s="38"/>
      <c r="O13" s="38"/>
    </row>
    <row r="14" spans="1:15" ht="15" customHeight="1" x14ac:dyDescent="0.25">
      <c r="A14" s="784"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85"/>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85"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84"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85"/>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790"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802"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802"/>
      <c r="B21" s="75" t="s">
        <v>290</v>
      </c>
      <c r="C21" s="75" t="s">
        <v>278</v>
      </c>
      <c r="D21" s="302">
        <v>0.2</v>
      </c>
      <c r="E21" s="303">
        <v>0.2</v>
      </c>
      <c r="F21" s="75" t="s">
        <v>320</v>
      </c>
      <c r="G21" s="38"/>
      <c r="H21" s="38"/>
      <c r="I21" s="38"/>
      <c r="J21" s="38"/>
      <c r="K21" s="38"/>
      <c r="L21" s="38"/>
      <c r="M21" s="38"/>
      <c r="N21" s="38"/>
      <c r="O21" s="38"/>
    </row>
    <row r="22" spans="1:15" x14ac:dyDescent="0.25">
      <c r="A22" s="791" t="s">
        <v>93</v>
      </c>
      <c r="B22" s="98" t="s">
        <v>94</v>
      </c>
      <c r="C22" s="123" t="s">
        <v>97</v>
      </c>
      <c r="D22" s="76">
        <v>9.1</v>
      </c>
      <c r="E22" s="77">
        <v>9.1</v>
      </c>
      <c r="F22" s="376" t="s">
        <v>282</v>
      </c>
      <c r="G22" s="38"/>
      <c r="H22" s="38"/>
      <c r="I22" s="38"/>
      <c r="J22" s="38"/>
      <c r="K22" s="38"/>
      <c r="L22" s="38"/>
      <c r="M22" s="38"/>
      <c r="N22" s="38"/>
      <c r="O22" s="38"/>
    </row>
    <row r="23" spans="1:15" ht="15" customHeight="1" x14ac:dyDescent="0.25">
      <c r="A23" s="796"/>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796"/>
      <c r="B24" s="38" t="s">
        <v>132</v>
      </c>
      <c r="C24" s="119" t="s">
        <v>97</v>
      </c>
      <c r="D24" s="53">
        <v>5.86</v>
      </c>
      <c r="E24" s="54">
        <v>5.86</v>
      </c>
      <c r="F24" s="376" t="s">
        <v>282</v>
      </c>
      <c r="G24" s="38"/>
      <c r="H24" s="38"/>
      <c r="I24" s="38"/>
      <c r="J24" s="38"/>
      <c r="K24" s="38"/>
      <c r="L24" s="38"/>
      <c r="M24" s="38"/>
      <c r="N24" s="38"/>
      <c r="O24" s="38"/>
    </row>
    <row r="25" spans="1:15" x14ac:dyDescent="0.25">
      <c r="A25" s="796"/>
      <c r="B25" s="38" t="s">
        <v>96</v>
      </c>
      <c r="C25" s="119" t="s">
        <v>97</v>
      </c>
      <c r="D25" s="53">
        <v>8.9600000000000009</v>
      </c>
      <c r="E25" s="54">
        <v>8.9600000000000009</v>
      </c>
      <c r="F25" s="376" t="s">
        <v>282</v>
      </c>
      <c r="G25" s="38"/>
      <c r="H25" s="38"/>
      <c r="I25" s="38"/>
      <c r="J25" s="38"/>
      <c r="K25" s="38"/>
      <c r="L25" s="38"/>
      <c r="M25" s="38"/>
      <c r="N25" s="38"/>
      <c r="O25" s="38"/>
    </row>
    <row r="26" spans="1:15" x14ac:dyDescent="0.25">
      <c r="A26" s="796"/>
      <c r="B26" s="38" t="s">
        <v>133</v>
      </c>
      <c r="C26" s="119" t="s">
        <v>97</v>
      </c>
      <c r="D26" s="53">
        <v>9.17</v>
      </c>
      <c r="E26" s="54">
        <v>9.17</v>
      </c>
      <c r="F26" s="376" t="s">
        <v>282</v>
      </c>
      <c r="G26" s="38"/>
      <c r="H26" s="38"/>
      <c r="I26" s="38"/>
      <c r="J26" s="38"/>
      <c r="K26" s="38"/>
      <c r="L26" s="38"/>
      <c r="M26" s="38"/>
      <c r="N26" s="38"/>
      <c r="O26" s="38"/>
    </row>
    <row r="27" spans="1:15" ht="15.75" thickBot="1" x14ac:dyDescent="0.3">
      <c r="A27" s="792"/>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833" t="s">
        <v>44</v>
      </c>
      <c r="B2" s="833"/>
      <c r="C2" s="833"/>
      <c r="D2" s="833"/>
      <c r="E2" s="833"/>
      <c r="F2" s="833"/>
      <c r="G2" s="833"/>
      <c r="H2" s="833"/>
      <c r="I2" s="833"/>
      <c r="J2" s="833"/>
    </row>
    <row r="3" spans="1:14" x14ac:dyDescent="0.25">
      <c r="A3" s="834" t="s">
        <v>348</v>
      </c>
      <c r="B3" s="835"/>
      <c r="C3" s="835"/>
      <c r="D3" s="171"/>
      <c r="E3" s="171"/>
      <c r="F3" s="171"/>
      <c r="G3" s="552">
        <v>2030</v>
      </c>
      <c r="H3" s="552">
        <v>2040</v>
      </c>
      <c r="I3" s="171"/>
      <c r="J3" s="171"/>
    </row>
    <row r="4" spans="1:14" ht="18" x14ac:dyDescent="0.25">
      <c r="A4" s="104" t="s">
        <v>383</v>
      </c>
      <c r="B4" s="532"/>
      <c r="C4" s="532"/>
      <c r="D4" s="171"/>
      <c r="E4" s="171"/>
      <c r="F4" s="171"/>
      <c r="G4" s="686">
        <f>EMA!B9</f>
        <v>1</v>
      </c>
      <c r="H4" s="686">
        <f>EMA!C9</f>
        <v>1</v>
      </c>
      <c r="I4" s="171"/>
      <c r="J4" s="171"/>
    </row>
    <row r="5" spans="1:14" ht="18" x14ac:dyDescent="0.25">
      <c r="A5" s="104" t="s">
        <v>381</v>
      </c>
      <c r="B5" s="38"/>
      <c r="C5" s="38"/>
      <c r="D5" s="38"/>
      <c r="E5" s="38"/>
      <c r="F5" s="38"/>
      <c r="G5" s="648">
        <f>EMA!B7</f>
        <v>1</v>
      </c>
      <c r="H5" s="648">
        <f>EMA!C7</f>
        <v>1</v>
      </c>
      <c r="I5" s="38"/>
      <c r="J5" s="38"/>
      <c r="K5" s="38"/>
      <c r="L5" s="38"/>
      <c r="M5" s="38"/>
      <c r="N5" s="38"/>
    </row>
    <row r="6" spans="1:14" ht="18.75" thickBot="1" x14ac:dyDescent="0.3">
      <c r="A6" s="104" t="s">
        <v>384</v>
      </c>
      <c r="B6" s="38"/>
      <c r="C6" s="38"/>
      <c r="D6" s="38"/>
      <c r="E6" s="38"/>
      <c r="F6" s="38"/>
      <c r="G6" s="648">
        <f>EMA!B8</f>
        <v>1</v>
      </c>
      <c r="H6" s="648">
        <f>EMA!C8</f>
        <v>1</v>
      </c>
      <c r="I6" s="38"/>
      <c r="J6" s="38"/>
      <c r="K6" s="38"/>
      <c r="L6" s="38"/>
      <c r="M6" s="38"/>
      <c r="N6" s="38"/>
    </row>
    <row r="7" spans="1:14" ht="15.75" thickBot="1" x14ac:dyDescent="0.3">
      <c r="B7" s="168"/>
      <c r="C7" s="168"/>
      <c r="D7" s="168"/>
      <c r="E7" s="838" t="s">
        <v>63</v>
      </c>
      <c r="F7" s="837"/>
      <c r="G7" s="838" t="s">
        <v>64</v>
      </c>
      <c r="H7" s="837"/>
      <c r="I7" s="836" t="s">
        <v>65</v>
      </c>
      <c r="J7" s="837"/>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0.17</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9.8392189551404456</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8.6598842105263163</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37.979385166842121</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24.991616146056732</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62.971001312898849</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71.630885523425164</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2.1649710526315791</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15.742750328224712</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17.907721380856291</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89.538606904281451</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838" t="s">
        <v>63</v>
      </c>
      <c r="F26" s="837"/>
      <c r="G26" s="838" t="s">
        <v>64</v>
      </c>
      <c r="H26" s="837"/>
      <c r="I26" s="836" t="s">
        <v>65</v>
      </c>
      <c r="J26" s="837"/>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0.26</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6.8620499483121211</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11.229178947368421</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16.194437878016604</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14.890648387837302</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31.085086265853906</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42.314265213222328</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2.8072947368421053</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7.7712715664634766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10.578566303305582</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52.892831516527906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838" t="s">
        <v>63</v>
      </c>
      <c r="F45" s="837"/>
      <c r="G45" s="838" t="s">
        <v>64</v>
      </c>
      <c r="H45" s="837"/>
      <c r="I45" s="836" t="s">
        <v>65</v>
      </c>
      <c r="J45" s="837"/>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0.26</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6.8620499483121211</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9.5585662337662338</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16.194437878016604</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14.890648387837302</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31.085086265853906</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40.643652499620138</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2.3896415584415585</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7.7712715664634766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10.160913124905035</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50.804565624525175</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838" t="s">
        <v>63</v>
      </c>
      <c r="F64" s="837"/>
      <c r="G64" s="838" t="s">
        <v>64</v>
      </c>
      <c r="H64" s="837"/>
      <c r="I64" s="836" t="s">
        <v>65</v>
      </c>
      <c r="J64" s="837"/>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838" t="s">
        <v>63</v>
      </c>
      <c r="F77" s="837"/>
      <c r="G77" s="838" t="s">
        <v>64</v>
      </c>
      <c r="H77" s="837"/>
      <c r="I77" s="836" t="s">
        <v>65</v>
      </c>
      <c r="J77" s="837"/>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lpstr>M1_CO2_TTW_total</vt:lpstr>
      <vt:lpstr>M2_driving_cost_car</vt:lpstr>
      <vt:lpstr>M3_driving_cost_truck</vt:lpstr>
      <vt:lpstr>M4_energy_use_bio</vt:lpstr>
      <vt:lpstr>M5_energy_use_electricity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2025-04-25T20:31:02Z</dcterms:modified>
</cp:coreProperties>
</file>