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ucar\PycharmProjects\NJORD_2022_Albin\Regressiontest\"/>
    </mc:Choice>
  </mc:AlternateContent>
  <xr:revisionPtr revIDLastSave="0" documentId="13_ncr:1_{40F8CE3A-B528-492A-BEA2-386785C25992}" xr6:coauthVersionLast="47" xr6:coauthVersionMax="47" xr10:uidLastSave="{00000000-0000-0000-0000-000000000000}"/>
  <bookViews>
    <workbookView xWindow="-108" yWindow="-108" windowWidth="23256" windowHeight="12456" firstSheet="4" activeTab="7" xr2:uid="{00000000-000D-0000-FFFF-FFFF00000000}"/>
  </bookViews>
  <sheets>
    <sheet name="Sheet5" sheetId="8" r:id="rId1"/>
    <sheet name="Mini-Grid data" sheetId="1" r:id="rId2"/>
    <sheet name="Solar lights and SHS data" sheetId="2" r:id="rId3"/>
    <sheet name="GDP" sheetId="3" r:id="rId4"/>
    <sheet name="GDP per Capita" sheetId="12" r:id="rId5"/>
    <sheet name="Access to electricity" sheetId="14" r:id="rId6"/>
    <sheet name="Analysis Mini-grid GDP" sheetId="5" r:id="rId7"/>
    <sheet name="Analysis SHS GDP" sheetId="13" r:id="rId8"/>
  </sheets>
  <definedNames>
    <definedName name="_xlnm._FilterDatabase" localSheetId="5" hidden="1">'Access to electricity'!$A$1:$L$267</definedName>
    <definedName name="_xlnm._FilterDatabase" localSheetId="3" hidden="1">GDP!$A$1:$M$267</definedName>
    <definedName name="_xlnm._FilterDatabase" localSheetId="4" hidden="1">'GDP per Capita'!$A$1:$BN$271</definedName>
    <definedName name="_xlnm.Criteria" localSheetId="5">'Access to electricity'!$N$1:$N$34</definedName>
    <definedName name="_xlnm.Criteria" localSheetId="3">GDP!$N$2:$N$35</definedName>
    <definedName name="_xlnm.Criteria" localSheetId="4">'GDP per Capita'!$N$1:$N$52</definedName>
  </definedNames>
  <calcPr calcId="191029"/>
  <pivotCaches>
    <pivotCache cacheId="28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6" i="5" l="1"/>
  <c r="C77" i="13" a="1"/>
  <c r="C77" i="13"/>
  <c r="D77" i="13" a="1"/>
  <c r="D77" i="13" s="1"/>
  <c r="E77" i="13" a="1"/>
  <c r="E77" i="13" s="1"/>
  <c r="F77" i="13" a="1"/>
  <c r="F77" i="13"/>
  <c r="G77" i="13" a="1"/>
  <c r="G77" i="13"/>
  <c r="H77" i="13" a="1"/>
  <c r="H77" i="13" s="1"/>
  <c r="I77" i="13" a="1"/>
  <c r="I77" i="13" s="1"/>
  <c r="J77" i="13" a="1"/>
  <c r="J77" i="13"/>
  <c r="K77" i="13" a="1"/>
  <c r="K77" i="13"/>
  <c r="L77" i="13" a="1"/>
  <c r="L77" i="13" s="1"/>
  <c r="M77" i="13" a="1"/>
  <c r="M77" i="13" s="1"/>
  <c r="N77" i="13" a="1"/>
  <c r="N77" i="13"/>
  <c r="O77" i="13" a="1"/>
  <c r="O77" i="13"/>
  <c r="P77" i="13" a="1"/>
  <c r="P77" i="13" s="1"/>
  <c r="Q77" i="13" a="1"/>
  <c r="Q77" i="13" s="1"/>
  <c r="R77" i="13" a="1"/>
  <c r="R77" i="13"/>
  <c r="S77" i="13" a="1"/>
  <c r="S77" i="13"/>
  <c r="T77" i="13" a="1"/>
  <c r="T77" i="13" s="1"/>
  <c r="U77" i="13" a="1"/>
  <c r="U77" i="13" s="1"/>
  <c r="V77" i="13" a="1"/>
  <c r="V77" i="13"/>
  <c r="W77" i="13" a="1"/>
  <c r="W77" i="13"/>
  <c r="X77" i="13" a="1"/>
  <c r="X77" i="13" s="1"/>
  <c r="Y77" i="13" a="1"/>
  <c r="Y77" i="13" s="1"/>
  <c r="Z77" i="13" a="1"/>
  <c r="Z77" i="13"/>
  <c r="AA77" i="13" a="1"/>
  <c r="AA77" i="13"/>
  <c r="AB77" i="13" a="1"/>
  <c r="AB77" i="13" s="1"/>
  <c r="AC77" i="13" a="1"/>
  <c r="AC77" i="13" s="1"/>
  <c r="AD77" i="13" a="1"/>
  <c r="AD77" i="13"/>
  <c r="AE77" i="13" a="1"/>
  <c r="AE77" i="13"/>
  <c r="AF77" i="13" a="1"/>
  <c r="AF77" i="13" s="1"/>
  <c r="AG77" i="13" a="1"/>
  <c r="AG77" i="13" s="1"/>
  <c r="AH77" i="13" a="1"/>
  <c r="AH77" i="13"/>
  <c r="AI77" i="13" a="1"/>
  <c r="AI77" i="13"/>
  <c r="AJ77" i="13" a="1"/>
  <c r="AJ77" i="13" s="1"/>
  <c r="AK77" i="13" a="1"/>
  <c r="AK77" i="13" s="1"/>
  <c r="AL77" i="13" a="1"/>
  <c r="AL77" i="13"/>
  <c r="AM77" i="13" a="1"/>
  <c r="AM77" i="13" s="1"/>
  <c r="AN77" i="13" a="1"/>
  <c r="AN77" i="13" s="1"/>
  <c r="AO77" i="13" a="1"/>
  <c r="AO77" i="13" s="1"/>
  <c r="AP77" i="13" a="1"/>
  <c r="AP77" i="13"/>
  <c r="AQ77" i="13" a="1"/>
  <c r="AQ77" i="13" s="1"/>
  <c r="AR77" i="13" a="1"/>
  <c r="AR77" i="13" s="1"/>
  <c r="AS77" i="13" a="1"/>
  <c r="AS77" i="13" s="1"/>
  <c r="AT77" i="13" a="1"/>
  <c r="AT77" i="13"/>
  <c r="AU77" i="13" a="1"/>
  <c r="AU77" i="13" s="1"/>
  <c r="AV77" i="13" a="1"/>
  <c r="AV77" i="13" s="1"/>
  <c r="AW77" i="13" a="1"/>
  <c r="AW77" i="13" s="1"/>
  <c r="AX77" i="13" a="1"/>
  <c r="AX77" i="13"/>
  <c r="AY77" i="13" a="1"/>
  <c r="AY77" i="13" s="1"/>
  <c r="AZ77" i="13" a="1"/>
  <c r="AZ77" i="13" s="1"/>
  <c r="B77" i="13" a="1"/>
  <c r="B77" i="13" s="1"/>
  <c r="F96" i="5"/>
  <c r="C96" i="5"/>
  <c r="D96" i="5"/>
  <c r="E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B92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H75" i="5"/>
  <c r="B75" i="5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J55" i="13"/>
  <c r="AK55" i="13"/>
  <c r="AL55" i="13"/>
  <c r="AM55" i="13"/>
  <c r="AN55" i="13"/>
  <c r="AO55" i="13"/>
  <c r="AP55" i="13"/>
  <c r="AQ55" i="13"/>
  <c r="AR55" i="13"/>
  <c r="AS55" i="13"/>
  <c r="AT55" i="13"/>
  <c r="AU55" i="13"/>
  <c r="AV55" i="13"/>
  <c r="AW55" i="13"/>
  <c r="AX55" i="13"/>
  <c r="AY55" i="13"/>
  <c r="AZ55" i="13"/>
  <c r="B55" i="13"/>
  <c r="C14" i="13" a="1"/>
  <c r="C14" i="13" s="1"/>
  <c r="B13" i="13" a="1"/>
  <c r="B13" i="13" s="1"/>
  <c r="E14" i="13" a="1"/>
  <c r="E14" i="13" s="1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AJ41" i="13"/>
  <c r="AK41" i="13"/>
  <c r="AL41" i="13"/>
  <c r="AM41" i="13"/>
  <c r="AN41" i="13"/>
  <c r="AO41" i="13"/>
  <c r="AP41" i="13"/>
  <c r="AQ41" i="13"/>
  <c r="AR41" i="13"/>
  <c r="AS41" i="13"/>
  <c r="AT41" i="13"/>
  <c r="AU41" i="13"/>
  <c r="AV41" i="13"/>
  <c r="AW41" i="13"/>
  <c r="AX41" i="13"/>
  <c r="AY41" i="13"/>
  <c r="AZ41" i="13"/>
  <c r="B41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AL27" i="13"/>
  <c r="AM27" i="13"/>
  <c r="AN27" i="13"/>
  <c r="AO27" i="13"/>
  <c r="AP27" i="13"/>
  <c r="AQ27" i="13"/>
  <c r="AR27" i="13"/>
  <c r="AS27" i="13"/>
  <c r="AT27" i="13"/>
  <c r="AU27" i="13"/>
  <c r="AV27" i="13"/>
  <c r="AW27" i="13"/>
  <c r="AX27" i="13"/>
  <c r="AY27" i="13"/>
  <c r="AZ27" i="13"/>
  <c r="B27" i="13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D46" i="5"/>
  <c r="E46" i="5"/>
  <c r="E59" i="5" s="1"/>
  <c r="F46" i="5"/>
  <c r="G46" i="5"/>
  <c r="H46" i="5"/>
  <c r="H59" i="5" s="1"/>
  <c r="I46" i="5"/>
  <c r="I76" i="5" s="1"/>
  <c r="J46" i="5"/>
  <c r="J76" i="5" s="1"/>
  <c r="K46" i="5"/>
  <c r="L46" i="5"/>
  <c r="M46" i="5"/>
  <c r="M76" i="5" s="1"/>
  <c r="N46" i="5"/>
  <c r="O46" i="5"/>
  <c r="P46" i="5"/>
  <c r="Q46" i="5"/>
  <c r="Q76" i="5" s="1"/>
  <c r="R46" i="5"/>
  <c r="R76" i="5" s="1"/>
  <c r="S46" i="5"/>
  <c r="T46" i="5"/>
  <c r="U46" i="5"/>
  <c r="U76" i="5" s="1"/>
  <c r="V46" i="5"/>
  <c r="W46" i="5"/>
  <c r="X46" i="5"/>
  <c r="Y46" i="5"/>
  <c r="Y76" i="5" s="1"/>
  <c r="Z46" i="5"/>
  <c r="AA46" i="5"/>
  <c r="AB46" i="5"/>
  <c r="AC46" i="5"/>
  <c r="AC76" i="5" s="1"/>
  <c r="AD46" i="5"/>
  <c r="AE46" i="5"/>
  <c r="AF46" i="5"/>
  <c r="AF59" i="5" s="1"/>
  <c r="AG46" i="5"/>
  <c r="AG58" i="5" s="1"/>
  <c r="AH46" i="5"/>
  <c r="C46" i="5"/>
  <c r="B48" i="5"/>
  <c r="B49" i="5"/>
  <c r="B50" i="5"/>
  <c r="B51" i="5"/>
  <c r="B52" i="5"/>
  <c r="B53" i="5"/>
  <c r="B54" i="5"/>
  <c r="B55" i="5"/>
  <c r="B47" i="5"/>
  <c r="B46" i="5"/>
  <c r="AH43" i="5"/>
  <c r="AG43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AH42" i="5"/>
  <c r="AG42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B40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G25" i="5"/>
  <c r="H25" i="5"/>
  <c r="I25" i="5"/>
  <c r="J25" i="5"/>
  <c r="K25" i="5"/>
  <c r="L25" i="5"/>
  <c r="F25" i="5"/>
  <c r="E25" i="5"/>
  <c r="D25" i="5"/>
  <c r="C25" i="5"/>
  <c r="B25" i="5"/>
  <c r="AI54" i="8"/>
  <c r="AJ54" i="8"/>
  <c r="AK54" i="8"/>
  <c r="AL54" i="8"/>
  <c r="AM54" i="8"/>
  <c r="AN54" i="8"/>
  <c r="AO54" i="8"/>
  <c r="AP54" i="8"/>
  <c r="AQ54" i="8"/>
  <c r="AR54" i="8"/>
  <c r="AS54" i="8"/>
  <c r="AT54" i="8"/>
  <c r="AU54" i="8"/>
  <c r="AV54" i="8"/>
  <c r="AW54" i="8"/>
  <c r="AX54" i="8"/>
  <c r="AY54" i="8"/>
  <c r="AZ54" i="8"/>
  <c r="AI55" i="8"/>
  <c r="AJ55" i="8"/>
  <c r="AK55" i="8"/>
  <c r="AL55" i="8"/>
  <c r="AM55" i="8"/>
  <c r="AN55" i="8"/>
  <c r="AO55" i="8"/>
  <c r="AP55" i="8"/>
  <c r="AQ55" i="8"/>
  <c r="AR55" i="8"/>
  <c r="AS55" i="8"/>
  <c r="AT55" i="8"/>
  <c r="AU55" i="8"/>
  <c r="AV55" i="8"/>
  <c r="AW55" i="8"/>
  <c r="AX55" i="8"/>
  <c r="AY55" i="8"/>
  <c r="AZ55" i="8"/>
  <c r="AI56" i="8"/>
  <c r="AJ56" i="8"/>
  <c r="AK56" i="8"/>
  <c r="AL56" i="8"/>
  <c r="AM56" i="8"/>
  <c r="AN56" i="8"/>
  <c r="AO56" i="8"/>
  <c r="AP56" i="8"/>
  <c r="AQ56" i="8"/>
  <c r="AR56" i="8"/>
  <c r="AS56" i="8"/>
  <c r="AT56" i="8"/>
  <c r="AU56" i="8"/>
  <c r="AV56" i="8"/>
  <c r="AW56" i="8"/>
  <c r="AX56" i="8"/>
  <c r="AY56" i="8"/>
  <c r="AZ56" i="8"/>
  <c r="AI57" i="8"/>
  <c r="AJ57" i="8"/>
  <c r="AK57" i="8"/>
  <c r="AL57" i="8"/>
  <c r="AM57" i="8"/>
  <c r="AN57" i="8"/>
  <c r="AO57" i="8"/>
  <c r="AP57" i="8"/>
  <c r="AQ57" i="8"/>
  <c r="AR57" i="8"/>
  <c r="AS57" i="8"/>
  <c r="AT57" i="8"/>
  <c r="AU57" i="8"/>
  <c r="AV57" i="8"/>
  <c r="AW57" i="8"/>
  <c r="AX57" i="8"/>
  <c r="AY57" i="8"/>
  <c r="AZ57" i="8"/>
  <c r="AI58" i="8"/>
  <c r="AJ58" i="8"/>
  <c r="AK58" i="8"/>
  <c r="AL58" i="8"/>
  <c r="AM58" i="8"/>
  <c r="AN58" i="8"/>
  <c r="AO58" i="8"/>
  <c r="AP58" i="8"/>
  <c r="AQ58" i="8"/>
  <c r="AR58" i="8"/>
  <c r="AS58" i="8"/>
  <c r="AT58" i="8"/>
  <c r="AU58" i="8"/>
  <c r="AV58" i="8"/>
  <c r="AW58" i="8"/>
  <c r="AX58" i="8"/>
  <c r="AY58" i="8"/>
  <c r="AZ58" i="8"/>
  <c r="AI59" i="8"/>
  <c r="AJ59" i="8"/>
  <c r="AK59" i="8"/>
  <c r="AL59" i="8"/>
  <c r="AM59" i="8"/>
  <c r="AN59" i="8"/>
  <c r="AO59" i="8"/>
  <c r="AP59" i="8"/>
  <c r="AQ59" i="8"/>
  <c r="AR59" i="8"/>
  <c r="AS59" i="8"/>
  <c r="AT59" i="8"/>
  <c r="AU59" i="8"/>
  <c r="AV59" i="8"/>
  <c r="AW59" i="8"/>
  <c r="AX59" i="8"/>
  <c r="AY59" i="8"/>
  <c r="AZ59" i="8"/>
  <c r="AI60" i="8"/>
  <c r="AJ60" i="8"/>
  <c r="AK60" i="8"/>
  <c r="AL60" i="8"/>
  <c r="AM60" i="8"/>
  <c r="AN60" i="8"/>
  <c r="AO60" i="8"/>
  <c r="AP60" i="8"/>
  <c r="AQ60" i="8"/>
  <c r="AR60" i="8"/>
  <c r="AS60" i="8"/>
  <c r="AT60" i="8"/>
  <c r="AU60" i="8"/>
  <c r="AV60" i="8"/>
  <c r="AW60" i="8"/>
  <c r="AX60" i="8"/>
  <c r="AY60" i="8"/>
  <c r="AZ60" i="8"/>
  <c r="AI61" i="8"/>
  <c r="AJ61" i="8"/>
  <c r="AK61" i="8"/>
  <c r="AL61" i="8"/>
  <c r="AM61" i="8"/>
  <c r="AN61" i="8"/>
  <c r="AO61" i="8"/>
  <c r="AP61" i="8"/>
  <c r="AQ61" i="8"/>
  <c r="AR61" i="8"/>
  <c r="AS61" i="8"/>
  <c r="AT61" i="8"/>
  <c r="AU61" i="8"/>
  <c r="AV61" i="8"/>
  <c r="AW61" i="8"/>
  <c r="AX61" i="8"/>
  <c r="AY61" i="8"/>
  <c r="AZ61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Y62" i="8"/>
  <c r="AZ62" i="8"/>
  <c r="AI63" i="8"/>
  <c r="AJ63" i="8"/>
  <c r="AK63" i="8"/>
  <c r="AL63" i="8"/>
  <c r="AM63" i="8"/>
  <c r="AN63" i="8"/>
  <c r="AO63" i="8"/>
  <c r="AP63" i="8"/>
  <c r="AQ63" i="8"/>
  <c r="AR63" i="8"/>
  <c r="AS63" i="8"/>
  <c r="AT63" i="8"/>
  <c r="AU63" i="8"/>
  <c r="AV63" i="8"/>
  <c r="AW63" i="8"/>
  <c r="AX63" i="8"/>
  <c r="AY63" i="8"/>
  <c r="AZ63" i="8"/>
  <c r="E54" i="8"/>
  <c r="AH63" i="8"/>
  <c r="AG63" i="8"/>
  <c r="AF63" i="8"/>
  <c r="AE63" i="8"/>
  <c r="AD63" i="8"/>
  <c r="AC63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O63" i="8"/>
  <c r="N63" i="8"/>
  <c r="M63" i="8"/>
  <c r="L63" i="8"/>
  <c r="K63" i="8"/>
  <c r="J63" i="8"/>
  <c r="I63" i="8"/>
  <c r="H63" i="8"/>
  <c r="G63" i="8"/>
  <c r="F63" i="8"/>
  <c r="E63" i="8"/>
  <c r="D63" i="8"/>
  <c r="C63" i="8"/>
  <c r="B63" i="8"/>
  <c r="AH62" i="8"/>
  <c r="AG62" i="8"/>
  <c r="AF62" i="8"/>
  <c r="AE62" i="8"/>
  <c r="AD62" i="8"/>
  <c r="AC62" i="8"/>
  <c r="AB62" i="8"/>
  <c r="AA62" i="8"/>
  <c r="Z62" i="8"/>
  <c r="Y62" i="8"/>
  <c r="X62" i="8"/>
  <c r="W62" i="8"/>
  <c r="V62" i="8"/>
  <c r="U62" i="8"/>
  <c r="T62" i="8"/>
  <c r="S62" i="8"/>
  <c r="R62" i="8"/>
  <c r="Q62" i="8"/>
  <c r="P62" i="8"/>
  <c r="O62" i="8"/>
  <c r="N62" i="8"/>
  <c r="M62" i="8"/>
  <c r="L62" i="8"/>
  <c r="K62" i="8"/>
  <c r="J62" i="8"/>
  <c r="I62" i="8"/>
  <c r="H62" i="8"/>
  <c r="G62" i="8"/>
  <c r="F62" i="8"/>
  <c r="E62" i="8"/>
  <c r="D62" i="8"/>
  <c r="C62" i="8"/>
  <c r="B62" i="8"/>
  <c r="AH61" i="8"/>
  <c r="AG61" i="8"/>
  <c r="AF61" i="8"/>
  <c r="AE61" i="8"/>
  <c r="AD61" i="8"/>
  <c r="AC61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O61" i="8"/>
  <c r="N61" i="8"/>
  <c r="M61" i="8"/>
  <c r="L61" i="8"/>
  <c r="K61" i="8"/>
  <c r="J61" i="8"/>
  <c r="I61" i="8"/>
  <c r="H61" i="8"/>
  <c r="G61" i="8"/>
  <c r="F61" i="8"/>
  <c r="E61" i="8"/>
  <c r="D61" i="8"/>
  <c r="C61" i="8"/>
  <c r="B61" i="8"/>
  <c r="AH60" i="8"/>
  <c r="AG60" i="8"/>
  <c r="AF60" i="8"/>
  <c r="AE60" i="8"/>
  <c r="AD60" i="8"/>
  <c r="AC60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H59" i="8"/>
  <c r="AG59" i="8"/>
  <c r="AF59" i="8"/>
  <c r="AE59" i="8"/>
  <c r="AD59" i="8"/>
  <c r="AC59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B59" i="8"/>
  <c r="AH58" i="8"/>
  <c r="AG58" i="8"/>
  <c r="AF58" i="8"/>
  <c r="AE58" i="8"/>
  <c r="AD58" i="8"/>
  <c r="AC58" i="8"/>
  <c r="AB58" i="8"/>
  <c r="AA58" i="8"/>
  <c r="Z58" i="8"/>
  <c r="Y58" i="8"/>
  <c r="X58" i="8"/>
  <c r="W58" i="8"/>
  <c r="V58" i="8"/>
  <c r="U58" i="8"/>
  <c r="T58" i="8"/>
  <c r="S58" i="8"/>
  <c r="R58" i="8"/>
  <c r="Q58" i="8"/>
  <c r="P58" i="8"/>
  <c r="O58" i="8"/>
  <c r="N58" i="8"/>
  <c r="M58" i="8"/>
  <c r="L58" i="8"/>
  <c r="K58" i="8"/>
  <c r="J58" i="8"/>
  <c r="I58" i="8"/>
  <c r="H58" i="8"/>
  <c r="G58" i="8"/>
  <c r="F58" i="8"/>
  <c r="E58" i="8"/>
  <c r="D58" i="8"/>
  <c r="C58" i="8"/>
  <c r="B58" i="8"/>
  <c r="AH57" i="8"/>
  <c r="AG57" i="8"/>
  <c r="AF57" i="8"/>
  <c r="AE57" i="8"/>
  <c r="AD57" i="8"/>
  <c r="AC57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K57" i="8"/>
  <c r="J57" i="8"/>
  <c r="I57" i="8"/>
  <c r="H57" i="8"/>
  <c r="G57" i="8"/>
  <c r="F57" i="8"/>
  <c r="E57" i="8"/>
  <c r="D57" i="8"/>
  <c r="C57" i="8"/>
  <c r="B57" i="8"/>
  <c r="AH56" i="8"/>
  <c r="AG56" i="8"/>
  <c r="AF56" i="8"/>
  <c r="AE56" i="8"/>
  <c r="AD56" i="8"/>
  <c r="AC56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O56" i="8"/>
  <c r="N56" i="8"/>
  <c r="M56" i="8"/>
  <c r="L56" i="8"/>
  <c r="K56" i="8"/>
  <c r="J56" i="8"/>
  <c r="I56" i="8"/>
  <c r="H56" i="8"/>
  <c r="G56" i="8"/>
  <c r="F56" i="8"/>
  <c r="E56" i="8"/>
  <c r="D56" i="8"/>
  <c r="C56" i="8"/>
  <c r="B56" i="8"/>
  <c r="AH55" i="8"/>
  <c r="AG55" i="8"/>
  <c r="AF55" i="8"/>
  <c r="AE55" i="8"/>
  <c r="AD55" i="8"/>
  <c r="AC55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O55" i="8"/>
  <c r="N55" i="8"/>
  <c r="M55" i="8"/>
  <c r="L55" i="8"/>
  <c r="K55" i="8"/>
  <c r="J55" i="8"/>
  <c r="I55" i="8"/>
  <c r="H55" i="8"/>
  <c r="G55" i="8"/>
  <c r="F55" i="8"/>
  <c r="E55" i="8"/>
  <c r="D55" i="8"/>
  <c r="C55" i="8"/>
  <c r="B55" i="8"/>
  <c r="AH54" i="8"/>
  <c r="AG54" i="8"/>
  <c r="AF54" i="8"/>
  <c r="AE54" i="8"/>
  <c r="AD54" i="8"/>
  <c r="AC54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O54" i="8"/>
  <c r="N54" i="8"/>
  <c r="M54" i="8"/>
  <c r="L54" i="8"/>
  <c r="K54" i="8"/>
  <c r="J54" i="8"/>
  <c r="I54" i="8"/>
  <c r="H54" i="8"/>
  <c r="G54" i="8"/>
  <c r="F54" i="8"/>
  <c r="D54" i="8"/>
  <c r="C54" i="8"/>
  <c r="B54" i="8"/>
  <c r="B30" i="8"/>
  <c r="C35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C31" i="8"/>
  <c r="C32" i="8"/>
  <c r="C33" i="8"/>
  <c r="C34" i="8"/>
  <c r="C36" i="8"/>
  <c r="C37" i="8"/>
  <c r="C38" i="8"/>
  <c r="C39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B36" i="8"/>
  <c r="B37" i="8"/>
  <c r="B38" i="8"/>
  <c r="B39" i="8"/>
  <c r="B34" i="8"/>
  <c r="B35" i="8"/>
  <c r="B32" i="8"/>
  <c r="B33" i="8"/>
  <c r="B31" i="8"/>
  <c r="AB76" i="5" l="1"/>
  <c r="T76" i="5"/>
  <c r="L58" i="5"/>
  <c r="D76" i="5"/>
  <c r="P59" i="5"/>
  <c r="X59" i="5"/>
  <c r="W59" i="5"/>
  <c r="G76" i="5"/>
  <c r="X58" i="5"/>
  <c r="G59" i="5"/>
  <c r="AD76" i="5"/>
  <c r="V76" i="5"/>
  <c r="N76" i="5"/>
  <c r="F76" i="5"/>
  <c r="AG76" i="5"/>
  <c r="Y59" i="5"/>
  <c r="AE76" i="5"/>
  <c r="O58" i="5"/>
  <c r="Q58" i="5"/>
  <c r="B76" i="5"/>
  <c r="AF76" i="5"/>
  <c r="I58" i="5"/>
  <c r="C76" i="5"/>
  <c r="AA76" i="5"/>
  <c r="S76" i="5"/>
  <c r="K76" i="5"/>
  <c r="H76" i="5"/>
  <c r="P58" i="5"/>
  <c r="H58" i="5"/>
  <c r="X76" i="5"/>
  <c r="P76" i="5"/>
  <c r="AH59" i="5"/>
  <c r="Z59" i="5"/>
  <c r="W76" i="5"/>
  <c r="O76" i="5"/>
  <c r="E76" i="5"/>
  <c r="L76" i="5"/>
  <c r="AC58" i="5"/>
  <c r="AB59" i="5"/>
  <c r="AH76" i="5"/>
  <c r="Z76" i="5"/>
  <c r="AC59" i="5"/>
  <c r="U59" i="5"/>
  <c r="AB58" i="5"/>
  <c r="T59" i="5"/>
  <c r="L59" i="5"/>
  <c r="C58" i="5"/>
  <c r="AG59" i="5"/>
  <c r="Y58" i="5"/>
  <c r="Q59" i="5"/>
  <c r="I59" i="5"/>
  <c r="V59" i="5"/>
  <c r="M58" i="5"/>
  <c r="W58" i="5"/>
  <c r="D59" i="5"/>
  <c r="U58" i="5"/>
  <c r="D58" i="5"/>
  <c r="C59" i="5"/>
  <c r="AA59" i="5"/>
  <c r="S59" i="5"/>
  <c r="AD59" i="5"/>
  <c r="T58" i="5"/>
  <c r="N59" i="5"/>
  <c r="F59" i="5"/>
  <c r="AE59" i="5"/>
  <c r="M59" i="5"/>
  <c r="E58" i="5"/>
  <c r="K59" i="5"/>
  <c r="R59" i="5"/>
  <c r="AF58" i="5"/>
  <c r="AE58" i="5"/>
  <c r="O59" i="5"/>
  <c r="G58" i="5"/>
  <c r="J59" i="5"/>
  <c r="AD58" i="5"/>
  <c r="V58" i="5"/>
  <c r="N58" i="5"/>
  <c r="F58" i="5"/>
  <c r="AA58" i="5"/>
  <c r="S58" i="5"/>
  <c r="K58" i="5"/>
  <c r="AH58" i="5"/>
  <c r="Z58" i="5"/>
  <c r="R58" i="5"/>
  <c r="J58" i="5"/>
  <c r="B59" i="5"/>
  <c r="B5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<sst xmlns="http://schemas.openxmlformats.org/spreadsheetml/2006/main" count="1976" uniqueCount="458">
  <si>
    <r>
      <rPr>
        <sz val="7"/>
        <rFont val="Tahoma"/>
        <family val="2"/>
      </rPr>
      <t>Algeria</t>
    </r>
  </si>
  <si>
    <r>
      <rPr>
        <sz val="7"/>
        <rFont val="Tahoma"/>
        <family val="2"/>
      </rPr>
      <t>Benin</t>
    </r>
  </si>
  <si>
    <r>
      <rPr>
        <sz val="7"/>
        <rFont val="Tahoma"/>
        <family val="2"/>
      </rPr>
      <t>Burkina Faso</t>
    </r>
  </si>
  <si>
    <r>
      <rPr>
        <sz val="7"/>
        <rFont val="Tahoma"/>
        <family val="2"/>
      </rPr>
      <t>Cabo Verde</t>
    </r>
  </si>
  <si>
    <r>
      <rPr>
        <sz val="7"/>
        <rFont val="Tahoma"/>
        <family val="2"/>
      </rPr>
      <t>Cameroon</t>
    </r>
  </si>
  <si>
    <r>
      <rPr>
        <sz val="7"/>
        <rFont val="Tahoma"/>
        <family val="2"/>
      </rPr>
      <t>Chad</t>
    </r>
  </si>
  <si>
    <r>
      <rPr>
        <sz val="7"/>
        <rFont val="Tahoma"/>
        <family val="2"/>
      </rPr>
      <t>Congo DR</t>
    </r>
  </si>
  <si>
    <r>
      <rPr>
        <sz val="7"/>
        <rFont val="Tahoma"/>
        <family val="2"/>
      </rPr>
      <t>Cote d Ivoire</t>
    </r>
  </si>
  <si>
    <r>
      <rPr>
        <sz val="7"/>
        <rFont val="Tahoma"/>
        <family val="2"/>
      </rPr>
      <t>Egypt</t>
    </r>
  </si>
  <si>
    <r>
      <rPr>
        <sz val="7"/>
        <rFont val="Tahoma"/>
        <family val="2"/>
      </rPr>
      <t>Eritrea</t>
    </r>
  </si>
  <si>
    <r>
      <rPr>
        <sz val="7"/>
        <rFont val="Tahoma"/>
        <family val="2"/>
      </rPr>
      <t>Ethiopia</t>
    </r>
  </si>
  <si>
    <r>
      <rPr>
        <sz val="7"/>
        <rFont val="Tahoma"/>
        <family val="2"/>
      </rPr>
      <t>Gambia</t>
    </r>
  </si>
  <si>
    <r>
      <rPr>
        <sz val="7"/>
        <rFont val="Tahoma"/>
        <family val="2"/>
      </rPr>
      <t>Ghana</t>
    </r>
  </si>
  <si>
    <r>
      <rPr>
        <sz val="7"/>
        <rFont val="Tahoma"/>
        <family val="2"/>
      </rPr>
      <t>Guinea</t>
    </r>
  </si>
  <si>
    <r>
      <rPr>
        <sz val="7"/>
        <rFont val="Tahoma"/>
        <family val="2"/>
      </rPr>
      <t>Guinea Bissau</t>
    </r>
  </si>
  <si>
    <r>
      <rPr>
        <sz val="7"/>
        <rFont val="Tahoma"/>
        <family val="2"/>
      </rPr>
      <t>Kenya</t>
    </r>
  </si>
  <si>
    <r>
      <rPr>
        <sz val="7"/>
        <rFont val="Tahoma"/>
        <family val="2"/>
      </rPr>
      <t>Liberia</t>
    </r>
  </si>
  <si>
    <r>
      <rPr>
        <sz val="7"/>
        <rFont val="Tahoma"/>
        <family val="2"/>
      </rPr>
      <t>Madagascar</t>
    </r>
  </si>
  <si>
    <r>
      <rPr>
        <sz val="7"/>
        <rFont val="Tahoma"/>
        <family val="2"/>
      </rPr>
      <t>Mali</t>
    </r>
  </si>
  <si>
    <r>
      <rPr>
        <sz val="7"/>
        <rFont val="Tahoma"/>
        <family val="2"/>
      </rPr>
      <t>Mauritania</t>
    </r>
  </si>
  <si>
    <r>
      <rPr>
        <sz val="7"/>
        <rFont val="Tahoma"/>
        <family val="2"/>
      </rPr>
      <t>Mozambique</t>
    </r>
  </si>
  <si>
    <r>
      <rPr>
        <sz val="7"/>
        <rFont val="Tahoma"/>
        <family val="2"/>
      </rPr>
      <t>Namibia</t>
    </r>
  </si>
  <si>
    <r>
      <rPr>
        <sz val="7"/>
        <rFont val="Tahoma"/>
        <family val="2"/>
      </rPr>
      <t>Niger</t>
    </r>
  </si>
  <si>
    <r>
      <rPr>
        <sz val="7"/>
        <rFont val="Tahoma"/>
        <family val="2"/>
      </rPr>
      <t>Nigeria</t>
    </r>
  </si>
  <si>
    <r>
      <rPr>
        <sz val="7"/>
        <rFont val="Tahoma"/>
        <family val="2"/>
      </rPr>
      <t>Rwanda</t>
    </r>
  </si>
  <si>
    <r>
      <rPr>
        <sz val="7"/>
        <rFont val="Tahoma"/>
        <family val="2"/>
      </rPr>
      <t>Senegal</t>
    </r>
  </si>
  <si>
    <r>
      <rPr>
        <sz val="7"/>
        <rFont val="Tahoma"/>
        <family val="2"/>
      </rPr>
      <t>Sierra Leone</t>
    </r>
  </si>
  <si>
    <r>
      <rPr>
        <sz val="7"/>
        <rFont val="Tahoma"/>
        <family val="2"/>
      </rPr>
      <t>South Africa</t>
    </r>
  </si>
  <si>
    <r>
      <rPr>
        <sz val="7"/>
        <rFont val="Tahoma"/>
        <family val="2"/>
      </rPr>
      <t>Tanzania</t>
    </r>
  </si>
  <si>
    <r>
      <rPr>
        <sz val="7"/>
        <rFont val="Tahoma"/>
        <family val="2"/>
      </rPr>
      <t>Togo</t>
    </r>
  </si>
  <si>
    <r>
      <rPr>
        <sz val="7"/>
        <rFont val="Tahoma"/>
        <family val="2"/>
      </rPr>
      <t>Uganda</t>
    </r>
  </si>
  <si>
    <r>
      <rPr>
        <sz val="7"/>
        <rFont val="Tahoma"/>
        <family val="2"/>
      </rPr>
      <t>Zambia</t>
    </r>
  </si>
  <si>
    <r>
      <rPr>
        <sz val="7"/>
        <rFont val="Tahoma"/>
        <family val="2"/>
      </rPr>
      <t>Zimbabwe</t>
    </r>
  </si>
  <si>
    <r>
      <rPr>
        <sz val="7"/>
        <rFont val="Tahoma"/>
        <family val="2"/>
      </rPr>
      <t>Afghanistan</t>
    </r>
  </si>
  <si>
    <r>
      <rPr>
        <sz val="7"/>
        <rFont val="Tahoma"/>
        <family val="2"/>
      </rPr>
      <t>Bangladesh</t>
    </r>
  </si>
  <si>
    <r>
      <rPr>
        <sz val="7"/>
        <rFont val="Tahoma"/>
        <family val="2"/>
      </rPr>
      <t>India</t>
    </r>
  </si>
  <si>
    <r>
      <rPr>
        <sz val="7"/>
        <rFont val="Tahoma"/>
        <family val="2"/>
      </rPr>
      <t>Indonesia</t>
    </r>
  </si>
  <si>
    <r>
      <rPr>
        <sz val="7"/>
        <rFont val="Tahoma"/>
        <family val="2"/>
      </rPr>
      <t>Malaysia</t>
    </r>
  </si>
  <si>
    <r>
      <rPr>
        <sz val="7"/>
        <rFont val="Tahoma"/>
        <family val="2"/>
      </rPr>
      <t>Maldives</t>
    </r>
  </si>
  <si>
    <r>
      <rPr>
        <sz val="7"/>
        <rFont val="Tahoma"/>
        <family val="2"/>
      </rPr>
      <t>Myanmar</t>
    </r>
  </si>
  <si>
    <r>
      <rPr>
        <sz val="7"/>
        <rFont val="Tahoma"/>
        <family val="2"/>
      </rPr>
      <t>Nepal</t>
    </r>
  </si>
  <si>
    <r>
      <rPr>
        <sz val="7"/>
        <rFont val="Tahoma"/>
        <family val="2"/>
      </rPr>
      <t>Pakistan</t>
    </r>
  </si>
  <si>
    <r>
      <rPr>
        <sz val="7"/>
        <rFont val="Tahoma"/>
        <family val="2"/>
      </rPr>
      <t>Cuba</t>
    </r>
  </si>
  <si>
    <r>
      <rPr>
        <sz val="7"/>
        <rFont val="Tahoma"/>
        <family val="2"/>
      </rPr>
      <t>El Salvador</t>
    </r>
  </si>
  <si>
    <r>
      <rPr>
        <sz val="7"/>
        <rFont val="Tahoma"/>
        <family val="2"/>
      </rPr>
      <t>Guatemala</t>
    </r>
  </si>
  <si>
    <r>
      <rPr>
        <sz val="7"/>
        <rFont val="Tahoma"/>
        <family val="2"/>
      </rPr>
      <t>Haiti</t>
    </r>
  </si>
  <si>
    <r>
      <rPr>
        <sz val="7"/>
        <rFont val="Tahoma"/>
        <family val="2"/>
      </rPr>
      <t>Honduras</t>
    </r>
  </si>
  <si>
    <r>
      <rPr>
        <sz val="7"/>
        <rFont val="Tahoma"/>
        <family val="2"/>
      </rPr>
      <t>Nicaragua</t>
    </r>
  </si>
  <si>
    <r>
      <rPr>
        <sz val="7"/>
        <rFont val="Tahoma"/>
        <family val="2"/>
      </rPr>
      <t>Puerto Rico</t>
    </r>
  </si>
  <si>
    <r>
      <rPr>
        <sz val="7"/>
        <rFont val="Tahoma"/>
        <family val="2"/>
      </rPr>
      <t>Middle East</t>
    </r>
  </si>
  <si>
    <r>
      <rPr>
        <sz val="7"/>
        <rFont val="Tahoma"/>
        <family val="2"/>
      </rPr>
      <t>Palestine</t>
    </r>
  </si>
  <si>
    <r>
      <rPr>
        <sz val="7"/>
        <rFont val="Tahoma"/>
        <family val="2"/>
      </rPr>
      <t>United Arab Em</t>
    </r>
  </si>
  <si>
    <r>
      <rPr>
        <sz val="7"/>
        <rFont val="Tahoma"/>
        <family val="2"/>
      </rPr>
      <t>Oceania</t>
    </r>
  </si>
  <si>
    <r>
      <rPr>
        <sz val="7"/>
        <rFont val="Tahoma"/>
        <family val="2"/>
      </rPr>
      <t>Fiji</t>
    </r>
  </si>
  <si>
    <r>
      <rPr>
        <sz val="7"/>
        <rFont val="Tahoma"/>
        <family val="2"/>
      </rPr>
      <t>S America</t>
    </r>
  </si>
  <si>
    <r>
      <rPr>
        <sz val="7"/>
        <rFont val="Tahoma"/>
        <family val="2"/>
      </rPr>
      <t>Bolivia</t>
    </r>
  </si>
  <si>
    <r>
      <rPr>
        <sz val="7"/>
        <rFont val="Tahoma"/>
        <family val="2"/>
      </rPr>
      <t>Brazil</t>
    </r>
  </si>
  <si>
    <r>
      <rPr>
        <sz val="7"/>
        <rFont val="Tahoma"/>
        <family val="2"/>
      </rPr>
      <t>Colombia</t>
    </r>
  </si>
  <si>
    <r>
      <rPr>
        <sz val="7"/>
        <rFont val="Tahoma"/>
        <family val="2"/>
      </rPr>
      <t>Ecuador</t>
    </r>
  </si>
  <si>
    <r>
      <rPr>
        <sz val="7"/>
        <rFont val="Tahoma"/>
        <family val="2"/>
      </rPr>
      <t>Paraguay</t>
    </r>
  </si>
  <si>
    <r>
      <rPr>
        <sz val="7"/>
        <rFont val="Tahoma"/>
        <family val="2"/>
      </rPr>
      <t>Peru</t>
    </r>
  </si>
  <si>
    <r>
      <rPr>
        <sz val="7"/>
        <rFont val="Tahoma"/>
        <family val="2"/>
      </rPr>
      <t>Uruguay</t>
    </r>
  </si>
  <si>
    <r>
      <rPr>
        <sz val="7"/>
        <rFont val="Tahoma"/>
        <family val="2"/>
      </rPr>
      <t>Venezuela</t>
    </r>
  </si>
  <si>
    <r>
      <rPr>
        <sz val="7"/>
        <rFont val="Tahoma"/>
        <family val="2"/>
      </rPr>
      <t>Angola</t>
    </r>
  </si>
  <si>
    <r>
      <rPr>
        <sz val="7"/>
        <rFont val="Tahoma"/>
        <family val="2"/>
      </rPr>
      <t>Botswana</t>
    </r>
  </si>
  <si>
    <r>
      <rPr>
        <sz val="7"/>
        <rFont val="Tahoma"/>
        <family val="2"/>
      </rPr>
      <t>Burundi</t>
    </r>
  </si>
  <si>
    <r>
      <rPr>
        <sz val="7"/>
        <rFont val="Tahoma"/>
        <family val="2"/>
      </rPr>
      <t>Cent Afr Rep</t>
    </r>
  </si>
  <si>
    <r>
      <rPr>
        <sz val="7"/>
        <rFont val="Tahoma"/>
        <family val="2"/>
      </rPr>
      <t>Comoros</t>
    </r>
  </si>
  <si>
    <r>
      <rPr>
        <sz val="7"/>
        <rFont val="Tahoma"/>
        <family val="2"/>
      </rPr>
      <t>Congo Rep</t>
    </r>
  </si>
  <si>
    <r>
      <rPr>
        <sz val="7"/>
        <rFont val="Tahoma"/>
        <family val="2"/>
      </rPr>
      <t>Eq Guinea</t>
    </r>
  </si>
  <si>
    <r>
      <rPr>
        <sz val="7"/>
        <rFont val="Tahoma"/>
        <family val="2"/>
      </rPr>
      <t>Eswatini</t>
    </r>
  </si>
  <si>
    <r>
      <rPr>
        <sz val="7"/>
        <rFont val="Tahoma"/>
        <family val="2"/>
      </rPr>
      <t>Gabon</t>
    </r>
  </si>
  <si>
    <r>
      <rPr>
        <sz val="7"/>
        <rFont val="Tahoma"/>
        <family val="2"/>
      </rPr>
      <t>Lesotho</t>
    </r>
  </si>
  <si>
    <r>
      <rPr>
        <sz val="7"/>
        <rFont val="Tahoma"/>
        <family val="2"/>
      </rPr>
      <t>Malawi</t>
    </r>
  </si>
  <si>
    <r>
      <rPr>
        <sz val="7"/>
        <rFont val="Tahoma"/>
        <family val="2"/>
      </rPr>
      <t>Mauritius</t>
    </r>
  </si>
  <si>
    <r>
      <rPr>
        <sz val="7"/>
        <rFont val="Tahoma"/>
        <family val="2"/>
      </rPr>
      <t>Morocco</t>
    </r>
  </si>
  <si>
    <r>
      <rPr>
        <sz val="7"/>
        <rFont val="Tahoma"/>
        <family val="2"/>
      </rPr>
      <t>Sao Tome Prn</t>
    </r>
  </si>
  <si>
    <r>
      <rPr>
        <sz val="7"/>
        <rFont val="Tahoma"/>
        <family val="2"/>
      </rPr>
      <t>Seychelles</t>
    </r>
  </si>
  <si>
    <r>
      <rPr>
        <sz val="7"/>
        <rFont val="Tahoma"/>
        <family val="2"/>
      </rPr>
      <t>Somalia</t>
    </r>
  </si>
  <si>
    <r>
      <rPr>
        <sz val="7"/>
        <rFont val="Tahoma"/>
        <family val="2"/>
      </rPr>
      <t>South Sudan</t>
    </r>
  </si>
  <si>
    <r>
      <rPr>
        <sz val="7"/>
        <rFont val="Tahoma"/>
        <family val="2"/>
      </rPr>
      <t>Sudan</t>
    </r>
  </si>
  <si>
    <r>
      <rPr>
        <sz val="7"/>
        <rFont val="Tahoma"/>
        <family val="2"/>
      </rPr>
      <t>Tunisia</t>
    </r>
  </si>
  <si>
    <r>
      <rPr>
        <sz val="7"/>
        <rFont val="Tahoma"/>
        <family val="2"/>
      </rPr>
      <t>Bhutan</t>
    </r>
  </si>
  <si>
    <r>
      <rPr>
        <sz val="7"/>
        <rFont val="Tahoma"/>
        <family val="2"/>
      </rPr>
      <t>Cambodia</t>
    </r>
  </si>
  <si>
    <r>
      <rPr>
        <sz val="7"/>
        <rFont val="Tahoma"/>
        <family val="2"/>
      </rPr>
      <t>Mongolia</t>
    </r>
  </si>
  <si>
    <r>
      <rPr>
        <sz val="7"/>
        <rFont val="Tahoma"/>
        <family val="2"/>
      </rPr>
      <t>Philippines</t>
    </r>
  </si>
  <si>
    <r>
      <rPr>
        <sz val="7"/>
        <rFont val="Tahoma"/>
        <family val="2"/>
      </rPr>
      <t>Sri Lanka</t>
    </r>
  </si>
  <si>
    <r>
      <rPr>
        <sz val="7"/>
        <rFont val="Tahoma"/>
        <family val="2"/>
      </rPr>
      <t>Thailand</t>
    </r>
  </si>
  <si>
    <r>
      <rPr>
        <sz val="7"/>
        <rFont val="Tahoma"/>
        <family val="2"/>
      </rPr>
      <t>Timor Leste</t>
    </r>
  </si>
  <si>
    <r>
      <rPr>
        <sz val="7"/>
        <rFont val="Tahoma"/>
        <family val="2"/>
      </rPr>
      <t>Viet Nam</t>
    </r>
  </si>
  <si>
    <r>
      <rPr>
        <sz val="7"/>
        <rFont val="Tahoma"/>
        <family val="2"/>
      </rPr>
      <t>Bahamas</t>
    </r>
  </si>
  <si>
    <r>
      <rPr>
        <sz val="7"/>
        <rFont val="Tahoma"/>
        <family val="2"/>
      </rPr>
      <t>Dominica</t>
    </r>
  </si>
  <si>
    <r>
      <rPr>
        <sz val="7"/>
        <rFont val="Tahoma"/>
        <family val="2"/>
      </rPr>
      <t>Dominican Rep</t>
    </r>
  </si>
  <si>
    <r>
      <rPr>
        <sz val="7"/>
        <rFont val="Tahoma"/>
        <family val="2"/>
      </rPr>
      <t>Panama</t>
    </r>
  </si>
  <si>
    <r>
      <rPr>
        <sz val="7"/>
        <rFont val="Tahoma"/>
        <family val="2"/>
      </rPr>
      <t>Jordan</t>
    </r>
  </si>
  <si>
    <r>
      <rPr>
        <sz val="7"/>
        <rFont val="Tahoma"/>
        <family val="2"/>
      </rPr>
      <t>Yemen</t>
    </r>
  </si>
  <si>
    <r>
      <rPr>
        <sz val="7"/>
        <rFont val="Tahoma"/>
        <family val="2"/>
      </rPr>
      <t>Nauru</t>
    </r>
  </si>
  <si>
    <r>
      <rPr>
        <sz val="7"/>
        <rFont val="Tahoma"/>
        <family val="2"/>
      </rPr>
      <t>Papua N Guin</t>
    </r>
  </si>
  <si>
    <r>
      <rPr>
        <sz val="7"/>
        <rFont val="Tahoma"/>
        <family val="2"/>
      </rPr>
      <t>Samoa</t>
    </r>
  </si>
  <si>
    <r>
      <rPr>
        <sz val="7"/>
        <rFont val="Tahoma"/>
        <family val="2"/>
      </rPr>
      <t>Vanuatu</t>
    </r>
  </si>
  <si>
    <r>
      <rPr>
        <sz val="7"/>
        <rFont val="Tahoma"/>
        <family val="2"/>
      </rPr>
      <t>Argentina</t>
    </r>
  </si>
  <si>
    <r>
      <rPr>
        <sz val="7"/>
        <rFont val="Tahoma"/>
        <family val="2"/>
      </rPr>
      <t>Chile</t>
    </r>
  </si>
  <si>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</si>
  <si>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</si>
  <si>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</si>
  <si>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</si>
  <si>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</si>
  <si>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</si>
  <si>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</si>
  <si>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</si>
  <si>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</si>
  <si>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</si>
  <si>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</si>
  <si>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</si>
  <si>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</si>
  <si>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</si>
  <si>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</si>
  <si>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</si>
  <si>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</si>
  <si>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</si>
  <si>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</si>
  <si>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</si>
  <si>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</si>
  <si>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</si>
  <si>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</si>
  <si>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</si>
  <si>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</si>
  <si>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</si>
  <si>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</si>
  <si>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</si>
  <si>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</si>
  <si>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</si>
  <si>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</si>
  <si>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</si>
  <si>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</si>
  <si>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</si>
  <si>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</si>
  <si>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</si>
  <si>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</si>
  <si>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</si>
  <si>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</si>
  <si>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</si>
  <si>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</si>
  <si>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</si>
  <si>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</si>
  <si>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</si>
  <si>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</si>
  <si>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</si>
  <si>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</si>
  <si>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</si>
  <si>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</si>
  <si>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</si>
  <si>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</si>
  <si>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</si>
  <si>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</si>
  <si>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</si>
  <si>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</si>
  <si>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</si>
  <si>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</si>
  <si>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</si>
  <si>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</si>
  <si>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</si>
  <si>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</si>
  <si>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</si>
  <si>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</si>
  <si>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</si>
  <si>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</si>
  <si>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</si>
  <si>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</si>
  <si>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</si>
  <si>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</si>
  <si>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</si>
  <si>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</si>
  <si>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</si>
  <si>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</si>
  <si>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</si>
  <si>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</si>
  <si>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</si>
  <si>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</si>
  <si>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</si>
  <si>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</si>
  <si>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</si>
  <si>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</si>
  <si>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</si>
  <si>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</si>
  <si>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</si>
  <si>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</si>
  <si>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</si>
  <si>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</si>
  <si>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</si>
  <si>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</si>
  <si>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</si>
  <si>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</si>
  <si>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</si>
  <si>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</si>
  <si>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</si>
  <si>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</si>
  <si>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</si>
  <si>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</si>
  <si>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</si>
  <si>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</si>
  <si>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</si>
  <si>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</si>
  <si>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</si>
  <si>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</si>
  <si>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</si>
  <si>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</si>
  <si>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</si>
  <si>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</si>
  <si>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</si>
  <si>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</si>
  <si>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</si>
  <si>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</si>
  <si>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</si>
  <si>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</si>
  <si>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</si>
  <si>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</si>
  <si>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</si>
  <si>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</si>
  <si>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</si>
  <si>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</si>
  <si>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</si>
  <si>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</si>
  <si>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</si>
  <si>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</si>
  <si>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</si>
  <si>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</si>
  <si>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</si>
  <si>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</si>
  <si>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</si>
  <si>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</si>
  <si>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</si>
  <si>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</si>
  <si>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</si>
  <si>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</si>
  <si>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</si>
  <si>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</si>
  <si>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</si>
  <si>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</si>
  <si>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</si>
  <si>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</si>
  <si>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</si>
  <si>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</si>
  <si>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</si>
  <si>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</si>
  <si>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</si>
  <si>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</si>
  <si>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</si>
  <si>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</si>
  <si>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</si>
  <si>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</si>
  <si>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</si>
  <si>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</si>
  <si>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</si>
  <si>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</si>
  <si>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</si>
  <si>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</si>
  <si>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</si>
  <si>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</si>
  <si>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</si>
  <si>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</si>
  <si>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</si>
  <si>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</si>
  <si>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</si>
  <si>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</si>
  <si>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</si>
  <si>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</si>
  <si>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</si>
  <si>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</si>
  <si>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</si>
  <si>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</si>
  <si>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</si>
  <si>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</si>
  <si>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</si>
  <si>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</si>
  <si>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</si>
  <si>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</si>
  <si>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</si>
  <si>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</si>
  <si>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</si>
  <si>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</si>
  <si>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</si>
  <si>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</si>
  <si>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</si>
  <si>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</si>
  <si>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</si>
  <si>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</si>
  <si>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</si>
  <si>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</si>
  <si>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</si>
  <si>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</si>
  <si>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</si>
  <si>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</si>
  <si>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</si>
  <si>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</si>
  <si>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</si>
  <si>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</si>
  <si>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</si>
  <si>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</si>
  <si>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</si>
  <si>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</si>
  <si>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</si>
  <si>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</si>
  <si>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</si>
  <si>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</si>
  <si>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</si>
  <si>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</si>
  <si>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</si>
  <si>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</si>
  <si>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</si>
  <si>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</si>
  <si>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</si>
  <si>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</si>
  <si>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</si>
  <si>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</si>
  <si>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</si>
  <si>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</si>
  <si>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</si>
  <si>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</si>
  <si>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</si>
  <si>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</si>
  <si>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</si>
  <si>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</si>
  <si>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</si>
  <si>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</si>
  <si>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</si>
  <si>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</si>
  <si>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</si>
  <si>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</si>
  <si>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</si>
  <si>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</si>
  <si>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</si>
  <si>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</si>
  <si>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</si>
  <si>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</si>
  <si>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</si>
  <si>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</si>
  <si>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</si>
  <si>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</si>
  <si>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</si>
  <si>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</si>
  <si>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</si>
  <si>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</si>
  <si>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</si>
  <si>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</si>
  <si>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</si>
  <si>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</si>
  <si>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</si>
  <si>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</si>
  <si>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</si>
  <si>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</si>
  <si>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</si>
  <si>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</si>
  <si>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</si>
  <si>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</si>
  <si>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</si>
  <si>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</si>
  <si>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</si>
  <si>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</si>
  <si>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</si>
  <si>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</si>
  <si>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</si>
  <si>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</si>
  <si>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</si>
  <si>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</si>
  <si>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</si>
  <si>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</si>
  <si>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</si>
  <si>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</si>
  <si>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Congo DR</t>
  </si>
  <si>
    <t>Cote d Ivoire</t>
  </si>
  <si>
    <t>Egypt</t>
  </si>
  <si>
    <t>Gambia</t>
  </si>
  <si>
    <t>Guinea Bissau</t>
  </si>
  <si>
    <t>Middle East</t>
  </si>
  <si>
    <t>Palestine</t>
  </si>
  <si>
    <t>United Arab Em</t>
  </si>
  <si>
    <t>S America</t>
  </si>
  <si>
    <t>Venezuela</t>
  </si>
  <si>
    <t>Sum of 2016</t>
  </si>
  <si>
    <t>Sum of 2018</t>
  </si>
  <si>
    <t>Grand Total</t>
  </si>
  <si>
    <t>Column1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</si>
  <si>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</si>
  <si>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</si>
  <si>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</si>
  <si>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</si>
  <si>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</si>
  <si>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</si>
  <si>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</si>
  <si>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</si>
  <si>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</si>
  <si>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</si>
  <si>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Sum of 2010</t>
  </si>
  <si>
    <t>Sum of 2011</t>
  </si>
  <si>
    <t>Sum of 2012</t>
  </si>
  <si>
    <t>Sum of 2013</t>
  </si>
  <si>
    <t>Sum of 2014</t>
  </si>
  <si>
    <t>Sum of 2015</t>
  </si>
  <si>
    <t>Sum of 2017</t>
  </si>
  <si>
    <t>Sum of 2019</t>
  </si>
  <si>
    <t>Column Labels</t>
  </si>
  <si>
    <t>Values</t>
  </si>
  <si>
    <t>GDP</t>
  </si>
  <si>
    <t>GDP/Capita</t>
  </si>
  <si>
    <r>
      <rPr>
        <b/>
        <sz val="7"/>
        <rFont val="Tahoma"/>
        <family val="2"/>
      </rPr>
      <t>Algeria</t>
    </r>
  </si>
  <si>
    <r>
      <rPr>
        <b/>
        <sz val="7"/>
        <rFont val="Tahoma"/>
        <family val="2"/>
      </rPr>
      <t>Benin</t>
    </r>
  </si>
  <si>
    <r>
      <rPr>
        <b/>
        <sz val="7"/>
        <rFont val="Tahoma"/>
        <family val="2"/>
      </rPr>
      <t>Burkina Faso</t>
    </r>
  </si>
  <si>
    <r>
      <rPr>
        <b/>
        <sz val="7"/>
        <rFont val="Tahoma"/>
        <family val="2"/>
      </rPr>
      <t>Cabo Verde</t>
    </r>
  </si>
  <si>
    <r>
      <rPr>
        <b/>
        <sz val="7"/>
        <rFont val="Tahoma"/>
        <family val="2"/>
      </rPr>
      <t>Cameroon</t>
    </r>
  </si>
  <si>
    <r>
      <rPr>
        <b/>
        <sz val="7"/>
        <rFont val="Tahoma"/>
        <family val="2"/>
      </rPr>
      <t>Chad</t>
    </r>
  </si>
  <si>
    <r>
      <rPr>
        <b/>
        <sz val="7"/>
        <rFont val="Tahoma"/>
        <family val="2"/>
      </rPr>
      <t>Congo DR</t>
    </r>
  </si>
  <si>
    <r>
      <rPr>
        <b/>
        <sz val="7"/>
        <rFont val="Tahoma"/>
        <family val="2"/>
      </rPr>
      <t>Cote d Ivoire</t>
    </r>
  </si>
  <si>
    <r>
      <rPr>
        <b/>
        <sz val="7"/>
        <rFont val="Tahoma"/>
        <family val="2"/>
      </rPr>
      <t>Egypt</t>
    </r>
  </si>
  <si>
    <r>
      <rPr>
        <b/>
        <sz val="7"/>
        <rFont val="Tahoma"/>
        <family val="2"/>
      </rPr>
      <t>Eritrea</t>
    </r>
  </si>
  <si>
    <r>
      <rPr>
        <b/>
        <sz val="7"/>
        <rFont val="Tahoma"/>
        <family val="2"/>
      </rPr>
      <t>Ethiopia</t>
    </r>
  </si>
  <si>
    <r>
      <rPr>
        <b/>
        <sz val="7"/>
        <rFont val="Tahoma"/>
        <family val="2"/>
      </rPr>
      <t>Gambia</t>
    </r>
  </si>
  <si>
    <r>
      <rPr>
        <b/>
        <sz val="7"/>
        <rFont val="Tahoma"/>
        <family val="2"/>
      </rPr>
      <t>Ghana</t>
    </r>
  </si>
  <si>
    <r>
      <rPr>
        <b/>
        <sz val="7"/>
        <rFont val="Tahoma"/>
        <family val="2"/>
      </rPr>
      <t>Guinea</t>
    </r>
  </si>
  <si>
    <r>
      <rPr>
        <b/>
        <sz val="7"/>
        <rFont val="Tahoma"/>
        <family val="2"/>
      </rPr>
      <t>Guinea Bissau</t>
    </r>
  </si>
  <si>
    <r>
      <rPr>
        <b/>
        <sz val="7"/>
        <rFont val="Tahoma"/>
        <family val="2"/>
      </rPr>
      <t>Kenya</t>
    </r>
  </si>
  <si>
    <r>
      <rPr>
        <b/>
        <sz val="7"/>
        <rFont val="Tahoma"/>
        <family val="2"/>
      </rPr>
      <t>Liberia</t>
    </r>
  </si>
  <si>
    <r>
      <rPr>
        <b/>
        <sz val="7"/>
        <rFont val="Tahoma"/>
        <family val="2"/>
      </rPr>
      <t>Madagascar</t>
    </r>
  </si>
  <si>
    <r>
      <rPr>
        <b/>
        <sz val="7"/>
        <rFont val="Tahoma"/>
        <family val="2"/>
      </rPr>
      <t>Mali</t>
    </r>
  </si>
  <si>
    <r>
      <rPr>
        <b/>
        <sz val="7"/>
        <rFont val="Tahoma"/>
        <family val="2"/>
      </rPr>
      <t>Mauritania</t>
    </r>
  </si>
  <si>
    <r>
      <rPr>
        <b/>
        <sz val="7"/>
        <rFont val="Tahoma"/>
        <family val="2"/>
      </rPr>
      <t>Mozambique</t>
    </r>
  </si>
  <si>
    <r>
      <rPr>
        <b/>
        <sz val="7"/>
        <rFont val="Tahoma"/>
        <family val="2"/>
      </rPr>
      <t>Namibia</t>
    </r>
  </si>
  <si>
    <r>
      <rPr>
        <b/>
        <sz val="7"/>
        <rFont val="Tahoma"/>
        <family val="2"/>
      </rPr>
      <t>Niger</t>
    </r>
  </si>
  <si>
    <r>
      <rPr>
        <b/>
        <sz val="7"/>
        <rFont val="Tahoma"/>
        <family val="2"/>
      </rPr>
      <t>Nigeria</t>
    </r>
  </si>
  <si>
    <r>
      <rPr>
        <b/>
        <sz val="7"/>
        <rFont val="Tahoma"/>
        <family val="2"/>
      </rPr>
      <t>Rwanda</t>
    </r>
  </si>
  <si>
    <r>
      <rPr>
        <b/>
        <sz val="7"/>
        <rFont val="Tahoma"/>
        <family val="2"/>
      </rPr>
      <t>Senegal</t>
    </r>
  </si>
  <si>
    <r>
      <rPr>
        <b/>
        <sz val="7"/>
        <rFont val="Tahoma"/>
        <family val="2"/>
      </rPr>
      <t>Sierra Leone</t>
    </r>
  </si>
  <si>
    <r>
      <rPr>
        <b/>
        <sz val="7"/>
        <rFont val="Tahoma"/>
        <family val="2"/>
      </rPr>
      <t>South Africa</t>
    </r>
  </si>
  <si>
    <r>
      <rPr>
        <b/>
        <sz val="7"/>
        <rFont val="Tahoma"/>
        <family val="2"/>
      </rPr>
      <t>Tanzania</t>
    </r>
  </si>
  <si>
    <r>
      <rPr>
        <b/>
        <sz val="7"/>
        <rFont val="Tahoma"/>
        <family val="2"/>
      </rPr>
      <t>Togo</t>
    </r>
  </si>
  <si>
    <r>
      <rPr>
        <b/>
        <sz val="7"/>
        <rFont val="Tahoma"/>
        <family val="2"/>
      </rPr>
      <t>Uganda</t>
    </r>
  </si>
  <si>
    <r>
      <rPr>
        <b/>
        <sz val="7"/>
        <rFont val="Tahoma"/>
        <family val="2"/>
      </rPr>
      <t>Zambia</t>
    </r>
  </si>
  <si>
    <r>
      <rPr>
        <b/>
        <sz val="7"/>
        <rFont val="Tahoma"/>
        <family val="2"/>
      </rPr>
      <t>Zimbabwe</t>
    </r>
  </si>
  <si>
    <t>Pearson %/el and installed capacity</t>
  </si>
  <si>
    <t>Pearson %/el and installed capacity/year</t>
  </si>
  <si>
    <t>Country</t>
  </si>
  <si>
    <t>2010 - IRENA</t>
  </si>
  <si>
    <t>2011 - IRENA</t>
  </si>
  <si>
    <t>2012 - IRENA</t>
  </si>
  <si>
    <t>2013 - IRENA</t>
  </si>
  <si>
    <t>2014 - IRENA</t>
  </si>
  <si>
    <t>2015 - IRENA</t>
  </si>
  <si>
    <t>2016 - IRENA</t>
  </si>
  <si>
    <t>2017 - IRENA</t>
  </si>
  <si>
    <t>2018 - IRENA</t>
  </si>
  <si>
    <t>2019 - IRENA</t>
  </si>
  <si>
    <t>Accumulated PV IRENA (All PV)</t>
  </si>
  <si>
    <t>Congo Dem. Rep.</t>
  </si>
  <si>
    <t>Ointressant</t>
  </si>
  <si>
    <t>Installed SHS 2019</t>
  </si>
  <si>
    <t>Electrification 2019</t>
  </si>
  <si>
    <t>Congo</t>
  </si>
  <si>
    <t>Roughly the share of SHS in total capacity IRENA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</si>
</sst>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0000"/>
    <numFmt numFmtId="166" formatCode="_(&quot;£&quot;* #,##0_);_(&quot;£&quot;* \(#,##0\);_(&quot;£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name val="Tahoma"/>
      <family val="2"/>
    </font>
    <font>
      <sz val="7"/>
      <color rgb="FF000000"/>
      <name val="Tahoma"/>
      <family val="2"/>
    </font>
    <font>
      <b/>
      <sz val="7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164" fontId="3" fillId="0" borderId="0" xfId="0" applyNumberFormat="1" applyFont="1" applyAlignment="1">
      <alignment horizontal="right" vertical="top" shrinkToFit="1"/>
    </xf>
    <xf numFmtId="164" fontId="3" fillId="0" borderId="0" xfId="0" applyNumberFormat="1" applyFont="1" applyAlignment="1">
      <alignment horizontal="right" vertical="top" indent="1" shrinkToFit="1"/>
    </xf>
    <xf numFmtId="0" fontId="0" fillId="0" borderId="0" xfId="0" applyAlignment="1">
      <alignment horizontal="left" vertical="center" wrapText="1"/>
    </xf>
    <xf numFmtId="1" fontId="3" fillId="0" borderId="0" xfId="0" applyNumberFormat="1" applyFont="1" applyAlignment="1">
      <alignment horizontal="right" vertical="top" shrinkToFit="1"/>
    </xf>
    <xf numFmtId="1" fontId="3" fillId="0" borderId="0" xfId="0" applyNumberFormat="1" applyFont="1" applyAlignment="1">
      <alignment horizontal="right" vertical="top" indent="1" shrinkToFit="1"/>
    </xf>
    <xf numFmtId="0" fontId="2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 shrinkToFit="1"/>
    </xf>
    <xf numFmtId="164" fontId="3" fillId="0" borderId="0" xfId="0" applyNumberFormat="1" applyFont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 shrinkToFit="1"/>
    </xf>
    <xf numFmtId="11" fontId="0" fillId="0" borderId="0" xfId="0" applyNumberFormat="1"/>
    <xf numFmtId="166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3" fillId="0" borderId="0" xfId="0" applyNumberFormat="1" applyFont="1" applyAlignment="1">
      <alignment vertical="top" shrinkToFi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" fontId="3" fillId="0" borderId="0" xfId="0" applyNumberFormat="1" applyFont="1" applyAlignment="1">
      <alignment vertical="top" shrinkToFit="1"/>
    </xf>
    <xf numFmtId="0" fontId="2" fillId="0" borderId="0" xfId="0" applyFont="1" applyAlignment="1">
      <alignment vertical="top" wrapText="1"/>
    </xf>
    <xf numFmtId="164" fontId="0" fillId="0" borderId="0" xfId="0" applyNumberFormat="1" applyAlignment="1">
      <alignment horizontal="left" wrapText="1"/>
    </xf>
    <xf numFmtId="0" fontId="1" fillId="0" borderId="2" xfId="0" applyFont="1" applyBorder="1"/>
    <xf numFmtId="0" fontId="1" fillId="0" borderId="1" xfId="0" applyFont="1" applyBorder="1"/>
    <xf numFmtId="0" fontId="4" fillId="0" borderId="1" xfId="0" applyFont="1" applyBorder="1" applyAlignment="1">
      <alignment vertical="top" wrapText="1"/>
    </xf>
    <xf numFmtId="1" fontId="3" fillId="2" borderId="1" xfId="0" applyNumberFormat="1" applyFont="1" applyFill="1" applyBorder="1" applyAlignment="1">
      <alignment horizontal="right" vertical="top" shrinkToFit="1"/>
    </xf>
    <xf numFmtId="164" fontId="0" fillId="2" borderId="1" xfId="0" applyNumberFormat="1" applyFill="1" applyBorder="1" applyAlignment="1">
      <alignment horizontal="left" wrapText="1"/>
    </xf>
    <xf numFmtId="1" fontId="3" fillId="2" borderId="0" xfId="0" applyNumberFormat="1" applyFont="1" applyFill="1" applyAlignment="1">
      <alignment vertical="top" shrinkToFit="1"/>
    </xf>
    <xf numFmtId="1" fontId="3" fillId="2" borderId="0" xfId="0" applyNumberFormat="1" applyFont="1" applyFill="1" applyAlignment="1">
      <alignment horizontal="right" vertical="top" indent="1" shrinkToFit="1"/>
    </xf>
    <xf numFmtId="1" fontId="3" fillId="0" borderId="3" xfId="0" applyNumberFormat="1" applyFont="1" applyBorder="1" applyAlignment="1">
      <alignment horizontal="right" vertical="top" shrinkToFit="1"/>
    </xf>
    <xf numFmtId="0" fontId="4" fillId="0" borderId="2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10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scheme val="none"/>
      </font>
      <alignment horizontal="general" vertical="top" textRotation="0" wrapText="1" indent="0" justifyLastLine="0" shrinkToFit="0" readingOrder="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ahoma"/>
        <family val="2"/>
        <scheme val="none"/>
      </font>
      <numFmt numFmtId="164" formatCode="0.000"/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ahoma"/>
        <family val="2"/>
        <scheme val="none"/>
      </font>
      <numFmt numFmtId="164" formatCode="0.000"/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ahoma"/>
        <family val="2"/>
        <scheme val="none"/>
      </font>
      <numFmt numFmtId="164" formatCode="0.000"/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ahoma"/>
        <family val="2"/>
        <scheme val="none"/>
      </font>
      <numFmt numFmtId="164" formatCode="0.000"/>
      <alignment horizontal="right" vertical="top" textRotation="0" wrapText="0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ahoma"/>
        <family val="2"/>
        <scheme val="none"/>
      </font>
      <numFmt numFmtId="164" formatCode="0.000"/>
      <alignment horizontal="right" vertical="top" textRotation="0" wrapText="0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ahoma"/>
        <family val="2"/>
        <scheme val="none"/>
      </font>
      <numFmt numFmtId="164" formatCode="0.000"/>
      <alignment horizontal="right" vertical="top" textRotation="0" wrapText="0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ahoma"/>
        <family val="2"/>
        <scheme val="none"/>
      </font>
      <numFmt numFmtId="164" formatCode="0.000"/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ahoma"/>
        <family val="2"/>
        <scheme val="none"/>
      </font>
      <numFmt numFmtId="164" formatCode="0.000"/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ahoma"/>
        <family val="2"/>
        <scheme val="none"/>
      </font>
      <numFmt numFmtId="164" formatCode="0.000"/>
      <alignment horizontal="general" vertical="top" textRotation="0" wrapText="0" indent="0" justifyLastLine="0" shrinkToFit="1" readingOrder="0"/>
    </dxf>
    <dxf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scheme val="none"/>
      </font>
      <alignment horizontal="general" vertical="top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scheme val="none"/>
      </font>
      <alignment horizontal="general" vertical="top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numFmt numFmtId="164" formatCode="0.000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ahoma"/>
        <family val="2"/>
        <scheme val="none"/>
      </font>
      <numFmt numFmtId="1" formatCode="0"/>
      <alignment horizontal="center" vertical="center" textRotation="0" wrapText="1" indent="0" justifyLastLine="0" shrinkToFit="1" readingOrder="0"/>
    </dxf>
    <dxf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scheme val="none"/>
      </font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PivotTable Style 1" table="0" count="0" xr9:uid="{6B306303-FF7A-41DA-A14F-1842B35D72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The pearson coeffecient between installed capacity</a:t>
            </a:r>
            <a:r>
              <a:rPr lang="it-IT" baseline="0"/>
              <a:t> of PV Mini-grids and GDP and GDP/capita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Mini-grid GDP'!$A$42</c:f>
              <c:strCache>
                <c:ptCount val="1"/>
                <c:pt idx="0">
                  <c:v>GDP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'Analysis Mini-grid GDP'!$B$41:$AH$41</c:f>
              <c:strCache>
                <c:ptCount val="33"/>
                <c:pt idx="0">
                  <c:v>Algeria</c:v>
                </c:pt>
                <c:pt idx="1">
                  <c:v>Benin</c:v>
                </c:pt>
                <c:pt idx="2">
                  <c:v>Burkina Faso</c:v>
                </c:pt>
                <c:pt idx="3">
                  <c:v>Cabo Verde</c:v>
                </c:pt>
                <c:pt idx="4">
                  <c:v>Cameroon</c:v>
                </c:pt>
                <c:pt idx="5">
                  <c:v>Chad</c:v>
                </c:pt>
                <c:pt idx="6">
                  <c:v>Congo, Dem. Rep.</c:v>
                </c:pt>
                <c:pt idx="7">
                  <c:v>Cote d'Ivoire</c:v>
                </c:pt>
                <c:pt idx="8">
                  <c:v>Egypt, Arab Rep.</c:v>
                </c:pt>
                <c:pt idx="9">
                  <c:v>Eritrea</c:v>
                </c:pt>
                <c:pt idx="10">
                  <c:v>Ethiopia</c:v>
                </c:pt>
                <c:pt idx="11">
                  <c:v>Gambia, The</c:v>
                </c:pt>
                <c:pt idx="12">
                  <c:v>Ghana</c:v>
                </c:pt>
                <c:pt idx="13">
                  <c:v>Guinea</c:v>
                </c:pt>
                <c:pt idx="14">
                  <c:v>Guinea-Bissau</c:v>
                </c:pt>
                <c:pt idx="15">
                  <c:v>Kenya</c:v>
                </c:pt>
                <c:pt idx="16">
                  <c:v>Liberia</c:v>
                </c:pt>
                <c:pt idx="17">
                  <c:v>Madagascar</c:v>
                </c:pt>
                <c:pt idx="18">
                  <c:v>Mali</c:v>
                </c:pt>
                <c:pt idx="19">
                  <c:v>Mauritania</c:v>
                </c:pt>
                <c:pt idx="20">
                  <c:v>Mozambique</c:v>
                </c:pt>
                <c:pt idx="21">
                  <c:v>Namibia</c:v>
                </c:pt>
                <c:pt idx="22">
                  <c:v>Niger</c:v>
                </c:pt>
                <c:pt idx="23">
                  <c:v>Nigeria</c:v>
                </c:pt>
                <c:pt idx="24">
                  <c:v>Rwanda</c:v>
                </c:pt>
                <c:pt idx="25">
                  <c:v>Senegal</c:v>
                </c:pt>
                <c:pt idx="26">
                  <c:v>Sierra Leone</c:v>
                </c:pt>
                <c:pt idx="27">
                  <c:v>South Africa</c:v>
                </c:pt>
                <c:pt idx="28">
                  <c:v>Tanzania</c:v>
                </c:pt>
                <c:pt idx="29">
                  <c:v>Togo</c:v>
                </c:pt>
                <c:pt idx="30">
                  <c:v>Uganda</c:v>
                </c:pt>
                <c:pt idx="31">
                  <c:v>Zambia</c:v>
                </c:pt>
                <c:pt idx="32">
                  <c:v>Zimbabwe</c:v>
                </c:pt>
              </c:strCache>
            </c:strRef>
          </c:cat>
          <c:val>
            <c:numRef>
              <c:f>'Analysis Mini-grid GDP'!$B$42:$AH$42</c:f>
              <c:numCache>
                <c:formatCode>General</c:formatCode>
                <c:ptCount val="33"/>
                <c:pt idx="0">
                  <c:v>-0.62728018698348975</c:v>
                </c:pt>
                <c:pt idx="1">
                  <c:v>0.6959982597868084</c:v>
                </c:pt>
                <c:pt idx="2">
                  <c:v>0.70766288596084914</c:v>
                </c:pt>
                <c:pt idx="3">
                  <c:v>3.5896313314988409E-2</c:v>
                </c:pt>
                <c:pt idx="4">
                  <c:v>0.81190012233813169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-0.17513202026670738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0.9587587261717756</c:v>
                </c:pt>
                <c:pt idx="13">
                  <c:v>0</c:v>
                </c:pt>
                <c:pt idx="14">
                  <c:v>0.84845127157484512</c:v>
                </c:pt>
                <c:pt idx="15">
                  <c:v>0.80336356952953225</c:v>
                </c:pt>
                <c:pt idx="16">
                  <c:v>-0.21354165524721375</c:v>
                </c:pt>
                <c:pt idx="17">
                  <c:v>0.75533574128978165</c:v>
                </c:pt>
                <c:pt idx="18">
                  <c:v>0.88554853206779871</c:v>
                </c:pt>
                <c:pt idx="19">
                  <c:v>0.58610331609789934</c:v>
                </c:pt>
                <c:pt idx="20">
                  <c:v>-0.3967346363348806</c:v>
                </c:pt>
                <c:pt idx="21">
                  <c:v>-0.15399981245545605</c:v>
                </c:pt>
                <c:pt idx="22">
                  <c:v>0.94862769267364033</c:v>
                </c:pt>
                <c:pt idx="23">
                  <c:v>-0.67599268513935673</c:v>
                </c:pt>
                <c:pt idx="24">
                  <c:v>0.97274567483246255</c:v>
                </c:pt>
                <c:pt idx="25">
                  <c:v>0.89292031877522759</c:v>
                </c:pt>
                <c:pt idx="26">
                  <c:v>-0.49821257524998952</c:v>
                </c:pt>
                <c:pt idx="27">
                  <c:v>7.0634996508650936E-3</c:v>
                </c:pt>
                <c:pt idx="28">
                  <c:v>0.88644823779537851</c:v>
                </c:pt>
                <c:pt idx="29">
                  <c:v>0.99269283051117518</c:v>
                </c:pt>
                <c:pt idx="30">
                  <c:v>0.86009270475263044</c:v>
                </c:pt>
                <c:pt idx="31">
                  <c:v>0.65939697550328269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9-4655-96AF-CA474CE46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930928"/>
        <c:axId val="106929680"/>
      </c:barChart>
      <c:scatterChart>
        <c:scatterStyle val="lineMarker"/>
        <c:varyColors val="0"/>
        <c:ser>
          <c:idx val="1"/>
          <c:order val="1"/>
          <c:tx>
            <c:strRef>
              <c:f>'Analysis Mini-grid GDP'!$A$43</c:f>
              <c:strCache>
                <c:ptCount val="1"/>
                <c:pt idx="0">
                  <c:v>GDP/Capita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'Analysis Mini-grid GDP'!$B$41:$AH$41</c:f>
              <c:strCache>
                <c:ptCount val="33"/>
                <c:pt idx="0">
                  <c:v>Algeria</c:v>
                </c:pt>
                <c:pt idx="1">
                  <c:v>Benin</c:v>
                </c:pt>
                <c:pt idx="2">
                  <c:v>Burkina Faso</c:v>
                </c:pt>
                <c:pt idx="3">
                  <c:v>Cabo Verde</c:v>
                </c:pt>
                <c:pt idx="4">
                  <c:v>Cameroon</c:v>
                </c:pt>
                <c:pt idx="5">
                  <c:v>Chad</c:v>
                </c:pt>
                <c:pt idx="6">
                  <c:v>Congo, Dem. Rep.</c:v>
                </c:pt>
                <c:pt idx="7">
                  <c:v>Cote d'Ivoire</c:v>
                </c:pt>
                <c:pt idx="8">
                  <c:v>Egypt, Arab Rep.</c:v>
                </c:pt>
                <c:pt idx="9">
                  <c:v>Eritrea</c:v>
                </c:pt>
                <c:pt idx="10">
                  <c:v>Ethiopia</c:v>
                </c:pt>
                <c:pt idx="11">
                  <c:v>Gambia, The</c:v>
                </c:pt>
                <c:pt idx="12">
                  <c:v>Ghana</c:v>
                </c:pt>
                <c:pt idx="13">
                  <c:v>Guinea</c:v>
                </c:pt>
                <c:pt idx="14">
                  <c:v>Guinea-Bissau</c:v>
                </c:pt>
                <c:pt idx="15">
                  <c:v>Kenya</c:v>
                </c:pt>
                <c:pt idx="16">
                  <c:v>Liberia</c:v>
                </c:pt>
                <c:pt idx="17">
                  <c:v>Madagascar</c:v>
                </c:pt>
                <c:pt idx="18">
                  <c:v>Mali</c:v>
                </c:pt>
                <c:pt idx="19">
                  <c:v>Mauritania</c:v>
                </c:pt>
                <c:pt idx="20">
                  <c:v>Mozambique</c:v>
                </c:pt>
                <c:pt idx="21">
                  <c:v>Namibia</c:v>
                </c:pt>
                <c:pt idx="22">
                  <c:v>Niger</c:v>
                </c:pt>
                <c:pt idx="23">
                  <c:v>Nigeria</c:v>
                </c:pt>
                <c:pt idx="24">
                  <c:v>Rwanda</c:v>
                </c:pt>
                <c:pt idx="25">
                  <c:v>Senegal</c:v>
                </c:pt>
                <c:pt idx="26">
                  <c:v>Sierra Leone</c:v>
                </c:pt>
                <c:pt idx="27">
                  <c:v>South Africa</c:v>
                </c:pt>
                <c:pt idx="28">
                  <c:v>Tanzania</c:v>
                </c:pt>
                <c:pt idx="29">
                  <c:v>Togo</c:v>
                </c:pt>
                <c:pt idx="30">
                  <c:v>Uganda</c:v>
                </c:pt>
                <c:pt idx="31">
                  <c:v>Zambia</c:v>
                </c:pt>
                <c:pt idx="32">
                  <c:v>Zimbabwe</c:v>
                </c:pt>
              </c:strCache>
            </c:strRef>
          </c:xVal>
          <c:yVal>
            <c:numRef>
              <c:f>'Analysis Mini-grid GDP'!$B$43:$AH$43</c:f>
              <c:numCache>
                <c:formatCode>General</c:formatCode>
                <c:ptCount val="33"/>
                <c:pt idx="0">
                  <c:v>-0.82244717023590364</c:v>
                </c:pt>
                <c:pt idx="1">
                  <c:v>0.6347885608622702</c:v>
                </c:pt>
                <c:pt idx="2">
                  <c:v>0.603652334262339</c:v>
                </c:pt>
                <c:pt idx="3">
                  <c:v>-0.36814212399417262</c:v>
                </c:pt>
                <c:pt idx="4">
                  <c:v>0.51016056978791546</c:v>
                </c:pt>
                <c:pt idx="5">
                  <c:v>0</c:v>
                </c:pt>
                <c:pt idx="6">
                  <c:v>1</c:v>
                </c:pt>
                <c:pt idx="7">
                  <c:v>2.9887315792219765E-15</c:v>
                </c:pt>
                <c:pt idx="8">
                  <c:v>-0.32940148488362869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0.89384932501629721</c:v>
                </c:pt>
                <c:pt idx="13">
                  <c:v>0</c:v>
                </c:pt>
                <c:pt idx="14">
                  <c:v>0.75412328285157793</c:v>
                </c:pt>
                <c:pt idx="15">
                  <c:v>0.80820447461998246</c:v>
                </c:pt>
                <c:pt idx="16">
                  <c:v>-0.67172393622662452</c:v>
                </c:pt>
                <c:pt idx="17">
                  <c:v>8.6565123634491925E-3</c:v>
                </c:pt>
                <c:pt idx="18">
                  <c:v>0.59622743241450704</c:v>
                </c:pt>
                <c:pt idx="19">
                  <c:v>0.20058951394866373</c:v>
                </c:pt>
                <c:pt idx="20">
                  <c:v>-0.53267841913141778</c:v>
                </c:pt>
                <c:pt idx="21">
                  <c:v>-0.6348099661381551</c:v>
                </c:pt>
                <c:pt idx="22">
                  <c:v>0.6049285193829772</c:v>
                </c:pt>
                <c:pt idx="23">
                  <c:v>-0.8565006346972045</c:v>
                </c:pt>
                <c:pt idx="24">
                  <c:v>0.95190088740813517</c:v>
                </c:pt>
                <c:pt idx="25">
                  <c:v>0.58281114379055321</c:v>
                </c:pt>
                <c:pt idx="26">
                  <c:v>-0.62680902006419081</c:v>
                </c:pt>
                <c:pt idx="27">
                  <c:v>-0.25081548399210457</c:v>
                </c:pt>
                <c:pt idx="28">
                  <c:v>0.6452658475506996</c:v>
                </c:pt>
                <c:pt idx="29">
                  <c:v>0.99441871770626578</c:v>
                </c:pt>
                <c:pt idx="30">
                  <c:v>-0.33504898681407846</c:v>
                </c:pt>
                <c:pt idx="31">
                  <c:v>0.32669283276948757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99-4655-96AF-CA474CE46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30928"/>
        <c:axId val="106929680"/>
      </c:scatterChart>
      <c:catAx>
        <c:axId val="10693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06929680"/>
        <c:crosses val="autoZero"/>
        <c:auto val="1"/>
        <c:lblAlgn val="ctr"/>
        <c:lblOffset val="300"/>
        <c:tickLblSkip val="1"/>
        <c:noMultiLvlLbl val="0"/>
      </c:catAx>
      <c:valAx>
        <c:axId val="10692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06930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5400000" vert="horz"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Mini-grid GDP'!$A$58</c:f>
              <c:strCache>
                <c:ptCount val="1"/>
                <c:pt idx="0">
                  <c:v>GDP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'Analysis Mini-grid GDP'!$B$57:$AH$57</c:f>
              <c:strCache>
                <c:ptCount val="33"/>
                <c:pt idx="0">
                  <c:v>Algeria</c:v>
                </c:pt>
                <c:pt idx="1">
                  <c:v>Benin</c:v>
                </c:pt>
                <c:pt idx="2">
                  <c:v>Burkina Faso</c:v>
                </c:pt>
                <c:pt idx="3">
                  <c:v>Cabo Verde</c:v>
                </c:pt>
                <c:pt idx="4">
                  <c:v>Cameroon</c:v>
                </c:pt>
                <c:pt idx="5">
                  <c:v>Chad</c:v>
                </c:pt>
                <c:pt idx="6">
                  <c:v>Congo, Dem. Rep.</c:v>
                </c:pt>
                <c:pt idx="7">
                  <c:v>Cote d'Ivoire</c:v>
                </c:pt>
                <c:pt idx="8">
                  <c:v>Egypt, Arab Rep.</c:v>
                </c:pt>
                <c:pt idx="9">
                  <c:v>Eritrea</c:v>
                </c:pt>
                <c:pt idx="10">
                  <c:v>Ethiopia</c:v>
                </c:pt>
                <c:pt idx="11">
                  <c:v>Gambia, The</c:v>
                </c:pt>
                <c:pt idx="12">
                  <c:v>Ghana</c:v>
                </c:pt>
                <c:pt idx="13">
                  <c:v>Guinea</c:v>
                </c:pt>
                <c:pt idx="14">
                  <c:v>Guinea-Bissau</c:v>
                </c:pt>
                <c:pt idx="15">
                  <c:v>Kenya</c:v>
                </c:pt>
                <c:pt idx="16">
                  <c:v>Liberia</c:v>
                </c:pt>
                <c:pt idx="17">
                  <c:v>Madagascar</c:v>
                </c:pt>
                <c:pt idx="18">
                  <c:v>Mali</c:v>
                </c:pt>
                <c:pt idx="19">
                  <c:v>Mauritania</c:v>
                </c:pt>
                <c:pt idx="20">
                  <c:v>Mozambique</c:v>
                </c:pt>
                <c:pt idx="21">
                  <c:v>Namibia</c:v>
                </c:pt>
                <c:pt idx="22">
                  <c:v>Niger</c:v>
                </c:pt>
                <c:pt idx="23">
                  <c:v>Nigeria</c:v>
                </c:pt>
                <c:pt idx="24">
                  <c:v>Rwanda</c:v>
                </c:pt>
                <c:pt idx="25">
                  <c:v>Senegal</c:v>
                </c:pt>
                <c:pt idx="26">
                  <c:v>Sierra Leone</c:v>
                </c:pt>
                <c:pt idx="27">
                  <c:v>South Africa</c:v>
                </c:pt>
                <c:pt idx="28">
                  <c:v>Tanzania</c:v>
                </c:pt>
                <c:pt idx="29">
                  <c:v>Togo</c:v>
                </c:pt>
                <c:pt idx="30">
                  <c:v>Uganda</c:v>
                </c:pt>
                <c:pt idx="31">
                  <c:v>Zambia</c:v>
                </c:pt>
                <c:pt idx="32">
                  <c:v>Zimbabwe</c:v>
                </c:pt>
              </c:strCache>
            </c:strRef>
          </c:cat>
          <c:val>
            <c:numRef>
              <c:f>'Analysis Mini-grid GDP'!$B$58:$AH$58</c:f>
              <c:numCache>
                <c:formatCode>General</c:formatCode>
                <c:ptCount val="33"/>
                <c:pt idx="0">
                  <c:v>-0.45924434718143065</c:v>
                </c:pt>
                <c:pt idx="1">
                  <c:v>-4.5931400657584283E-2</c:v>
                </c:pt>
                <c:pt idx="2">
                  <c:v>0.6117962452299327</c:v>
                </c:pt>
                <c:pt idx="3">
                  <c:v>-0.38080837681086305</c:v>
                </c:pt>
                <c:pt idx="4">
                  <c:v>0.53060573442434855</c:v>
                </c:pt>
                <c:pt idx="5">
                  <c:v>-0.17143673225626591</c:v>
                </c:pt>
                <c:pt idx="6">
                  <c:v>0.5183002065622988</c:v>
                </c:pt>
                <c:pt idx="7">
                  <c:v>-1.3589258613737385E-2</c:v>
                </c:pt>
                <c:pt idx="8">
                  <c:v>0.44336937255556436</c:v>
                </c:pt>
                <c:pt idx="9">
                  <c:v>0</c:v>
                </c:pt>
                <c:pt idx="10">
                  <c:v>0.35846105704446962</c:v>
                </c:pt>
                <c:pt idx="11">
                  <c:v>-0.22206259637603312</c:v>
                </c:pt>
                <c:pt idx="12">
                  <c:v>0.43109098078940961</c:v>
                </c:pt>
                <c:pt idx="13">
                  <c:v>0.70887462800917711</c:v>
                </c:pt>
                <c:pt idx="14">
                  <c:v>0.56080006885523115</c:v>
                </c:pt>
                <c:pt idx="15">
                  <c:v>0.29267441380060405</c:v>
                </c:pt>
                <c:pt idx="16">
                  <c:v>0.38607453683982107</c:v>
                </c:pt>
                <c:pt idx="17">
                  <c:v>0.39795999126167686</c:v>
                </c:pt>
                <c:pt idx="18">
                  <c:v>-0.19262679511829572</c:v>
                </c:pt>
                <c:pt idx="19">
                  <c:v>-0.11651564034419935</c:v>
                </c:pt>
                <c:pt idx="20">
                  <c:v>0.35930178486427738</c:v>
                </c:pt>
                <c:pt idx="21">
                  <c:v>0.12212051354294118</c:v>
                </c:pt>
                <c:pt idx="22">
                  <c:v>0.54569529073205092</c:v>
                </c:pt>
                <c:pt idx="23">
                  <c:v>4.9403720350825447E-3</c:v>
                </c:pt>
                <c:pt idx="24">
                  <c:v>8.9203587315455926E-2</c:v>
                </c:pt>
                <c:pt idx="25">
                  <c:v>0.10852494265413699</c:v>
                </c:pt>
                <c:pt idx="26">
                  <c:v>-7.2943128076519259E-2</c:v>
                </c:pt>
                <c:pt idx="27">
                  <c:v>-9.1011460978510081E-2</c:v>
                </c:pt>
                <c:pt idx="28">
                  <c:v>0.30418697614798745</c:v>
                </c:pt>
                <c:pt idx="29">
                  <c:v>0.57944450917578516</c:v>
                </c:pt>
                <c:pt idx="30">
                  <c:v>0.18281356521298681</c:v>
                </c:pt>
                <c:pt idx="31">
                  <c:v>0.11961239327714893</c:v>
                </c:pt>
                <c:pt idx="32">
                  <c:v>0.36412366700254944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3A-4146-ABCD-EA2D3510AC47}"/>
            </c:ext>
          </c:extLst>
        </c:ser>
        <c:ser>
          <c:idx val="1"/>
          <c:order val="1"/>
          <c:tx>
            <c:strRef>
              <c:f>'Analysis Mini-grid GDP'!$A$59</c:f>
              <c:strCache>
                <c:ptCount val="1"/>
                <c:pt idx="0">
                  <c:v>GDP/Capita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'Analysis Mini-grid GDP'!$B$57:$AH$57</c:f>
              <c:strCache>
                <c:ptCount val="33"/>
                <c:pt idx="0">
                  <c:v>Algeria</c:v>
                </c:pt>
                <c:pt idx="1">
                  <c:v>Benin</c:v>
                </c:pt>
                <c:pt idx="2">
                  <c:v>Burkina Faso</c:v>
                </c:pt>
                <c:pt idx="3">
                  <c:v>Cabo Verde</c:v>
                </c:pt>
                <c:pt idx="4">
                  <c:v>Cameroon</c:v>
                </c:pt>
                <c:pt idx="5">
                  <c:v>Chad</c:v>
                </c:pt>
                <c:pt idx="6">
                  <c:v>Congo, Dem. Rep.</c:v>
                </c:pt>
                <c:pt idx="7">
                  <c:v>Cote d'Ivoire</c:v>
                </c:pt>
                <c:pt idx="8">
                  <c:v>Egypt, Arab Rep.</c:v>
                </c:pt>
                <c:pt idx="9">
                  <c:v>Eritrea</c:v>
                </c:pt>
                <c:pt idx="10">
                  <c:v>Ethiopia</c:v>
                </c:pt>
                <c:pt idx="11">
                  <c:v>Gambia, The</c:v>
                </c:pt>
                <c:pt idx="12">
                  <c:v>Ghana</c:v>
                </c:pt>
                <c:pt idx="13">
                  <c:v>Guinea</c:v>
                </c:pt>
                <c:pt idx="14">
                  <c:v>Guinea-Bissau</c:v>
                </c:pt>
                <c:pt idx="15">
                  <c:v>Kenya</c:v>
                </c:pt>
                <c:pt idx="16">
                  <c:v>Liberia</c:v>
                </c:pt>
                <c:pt idx="17">
                  <c:v>Madagascar</c:v>
                </c:pt>
                <c:pt idx="18">
                  <c:v>Mali</c:v>
                </c:pt>
                <c:pt idx="19">
                  <c:v>Mauritania</c:v>
                </c:pt>
                <c:pt idx="20">
                  <c:v>Mozambique</c:v>
                </c:pt>
                <c:pt idx="21">
                  <c:v>Namibia</c:v>
                </c:pt>
                <c:pt idx="22">
                  <c:v>Niger</c:v>
                </c:pt>
                <c:pt idx="23">
                  <c:v>Nigeria</c:v>
                </c:pt>
                <c:pt idx="24">
                  <c:v>Rwanda</c:v>
                </c:pt>
                <c:pt idx="25">
                  <c:v>Senegal</c:v>
                </c:pt>
                <c:pt idx="26">
                  <c:v>Sierra Leone</c:v>
                </c:pt>
                <c:pt idx="27">
                  <c:v>South Africa</c:v>
                </c:pt>
                <c:pt idx="28">
                  <c:v>Tanzania</c:v>
                </c:pt>
                <c:pt idx="29">
                  <c:v>Togo</c:v>
                </c:pt>
                <c:pt idx="30">
                  <c:v>Uganda</c:v>
                </c:pt>
                <c:pt idx="31">
                  <c:v>Zambia</c:v>
                </c:pt>
                <c:pt idx="32">
                  <c:v>Zimbabwe</c:v>
                </c:pt>
              </c:strCache>
            </c:strRef>
          </c:cat>
          <c:val>
            <c:numRef>
              <c:f>'Analysis Mini-grid GDP'!$B$59:$AH$59</c:f>
              <c:numCache>
                <c:formatCode>General</c:formatCode>
                <c:ptCount val="33"/>
                <c:pt idx="0">
                  <c:v>-0.42909099963819891</c:v>
                </c:pt>
                <c:pt idx="1">
                  <c:v>-0.33521438317693225</c:v>
                </c:pt>
                <c:pt idx="2">
                  <c:v>0.32043764507255612</c:v>
                </c:pt>
                <c:pt idx="3">
                  <c:v>-0.50376644668126502</c:v>
                </c:pt>
                <c:pt idx="4">
                  <c:v>0.34034268283632541</c:v>
                </c:pt>
                <c:pt idx="5">
                  <c:v>-0.16390607991868175</c:v>
                </c:pt>
                <c:pt idx="6">
                  <c:v>0.50339730057560295</c:v>
                </c:pt>
                <c:pt idx="7">
                  <c:v>-2.8558722941176357E-2</c:v>
                </c:pt>
                <c:pt idx="8">
                  <c:v>0.44168609287875166</c:v>
                </c:pt>
                <c:pt idx="9">
                  <c:v>0</c:v>
                </c:pt>
                <c:pt idx="10">
                  <c:v>0.33646227770421139</c:v>
                </c:pt>
                <c:pt idx="11">
                  <c:v>-0.3028886066976082</c:v>
                </c:pt>
                <c:pt idx="12">
                  <c:v>0.35372020952465116</c:v>
                </c:pt>
                <c:pt idx="13">
                  <c:v>0.72204636502318076</c:v>
                </c:pt>
                <c:pt idx="14">
                  <c:v>0.55317870505361866</c:v>
                </c:pt>
                <c:pt idx="15">
                  <c:v>0.30168134180312095</c:v>
                </c:pt>
                <c:pt idx="16">
                  <c:v>0.22393830631438549</c:v>
                </c:pt>
                <c:pt idx="17">
                  <c:v>-0.17111680742021682</c:v>
                </c:pt>
                <c:pt idx="18">
                  <c:v>-0.17731284138827139</c:v>
                </c:pt>
                <c:pt idx="19">
                  <c:v>-9.8393990563922742E-2</c:v>
                </c:pt>
                <c:pt idx="20">
                  <c:v>0.41898898221936304</c:v>
                </c:pt>
                <c:pt idx="21">
                  <c:v>0.32598196110898875</c:v>
                </c:pt>
                <c:pt idx="22">
                  <c:v>0.40396607468724066</c:v>
                </c:pt>
                <c:pt idx="23">
                  <c:v>-0.26299481155780136</c:v>
                </c:pt>
                <c:pt idx="24">
                  <c:v>0.12530441213302634</c:v>
                </c:pt>
                <c:pt idx="25">
                  <c:v>0.22210071165156212</c:v>
                </c:pt>
                <c:pt idx="26">
                  <c:v>-0.16433231735302209</c:v>
                </c:pt>
                <c:pt idx="27">
                  <c:v>-0.16791503225058629</c:v>
                </c:pt>
                <c:pt idx="28">
                  <c:v>0.31074064063096579</c:v>
                </c:pt>
                <c:pt idx="29">
                  <c:v>0.59533876795302165</c:v>
                </c:pt>
                <c:pt idx="30">
                  <c:v>0.3549816298276568</c:v>
                </c:pt>
                <c:pt idx="31">
                  <c:v>-0.26963054996576796</c:v>
                </c:pt>
                <c:pt idx="32">
                  <c:v>0.35820881655248987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3A-4146-ABCD-EA2D3510A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555632"/>
        <c:axId val="93561456"/>
      </c:barChart>
      <c:catAx>
        <c:axId val="9355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93561456"/>
        <c:crosses val="autoZero"/>
        <c:auto val="1"/>
        <c:lblAlgn val="ctr"/>
        <c:lblOffset val="100"/>
        <c:tickLblSkip val="1"/>
        <c:noMultiLvlLbl val="0"/>
      </c:catAx>
      <c:valAx>
        <c:axId val="9356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9355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'Analysis Mini-grid GDP'!$T$1</c:f>
              <c:strCache>
                <c:ptCount val="1"/>
                <c:pt idx="0">
                  <c:v>Mali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'Analysis Mini-grid GDP'!$A$14:$A$23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'Analysis Mini-grid GDP'!$T$2:$T$11</c:f>
              <c:numCache>
                <c:formatCode>0.000</c:formatCode>
                <c:ptCount val="10"/>
                <c:pt idx="0">
                  <c:v>0.45400000000000001</c:v>
                </c:pt>
                <c:pt idx="1">
                  <c:v>0.87</c:v>
                </c:pt>
                <c:pt idx="2">
                  <c:v>1.1719999999999999</c:v>
                </c:pt>
                <c:pt idx="3">
                  <c:v>3.05</c:v>
                </c:pt>
                <c:pt idx="4">
                  <c:v>3.38</c:v>
                </c:pt>
                <c:pt idx="5">
                  <c:v>4.2220000000000004</c:v>
                </c:pt>
                <c:pt idx="6">
                  <c:v>4.3079999999999998</c:v>
                </c:pt>
                <c:pt idx="7">
                  <c:v>5.6859999999999999</c:v>
                </c:pt>
                <c:pt idx="8">
                  <c:v>5.7969999999999997</c:v>
                </c:pt>
                <c:pt idx="9">
                  <c:v>5.9290000000000003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71-4B4A-B795-E69B60FDB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4002031"/>
        <c:axId val="1073986223"/>
      </c:lineChart>
      <c:lineChart>
        <c:grouping val="standard"/>
        <c:varyColors val="0"/>
        <c:ser>
          <c:idx val="1"/>
          <c:order val="1"/>
          <c:tx>
            <c:strRef>
              <c:f>'Analysis Mini-grid GDP'!$T$13</c:f>
              <c:strCache>
                <c:ptCount val="1"/>
                <c:pt idx="0">
                  <c:v>Mali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'Analysis Mini-grid GDP'!$A$14:$A$23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'Analysis Mini-grid GDP'!$T$14:$T$23</c:f>
              <c:numCache>
                <c:formatCode>General</c:formatCode>
                <c:ptCount val="10"/>
                <c:pt idx="0">
                  <c:v>10689167195</c:v>
                </c:pt>
                <c:pt idx="1">
                  <c:v>12995113407</c:v>
                </c:pt>
                <c:pt idx="2">
                  <c:v>12442036265</c:v>
                </c:pt>
                <c:pt idx="3">
                  <c:v>13242691430</c:v>
                </c:pt>
                <c:pt idx="4">
                  <c:v>14364937997</c:v>
                </c:pt>
                <c:pt idx="5">
                  <c:v>13104764334</c:v>
                </c:pt>
                <c:pt idx="6">
                  <c:v>14026048691</c:v>
                </c:pt>
                <c:pt idx="7">
                  <c:v>15365714371</c:v>
                </c:pt>
                <c:pt idx="8">
                  <c:v>17070866299</c:v>
                </c:pt>
                <c:pt idx="9">
                  <c:v>17280251194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71-4B4A-B795-E69B60FDB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042448"/>
        <c:axId val="118049104"/>
      </c:lineChart>
      <c:catAx>
        <c:axId val="107400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073986223"/>
        <c:crosses val="autoZero"/>
        <c:auto val="1"/>
        <c:lblAlgn val="ctr"/>
        <c:lblOffset val="100"/>
        <c:noMultiLvlLbl val="0"/>
      </c:catAx>
      <c:valAx>
        <c:axId val="10739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074002031"/>
        <c:crosses val="autoZero"/>
        <c:crossBetween val="between"/>
      </c:valAx>
      <c:valAx>
        <c:axId val="1180491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18042448"/>
        <c:crosses val="max"/>
        <c:crossBetween val="between"/>
      </c:valAx>
      <c:catAx>
        <c:axId val="118042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049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'Analysis Mini-grid GDP'!$B$79:$AH$79</c:f>
              <c:strCache>
                <c:ptCount val="33"/>
                <c:pt idx="0">
                  <c:v>Algeria</c:v>
                </c:pt>
                <c:pt idx="1">
                  <c:v>Benin</c:v>
                </c:pt>
                <c:pt idx="2">
                  <c:v>Burkina Faso</c:v>
                </c:pt>
                <c:pt idx="3">
                  <c:v>Cabo Verde</c:v>
                </c:pt>
                <c:pt idx="4">
                  <c:v>Cameroon</c:v>
                </c:pt>
                <c:pt idx="5">
                  <c:v>Chad</c:v>
                </c:pt>
                <c:pt idx="6">
                  <c:v>Congo Dem. Rep.</c:v>
                </c:pt>
                <c:pt idx="7">
                  <c:v>Cote d'Ivoire</c:v>
                </c:pt>
                <c:pt idx="8">
                  <c:v>Egypt</c:v>
                </c:pt>
                <c:pt idx="9">
                  <c:v>Eritrea</c:v>
                </c:pt>
                <c:pt idx="10">
                  <c:v>Ethiopia</c:v>
                </c:pt>
                <c:pt idx="11">
                  <c:v>Gambia</c:v>
                </c:pt>
                <c:pt idx="12">
                  <c:v>Ghana</c:v>
                </c:pt>
                <c:pt idx="13">
                  <c:v>Guinea</c:v>
                </c:pt>
                <c:pt idx="14">
                  <c:v>Guinea Bissau</c:v>
                </c:pt>
                <c:pt idx="15">
                  <c:v>Kenya</c:v>
                </c:pt>
                <c:pt idx="16">
                  <c:v>Liberia</c:v>
                </c:pt>
                <c:pt idx="17">
                  <c:v>Madagascar</c:v>
                </c:pt>
                <c:pt idx="18">
                  <c:v>Mali</c:v>
                </c:pt>
                <c:pt idx="19">
                  <c:v>Mauritania</c:v>
                </c:pt>
                <c:pt idx="20">
                  <c:v>Mozambique</c:v>
                </c:pt>
                <c:pt idx="21">
                  <c:v>Namibia</c:v>
                </c:pt>
                <c:pt idx="22">
                  <c:v>Niger</c:v>
                </c:pt>
                <c:pt idx="23">
                  <c:v>Nigeria</c:v>
                </c:pt>
                <c:pt idx="24">
                  <c:v>Rwanda</c:v>
                </c:pt>
                <c:pt idx="25">
                  <c:v>Senegal</c:v>
                </c:pt>
                <c:pt idx="26">
                  <c:v>Sierra Leone</c:v>
                </c:pt>
                <c:pt idx="27">
                  <c:v>South Africa</c:v>
                </c:pt>
                <c:pt idx="28">
                  <c:v>Tanzania</c:v>
                </c:pt>
                <c:pt idx="29">
                  <c:v>Togo</c:v>
                </c:pt>
                <c:pt idx="30">
                  <c:v>Uganda</c:v>
                </c:pt>
                <c:pt idx="31">
                  <c:v>Zambia</c:v>
                </c:pt>
                <c:pt idx="32">
                  <c:v>Zimbabwe</c:v>
                </c:pt>
              </c:strCache>
            </c:strRef>
          </c:cat>
          <c:val>
            <c:numRef>
              <c:f>'Analysis Mini-grid GDP'!$B$96:$AH$96</c:f>
              <c:numCache>
                <c:formatCode>General</c:formatCode>
                <c:ptCount val="33"/>
                <c:pt idx="0">
                  <c:v>0.51796690307328608</c:v>
                </c:pt>
                <c:pt idx="1">
                  <c:v>0.26200000000000001</c:v>
                </c:pt>
                <c:pt idx="2">
                  <c:v>1.2629032258064516E-2</c:v>
                </c:pt>
                <c:pt idx="3">
                  <c:v>2.325E-2</c:v>
                </c:pt>
                <c:pt idx="4">
                  <c:v>1.703642857142857</c:v>
                </c:pt>
                <c:pt idx="5">
                  <c:v>0</c:v>
                </c:pt>
                <c:pt idx="6">
                  <c:v>5.6599999999999998E-2</c:v>
                </c:pt>
                <c:pt idx="7">
                  <c:v>1.6769230769230769E-2</c:v>
                </c:pt>
                <c:pt idx="8">
                  <c:v>6.2035344302254717E-3</c:v>
                </c:pt>
                <c:pt idx="9">
                  <c:v>0.13</c:v>
                </c:pt>
                <c:pt idx="10">
                  <c:v>1.4999999999999998E-3</c:v>
                </c:pt>
                <c:pt idx="11">
                  <c:v>0.03</c:v>
                </c:pt>
                <c:pt idx="12">
                  <c:v>1.119047619047619E-2</c:v>
                </c:pt>
                <c:pt idx="13">
                  <c:v>5.9230769230769233E-3</c:v>
                </c:pt>
                <c:pt idx="14">
                  <c:v>0.92</c:v>
                </c:pt>
                <c:pt idx="15">
                  <c:v>1.6547169811320754E-2</c:v>
                </c:pt>
                <c:pt idx="16">
                  <c:v>8.4666666666666668E-2</c:v>
                </c:pt>
                <c:pt idx="17">
                  <c:v>1.3647058823529413E-2</c:v>
                </c:pt>
                <c:pt idx="18">
                  <c:v>0.31205263157894736</c:v>
                </c:pt>
                <c:pt idx="19">
                  <c:v>1.7386363636363636E-3</c:v>
                </c:pt>
                <c:pt idx="20">
                  <c:v>2.4199999999999999E-2</c:v>
                </c:pt>
                <c:pt idx="21">
                  <c:v>3.4068965517241377E-3</c:v>
                </c:pt>
                <c:pt idx="22">
                  <c:v>6.1111111111111114E-3</c:v>
                </c:pt>
                <c:pt idx="23">
                  <c:v>9.0642857142857136E-2</c:v>
                </c:pt>
                <c:pt idx="24">
                  <c:v>0.11629032258064516</c:v>
                </c:pt>
                <c:pt idx="25">
                  <c:v>1.2961290322580645E-2</c:v>
                </c:pt>
                <c:pt idx="26">
                  <c:v>4.9500000000000002E-2</c:v>
                </c:pt>
                <c:pt idx="27">
                  <c:v>7.4914869466515327E-6</c:v>
                </c:pt>
                <c:pt idx="28">
                  <c:v>1.8769230769230767E-2</c:v>
                </c:pt>
                <c:pt idx="29">
                  <c:v>0.23333333333333331</c:v>
                </c:pt>
                <c:pt idx="30">
                  <c:v>3.0707317073170728E-2</c:v>
                </c:pt>
                <c:pt idx="31">
                  <c:v>1.9270833333333334E-3</c:v>
                </c:pt>
                <c:pt idx="32">
                  <c:v>9.0000000000000011E-3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5-4DF1-B32D-ED1A5B15C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505328"/>
        <c:axId val="314502416"/>
      </c:barChart>
      <c:catAx>
        <c:axId val="31450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314502416"/>
        <c:crosses val="autoZero"/>
        <c:auto val="1"/>
        <c:lblAlgn val="ctr"/>
        <c:lblOffset val="100"/>
        <c:tickLblSkip val="1"/>
        <c:noMultiLvlLbl val="0"/>
      </c:catAx>
      <c:valAx>
        <c:axId val="31450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31450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SHS GDP'!$A$59</c:f>
              <c:strCache>
                <c:ptCount val="1"/>
                <c:pt idx="0">
                  <c:v>Installed SHS 2019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'Analysis SHS GDP'!$B$58:$AZ$58</c:f>
              <c:strCache>
                <c:ptCount val="51"/>
                <c:pt idx="0">
                  <c:v>Angola</c:v>
                </c:pt>
                <c:pt idx="1">
                  <c:v>Benin</c:v>
                </c:pt>
                <c:pt idx="2">
                  <c:v>Botswana</c:v>
                </c:pt>
                <c:pt idx="3">
                  <c:v>Burkina Faso</c:v>
                </c:pt>
                <c:pt idx="4">
                  <c:v>Burundi</c:v>
                </c:pt>
                <c:pt idx="5">
                  <c:v>Cabo Verde</c:v>
                </c:pt>
                <c:pt idx="6">
                  <c:v>Cameroon</c:v>
                </c:pt>
                <c:pt idx="7">
                  <c:v>Central African Republic</c:v>
                </c:pt>
                <c:pt idx="8">
                  <c:v>Chad</c:v>
                </c:pt>
                <c:pt idx="9">
                  <c:v>Comoros</c:v>
                </c:pt>
                <c:pt idx="10">
                  <c:v>Congo, Dem. Rep.</c:v>
                </c:pt>
                <c:pt idx="11">
                  <c:v>Congo, Rep.</c:v>
                </c:pt>
                <c:pt idx="12">
                  <c:v>Cote d'Ivoire</c:v>
                </c:pt>
                <c:pt idx="13">
                  <c:v>Egypt, Arab Rep.</c:v>
                </c:pt>
                <c:pt idx="14">
                  <c:v>Equatorial Guinea</c:v>
                </c:pt>
                <c:pt idx="15">
                  <c:v>Eritrea</c:v>
                </c:pt>
                <c:pt idx="16">
                  <c:v>Eswatini</c:v>
                </c:pt>
                <c:pt idx="17">
                  <c:v>Ethiopia</c:v>
                </c:pt>
                <c:pt idx="18">
                  <c:v>Gabon</c:v>
                </c:pt>
                <c:pt idx="19">
                  <c:v>Gambia, The</c:v>
                </c:pt>
                <c:pt idx="20">
                  <c:v>Ghana</c:v>
                </c:pt>
                <c:pt idx="21">
                  <c:v>Guinea</c:v>
                </c:pt>
                <c:pt idx="22">
                  <c:v>Guinea-Bissau</c:v>
                </c:pt>
                <c:pt idx="23">
                  <c:v>Kenya</c:v>
                </c:pt>
                <c:pt idx="24">
                  <c:v>Lesotho</c:v>
                </c:pt>
                <c:pt idx="25">
                  <c:v>Liberia</c:v>
                </c:pt>
                <c:pt idx="26">
                  <c:v>Madagascar</c:v>
                </c:pt>
                <c:pt idx="27">
                  <c:v>Malawi</c:v>
                </c:pt>
                <c:pt idx="28">
                  <c:v>Mali</c:v>
                </c:pt>
                <c:pt idx="29">
                  <c:v>Mauritania</c:v>
                </c:pt>
                <c:pt idx="30">
                  <c:v>Mauritius</c:v>
                </c:pt>
                <c:pt idx="31">
                  <c:v>Morocco</c:v>
                </c:pt>
                <c:pt idx="32">
                  <c:v>Mozambique</c:v>
                </c:pt>
                <c:pt idx="33">
                  <c:v>Namibia</c:v>
                </c:pt>
                <c:pt idx="34">
                  <c:v>Niger</c:v>
                </c:pt>
                <c:pt idx="35">
                  <c:v>Nigeria</c:v>
                </c:pt>
                <c:pt idx="36">
                  <c:v>Rwanda</c:v>
                </c:pt>
                <c:pt idx="37">
                  <c:v>Sao Tome and Principe</c:v>
                </c:pt>
                <c:pt idx="38">
                  <c:v>Senegal</c:v>
                </c:pt>
                <c:pt idx="39">
                  <c:v>Seychelles</c:v>
                </c:pt>
                <c:pt idx="40">
                  <c:v>Sierra Leone</c:v>
                </c:pt>
                <c:pt idx="41">
                  <c:v>Somalia</c:v>
                </c:pt>
                <c:pt idx="42">
                  <c:v>South Africa</c:v>
                </c:pt>
                <c:pt idx="43">
                  <c:v>South Sudan</c:v>
                </c:pt>
                <c:pt idx="44">
                  <c:v>Sudan</c:v>
                </c:pt>
                <c:pt idx="45">
                  <c:v>Tanzania</c:v>
                </c:pt>
                <c:pt idx="46">
                  <c:v>Togo</c:v>
                </c:pt>
                <c:pt idx="47">
                  <c:v>Tunisia</c:v>
                </c:pt>
                <c:pt idx="48">
                  <c:v>Uganda</c:v>
                </c:pt>
                <c:pt idx="49">
                  <c:v>Zambia</c:v>
                </c:pt>
                <c:pt idx="50">
                  <c:v>Zimbabwe</c:v>
                </c:pt>
              </c:strCache>
            </c:strRef>
          </c:cat>
          <c:val>
            <c:numRef>
              <c:f>'Analysis SHS GDP'!$B$59:$AZ$59</c:f>
              <c:numCache>
                <c:formatCode>0.000</c:formatCode>
                <c:ptCount val="51"/>
                <c:pt idx="0">
                  <c:v>4.3999999999999997E-2</c:v>
                </c:pt>
                <c:pt idx="1">
                  <c:v>1.1379999999999999</c:v>
                </c:pt>
                <c:pt idx="2">
                  <c:v>3.6999999999999998E-2</c:v>
                </c:pt>
                <c:pt idx="3">
                  <c:v>1.5</c:v>
                </c:pt>
                <c:pt idx="4">
                  <c:v>0.04</c:v>
                </c:pt>
                <c:pt idx="5">
                  <c:v>8.1000000000000003E-2</c:v>
                </c:pt>
                <c:pt idx="6">
                  <c:v>1.621</c:v>
                </c:pt>
                <c:pt idx="7">
                  <c:v>4.2000000000000003E-2</c:v>
                </c:pt>
                <c:pt idx="8">
                  <c:v>5.3999999999999999E-2</c:v>
                </c:pt>
                <c:pt idx="9">
                  <c:v>3.5000000000000003E-2</c:v>
                </c:pt>
                <c:pt idx="10">
                  <c:v>1.528</c:v>
                </c:pt>
                <c:pt idx="11">
                  <c:v>3.6999999999999998E-2</c:v>
                </c:pt>
                <c:pt idx="12">
                  <c:v>3.1749999999999998</c:v>
                </c:pt>
                <c:pt idx="13">
                  <c:v>4.8890000000000002</c:v>
                </c:pt>
                <c:pt idx="14">
                  <c:v>7.5999999999999998E-2</c:v>
                </c:pt>
                <c:pt idx="15">
                  <c:v>3.5000000000000003E-2</c:v>
                </c:pt>
                <c:pt idx="16">
                  <c:v>3.6999999999999998E-2</c:v>
                </c:pt>
                <c:pt idx="17">
                  <c:v>11.445</c:v>
                </c:pt>
                <c:pt idx="18">
                  <c:v>4.2000000000000003E-2</c:v>
                </c:pt>
                <c:pt idx="19">
                  <c:v>7.4999999999999997E-2</c:v>
                </c:pt>
                <c:pt idx="20">
                  <c:v>1.2969999999999999</c:v>
                </c:pt>
                <c:pt idx="21">
                  <c:v>0.153</c:v>
                </c:pt>
                <c:pt idx="22">
                  <c:v>0.33500000000000002</c:v>
                </c:pt>
                <c:pt idx="23">
                  <c:v>39.418999999999997</c:v>
                </c:pt>
                <c:pt idx="24">
                  <c:v>3.6999999999999998E-2</c:v>
                </c:pt>
                <c:pt idx="25">
                  <c:v>0.20100000000000001</c:v>
                </c:pt>
                <c:pt idx="26">
                  <c:v>2.5609999999999999</c:v>
                </c:pt>
                <c:pt idx="27">
                  <c:v>0.96699999999999997</c:v>
                </c:pt>
                <c:pt idx="28">
                  <c:v>1.571</c:v>
                </c:pt>
                <c:pt idx="29">
                  <c:v>8.1000000000000003E-2</c:v>
                </c:pt>
                <c:pt idx="30">
                  <c:v>0.502</c:v>
                </c:pt>
                <c:pt idx="31">
                  <c:v>15.856999999999999</c:v>
                </c:pt>
                <c:pt idx="32">
                  <c:v>0.17799999999999999</c:v>
                </c:pt>
                <c:pt idx="33">
                  <c:v>0.115</c:v>
                </c:pt>
                <c:pt idx="34">
                  <c:v>0.34499999999999997</c:v>
                </c:pt>
                <c:pt idx="35">
                  <c:v>18.273</c:v>
                </c:pt>
                <c:pt idx="36">
                  <c:v>18.97</c:v>
                </c:pt>
                <c:pt idx="37">
                  <c:v>7.5999999999999998E-2</c:v>
                </c:pt>
                <c:pt idx="38">
                  <c:v>1.351</c:v>
                </c:pt>
                <c:pt idx="39">
                  <c:v>0.22700000000000001</c:v>
                </c:pt>
                <c:pt idx="40">
                  <c:v>0.85299999999999998</c:v>
                </c:pt>
                <c:pt idx="41">
                  <c:v>0.89500000000000002</c:v>
                </c:pt>
                <c:pt idx="42">
                  <c:v>1.3919999999999999</c:v>
                </c:pt>
                <c:pt idx="43">
                  <c:v>0.04</c:v>
                </c:pt>
                <c:pt idx="45">
                  <c:v>21.847999999999999</c:v>
                </c:pt>
                <c:pt idx="46">
                  <c:v>1.129</c:v>
                </c:pt>
                <c:pt idx="47">
                  <c:v>1.8</c:v>
                </c:pt>
                <c:pt idx="48">
                  <c:v>14.281000000000001</c:v>
                </c:pt>
                <c:pt idx="49">
                  <c:v>3.3580000000000001</c:v>
                </c:pt>
                <c:pt idx="50">
                  <c:v>1.2629999999999999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F-4B36-B367-6941F8A66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91240672"/>
        <c:axId val="491240256"/>
      </c:barChart>
      <c:lineChart>
        <c:grouping val="standard"/>
        <c:varyColors val="0"/>
        <c:ser>
          <c:idx val="1"/>
          <c:order val="1"/>
          <c:tx>
            <c:strRef>
              <c:f>'Analysis SHS GDP'!$A$60</c:f>
              <c:strCache>
                <c:ptCount val="1"/>
                <c:pt idx="0">
                  <c:v>Electrification 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'Analysis SHS GDP'!$B$58:$AZ$58</c:f>
              <c:strCache>
                <c:ptCount val="51"/>
                <c:pt idx="0">
                  <c:v>Angola</c:v>
                </c:pt>
                <c:pt idx="1">
                  <c:v>Benin</c:v>
                </c:pt>
                <c:pt idx="2">
                  <c:v>Botswana</c:v>
                </c:pt>
                <c:pt idx="3">
                  <c:v>Burkina Faso</c:v>
                </c:pt>
                <c:pt idx="4">
                  <c:v>Burundi</c:v>
                </c:pt>
                <c:pt idx="5">
                  <c:v>Cabo Verde</c:v>
                </c:pt>
                <c:pt idx="6">
                  <c:v>Cameroon</c:v>
                </c:pt>
                <c:pt idx="7">
                  <c:v>Central African Republic</c:v>
                </c:pt>
                <c:pt idx="8">
                  <c:v>Chad</c:v>
                </c:pt>
                <c:pt idx="9">
                  <c:v>Comoros</c:v>
                </c:pt>
                <c:pt idx="10">
                  <c:v>Congo, Dem. Rep.</c:v>
                </c:pt>
                <c:pt idx="11">
                  <c:v>Congo, Rep.</c:v>
                </c:pt>
                <c:pt idx="12">
                  <c:v>Cote d'Ivoire</c:v>
                </c:pt>
                <c:pt idx="13">
                  <c:v>Egypt, Arab Rep.</c:v>
                </c:pt>
                <c:pt idx="14">
                  <c:v>Equatorial Guinea</c:v>
                </c:pt>
                <c:pt idx="15">
                  <c:v>Eritrea</c:v>
                </c:pt>
                <c:pt idx="16">
                  <c:v>Eswatini</c:v>
                </c:pt>
                <c:pt idx="17">
                  <c:v>Ethiopia</c:v>
                </c:pt>
                <c:pt idx="18">
                  <c:v>Gabon</c:v>
                </c:pt>
                <c:pt idx="19">
                  <c:v>Gambia, The</c:v>
                </c:pt>
                <c:pt idx="20">
                  <c:v>Ghana</c:v>
                </c:pt>
                <c:pt idx="21">
                  <c:v>Guinea</c:v>
                </c:pt>
                <c:pt idx="22">
                  <c:v>Guinea-Bissau</c:v>
                </c:pt>
                <c:pt idx="23">
                  <c:v>Kenya</c:v>
                </c:pt>
                <c:pt idx="24">
                  <c:v>Lesotho</c:v>
                </c:pt>
                <c:pt idx="25">
                  <c:v>Liberia</c:v>
                </c:pt>
                <c:pt idx="26">
                  <c:v>Madagascar</c:v>
                </c:pt>
                <c:pt idx="27">
                  <c:v>Malawi</c:v>
                </c:pt>
                <c:pt idx="28">
                  <c:v>Mali</c:v>
                </c:pt>
                <c:pt idx="29">
                  <c:v>Mauritania</c:v>
                </c:pt>
                <c:pt idx="30">
                  <c:v>Mauritius</c:v>
                </c:pt>
                <c:pt idx="31">
                  <c:v>Morocco</c:v>
                </c:pt>
                <c:pt idx="32">
                  <c:v>Mozambique</c:v>
                </c:pt>
                <c:pt idx="33">
                  <c:v>Namibia</c:v>
                </c:pt>
                <c:pt idx="34">
                  <c:v>Niger</c:v>
                </c:pt>
                <c:pt idx="35">
                  <c:v>Nigeria</c:v>
                </c:pt>
                <c:pt idx="36">
                  <c:v>Rwanda</c:v>
                </c:pt>
                <c:pt idx="37">
                  <c:v>Sao Tome and Principe</c:v>
                </c:pt>
                <c:pt idx="38">
                  <c:v>Senegal</c:v>
                </c:pt>
                <c:pt idx="39">
                  <c:v>Seychelles</c:v>
                </c:pt>
                <c:pt idx="40">
                  <c:v>Sierra Leone</c:v>
                </c:pt>
                <c:pt idx="41">
                  <c:v>Somalia</c:v>
                </c:pt>
                <c:pt idx="42">
                  <c:v>South Africa</c:v>
                </c:pt>
                <c:pt idx="43">
                  <c:v>South Sudan</c:v>
                </c:pt>
                <c:pt idx="44">
                  <c:v>Sudan</c:v>
                </c:pt>
                <c:pt idx="45">
                  <c:v>Tanzania</c:v>
                </c:pt>
                <c:pt idx="46">
                  <c:v>Togo</c:v>
                </c:pt>
                <c:pt idx="47">
                  <c:v>Tunisia</c:v>
                </c:pt>
                <c:pt idx="48">
                  <c:v>Uganda</c:v>
                </c:pt>
                <c:pt idx="49">
                  <c:v>Zambia</c:v>
                </c:pt>
                <c:pt idx="50">
                  <c:v>Zimbabwe</c:v>
                </c:pt>
              </c:strCache>
            </c:strRef>
          </c:cat>
          <c:val>
            <c:numRef>
              <c:f>'Analysis SHS GDP'!$B$60:$AZ$60</c:f>
              <c:numCache>
                <c:formatCode>General</c:formatCode>
                <c:ptCount val="51"/>
                <c:pt idx="0">
                  <c:v>45.64279938</c:v>
                </c:pt>
                <c:pt idx="1">
                  <c:v>40.328689580000002</c:v>
                </c:pt>
                <c:pt idx="2">
                  <c:v>69.959739690000006</c:v>
                </c:pt>
                <c:pt idx="3">
                  <c:v>18.37485504</c:v>
                </c:pt>
                <c:pt idx="4">
                  <c:v>11.356528279999999</c:v>
                </c:pt>
                <c:pt idx="5">
                  <c:v>91.400001529999997</c:v>
                </c:pt>
                <c:pt idx="6">
                  <c:v>63.489879610000003</c:v>
                </c:pt>
                <c:pt idx="7">
                  <c:v>14.30000019</c:v>
                </c:pt>
                <c:pt idx="8">
                  <c:v>8.3999996190000008</c:v>
                </c:pt>
                <c:pt idx="9">
                  <c:v>84.297775270000002</c:v>
                </c:pt>
                <c:pt idx="10">
                  <c:v>19.100000380000001</c:v>
                </c:pt>
                <c:pt idx="11">
                  <c:v>48.407474520000001</c:v>
                </c:pt>
                <c:pt idx="12">
                  <c:v>68.459556579999997</c:v>
                </c:pt>
                <c:pt idx="13">
                  <c:v>100</c:v>
                </c:pt>
                <c:pt idx="14">
                  <c:v>66.600044249999996</c:v>
                </c:pt>
                <c:pt idx="15">
                  <c:v>50.936992650000001</c:v>
                </c:pt>
                <c:pt idx="16">
                  <c:v>76.869438169999995</c:v>
                </c:pt>
                <c:pt idx="17">
                  <c:v>48.063591000000002</c:v>
                </c:pt>
                <c:pt idx="18">
                  <c:v>90.726295469999997</c:v>
                </c:pt>
                <c:pt idx="19">
                  <c:v>62.099998470000003</c:v>
                </c:pt>
                <c:pt idx="20">
                  <c:v>83.5</c:v>
                </c:pt>
                <c:pt idx="21">
                  <c:v>42.200000760000002</c:v>
                </c:pt>
                <c:pt idx="22">
                  <c:v>30.961557389999999</c:v>
                </c:pt>
                <c:pt idx="23">
                  <c:v>69.699996949999999</c:v>
                </c:pt>
                <c:pt idx="24">
                  <c:v>44.500209810000001</c:v>
                </c:pt>
                <c:pt idx="25">
                  <c:v>23.100000380000001</c:v>
                </c:pt>
                <c:pt idx="26">
                  <c:v>31.040000920000001</c:v>
                </c:pt>
                <c:pt idx="27">
                  <c:v>11.19999981</c:v>
                </c:pt>
                <c:pt idx="28">
                  <c:v>47.836277010000003</c:v>
                </c:pt>
                <c:pt idx="29">
                  <c:v>45.830032350000003</c:v>
                </c:pt>
                <c:pt idx="30">
                  <c:v>100</c:v>
                </c:pt>
                <c:pt idx="31">
                  <c:v>99.599998470000003</c:v>
                </c:pt>
                <c:pt idx="32">
                  <c:v>29.674449920000001</c:v>
                </c:pt>
                <c:pt idx="33">
                  <c:v>55.177089690000003</c:v>
                </c:pt>
                <c:pt idx="34">
                  <c:v>18.974571229999999</c:v>
                </c:pt>
                <c:pt idx="35">
                  <c:v>55.400001529999997</c:v>
                </c:pt>
                <c:pt idx="36">
                  <c:v>40.368606569999997</c:v>
                </c:pt>
                <c:pt idx="37">
                  <c:v>74.967201230000001</c:v>
                </c:pt>
                <c:pt idx="38">
                  <c:v>70.400001529999997</c:v>
                </c:pt>
                <c:pt idx="39">
                  <c:v>100</c:v>
                </c:pt>
                <c:pt idx="40">
                  <c:v>22.700000760000002</c:v>
                </c:pt>
                <c:pt idx="41">
                  <c:v>49.200000760000002</c:v>
                </c:pt>
                <c:pt idx="42">
                  <c:v>85</c:v>
                </c:pt>
                <c:pt idx="43">
                  <c:v>6.7070069309999996</c:v>
                </c:pt>
                <c:pt idx="44">
                  <c:v>53.962539669999998</c:v>
                </c:pt>
                <c:pt idx="45">
                  <c:v>37.659687040000001</c:v>
                </c:pt>
                <c:pt idx="46">
                  <c:v>52.363109590000001</c:v>
                </c:pt>
                <c:pt idx="47">
                  <c:v>100</c:v>
                </c:pt>
                <c:pt idx="48">
                  <c:v>41.299999239999998</c:v>
                </c:pt>
                <c:pt idx="49">
                  <c:v>43</c:v>
                </c:pt>
                <c:pt idx="50">
                  <c:v>46.781475069999999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2F-4B36-B367-6941F8A66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3947535"/>
        <c:axId val="1073942543"/>
      </c:lineChart>
      <c:catAx>
        <c:axId val="107394753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073942543"/>
        <c:crosses val="autoZero"/>
        <c:auto val="1"/>
        <c:lblAlgn val="ctr"/>
        <c:lblOffset val="200"/>
        <c:tickLblSkip val="1"/>
        <c:noMultiLvlLbl val="0"/>
      </c:catAx>
      <c:valAx>
        <c:axId val="1073942543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073947535"/>
        <c:crosses val="autoZero"/>
        <c:crossBetween val="between"/>
      </c:valAx>
      <c:valAx>
        <c:axId val="491240256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91240672"/>
        <c:crosses val="max"/>
        <c:crossBetween val="between"/>
      </c:valAx>
      <c:catAx>
        <c:axId val="491240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1240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'Analysis SHS GDP'!$B$63:$AZ$63</c:f>
              <c:strCache>
                <c:ptCount val="51"/>
                <c:pt idx="0">
                  <c:v>Angola</c:v>
                </c:pt>
                <c:pt idx="1">
                  <c:v>Benin</c:v>
                </c:pt>
                <c:pt idx="2">
                  <c:v>Botswana</c:v>
                </c:pt>
                <c:pt idx="3">
                  <c:v>Burkina Faso</c:v>
                </c:pt>
                <c:pt idx="4">
                  <c:v>Burundi</c:v>
                </c:pt>
                <c:pt idx="5">
                  <c:v>Cabo Verde</c:v>
                </c:pt>
                <c:pt idx="6">
                  <c:v>Cameroon</c:v>
                </c:pt>
                <c:pt idx="7">
                  <c:v>Central African Republic</c:v>
                </c:pt>
                <c:pt idx="8">
                  <c:v>Chad</c:v>
                </c:pt>
                <c:pt idx="9">
                  <c:v>Comoros</c:v>
                </c:pt>
                <c:pt idx="10">
                  <c:v>Congo Dem. Rep.</c:v>
                </c:pt>
                <c:pt idx="11">
                  <c:v>Congo</c:v>
                </c:pt>
                <c:pt idx="12">
                  <c:v>Cote d'Ivoire</c:v>
                </c:pt>
                <c:pt idx="13">
                  <c:v>Egypt</c:v>
                </c:pt>
                <c:pt idx="14">
                  <c:v>Equatorial Guinea</c:v>
                </c:pt>
                <c:pt idx="15">
                  <c:v>Eritrea</c:v>
                </c:pt>
                <c:pt idx="16">
                  <c:v>Eswatini</c:v>
                </c:pt>
                <c:pt idx="17">
                  <c:v>Ethiopia</c:v>
                </c:pt>
                <c:pt idx="18">
                  <c:v>Gabon</c:v>
                </c:pt>
                <c:pt idx="19">
                  <c:v>Gambia</c:v>
                </c:pt>
                <c:pt idx="20">
                  <c:v>Ghana</c:v>
                </c:pt>
                <c:pt idx="21">
                  <c:v>Guinea</c:v>
                </c:pt>
                <c:pt idx="22">
                  <c:v>Guinea Bissau</c:v>
                </c:pt>
                <c:pt idx="23">
                  <c:v>Kenya</c:v>
                </c:pt>
                <c:pt idx="24">
                  <c:v>Lesotho</c:v>
                </c:pt>
                <c:pt idx="25">
                  <c:v>Liberia</c:v>
                </c:pt>
                <c:pt idx="26">
                  <c:v>Madagascar</c:v>
                </c:pt>
                <c:pt idx="27">
                  <c:v>Malawi</c:v>
                </c:pt>
                <c:pt idx="28">
                  <c:v>Mali</c:v>
                </c:pt>
                <c:pt idx="29">
                  <c:v>Mauritania</c:v>
                </c:pt>
                <c:pt idx="30">
                  <c:v>Mauritius</c:v>
                </c:pt>
                <c:pt idx="31">
                  <c:v>Morocco</c:v>
                </c:pt>
                <c:pt idx="32">
                  <c:v>Mozambique</c:v>
                </c:pt>
                <c:pt idx="33">
                  <c:v>Namibia</c:v>
                </c:pt>
                <c:pt idx="34">
                  <c:v>Niger</c:v>
                </c:pt>
                <c:pt idx="35">
                  <c:v>Nigeria</c:v>
                </c:pt>
                <c:pt idx="36">
                  <c:v>Rwanda</c:v>
                </c:pt>
                <c:pt idx="37">
                  <c:v>Sao Tome and Principe</c:v>
                </c:pt>
                <c:pt idx="38">
                  <c:v>Senegal</c:v>
                </c:pt>
                <c:pt idx="39">
                  <c:v>Seychelles</c:v>
                </c:pt>
                <c:pt idx="40">
                  <c:v>Sierra Leone</c:v>
                </c:pt>
                <c:pt idx="41">
                  <c:v>Somalia</c:v>
                </c:pt>
                <c:pt idx="42">
                  <c:v>South Africa</c:v>
                </c:pt>
                <c:pt idx="43">
                  <c:v>South Sudan</c:v>
                </c:pt>
                <c:pt idx="44">
                  <c:v>Sudan</c:v>
                </c:pt>
                <c:pt idx="45">
                  <c:v>Tanzania</c:v>
                </c:pt>
                <c:pt idx="46">
                  <c:v>Togo</c:v>
                </c:pt>
                <c:pt idx="47">
                  <c:v>Tunisia</c:v>
                </c:pt>
                <c:pt idx="48">
                  <c:v>Uganda</c:v>
                </c:pt>
                <c:pt idx="49">
                  <c:v>Zambia</c:v>
                </c:pt>
                <c:pt idx="50">
                  <c:v>Zimbabwe</c:v>
                </c:pt>
              </c:strCache>
            </c:strRef>
          </c:cat>
          <c:val>
            <c:numRef>
              <c:f>'Analysis SHS GDP'!$B$86:$AZ$86</c:f>
              <c:numCache>
                <c:formatCode>General</c:formatCode>
                <c:ptCount val="51"/>
                <c:pt idx="0">
                  <c:v>3.3846153846153844E-3</c:v>
                </c:pt>
                <c:pt idx="1">
                  <c:v>0.3793333333333333</c:v>
                </c:pt>
                <c:pt idx="2">
                  <c:v>6.1666666666666667E-3</c:v>
                </c:pt>
                <c:pt idx="3">
                  <c:v>2.4193548387096774E-2</c:v>
                </c:pt>
                <c:pt idx="4">
                  <c:v>8.0000000000000002E-3</c:v>
                </c:pt>
                <c:pt idx="5">
                  <c:v>1.0125E-2</c:v>
                </c:pt>
                <c:pt idx="6">
                  <c:v>0.11578571428571428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7.6399999999999996E-2</c:v>
                </c:pt>
                <c:pt idx="11">
                  <c:v>3.6999999999999998E-2</c:v>
                </c:pt>
                <c:pt idx="12">
                  <c:v>0.24423076923076922</c:v>
                </c:pt>
                <c:pt idx="13">
                  <c:v>2.9792809262644731E-3</c:v>
                </c:pt>
                <c:pt idx="14">
                  <c:v>0</c:v>
                </c:pt>
                <c:pt idx="15">
                  <c:v>1.7500000000000003E-3</c:v>
                </c:pt>
                <c:pt idx="16">
                  <c:v>3.6999999999999998E-2</c:v>
                </c:pt>
                <c:pt idx="17">
                  <c:v>0.95374999999999999</c:v>
                </c:pt>
                <c:pt idx="18">
                  <c:v>4.2000000000000003E-2</c:v>
                </c:pt>
                <c:pt idx="19">
                  <c:v>3.7499999999999999E-2</c:v>
                </c:pt>
                <c:pt idx="20">
                  <c:v>2.0587301587301585E-2</c:v>
                </c:pt>
                <c:pt idx="21">
                  <c:v>1.176923076923077E-2</c:v>
                </c:pt>
                <c:pt idx="22">
                  <c:v>0.33500000000000002</c:v>
                </c:pt>
                <c:pt idx="23">
                  <c:v>0.37187735849056602</c:v>
                </c:pt>
                <c:pt idx="24">
                  <c:v>0</c:v>
                </c:pt>
                <c:pt idx="25">
                  <c:v>6.7000000000000004E-2</c:v>
                </c:pt>
                <c:pt idx="26">
                  <c:v>7.5323529411764706E-2</c:v>
                </c:pt>
                <c:pt idx="27">
                  <c:v>4.2043478260869564E-2</c:v>
                </c:pt>
                <c:pt idx="28">
                  <c:v>8.2684210526315791E-2</c:v>
                </c:pt>
                <c:pt idx="29">
                  <c:v>9.2045454545454548E-4</c:v>
                </c:pt>
                <c:pt idx="30">
                  <c:v>6.048192771084337E-3</c:v>
                </c:pt>
                <c:pt idx="31">
                  <c:v>7.773039215686274E-2</c:v>
                </c:pt>
                <c:pt idx="32">
                  <c:v>3.2363636363636362E-3</c:v>
                </c:pt>
                <c:pt idx="33">
                  <c:v>7.9310344827586215E-4</c:v>
                </c:pt>
                <c:pt idx="34">
                  <c:v>1.2777777777777777E-2</c:v>
                </c:pt>
                <c:pt idx="35">
                  <c:v>0.65260714285714283</c:v>
                </c:pt>
                <c:pt idx="36">
                  <c:v>0.61193548387096774</c:v>
                </c:pt>
                <c:pt idx="37">
                  <c:v>0</c:v>
                </c:pt>
                <c:pt idx="38">
                  <c:v>8.7161290322580638E-3</c:v>
                </c:pt>
                <c:pt idx="39">
                  <c:v>5.6750000000000002E-2</c:v>
                </c:pt>
                <c:pt idx="40">
                  <c:v>0.21325</c:v>
                </c:pt>
                <c:pt idx="41">
                  <c:v>0.12785714285714286</c:v>
                </c:pt>
                <c:pt idx="42">
                  <c:v>3.1600454029511918E-4</c:v>
                </c:pt>
                <c:pt idx="43">
                  <c:v>0.04</c:v>
                </c:pt>
                <c:pt idx="44">
                  <c:v>0</c:v>
                </c:pt>
                <c:pt idx="45">
                  <c:v>0.84030769230769231</c:v>
                </c:pt>
                <c:pt idx="46">
                  <c:v>0.37633333333333335</c:v>
                </c:pt>
                <c:pt idx="47">
                  <c:v>2.2499999999999999E-2</c:v>
                </c:pt>
                <c:pt idx="48">
                  <c:v>0.17415853658536587</c:v>
                </c:pt>
                <c:pt idx="49">
                  <c:v>3.4979166666666665E-2</c:v>
                </c:pt>
                <c:pt idx="50">
                  <c:v>0.11481818181818181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E-4F6C-80C6-8437D0B6E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1068144"/>
        <c:axId val="1021067728"/>
      </c:barChart>
      <c:catAx>
        <c:axId val="102106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021067728"/>
        <c:crosses val="autoZero"/>
        <c:auto val="1"/>
        <c:lblAlgn val="ctr"/>
        <c:lblOffset val="100"/>
        <c:noMultiLvlLbl val="0"/>
      </c:catAx>
      <c:valAx>
        <c:axId val="102106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02106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213360</xdr:colOff>
      <xdr:row>28</xdr:row>
      <xdr:rowOff>129540</xdr:rowOff>
    </xdr:from>
    <xdr:to>
      <xdr:col>41</xdr:col>
      <xdr:colOff>518160</xdr:colOff>
      <xdr:row>43</xdr:row>
      <xdr:rowOff>129540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0D5CF3C-EB09-F667-0841-CC8D8A5E1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213360</xdr:colOff>
      <xdr:row>44</xdr:row>
      <xdr:rowOff>53340</xdr:rowOff>
    </xdr:from>
    <xdr:to>
      <xdr:col>41</xdr:col>
      <xdr:colOff>518160</xdr:colOff>
      <xdr:row>59</xdr:row>
      <xdr:rowOff>53340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93D215-36AE-74A7-9E17-DAD63A845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358140</xdr:colOff>
      <xdr:row>2</xdr:row>
      <xdr:rowOff>144780</xdr:rowOff>
    </xdr:from>
    <xdr:to>
      <xdr:col>20</xdr:col>
      <xdr:colOff>22860</xdr:colOff>
      <xdr:row>17</xdr:row>
      <xdr:rowOff>144780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6DAEE45-3EBE-A950-7CE3-7CEBB195F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632460</xdr:colOff>
      <xdr:row>98</xdr:row>
      <xdr:rowOff>137160</xdr:rowOff>
    </xdr:from>
    <xdr:to>
      <xdr:col>28</xdr:col>
      <xdr:colOff>236220</xdr:colOff>
      <xdr:row>113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19E7A6-40E2-5044-B353-474A82B2A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525780</xdr:colOff>
      <xdr:row>49</xdr:row>
      <xdr:rowOff>7620</xdr:rowOff>
    </xdr:from>
    <xdr:to>
      <xdr:col>63</xdr:col>
      <xdr:colOff>411480</xdr:colOff>
      <xdr:row>63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52D0B3-F3CB-2633-F432-61D839054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99060</xdr:colOff>
      <xdr:row>87</xdr:row>
      <xdr:rowOff>15240</xdr:rowOff>
    </xdr:from>
    <xdr:to>
      <xdr:col>43</xdr:col>
      <xdr:colOff>403860</xdr:colOff>
      <xdr:row>102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712319-82EB-889C-5FC6-677B76C75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binAbrink" refreshedDate="44797.366784722224" createdVersion="8" refreshedVersion="8" minRefreshableVersion="3" recordCount="62" xr:uid="{8119BD36-2E6C-40B2-A6FB-BA9C9FF973CE}">
  <cacheSource type="worksheet">
    <worksheetSource name="Table2"/>
  </cacheSource>
  <cacheFields count="11">
    <cacheField name="Column1" numFmtId="0">
      <sharedItems count="62">
        <s v="Algeria"/>
        <s v="Benin"/>
        <s v="Burkina Faso"/>
        <s v="Cabo Verde"/>
        <s v="Cameroon"/>
        <s v="Chad"/>
        <s v="Congo DR"/>
        <s v="Cote d Ivoire"/>
        <s v="Egypt"/>
        <s v="Eritrea"/>
        <s v="Ethiopia"/>
        <s v="Gambia"/>
        <s v="Ghana"/>
        <s v="Guinea"/>
        <s v="Guinea Bissau"/>
        <s v="Kenya"/>
        <s v="Liberia"/>
        <s v="Madagascar"/>
        <s v="Mali"/>
        <s v="Mauritania"/>
        <s v="Mozambique"/>
        <s v="Namibia"/>
        <s v="Niger"/>
        <s v="Nigeria"/>
        <s v="Rwanda"/>
        <s v="Senegal"/>
        <s v="Sierra Leone"/>
        <s v="South Africa"/>
        <s v="Tanzania"/>
        <s v="Togo"/>
        <s v="Uganda"/>
        <s v="Zambia"/>
        <s v="Zimbabwe"/>
        <s v="Afghanistan"/>
        <s v="Bangladesh"/>
        <s v="India"/>
        <s v="Indonesia"/>
        <s v="Malaysia"/>
        <s v="Maldives"/>
        <s v="Myanmar"/>
        <s v="Nepal"/>
        <s v="Pakistan"/>
        <s v="Cuba"/>
        <s v="El Salvador"/>
        <s v="Guatemala"/>
        <s v="Haiti"/>
        <s v="Honduras"/>
        <s v="Nicaragua"/>
        <s v="Puerto Rico"/>
        <s v="Middle East"/>
        <s v="Palestine"/>
        <s v="United Arab Em"/>
        <s v="Fiji"/>
        <s v="S America"/>
        <s v="Bolivia"/>
        <s v="Brazil"/>
        <s v="Colombia"/>
        <s v="Ecuador"/>
        <s v="Paraguay"/>
        <s v="Peru"/>
        <s v="Uruguay"/>
        <s v="Venezuela"/>
      </sharedItems>
    </cacheField>
    <cacheField name="2010" numFmtId="0">
      <sharedItems containsString="0" containsBlank="1" containsNumber="1" minValue="2E-3" maxValue="11.401999999999999"/>
    </cacheField>
    <cacheField name="2011" numFmtId="0">
      <sharedItems containsString="0" containsBlank="1" containsNumber="1" minValue="1E-3" maxValue="11.547000000000001"/>
    </cacheField>
    <cacheField name="2012" numFmtId="0">
      <sharedItems containsString="0" containsBlank="1" containsNumber="1" minValue="1E-3" maxValue="16.702999999999999"/>
    </cacheField>
    <cacheField name="2013" numFmtId="0">
      <sharedItems containsString="0" containsBlank="1" containsNumber="1" minValue="1E-3" maxValue="22.323"/>
    </cacheField>
    <cacheField name="2014" numFmtId="0">
      <sharedItems containsString="0" containsBlank="1" containsNumber="1" minValue="1E-3" maxValue="25.260999999999999"/>
    </cacheField>
    <cacheField name="2015" numFmtId="0">
      <sharedItems containsString="0" containsBlank="1" containsNumber="1" minValue="1E-3" maxValue="49.1"/>
    </cacheField>
    <cacheField name="2016" numFmtId="0">
      <sharedItems containsString="0" containsBlank="1" containsNumber="1" minValue="1E-3" maxValue="219.1"/>
    </cacheField>
    <cacheField name="2017" numFmtId="0">
      <sharedItems containsString="0" containsBlank="1" containsNumber="1" minValue="1.2E-2" maxValue="219.1"/>
    </cacheField>
    <cacheField name="2018" numFmtId="0">
      <sharedItems containsString="0" containsBlank="1" containsNumber="1" minValue="1.2E-2" maxValue="219.1"/>
    </cacheField>
    <cacheField name="2019" numFmtId="164">
      <sharedItems containsSemiMixedTypes="0" containsString="0" containsNumber="1" minValue="1.2E-2" maxValue="219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x v="0"/>
    <n v="0.45400000000000001"/>
    <n v="0.45400000000000001"/>
    <n v="0.45400000000000001"/>
    <n v="0.45400000000000001"/>
    <n v="0.45400000000000001"/>
    <n v="49.1"/>
    <n v="219.1"/>
    <n v="219.1"/>
    <n v="219.1"/>
    <n v="219.1"/>
  </r>
  <r>
    <x v="1"/>
    <m/>
    <m/>
    <m/>
    <m/>
    <m/>
    <n v="0.10199999999999999"/>
    <n v="0.70599999999999996"/>
    <n v="0.70599999999999996"/>
    <n v="0.746"/>
    <n v="0.78600000000000003"/>
  </r>
  <r>
    <x v="2"/>
    <m/>
    <m/>
    <m/>
    <m/>
    <m/>
    <m/>
    <n v="8.5999999999999993E-2"/>
    <n v="0.13500000000000001"/>
    <n v="0.19500000000000001"/>
    <n v="0.78300000000000003"/>
  </r>
  <r>
    <x v="3"/>
    <m/>
    <m/>
    <n v="2.7E-2"/>
    <n v="2.7E-2"/>
    <n v="0.04"/>
    <n v="0.14899999999999999"/>
    <n v="0.14899999999999999"/>
    <n v="0.14899999999999999"/>
    <n v="0.14899999999999999"/>
    <n v="0.186"/>
  </r>
  <r>
    <x v="4"/>
    <n v="0.01"/>
    <n v="0.01"/>
    <n v="0.01"/>
    <n v="0.01"/>
    <n v="0.01"/>
    <n v="8.2000000000000003E-2"/>
    <n v="0.154"/>
    <n v="11.430999999999999"/>
    <n v="23.850999999999999"/>
    <n v="23.850999999999999"/>
  </r>
  <r>
    <x v="5"/>
    <m/>
    <m/>
    <m/>
    <m/>
    <m/>
    <n v="0.122"/>
    <n v="0.122"/>
    <n v="0.122"/>
    <n v="0.122"/>
    <n v="0.122"/>
  </r>
  <r>
    <x v="6"/>
    <m/>
    <m/>
    <m/>
    <m/>
    <m/>
    <m/>
    <m/>
    <m/>
    <n v="1.032"/>
    <n v="1.1319999999999999"/>
  </r>
  <r>
    <x v="7"/>
    <m/>
    <m/>
    <m/>
    <m/>
    <m/>
    <n v="0.218"/>
    <n v="0.218"/>
    <n v="0.218"/>
    <n v="0.218"/>
    <n v="0.218"/>
  </r>
  <r>
    <x v="8"/>
    <m/>
    <m/>
    <m/>
    <m/>
    <m/>
    <n v="10"/>
    <n v="10"/>
    <n v="10"/>
    <n v="10.125"/>
    <n v="10.18"/>
  </r>
  <r>
    <x v="9"/>
    <m/>
    <m/>
    <m/>
    <m/>
    <m/>
    <m/>
    <n v="0.35"/>
    <n v="0.35"/>
    <n v="2.6"/>
    <n v="2.6"/>
  </r>
  <r>
    <x v="10"/>
    <m/>
    <m/>
    <m/>
    <m/>
    <m/>
    <m/>
    <m/>
    <m/>
    <n v="1.7999999999999999E-2"/>
    <n v="1.7999999999999999E-2"/>
  </r>
  <r>
    <x v="11"/>
    <m/>
    <m/>
    <m/>
    <m/>
    <m/>
    <n v="0.06"/>
    <n v="0.06"/>
    <n v="0.06"/>
    <n v="0.06"/>
    <n v="0.06"/>
  </r>
  <r>
    <x v="12"/>
    <m/>
    <m/>
    <m/>
    <m/>
    <n v="1.2E-2"/>
    <n v="1.2E-2"/>
    <n v="0.222"/>
    <n v="0.51300000000000001"/>
    <n v="0.70499999999999996"/>
    <n v="0.70499999999999996"/>
  </r>
  <r>
    <x v="13"/>
    <m/>
    <m/>
    <m/>
    <m/>
    <m/>
    <m/>
    <m/>
    <m/>
    <m/>
    <n v="7.6999999999999999E-2"/>
  </r>
  <r>
    <x v="14"/>
    <m/>
    <m/>
    <m/>
    <m/>
    <m/>
    <m/>
    <n v="0.312"/>
    <n v="0.312"/>
    <n v="0.92"/>
    <n v="0.92"/>
  </r>
  <r>
    <x v="15"/>
    <m/>
    <m/>
    <n v="0.71399999999999997"/>
    <n v="0.83399999999999996"/>
    <n v="0.88400000000000001"/>
    <n v="0.84899999999999998"/>
    <n v="0.92800000000000005"/>
    <n v="0.92800000000000005"/>
    <n v="0.95799999999999996"/>
    <n v="1.754"/>
  </r>
  <r>
    <x v="16"/>
    <m/>
    <m/>
    <m/>
    <m/>
    <m/>
    <m/>
    <m/>
    <n v="0.157"/>
    <n v="0.254"/>
    <n v="0.254"/>
  </r>
  <r>
    <x v="17"/>
    <n v="3.0000000000000001E-3"/>
    <n v="3.0000000000000001E-3"/>
    <n v="3.0000000000000001E-3"/>
    <n v="3.0000000000000001E-3"/>
    <n v="3.0000000000000001E-3"/>
    <n v="0.14799999999999999"/>
    <n v="0.14799999999999999"/>
    <n v="0.28000000000000003"/>
    <n v="0.28000000000000003"/>
    <n v="0.46400000000000002"/>
  </r>
  <r>
    <x v="18"/>
    <n v="0.45400000000000001"/>
    <n v="0.87"/>
    <n v="1.1719999999999999"/>
    <n v="3.05"/>
    <n v="3.38"/>
    <n v="4.2220000000000004"/>
    <n v="4.3079999999999998"/>
    <n v="5.6859999999999999"/>
    <n v="5.7969999999999997"/>
    <n v="5.9290000000000003"/>
  </r>
  <r>
    <x v="19"/>
    <m/>
    <m/>
    <m/>
    <m/>
    <n v="0.13500000000000001"/>
    <n v="0.13500000000000001"/>
    <n v="0.153"/>
    <n v="0.153"/>
    <n v="0.153"/>
    <n v="0.153"/>
  </r>
  <r>
    <x v="20"/>
    <m/>
    <m/>
    <m/>
    <n v="1.3240000000000001"/>
    <n v="1.331"/>
    <n v="1.331"/>
    <n v="1.331"/>
    <n v="1.331"/>
    <n v="1.331"/>
    <n v="1.331"/>
  </r>
  <r>
    <x v="21"/>
    <m/>
    <n v="0.20200000000000001"/>
    <n v="0.20200000000000001"/>
    <n v="0.20200000000000001"/>
    <n v="0.49399999999999999"/>
    <n v="0.49399999999999999"/>
    <n v="0.49399999999999999"/>
    <n v="0.49399999999999999"/>
    <n v="0.49399999999999999"/>
    <n v="0.49399999999999999"/>
  </r>
  <r>
    <x v="22"/>
    <m/>
    <m/>
    <m/>
    <m/>
    <n v="2.8000000000000001E-2"/>
    <n v="2.8000000000000001E-2"/>
    <n v="2.8000000000000001E-2"/>
    <n v="9.7000000000000003E-2"/>
    <n v="0.16500000000000001"/>
    <n v="0.16500000000000001"/>
  </r>
  <r>
    <x v="23"/>
    <m/>
    <m/>
    <n v="8.3000000000000004E-2"/>
    <n v="0.191"/>
    <n v="0.36"/>
    <n v="1.0429999999999999"/>
    <n v="1.212"/>
    <n v="2.0249999999999999"/>
    <n v="2.1520000000000001"/>
    <n v="2.5379999999999998"/>
  </r>
  <r>
    <x v="24"/>
    <m/>
    <m/>
    <m/>
    <m/>
    <m/>
    <n v="3.3460000000000001"/>
    <n v="3.3759999999999999"/>
    <n v="3.5049999999999999"/>
    <n v="3.5049999999999999"/>
    <n v="3.605"/>
  </r>
  <r>
    <x v="25"/>
    <n v="0.37"/>
    <n v="0.37"/>
    <n v="1.089"/>
    <n v="1.089"/>
    <n v="1.089"/>
    <n v="1.089"/>
    <n v="1.099"/>
    <n v="1.099"/>
    <n v="2.0089999999999999"/>
    <n v="2.0089999999999999"/>
  </r>
  <r>
    <x v="26"/>
    <m/>
    <m/>
    <m/>
    <n v="5.0000000000000001E-3"/>
    <n v="5.0000000000000001E-3"/>
    <n v="5.0000000000000001E-3"/>
    <n v="5.0000000000000001E-3"/>
    <n v="0.19800000000000001"/>
    <n v="0.19800000000000001"/>
    <n v="0.19800000000000001"/>
  </r>
  <r>
    <x v="27"/>
    <m/>
    <n v="1E-3"/>
    <n v="1E-3"/>
    <n v="1E-3"/>
    <n v="1E-3"/>
    <n v="1E-3"/>
    <n v="1E-3"/>
    <n v="3.3000000000000002E-2"/>
    <n v="3.3000000000000002E-2"/>
    <n v="3.3000000000000002E-2"/>
  </r>
  <r>
    <x v="28"/>
    <m/>
    <m/>
    <m/>
    <n v="3.3000000000000002E-2"/>
    <n v="0.107"/>
    <n v="0.14099999999999999"/>
    <n v="0.24299999999999999"/>
    <n v="0.48799999999999999"/>
    <n v="0.48799999999999999"/>
    <n v="0.48799999999999999"/>
  </r>
  <r>
    <x v="29"/>
    <m/>
    <m/>
    <m/>
    <m/>
    <m/>
    <m/>
    <m/>
    <n v="0.4"/>
    <n v="0.7"/>
    <n v="0.7"/>
  </r>
  <r>
    <x v="30"/>
    <n v="0.85"/>
    <n v="0.85099999999999998"/>
    <n v="0.85099999999999998"/>
    <n v="0.85099999999999998"/>
    <n v="1.478"/>
    <n v="1.5649999999999999"/>
    <n v="1.7949999999999999"/>
    <n v="1.8180000000000001"/>
    <n v="1.8180000000000001"/>
    <n v="2.5179999999999998"/>
  </r>
  <r>
    <x v="31"/>
    <m/>
    <m/>
    <m/>
    <m/>
    <m/>
    <n v="1E-3"/>
    <n v="1E-3"/>
    <n v="0.113"/>
    <n v="0.113"/>
    <n v="0.185"/>
  </r>
  <r>
    <x v="32"/>
    <m/>
    <m/>
    <m/>
    <m/>
    <m/>
    <m/>
    <n v="9.9000000000000005E-2"/>
    <n v="9.9000000000000005E-2"/>
    <n v="9.9000000000000005E-2"/>
    <n v="9.9000000000000005E-2"/>
  </r>
  <r>
    <x v="33"/>
    <n v="0.1"/>
    <n v="0.1"/>
    <n v="0.1"/>
    <n v="0.34399999999999997"/>
    <n v="1.3939999999999999"/>
    <n v="1.3939999999999999"/>
    <n v="1.7969999999999999"/>
    <n v="1.7969999999999999"/>
    <n v="1.7969999999999999"/>
    <n v="1.7969999999999999"/>
  </r>
  <r>
    <x v="34"/>
    <n v="0.1"/>
    <n v="0.1"/>
    <n v="0.2"/>
    <n v="0.2"/>
    <n v="0.64"/>
    <n v="2.0209999999999999"/>
    <n v="2.0209999999999999"/>
    <n v="5.7610000000000001"/>
    <n v="7.391"/>
    <n v="7.6109999999999998"/>
  </r>
  <r>
    <x v="35"/>
    <n v="4.42"/>
    <n v="4.72"/>
    <n v="5.03"/>
    <n v="5.34"/>
    <n v="6.42"/>
    <n v="6.94"/>
    <n v="7.08"/>
    <n v="7.46"/>
    <n v="8"/>
    <n v="8.01"/>
  </r>
  <r>
    <x v="36"/>
    <n v="11.401999999999999"/>
    <n v="11.547000000000001"/>
    <n v="16.702999999999999"/>
    <n v="22.323"/>
    <n v="25.260999999999999"/>
    <n v="34.055999999999997"/>
    <n v="34.106000000000002"/>
    <n v="35.024999999999999"/>
    <n v="36.225000000000001"/>
    <n v="36.225000000000001"/>
  </r>
  <r>
    <x v="37"/>
    <m/>
    <m/>
    <m/>
    <m/>
    <n v="1.5249999999999999"/>
    <n v="2.4119999999999999"/>
    <n v="2.4119999999999999"/>
    <n v="2.4119999999999999"/>
    <n v="2.4119999999999999"/>
    <n v="2.4119999999999999"/>
  </r>
  <r>
    <x v="38"/>
    <m/>
    <m/>
    <m/>
    <m/>
    <n v="0.20399999999999999"/>
    <n v="0.20399999999999999"/>
    <n v="0.20399999999999999"/>
    <n v="0.20399999999999999"/>
    <n v="0.20399999999999999"/>
    <n v="0.20399999999999999"/>
  </r>
  <r>
    <x v="39"/>
    <m/>
    <m/>
    <m/>
    <m/>
    <m/>
    <n v="7.9000000000000001E-2"/>
    <n v="0.21099999999999999"/>
    <n v="0.443"/>
    <n v="0.443"/>
    <n v="0.443"/>
  </r>
  <r>
    <x v="40"/>
    <n v="0.70199999999999996"/>
    <n v="2.9020000000000001"/>
    <n v="2.9020000000000001"/>
    <n v="2.9020000000000001"/>
    <n v="2.9020000000000001"/>
    <n v="2.9020000000000001"/>
    <n v="2.9020000000000001"/>
    <n v="2.9319999999999999"/>
    <n v="3.0579999999999998"/>
    <n v="3.069"/>
  </r>
  <r>
    <x v="41"/>
    <m/>
    <m/>
    <m/>
    <m/>
    <m/>
    <m/>
    <m/>
    <m/>
    <n v="0.5"/>
    <n v="0.5"/>
  </r>
  <r>
    <x v="42"/>
    <m/>
    <m/>
    <m/>
    <m/>
    <m/>
    <m/>
    <m/>
    <n v="11.746"/>
    <n v="11.746"/>
    <n v="11.746"/>
  </r>
  <r>
    <x v="43"/>
    <m/>
    <n v="4.3999999999999997E-2"/>
    <n v="4.3999999999999997E-2"/>
    <n v="4.3999999999999997E-2"/>
    <n v="4.3999999999999997E-2"/>
    <n v="4.3999999999999997E-2"/>
    <n v="4.3999999999999997E-2"/>
    <n v="4.3999999999999997E-2"/>
    <n v="4.3999999999999997E-2"/>
    <n v="4.3999999999999997E-2"/>
  </r>
  <r>
    <x v="44"/>
    <m/>
    <n v="0.108"/>
    <n v="0.108"/>
    <n v="0.108"/>
    <n v="0.108"/>
    <n v="0.108"/>
    <n v="0.108"/>
    <n v="0.108"/>
    <n v="0.108"/>
    <n v="0.108"/>
  </r>
  <r>
    <x v="45"/>
    <m/>
    <m/>
    <n v="9.2999999999999999E-2"/>
    <n v="9.2999999999999999E-2"/>
    <n v="9.2999999999999999E-2"/>
    <n v="0.29299999999999998"/>
    <n v="0.29599999999999999"/>
    <n v="0.29599999999999999"/>
    <n v="0.29599999999999999"/>
    <n v="0.29599999999999999"/>
  </r>
  <r>
    <x v="46"/>
    <m/>
    <n v="6.3E-2"/>
    <n v="6.3E-2"/>
    <n v="6.3E-2"/>
    <n v="6.3E-2"/>
    <n v="6.3E-2"/>
    <n v="6.3E-2"/>
    <n v="6.3E-2"/>
    <n v="6.3E-2"/>
    <n v="6.3E-2"/>
  </r>
  <r>
    <x v="47"/>
    <m/>
    <n v="3.9E-2"/>
    <n v="3.9E-2"/>
    <n v="3.9E-2"/>
    <n v="3.9E-2"/>
    <n v="3.9E-2"/>
    <n v="3.9E-2"/>
    <n v="3.9E-2"/>
    <n v="0.33900000000000002"/>
    <n v="0.33900000000000002"/>
  </r>
  <r>
    <x v="48"/>
    <m/>
    <m/>
    <m/>
    <m/>
    <m/>
    <m/>
    <m/>
    <n v="1.2E-2"/>
    <n v="1.2E-2"/>
    <n v="1.2E-2"/>
  </r>
  <r>
    <x v="49"/>
    <n v="1.2E-2"/>
    <n v="1.2E-2"/>
    <n v="1.7000000000000001E-2"/>
    <n v="1.7000000000000001E-2"/>
    <n v="1.7000000000000001E-2"/>
    <n v="3.7669999999999999"/>
    <n v="3.7669999999999999"/>
    <n v="3.7669999999999999"/>
    <n v="3.7669999999999999"/>
    <n v="3.7669999999999999"/>
  </r>
  <r>
    <x v="50"/>
    <n v="1.2E-2"/>
    <n v="1.2E-2"/>
    <n v="1.7000000000000001E-2"/>
    <n v="1.7000000000000001E-2"/>
    <n v="1.7000000000000001E-2"/>
    <n v="1.7000000000000001E-2"/>
    <n v="1.7000000000000001E-2"/>
    <n v="1.7000000000000001E-2"/>
    <n v="1.7000000000000001E-2"/>
    <n v="1.7000000000000001E-2"/>
  </r>
  <r>
    <x v="51"/>
    <m/>
    <m/>
    <m/>
    <m/>
    <m/>
    <n v="3.75"/>
    <n v="3.75"/>
    <n v="3.75"/>
    <n v="3.75"/>
    <n v="3.75"/>
  </r>
  <r>
    <x v="52"/>
    <m/>
    <m/>
    <m/>
    <m/>
    <m/>
    <n v="0.55500000000000005"/>
    <n v="0.55500000000000005"/>
    <n v="0.55500000000000005"/>
    <n v="0.55500000000000005"/>
    <n v="0.55500000000000005"/>
  </r>
  <r>
    <x v="53"/>
    <n v="1.379"/>
    <n v="1.85"/>
    <n v="1.903"/>
    <n v="1.903"/>
    <n v="1.907"/>
    <n v="3.03"/>
    <n v="3.6219999999999999"/>
    <n v="3.8130000000000002"/>
    <n v="4.7869999999999999"/>
    <n v="4.7869999999999999"/>
  </r>
  <r>
    <x v="54"/>
    <m/>
    <n v="0.11899999999999999"/>
    <n v="0.11899999999999999"/>
    <n v="0.11899999999999999"/>
    <n v="0.11899999999999999"/>
    <n v="0.11899999999999999"/>
    <n v="0.11899999999999999"/>
    <n v="0.11899999999999999"/>
    <n v="0.11899999999999999"/>
    <n v="0.11899999999999999"/>
  </r>
  <r>
    <x v="55"/>
    <m/>
    <m/>
    <n v="0.04"/>
    <n v="0.04"/>
    <n v="0.04"/>
    <n v="0.04"/>
    <n v="0.04"/>
    <n v="0.04"/>
    <n v="0.04"/>
    <n v="0.04"/>
  </r>
  <r>
    <x v="56"/>
    <m/>
    <m/>
    <m/>
    <m/>
    <n v="4.0000000000000001E-3"/>
    <n v="4.0000000000000001E-3"/>
    <n v="0.59599999999999997"/>
    <n v="0.78700000000000003"/>
    <n v="0.80900000000000005"/>
    <n v="0.80900000000000005"/>
  </r>
  <r>
    <x v="57"/>
    <m/>
    <n v="8.4000000000000005E-2"/>
    <n v="9.6000000000000002E-2"/>
    <n v="9.6000000000000002E-2"/>
    <n v="9.6000000000000002E-2"/>
    <n v="9.6000000000000002E-2"/>
    <n v="9.6000000000000002E-2"/>
    <n v="9.6000000000000002E-2"/>
    <n v="1.048"/>
    <n v="1.048"/>
  </r>
  <r>
    <x v="58"/>
    <m/>
    <n v="7.9000000000000001E-2"/>
    <n v="7.9000000000000001E-2"/>
    <n v="7.9000000000000001E-2"/>
    <n v="7.9000000000000001E-2"/>
    <n v="7.9000000000000001E-2"/>
    <n v="7.9000000000000001E-2"/>
    <n v="7.9000000000000001E-2"/>
    <n v="7.9000000000000001E-2"/>
    <n v="7.9000000000000001E-2"/>
  </r>
  <r>
    <x v="59"/>
    <n v="2E-3"/>
    <n v="0.192"/>
    <n v="0.192"/>
    <n v="0.192"/>
    <n v="0.192"/>
    <n v="0.192"/>
    <n v="0.192"/>
    <n v="0.192"/>
    <n v="0.192"/>
    <n v="0.192"/>
  </r>
  <r>
    <x v="60"/>
    <m/>
    <m/>
    <m/>
    <m/>
    <m/>
    <n v="5.1999999999999998E-2"/>
    <n v="5.1999999999999998E-2"/>
    <n v="5.1999999999999998E-2"/>
    <n v="5.1999999999999998E-2"/>
    <n v="5.1999999999999998E-2"/>
  </r>
  <r>
    <x v="61"/>
    <n v="1.377"/>
    <n v="1.377"/>
    <n v="1.377"/>
    <n v="1.377"/>
    <n v="1.377"/>
    <n v="2.448"/>
    <n v="2.448"/>
    <n v="2.448"/>
    <n v="2.448"/>
    <n v="2.4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0B785F-9BF1-441F-A42C-7354B37C6B5F}" name="PivotTable2" cacheId="28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L14" firstHeaderRow="1" firstDataRow="2" firstDataCol="1"/>
  <pivotFields count="11">
    <pivotField axis="axisCol" showAll="0">
      <items count="63">
        <item x="33"/>
        <item x="0"/>
        <item x="34"/>
        <item x="1"/>
        <item x="54"/>
        <item x="55"/>
        <item x="2"/>
        <item x="3"/>
        <item x="4"/>
        <item x="5"/>
        <item x="56"/>
        <item x="6"/>
        <item x="7"/>
        <item x="42"/>
        <item x="57"/>
        <item x="8"/>
        <item x="43"/>
        <item x="9"/>
        <item x="10"/>
        <item x="52"/>
        <item x="11"/>
        <item x="12"/>
        <item x="44"/>
        <item x="13"/>
        <item x="14"/>
        <item x="45"/>
        <item x="46"/>
        <item x="35"/>
        <item x="36"/>
        <item x="15"/>
        <item x="16"/>
        <item x="17"/>
        <item x="37"/>
        <item x="38"/>
        <item x="18"/>
        <item x="19"/>
        <item x="49"/>
        <item x="20"/>
        <item x="39"/>
        <item x="21"/>
        <item x="40"/>
        <item x="47"/>
        <item x="22"/>
        <item x="23"/>
        <item x="41"/>
        <item x="50"/>
        <item x="58"/>
        <item x="59"/>
        <item x="48"/>
        <item x="24"/>
        <item x="53"/>
        <item x="25"/>
        <item x="26"/>
        <item x="27"/>
        <item x="28"/>
        <item x="29"/>
        <item x="30"/>
        <item x="51"/>
        <item x="60"/>
        <item x="61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numFmtId="164" showAll="0"/>
  </pivotFields>
  <rowFields count="1">
    <field x="-2"/>
  </rowFields>
  <row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rowItems>
  <colFields count="1">
    <field x="0"/>
  </colFields>
  <col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colItems>
  <dataFields count="10">
    <dataField name="Sum of 2010" fld="1" baseField="0" baseItem="0"/>
    <dataField name="Sum of 2011" fld="2" baseField="0" baseItem="0"/>
    <dataField name="Sum of 2012" fld="3" baseField="0" baseItem="0"/>
    <dataField name="Sum of 2013" fld="4" baseField="0" baseItem="0"/>
    <dataField name="Sum of 2014" fld="5" baseField="0" baseItem="0"/>
    <dataField name="Sum of 2015" fld="6" baseField="0" baseItem="0"/>
    <dataField name="Sum of 2016" fld="7" baseField="0" baseItem="0"/>
    <dataField name="Sum of 2017" fld="8" baseField="0" baseItem="0"/>
    <dataField name="Sum of 2018" fld="9" baseField="0" baseItem="0"/>
    <dataField name="Sum of 2019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EFE361-41A8-4554-BC62-7A5B8433FAB8}" name="Table4" displayName="Table4" ref="A53:AZ63" totalsRowShown="0" headerRowDxfId="105" dataDxfId="104">
  <autoFilter ref="A53:AZ63" xr:uid="{1FEFE361-41A8-4554-BC62-7A5B8433FAB8}"/>
  <tableColumns count="52">
    <tableColumn id="1" xr3:uid="{FA6D296B-E173-4854-83BC-1A99089F20B1}" name="Column1" dataDxfId="103"/>
    <tableColumn id="2" xr3:uid="{3E6CAC90-E4D1-41E0-84AA-464E7F783E5C}" name="Angola" dataDxfId="102">
      <calculatedColumnFormula>B43-B42</calculatedColumnFormula>
    </tableColumn>
    <tableColumn id="3" xr3:uid="{05B93A10-A641-46C6-852D-57B15FDDAAC5}" name="Benin" dataDxfId="101">
      <calculatedColumnFormula>C43-C42</calculatedColumnFormula>
    </tableColumn>
    <tableColumn id="4" xr3:uid="{9C7AE546-CE03-4DDE-99F8-EDED648428D5}" name="Botswana" dataDxfId="100">
      <calculatedColumnFormula>D43-D42</calculatedColumnFormula>
    </tableColumn>
    <tableColumn id="5" xr3:uid="{A1F881CB-066C-4C9B-9118-C1BEB92C0D86}" name="Burkina Faso" dataDxfId="99">
      <calculatedColumnFormula>E43-E42</calculatedColumnFormula>
    </tableColumn>
    <tableColumn id="6" xr3:uid="{9C22F9D1-E6F6-428D-B419-E1ADEA7C0CE2}" name="Burundi" dataDxfId="98">
      <calculatedColumnFormula>F43-F42</calculatedColumnFormula>
    </tableColumn>
    <tableColumn id="7" xr3:uid="{77BB949F-3270-4AF1-AE36-69A947710CEB}" name="Cabo Verde" dataDxfId="97">
      <calculatedColumnFormula>G43-G42</calculatedColumnFormula>
    </tableColumn>
    <tableColumn id="8" xr3:uid="{67E234DD-92FD-4BE7-9E51-46D025DD6D1A}" name="Cameroon" dataDxfId="96">
      <calculatedColumnFormula>H43-H42</calculatedColumnFormula>
    </tableColumn>
    <tableColumn id="9" xr3:uid="{128D0A2D-E28A-427A-B209-FFB90287C17D}" name="Cent Afr Rep" dataDxfId="95">
      <calculatedColumnFormula>I43-I42</calculatedColumnFormula>
    </tableColumn>
    <tableColumn id="10" xr3:uid="{6662C555-54FC-46AA-93C1-5BA84791775A}" name="Chad" dataDxfId="94">
      <calculatedColumnFormula>J43-J42</calculatedColumnFormula>
    </tableColumn>
    <tableColumn id="11" xr3:uid="{3AAB923D-766E-49E4-8D22-B99060C56EC2}" name="Comoros" dataDxfId="93">
      <calculatedColumnFormula>K43-K42</calculatedColumnFormula>
    </tableColumn>
    <tableColumn id="12" xr3:uid="{532C7804-ADFD-44B7-B392-38240579531F}" name="Congo DR" dataDxfId="92">
      <calculatedColumnFormula>L43-L42</calculatedColumnFormula>
    </tableColumn>
    <tableColumn id="13" xr3:uid="{F715B4A9-6051-43EF-9393-6C03DDA2613E}" name="Congo Rep" dataDxfId="91">
      <calculatedColumnFormula>M43-M42</calculatedColumnFormula>
    </tableColumn>
    <tableColumn id="14" xr3:uid="{2EE29004-6393-4392-84B3-0B4C855DE214}" name="Cote d Ivoire" dataDxfId="90">
      <calculatedColumnFormula>N43-N42</calculatedColumnFormula>
    </tableColumn>
    <tableColumn id="15" xr3:uid="{3D2C3D71-017A-47B2-8012-CE9C66B09EE2}" name="Egypt" dataDxfId="89">
      <calculatedColumnFormula>O43-O42</calculatedColumnFormula>
    </tableColumn>
    <tableColumn id="16" xr3:uid="{97C74360-00B3-414B-8C2E-A09F250BB9F6}" name="Eq Guinea" dataDxfId="88">
      <calculatedColumnFormula>P43-P42</calculatedColumnFormula>
    </tableColumn>
    <tableColumn id="17" xr3:uid="{9D1E5E73-C0AD-4E73-8C93-0EAD30D3868D}" name="Eritrea" dataDxfId="87">
      <calculatedColumnFormula>Q43-Q42</calculatedColumnFormula>
    </tableColumn>
    <tableColumn id="18" xr3:uid="{ACAB6152-96BF-44C6-8688-31431B2D2043}" name="Eswatini" dataDxfId="86">
      <calculatedColumnFormula>R43-R42</calculatedColumnFormula>
    </tableColumn>
    <tableColumn id="19" xr3:uid="{55A96D14-6E62-490F-A933-D251DC8217C5}" name="Ethiopia" dataDxfId="85">
      <calculatedColumnFormula>S43-S42</calculatedColumnFormula>
    </tableColumn>
    <tableColumn id="20" xr3:uid="{0B083CD2-C07D-4BBD-8A8F-AF84E3D56D5F}" name="Gabon" dataDxfId="84">
      <calculatedColumnFormula>T43-T42</calculatedColumnFormula>
    </tableColumn>
    <tableColumn id="21" xr3:uid="{212AFF85-75B8-4A41-A7AE-A3E9F483068A}" name="Gambia" dataDxfId="83">
      <calculatedColumnFormula>U43-U42</calculatedColumnFormula>
    </tableColumn>
    <tableColumn id="22" xr3:uid="{F0C4B6D9-5093-4475-80E8-A708A0C504FF}" name="Ghana" dataDxfId="82">
      <calculatedColumnFormula>V43-V42</calculatedColumnFormula>
    </tableColumn>
    <tableColumn id="23" xr3:uid="{711F686A-6D46-4300-A383-5173030449A0}" name="Guinea" dataDxfId="81">
      <calculatedColumnFormula>W43-W42</calculatedColumnFormula>
    </tableColumn>
    <tableColumn id="24" xr3:uid="{72C5CE53-D0E0-4561-8CF9-AFBE1BA9887A}" name="Guinea Bissau" dataDxfId="80">
      <calculatedColumnFormula>X43-X42</calculatedColumnFormula>
    </tableColumn>
    <tableColumn id="25" xr3:uid="{081C48EF-D189-4F7E-9847-A298E05ADAB4}" name="Kenya" dataDxfId="79">
      <calculatedColumnFormula>Y43-Y42</calculatedColumnFormula>
    </tableColumn>
    <tableColumn id="26" xr3:uid="{E3511C79-970E-4E60-86BC-55B2345825D6}" name="Lesotho" dataDxfId="78">
      <calculatedColumnFormula>Z43-Z42</calculatedColumnFormula>
    </tableColumn>
    <tableColumn id="27" xr3:uid="{27C64098-A9CF-4A9A-84E5-C0BF79B462A3}" name="Liberia" dataDxfId="77">
      <calculatedColumnFormula>AA43-AA42</calculatedColumnFormula>
    </tableColumn>
    <tableColumn id="28" xr3:uid="{27AC4248-F02A-4CDB-BEA9-ABDADA3F3FBC}" name="Madagascar" dataDxfId="76">
      <calculatedColumnFormula>AB43-AB42</calculatedColumnFormula>
    </tableColumn>
    <tableColumn id="29" xr3:uid="{4BEC0A45-4A99-4B30-9751-34782B0017E1}" name="Malawi" dataDxfId="75">
      <calculatedColumnFormula>AC43-AC42</calculatedColumnFormula>
    </tableColumn>
    <tableColumn id="30" xr3:uid="{22B950C9-F142-46F1-9470-5087AE4A90C0}" name="Mali" dataDxfId="74">
      <calculatedColumnFormula>AD43-AD42</calculatedColumnFormula>
    </tableColumn>
    <tableColumn id="31" xr3:uid="{60E4B6C3-FBFB-4B28-8E1E-F23CB701AFF8}" name="Mauritania" dataDxfId="73">
      <calculatedColumnFormula>AE43-AE42</calculatedColumnFormula>
    </tableColumn>
    <tableColumn id="32" xr3:uid="{A0C0B384-CACE-4F8B-926C-4E3AC92332AF}" name="Mauritius" dataDxfId="72">
      <calculatedColumnFormula>AF43-AF42</calculatedColumnFormula>
    </tableColumn>
    <tableColumn id="33" xr3:uid="{AD62465A-53D9-4E11-838A-7E6EB97EFBC1}" name="Morocco" dataDxfId="71">
      <calculatedColumnFormula>AG43-AG42</calculatedColumnFormula>
    </tableColumn>
    <tableColumn id="34" xr3:uid="{14790C2B-0DFB-467D-9BFB-DF4FD45D733F}" name="Mozambique" dataDxfId="70">
      <calculatedColumnFormula>AH43-AH42</calculatedColumnFormula>
    </tableColumn>
    <tableColumn id="35" xr3:uid="{49AE17EA-4B5A-4C2A-A8F0-BA3228FA8309}" name="Namibia" dataDxfId="69">
      <calculatedColumnFormula>AI43-AI42</calculatedColumnFormula>
    </tableColumn>
    <tableColumn id="36" xr3:uid="{623C5304-0866-4972-B209-9152EF75EF18}" name="Niger" dataDxfId="68">
      <calculatedColumnFormula>AJ43-AJ42</calculatedColumnFormula>
    </tableColumn>
    <tableColumn id="37" xr3:uid="{8987B9FF-1161-4E6E-99A9-EDA0D3B4ADE4}" name="Nigeria" dataDxfId="67">
      <calculatedColumnFormula>AK43-AK42</calculatedColumnFormula>
    </tableColumn>
    <tableColumn id="38" xr3:uid="{10A4AF76-FC08-4004-BBE4-EF976F13A897}" name="Rwanda" dataDxfId="66">
      <calculatedColumnFormula>AL43-AL42</calculatedColumnFormula>
    </tableColumn>
    <tableColumn id="39" xr3:uid="{44CA3530-DE34-478E-AAF9-1BF87CE71686}" name="Sao Tome Prn" dataDxfId="65">
      <calculatedColumnFormula>AM43-AM42</calculatedColumnFormula>
    </tableColumn>
    <tableColumn id="40" xr3:uid="{2A093056-4F6C-477C-87F4-40CB01FA55DC}" name="Senegal" dataDxfId="64">
      <calculatedColumnFormula>AN43-AN42</calculatedColumnFormula>
    </tableColumn>
    <tableColumn id="41" xr3:uid="{3131160B-00BD-4C94-B8C5-0EE6A09AAE9F}" name="Seychelles" dataDxfId="63">
      <calculatedColumnFormula>AO43-AO42</calculatedColumnFormula>
    </tableColumn>
    <tableColumn id="42" xr3:uid="{E6B9D050-88EA-4E67-9B4B-E447AC2EC0F7}" name="Sierra Leone" dataDxfId="62">
      <calculatedColumnFormula>AP43-AP42</calculatedColumnFormula>
    </tableColumn>
    <tableColumn id="43" xr3:uid="{237A866F-061C-4D7B-AD80-825163A68275}" name="Somalia" dataDxfId="61">
      <calculatedColumnFormula>AQ43-AQ42</calculatedColumnFormula>
    </tableColumn>
    <tableColumn id="44" xr3:uid="{0D2B60D8-2CFC-4310-B234-2BE63C2BE26D}" name="South Africa" dataDxfId="60">
      <calculatedColumnFormula>AR43-AR42</calculatedColumnFormula>
    </tableColumn>
    <tableColumn id="45" xr3:uid="{DB8BBA71-F97A-4A07-A2F8-AEEF792A2489}" name="South Sudan" dataDxfId="59">
      <calculatedColumnFormula>AS43-AS42</calculatedColumnFormula>
    </tableColumn>
    <tableColumn id="46" xr3:uid="{D497B97C-4AD7-4435-8A71-FBA6FB6A4D93}" name="Sudan" dataDxfId="58">
      <calculatedColumnFormula>AT43-AT42</calculatedColumnFormula>
    </tableColumn>
    <tableColumn id="47" xr3:uid="{CAC80630-353D-48A6-8C2C-4BBF9800E9F3}" name="Tanzania" dataDxfId="57">
      <calculatedColumnFormula>AU43-AU42</calculatedColumnFormula>
    </tableColumn>
    <tableColumn id="48" xr3:uid="{55D4FCEC-8D4D-4528-BB91-9C37E6DFD9F4}" name="Togo" dataDxfId="56">
      <calculatedColumnFormula>AV43-AV42</calculatedColumnFormula>
    </tableColumn>
    <tableColumn id="49" xr3:uid="{22F32D88-2C08-4EAF-96AD-112A054C7EB3}" name="Tunisia" dataDxfId="55">
      <calculatedColumnFormula>AW43-AW42</calculatedColumnFormula>
    </tableColumn>
    <tableColumn id="50" xr3:uid="{D9AE6DE5-7258-4776-85F2-43293D6FA252}" name="Uganda" dataDxfId="54">
      <calculatedColumnFormula>AX43-AX42</calculatedColumnFormula>
    </tableColumn>
    <tableColumn id="51" xr3:uid="{55A856C2-6376-4F00-B7E8-A36A29372D22}" name="Zambia" dataDxfId="53">
      <calculatedColumnFormula>AY43-AY42</calculatedColumnFormula>
    </tableColumn>
    <tableColumn id="52" xr3:uid="{9B362AEC-070E-4116-9216-1D70DF579C7C}" name="Zimbabwe" dataDxfId="52">
      <calculatedColumnFormula>AZ43-AZ42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E26A1F-B8FD-467C-9FC8-CDFD0534A81D}" name="Table7" displayName="Table7" ref="A29:AH39" totalsRowShown="0" headerRowDxfId="51" dataDxfId="50">
  <autoFilter ref="A29:AH39" xr:uid="{8EE26A1F-B8FD-467C-9FC8-CDFD0534A81D}"/>
  <tableColumns count="34">
    <tableColumn id="1" xr3:uid="{1AB9723B-5247-4267-A8E6-F63AB2A04CEB}" name="Column1"/>
    <tableColumn id="2" xr3:uid="{D7129A3D-7F3F-4466-97E0-F49DC96123DC}" name="Algeria" dataDxfId="49">
      <calculatedColumnFormula>B19-B18</calculatedColumnFormula>
    </tableColumn>
    <tableColumn id="3" xr3:uid="{678744AE-D7F7-4725-BE28-A9EA4B76AD75}" name="Benin" dataDxfId="48">
      <calculatedColumnFormula>C19-C18</calculatedColumnFormula>
    </tableColumn>
    <tableColumn id="4" xr3:uid="{89C49955-EE14-414E-9556-823F2229AF69}" name="Burkina Faso" dataDxfId="47">
      <calculatedColumnFormula>D19-D18</calculatedColumnFormula>
    </tableColumn>
    <tableColumn id="5" xr3:uid="{58E38294-F4A0-48B0-A135-94337CDED323}" name="Cabo Verde" dataDxfId="46">
      <calculatedColumnFormula>E19-E18</calculatedColumnFormula>
    </tableColumn>
    <tableColumn id="6" xr3:uid="{F79ABF8A-AAA8-4737-9EA9-AAB57142F4B5}" name="Cameroon" dataDxfId="45">
      <calculatedColumnFormula>F19-F18</calculatedColumnFormula>
    </tableColumn>
    <tableColumn id="7" xr3:uid="{980C3008-A8CE-48D7-A39A-F9706F48C14B}" name="Chad" dataDxfId="44">
      <calculatedColumnFormula>G19-G18</calculatedColumnFormula>
    </tableColumn>
    <tableColumn id="8" xr3:uid="{43D38076-E405-40CE-ADC7-DEDEEB388F90}" name="Congo DR" dataDxfId="43">
      <calculatedColumnFormula>H19-H18</calculatedColumnFormula>
    </tableColumn>
    <tableColumn id="9" xr3:uid="{ECE513C5-8738-4595-95E8-DC8105FB101C}" name="Cote d Ivoire" dataDxfId="42">
      <calculatedColumnFormula>I19-I18</calculatedColumnFormula>
    </tableColumn>
    <tableColumn id="10" xr3:uid="{96839358-BC4C-4C01-BC3A-A899DADDAD16}" name="Egypt" dataDxfId="41">
      <calculatedColumnFormula>J19-J18</calculatedColumnFormula>
    </tableColumn>
    <tableColumn id="11" xr3:uid="{37243796-5A74-44FE-BE7A-AA61103A7C9F}" name="Eritrea" dataDxfId="40">
      <calculatedColumnFormula>K19-K18</calculatedColumnFormula>
    </tableColumn>
    <tableColumn id="12" xr3:uid="{75FC6ED9-648D-43D0-B354-003E0E07690A}" name="Ethiopia" dataDxfId="39">
      <calculatedColumnFormula>L19-L18</calculatedColumnFormula>
    </tableColumn>
    <tableColumn id="13" xr3:uid="{2EA78AEC-489F-40CD-93DF-910E792AB8D2}" name="Gambia" dataDxfId="38">
      <calculatedColumnFormula>M19-M18</calculatedColumnFormula>
    </tableColumn>
    <tableColumn id="14" xr3:uid="{2978F1F2-1BC4-4EDF-9D0C-A621706575BA}" name="Ghana" dataDxfId="37">
      <calculatedColumnFormula>N19-N18</calculatedColumnFormula>
    </tableColumn>
    <tableColumn id="15" xr3:uid="{DA02CD99-01C1-4897-A62D-5F5C25562A30}" name="Guinea" dataDxfId="36">
      <calculatedColumnFormula>O19-O18</calculatedColumnFormula>
    </tableColumn>
    <tableColumn id="16" xr3:uid="{05544E64-77A2-4D46-8277-79498445EE14}" name="Guinea Bissau" dataDxfId="35">
      <calculatedColumnFormula>P19-P18</calculatedColumnFormula>
    </tableColumn>
    <tableColumn id="17" xr3:uid="{B48092EE-21FE-4B7C-AFDC-E7D51272D450}" name="Kenya" dataDxfId="34">
      <calculatedColumnFormula>Q19-Q18</calculatedColumnFormula>
    </tableColumn>
    <tableColumn id="18" xr3:uid="{A6334325-CB45-48B3-9CA2-9A243C54E566}" name="Liberia" dataDxfId="33">
      <calculatedColumnFormula>R19-R18</calculatedColumnFormula>
    </tableColumn>
    <tableColumn id="19" xr3:uid="{94EC872E-5C16-4941-9D03-63B7D0E5475D}" name="Madagascar" dataDxfId="32">
      <calculatedColumnFormula>S19-S18</calculatedColumnFormula>
    </tableColumn>
    <tableColumn id="20" xr3:uid="{D1A1262E-FA32-420F-8F4C-98E9B4383FAA}" name="Mali" dataDxfId="31">
      <calculatedColumnFormula>T19-T18</calculatedColumnFormula>
    </tableColumn>
    <tableColumn id="21" xr3:uid="{4F68197C-2BBA-4C17-AB56-53B7DC415493}" name="Mauritania" dataDxfId="30">
      <calculatedColumnFormula>U19-U18</calculatedColumnFormula>
    </tableColumn>
    <tableColumn id="22" xr3:uid="{87800B9D-015A-46FA-B7DC-34037C3FCAB8}" name="Mozambique" dataDxfId="29">
      <calculatedColumnFormula>V19-V18</calculatedColumnFormula>
    </tableColumn>
    <tableColumn id="23" xr3:uid="{AD2EA3E7-1796-4BF6-BD2E-3F6B3D09244E}" name="Namibia" dataDxfId="28">
      <calculatedColumnFormula>W19-W18</calculatedColumnFormula>
    </tableColumn>
    <tableColumn id="24" xr3:uid="{4379FED9-1986-4061-B29B-F180E684C2EF}" name="Niger" dataDxfId="27">
      <calculatedColumnFormula>X19-X18</calculatedColumnFormula>
    </tableColumn>
    <tableColumn id="25" xr3:uid="{C5C074BB-08CE-4197-9285-2430CB465321}" name="Nigeria" dataDxfId="26">
      <calculatedColumnFormula>Y19-Y18</calculatedColumnFormula>
    </tableColumn>
    <tableColumn id="26" xr3:uid="{0CE0A794-A3D5-4E39-B18E-546D38F4A0E2}" name="Rwanda" dataDxfId="25">
      <calculatedColumnFormula>Z19-Z18</calculatedColumnFormula>
    </tableColumn>
    <tableColumn id="27" xr3:uid="{935DB515-A488-47AF-B06C-DF3C99998622}" name="Senegal" dataDxfId="24">
      <calculatedColumnFormula>AA19-AA18</calculatedColumnFormula>
    </tableColumn>
    <tableColumn id="28" xr3:uid="{E6411CDB-D930-49F3-A6EB-2D84350C8C2B}" name="Sierra Leone" dataDxfId="23">
      <calculatedColumnFormula>AB19-AB18</calculatedColumnFormula>
    </tableColumn>
    <tableColumn id="29" xr3:uid="{1F511D3A-855E-4D4D-B14D-81CA42A88081}" name="South Africa" dataDxfId="22">
      <calculatedColumnFormula>AC19-AC18</calculatedColumnFormula>
    </tableColumn>
    <tableColumn id="30" xr3:uid="{E944795E-D7C7-4F26-9C56-D3524DCD65FF}" name="Tanzania" dataDxfId="21">
      <calculatedColumnFormula>AD19-AD18</calculatedColumnFormula>
    </tableColumn>
    <tableColumn id="31" xr3:uid="{CEDE1938-1C56-4FD6-96B7-84C64DB26FAB}" name="Togo" dataDxfId="20">
      <calculatedColumnFormula>AE19-AE18</calculatedColumnFormula>
    </tableColumn>
    <tableColumn id="32" xr3:uid="{C77EB75F-933A-4669-8D8B-B55511150A20}" name="Uganda" dataDxfId="19">
      <calculatedColumnFormula>AF19-AF18</calculatedColumnFormula>
    </tableColumn>
    <tableColumn id="33" xr3:uid="{2D66213D-6D9F-4698-AA6B-399E7EC1CBFF}" name="Zambia" dataDxfId="18">
      <calculatedColumnFormula>AG19-AG18</calculatedColumnFormula>
    </tableColumn>
    <tableColumn id="34" xr3:uid="{D6231970-44A9-486A-ABC1-D7BED798E373}" name="Zimbabwe" dataDxfId="17">
      <calculatedColumnFormula>AH19-AH18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1059E7-C0E7-4A70-922B-69E7AB6C99F7}" name="Table2" displayName="Table2" ref="A1:K63" totalsRowShown="0">
  <autoFilter ref="A1:K63" xr:uid="{9A1059E7-C0E7-4A70-922B-69E7AB6C99F7}"/>
  <tableColumns count="11">
    <tableColumn id="1" xr3:uid="{6175A8C0-F7C6-49A3-976B-8BC83AEA3BCA}" name="Column1" dataDxfId="16"/>
    <tableColumn id="2" xr3:uid="{DFCDE0BB-E696-44FA-A5B0-879DBB3D19B1}" name="2010" dataDxfId="15"/>
    <tableColumn id="3" xr3:uid="{66A5371F-B564-46EE-B763-028CECDA33CF}" name="2011" dataDxfId="14"/>
    <tableColumn id="4" xr3:uid="{C7EE7E36-4EE5-410F-8E5C-F23F1F173335}" name="2012" dataDxfId="13"/>
    <tableColumn id="5" xr3:uid="{00056C0E-C327-48B4-BBCD-1F2D529601D4}" name="2013" dataDxfId="12"/>
    <tableColumn id="6" xr3:uid="{273A59A4-D9C9-4495-BCB0-1BD470BAB73C}" name="2014" dataDxfId="11"/>
    <tableColumn id="7" xr3:uid="{AEA4C13D-FD09-4448-954D-4B141F189499}" name="2015" dataDxfId="10"/>
    <tableColumn id="8" xr3:uid="{76881021-ABC4-4FAC-90D8-3FC881C398E9}" name="2016" dataDxfId="9"/>
    <tableColumn id="9" xr3:uid="{DB94B1C5-401E-4B41-B984-EAE34084D352}" name="2017" dataDxfId="8"/>
    <tableColumn id="10" xr3:uid="{FCB968B5-6E3B-411A-8854-25E5A9A264E2}" name="2018" dataDxfId="7"/>
    <tableColumn id="11" xr3:uid="{28A25B09-E95D-4947-888B-B1D583749D36}" name="2019" dataDxf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930A0C7-BD2F-4993-9454-8A240F35B44F}" name="Table12" displayName="Table12" ref="A13:AH23" totalsRowShown="0">
  <autoFilter ref="A13:AH23" xr:uid="{1930A0C7-BD2F-4993-9454-8A240F35B44F}"/>
  <tableColumns count="34">
    <tableColumn id="1" xr3:uid="{894C2015-27DC-4C91-AE7D-219635090980}" name="Column1"/>
    <tableColumn id="2" xr3:uid="{8173B32D-0F34-4510-8B52-62697DE63AA5}" name="Algeria" dataDxfId="5"/>
    <tableColumn id="3" xr3:uid="{94A89802-7E4B-417A-9AA3-46E4BE2CC4F4}" name="Benin"/>
    <tableColumn id="4" xr3:uid="{1ABB8AD9-A2F5-47EB-A2BA-4E0E40FD6FE3}" name="Burkina Faso"/>
    <tableColumn id="5" xr3:uid="{D9693B99-1700-4F21-B25A-EFDC15A4580C}" name="Cabo Verde"/>
    <tableColumn id="6" xr3:uid="{3923CFEF-1552-4EEB-9AFB-A1C2AEFBF046}" name="Cameroon"/>
    <tableColumn id="7" xr3:uid="{4362C5A7-BDDC-474F-879D-14149A21AB14}" name="Chad"/>
    <tableColumn id="8" xr3:uid="{35DC90D0-103F-4407-911A-C611AADFFEE2}" name="Congo, Dem. Rep."/>
    <tableColumn id="9" xr3:uid="{59CAB248-0F08-4D3A-A3E0-821019623997}" name="Cote d'Ivoire"/>
    <tableColumn id="10" xr3:uid="{22185E9A-F048-4A90-A4EB-B0926BE4F5AB}" name="Egypt, Arab Rep." dataDxfId="4"/>
    <tableColumn id="11" xr3:uid="{975480ED-25B5-4FE7-948D-70390DC0460A}" name="Eritrea"/>
    <tableColumn id="12" xr3:uid="{A0114DC3-B962-4B57-B25B-11106BF65C39}" name="Ethiopia"/>
    <tableColumn id="13" xr3:uid="{2793ED84-D97E-453D-9853-C0AF376F03A7}" name="Gambia, The"/>
    <tableColumn id="14" xr3:uid="{8D116449-6F4D-4AC3-B92C-2DE9D7CB887A}" name="Ghana"/>
    <tableColumn id="15" xr3:uid="{12ACCEB5-D3DD-42D4-9ADF-09609148C47F}" name="Guinea"/>
    <tableColumn id="16" xr3:uid="{A67FB69A-A5AF-4D77-BD41-D04B4F4EA87F}" name="Guinea-Bissau"/>
    <tableColumn id="17" xr3:uid="{DB6A0431-3DA6-4E85-8D48-1FCCF6A0C62E}" name="Kenya"/>
    <tableColumn id="18" xr3:uid="{6DCAB71C-0AA0-44EA-9E23-CB609346A83C}" name="Liberia"/>
    <tableColumn id="19" xr3:uid="{52C69E8B-A227-4C69-9E0A-AD06FCA3CF75}" name="Madagascar"/>
    <tableColumn id="20" xr3:uid="{B9D9A048-CE22-49C4-9EBB-1FCF03D8B6F4}" name="Mali"/>
    <tableColumn id="21" xr3:uid="{83B97605-7E73-4788-A826-745E4FA994BF}" name="Mauritania"/>
    <tableColumn id="22" xr3:uid="{980519E7-7816-45C3-8D1E-C589AF102369}" name="Mozambique"/>
    <tableColumn id="23" xr3:uid="{C458B5CC-03CF-439E-9F90-6880A1CB5D07}" name="Namibia"/>
    <tableColumn id="24" xr3:uid="{F5839119-3356-43E1-B17A-EB9F094FBA14}" name="Niger"/>
    <tableColumn id="25" xr3:uid="{CE2BBCE0-4EDD-4741-9303-7CFC0BEDE0EE}" name="Nigeria" dataDxfId="3"/>
    <tableColumn id="26" xr3:uid="{9A4F1E5A-CED6-401B-84C0-E39F3AE32D28}" name="Rwanda"/>
    <tableColumn id="27" xr3:uid="{8051C635-4250-4CE8-8F25-66CC84F4E7D2}" name="Senegal"/>
    <tableColumn id="28" xr3:uid="{59A6A0F9-C54D-424D-B68A-03F51D905EB7}" name="Sierra Leone"/>
    <tableColumn id="29" xr3:uid="{35B9264D-ABB2-4024-8D10-22B698D6AF4A}" name="South Africa" dataDxfId="2"/>
    <tableColumn id="30" xr3:uid="{D0ECFC4D-1A41-43F4-AB46-46C24D0300E0}" name="Tanzania"/>
    <tableColumn id="31" xr3:uid="{CE169904-21F7-4C95-A6A5-2E2A62048481}" name="Togo"/>
    <tableColumn id="32" xr3:uid="{C502F0C7-986A-4E8E-9D3A-3F79E72BA801}" name="Uganda"/>
    <tableColumn id="33" xr3:uid="{6D0ACF23-F8D7-4073-88E5-BDAA8C254031}" name="Zambia"/>
    <tableColumn id="34" xr3:uid="{85A4E1D6-7815-446F-BF85-4EB073026377}" name="Zimbabw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0818488-C819-4C10-AB88-7B680FF62D74}" name="Table13" displayName="Table13" ref="A1:AH11" totalsRowShown="0" headerRowDxfId="1">
  <autoFilter ref="A1:AH11" xr:uid="{80818488-C819-4C10-AB88-7B680FF62D74}"/>
  <tableColumns count="34">
    <tableColumn id="1" xr3:uid="{3AD0A4F8-9495-428A-B643-02E8DE901A2E}" name="Column1" dataDxfId="0"/>
    <tableColumn id="2" xr3:uid="{AF5463DA-DD06-4596-8A78-91AA1E9F8FE8}" name="Algeria"/>
    <tableColumn id="3" xr3:uid="{0211D706-4B9E-4648-A43D-3FBBA7F8933D}" name="Benin"/>
    <tableColumn id="4" xr3:uid="{2A2369F3-95E5-47E0-8C92-22CC23DFAC87}" name="Burkina Faso"/>
    <tableColumn id="5" xr3:uid="{9C80891C-90D4-4BDE-A522-45ABC6C7E2A4}" name="Cabo Verde"/>
    <tableColumn id="6" xr3:uid="{10F669E1-5E30-415E-ADF7-6E74BFD8CF9A}" name="Cameroon"/>
    <tableColumn id="7" xr3:uid="{8DC41FC8-E39B-45ED-9698-7F124D9C7129}" name="Chad"/>
    <tableColumn id="8" xr3:uid="{128A7F0D-D1AD-4311-840E-375F8390ECBF}" name="Congo DR"/>
    <tableColumn id="9" xr3:uid="{C11323AF-F828-4746-862D-C4027BEC8D97}" name="Cote d Ivoire"/>
    <tableColumn id="10" xr3:uid="{A721B9FD-F0BC-459E-92DB-66AD58048B2D}" name="Egypt"/>
    <tableColumn id="11" xr3:uid="{32FDE79D-F169-4F08-9289-2235470ED156}" name="Eritrea"/>
    <tableColumn id="12" xr3:uid="{350D31E7-18E9-4743-9398-7822BA3C68D5}" name="Ethiopia"/>
    <tableColumn id="13" xr3:uid="{16964D4F-C0B4-43EF-8106-A2D394983310}" name="Gambia"/>
    <tableColumn id="14" xr3:uid="{438A7105-C4AC-4605-BE1D-77C0CFAA3801}" name="Ghana"/>
    <tableColumn id="15" xr3:uid="{200E593C-1ED2-49B2-B9B6-6D1B971FB99C}" name="Guinea"/>
    <tableColumn id="16" xr3:uid="{5C458298-B05A-4AEB-8082-1E75ED8931D3}" name="Guinea Bissau"/>
    <tableColumn id="17" xr3:uid="{F7AD98B5-3C29-4551-BD1B-F18876B0E047}" name="Kenya"/>
    <tableColumn id="18" xr3:uid="{1EF9FB0D-667A-4D35-976F-583AAE4B7631}" name="Liberia"/>
    <tableColumn id="19" xr3:uid="{8FEFCEE0-22F6-4B06-A2D7-E6D7D4DB2CF0}" name="Madagascar"/>
    <tableColumn id="20" xr3:uid="{29435EB0-4E40-4B27-830A-626867A84660}" name="Mali"/>
    <tableColumn id="21" xr3:uid="{CCD573A8-8077-4EF9-BB22-A7A0C1B92AA6}" name="Mauritania"/>
    <tableColumn id="22" xr3:uid="{0C3D10EF-46AC-45F5-838A-7E7FCB2343EE}" name="Mozambique"/>
    <tableColumn id="23" xr3:uid="{F1B1678F-6673-428C-80AC-527D151ED8CC}" name="Namibia"/>
    <tableColumn id="24" xr3:uid="{A9B69ADD-3A02-4624-9670-4C77296D5F43}" name="Niger"/>
    <tableColumn id="25" xr3:uid="{E24ACE98-36A0-47A5-89C6-8794960EE95F}" name="Nigeria"/>
    <tableColumn id="26" xr3:uid="{E61BE50C-3D03-4A0E-9FDB-60DE480075B2}" name="Rwanda"/>
    <tableColumn id="27" xr3:uid="{03B7078A-3783-462D-B8CD-120E40425102}" name="Senegal"/>
    <tableColumn id="28" xr3:uid="{7F53528A-4986-460D-81D3-6BCDF3226EC6}" name="Sierra Leone"/>
    <tableColumn id="29" xr3:uid="{0773D2A3-0AF8-4EEE-8060-7B30BDB93BB6}" name="South Africa"/>
    <tableColumn id="30" xr3:uid="{CBF47BAB-F0CA-47A4-B695-A0FCFC709388}" name="Tanzania"/>
    <tableColumn id="31" xr3:uid="{FE06E7F1-132A-46F0-81FD-B138785E4D1E}" name="Togo"/>
    <tableColumn id="32" xr3:uid="{BCD77A15-ED38-42D2-93D0-7175E81449D6}" name="Uganda"/>
    <tableColumn id="33" xr3:uid="{7987D53A-D246-475A-A885-2CCE8D0E435C}" name="Zambia"/>
    <tableColumn id="34" xr3:uid="{D75F9E11-FA8D-452D-924D-0F1CF3099C0F}" name="Zimbabw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867A990-C008-42AD-8928-C5750E9DCEA6}" name="Table14" displayName="Table14" ref="A28:AH38" totalsRowShown="0">
  <autoFilter ref="A28:AH38" xr:uid="{9867A990-C008-42AD-8928-C5750E9DCEA6}"/>
  <tableColumns count="34">
    <tableColumn id="1" xr3:uid="{BB99EBAB-A3F2-4B65-9408-3F6344504553}" name="Country Name"/>
    <tableColumn id="2" xr3:uid="{B1D52283-F610-4BEC-9A2B-D978AC0ED282}" name="Algeria"/>
    <tableColumn id="3" xr3:uid="{1A41489E-B4A1-4166-95CF-A259764868A2}" name="Benin"/>
    <tableColumn id="4" xr3:uid="{00F7844A-BE89-4367-8BF7-925AEC8371A3}" name="Burkina Faso"/>
    <tableColumn id="5" xr3:uid="{CDDDCB81-98A8-4C69-8D46-0BF17C65B8EF}" name="Cabo Verde"/>
    <tableColumn id="6" xr3:uid="{31D71CCB-8167-48CC-9739-4E7470069B62}" name="Cameroon"/>
    <tableColumn id="7" xr3:uid="{C2E663FB-FCAE-4599-A4AC-42209F13755C}" name="Chad"/>
    <tableColumn id="8" xr3:uid="{4C94B763-246D-4F93-BCE0-C2F0CD1EE07C}" name="Congo, Dem. Rep."/>
    <tableColumn id="9" xr3:uid="{23D11E4F-E372-4DBA-A4AE-EC889717CD73}" name="Cote d'Ivoire"/>
    <tableColumn id="10" xr3:uid="{B6AF8037-EA22-4B45-89E1-8FB1CA7D94FA}" name="Egypt, Arab Rep."/>
    <tableColumn id="11" xr3:uid="{F53E733E-8E5C-4BAA-BB30-C9F81DE662D4}" name="Eritrea"/>
    <tableColumn id="12" xr3:uid="{CD75963D-7546-4AE5-8589-1E420CE7E05A}" name="Ethiopia"/>
    <tableColumn id="13" xr3:uid="{21C85176-99DB-426C-94EE-F2D51C89109A}" name="Gambia, The"/>
    <tableColumn id="14" xr3:uid="{75C1D9A3-8FB6-4634-811D-99645A757475}" name="Ghana"/>
    <tableColumn id="15" xr3:uid="{3D1B4DD0-08A9-48E0-8078-FFF071194FFB}" name="Guinea"/>
    <tableColumn id="16" xr3:uid="{D0DA8F15-5A0A-4C89-9CD3-4222D4642422}" name="Guinea-Bissau"/>
    <tableColumn id="17" xr3:uid="{6AD4C8C5-F9DE-4FFF-8876-57EC9BF42F70}" name="Kenya"/>
    <tableColumn id="18" xr3:uid="{4D72F576-A899-428F-BE9C-F6DF65572714}" name="Liberia"/>
    <tableColumn id="19" xr3:uid="{01F25B3D-CE3B-45F9-9B6A-250FB69A469A}" name="Madagascar"/>
    <tableColumn id="20" xr3:uid="{6EB532CD-253B-46CB-AA21-3D783D201A62}" name="Mali"/>
    <tableColumn id="21" xr3:uid="{7A826BF2-3AF9-4859-98EE-D14E701058BD}" name="Mauritania"/>
    <tableColumn id="22" xr3:uid="{95FF94C6-0EEF-44A8-8469-35AD539E42BC}" name="Mozambique"/>
    <tableColumn id="23" xr3:uid="{88AA43F1-4636-4DC9-B3E9-1E700F5FA195}" name="Namibia"/>
    <tableColumn id="24" xr3:uid="{66D7B47C-8F62-473A-97E2-CB0079215CDC}" name="Niger"/>
    <tableColumn id="25" xr3:uid="{A9F5CEA8-7A8D-45CE-964C-C7FCAF27ACD5}" name="Nigeria"/>
    <tableColumn id="26" xr3:uid="{BF0CF052-E17B-4F13-873B-AB48287D8213}" name="Rwanda"/>
    <tableColumn id="27" xr3:uid="{0974621B-9E7E-479F-83CA-3F88D9FCD4AB}" name="Senegal"/>
    <tableColumn id="28" xr3:uid="{9C14DBC4-8377-41BF-84C5-A52908F7F473}" name="Sierra Leone"/>
    <tableColumn id="29" xr3:uid="{49FCD5E9-3250-49F4-8DA6-D2E3A51C813E}" name="South Africa"/>
    <tableColumn id="30" xr3:uid="{8AC279A5-F5FD-48E2-A2D6-343E57C77FFE}" name="Tanzania"/>
    <tableColumn id="31" xr3:uid="{9B0C70B5-4DA3-48E2-8733-9084F7F8E51B}" name="Togo"/>
    <tableColumn id="32" xr3:uid="{5241C100-0A29-4966-AEE9-23F969B882AC}" name="Uganda"/>
    <tableColumn id="33" xr3:uid="{892E4ABB-0139-4F42-99A8-90D788420A54}" name="Zambia"/>
    <tableColumn id="34" xr3:uid="{6C00B303-3E2D-48B3-A181-6314DA52F159}" name="Zimbabw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FC10-A26D-4CF2-8C8E-1EB16BA6AB43}">
  <dimension ref="A3:BL63"/>
  <sheetViews>
    <sheetView topLeftCell="X19" workbookViewId="0">
      <selection activeCell="A29" sqref="A29:AH39"/>
    </sheetView>
  </sheetViews>
  <sheetFormatPr defaultRowHeight="14.4" x14ac:dyDescent="0.3"/>
  <cols>
    <col min="1" max="1" width="15.109375" customWidth="1"/>
    <col min="2" max="2" width="15.5546875" bestFit="1" customWidth="1"/>
    <col min="3" max="3" width="9.5546875" customWidth="1"/>
    <col min="4" max="4" width="10.6640625" bestFit="1" customWidth="1"/>
    <col min="5" max="5" width="10.33203125" customWidth="1"/>
    <col min="6" max="6" width="13.5546875" customWidth="1"/>
    <col min="7" max="7" width="12.5546875" customWidth="1"/>
    <col min="8" max="8" width="11.6640625" bestFit="1" customWidth="1"/>
    <col min="9" max="9" width="10.77734375" bestFit="1" customWidth="1"/>
    <col min="10" max="10" width="14.6640625" customWidth="1"/>
    <col min="11" max="11" width="22.88671875" customWidth="1"/>
    <col min="12" max="12" width="9" bestFit="1" customWidth="1"/>
    <col min="13" max="13" width="9.5546875" customWidth="1"/>
    <col min="14" max="14" width="11.6640625" bestFit="1" customWidth="1"/>
    <col min="15" max="15" width="8.44140625" customWidth="1"/>
    <col min="16" max="16" width="11" customWidth="1"/>
    <col min="17" max="17" width="10.77734375" customWidth="1"/>
    <col min="18" max="18" width="18.44140625" customWidth="1"/>
    <col min="19" max="19" width="9.77734375" customWidth="1"/>
    <col min="20" max="20" width="11.109375" customWidth="1"/>
    <col min="21" max="21" width="23" customWidth="1"/>
    <col min="22" max="22" width="10.33203125" customWidth="1"/>
    <col min="23" max="23" width="28" customWidth="1"/>
    <col min="24" max="24" width="12.5546875" customWidth="1"/>
    <col min="25" max="25" width="16" customWidth="1"/>
    <col min="26" max="26" width="12.5546875" bestFit="1" customWidth="1"/>
    <col min="27" max="27" width="7.6640625" customWidth="1"/>
    <col min="28" max="28" width="13.5546875" customWidth="1"/>
    <col min="29" max="29" width="11.6640625" customWidth="1"/>
    <col min="30" max="30" width="18" customWidth="1"/>
    <col min="31" max="31" width="13.109375" customWidth="1"/>
    <col min="32" max="32" width="10.88671875" customWidth="1"/>
    <col min="33" max="33" width="11.21875" bestFit="1" customWidth="1"/>
    <col min="34" max="34" width="12.6640625" customWidth="1"/>
    <col min="35" max="35" width="11.44140625" customWidth="1"/>
    <col min="36" max="36" width="21.5546875" customWidth="1"/>
    <col min="37" max="37" width="10.21875" bestFit="1" customWidth="1"/>
    <col min="38" max="38" width="10.77734375" bestFit="1" customWidth="1"/>
    <col min="39" max="39" width="16" customWidth="1"/>
    <col min="40" max="40" width="9.21875" bestFit="1" customWidth="1"/>
    <col min="41" max="41" width="15.44140625" customWidth="1"/>
    <col min="42" max="42" width="10.5546875" customWidth="1"/>
    <col min="43" max="43" width="9.5546875" customWidth="1"/>
    <col min="44" max="45" width="10.77734375" customWidth="1"/>
    <col min="46" max="46" width="19.5546875" customWidth="1"/>
    <col min="47" max="47" width="8.6640625" customWidth="1"/>
    <col min="48" max="48" width="38.5546875" customWidth="1"/>
    <col min="49" max="49" width="26.5546875" customWidth="1"/>
    <col min="50" max="50" width="18" customWidth="1"/>
    <col min="51" max="51" width="41.6640625" customWidth="1"/>
    <col min="52" max="52" width="21.109375" customWidth="1"/>
    <col min="53" max="53" width="9.77734375" customWidth="1"/>
    <col min="54" max="54" width="16.88671875" customWidth="1"/>
    <col min="55" max="55" width="11.33203125" bestFit="1" customWidth="1"/>
    <col min="56" max="56" width="8.44140625" bestFit="1" customWidth="1"/>
    <col min="57" max="57" width="7.5546875" customWidth="1"/>
    <col min="58" max="58" width="9" customWidth="1"/>
    <col min="59" max="59" width="14.33203125" bestFit="1" customWidth="1"/>
    <col min="60" max="60" width="16.5546875" customWidth="1"/>
    <col min="61" max="61" width="34.6640625" customWidth="1"/>
    <col min="62" max="62" width="9" customWidth="1"/>
    <col min="63" max="63" width="9.77734375" bestFit="1" customWidth="1"/>
    <col min="64" max="64" width="10.77734375" bestFit="1" customWidth="1"/>
    <col min="65" max="65" width="15.5546875" bestFit="1" customWidth="1"/>
    <col min="66" max="66" width="20.109375" customWidth="1"/>
    <col min="67" max="67" width="15.5546875" bestFit="1" customWidth="1"/>
    <col min="68" max="68" width="16.5546875" customWidth="1"/>
    <col min="69" max="74" width="15.5546875" bestFit="1" customWidth="1"/>
    <col min="75" max="75" width="17.77734375" customWidth="1"/>
    <col min="76" max="82" width="15.5546875" bestFit="1" customWidth="1"/>
    <col min="83" max="83" width="21.6640625" customWidth="1"/>
    <col min="84" max="84" width="15.5546875" bestFit="1" customWidth="1"/>
    <col min="85" max="85" width="35.44140625" customWidth="1"/>
    <col min="86" max="89" width="15.5546875" bestFit="1" customWidth="1"/>
    <col min="90" max="90" width="16.5546875" customWidth="1"/>
    <col min="91" max="98" width="15.5546875" bestFit="1" customWidth="1"/>
    <col min="99" max="99" width="17.21875" customWidth="1"/>
    <col min="100" max="108" width="15.5546875" bestFit="1" customWidth="1"/>
    <col min="109" max="109" width="16.109375" customWidth="1"/>
    <col min="110" max="111" width="15.5546875" bestFit="1" customWidth="1"/>
    <col min="112" max="112" width="17.88671875" customWidth="1"/>
    <col min="113" max="114" width="15.5546875" bestFit="1" customWidth="1"/>
    <col min="115" max="115" width="45.77734375" customWidth="1"/>
    <col min="116" max="120" width="15.5546875" bestFit="1" customWidth="1"/>
    <col min="121" max="121" width="25.21875" customWidth="1"/>
    <col min="122" max="122" width="39.5546875" customWidth="1"/>
    <col min="123" max="125" width="15.5546875" bestFit="1" customWidth="1"/>
    <col min="126" max="126" width="20.88671875" customWidth="1"/>
    <col min="127" max="127" width="21.109375" customWidth="1"/>
    <col min="128" max="128" width="15.5546875" bestFit="1" customWidth="1"/>
    <col min="129" max="129" width="26" customWidth="1"/>
    <col min="130" max="132" width="15.5546875" bestFit="1" customWidth="1"/>
    <col min="133" max="133" width="18.21875" customWidth="1"/>
    <col min="134" max="134" width="22.5546875" customWidth="1"/>
    <col min="135" max="139" width="15.5546875" bestFit="1" customWidth="1"/>
    <col min="140" max="140" width="25.21875" customWidth="1"/>
    <col min="141" max="141" width="15.5546875" bestFit="1" customWidth="1"/>
    <col min="142" max="142" width="16.33203125" customWidth="1"/>
    <col min="143" max="143" width="15.5546875" bestFit="1" customWidth="1"/>
    <col min="144" max="144" width="17.6640625" customWidth="1"/>
    <col min="145" max="147" width="15.5546875" bestFit="1" customWidth="1"/>
    <col min="148" max="148" width="45.77734375" customWidth="1"/>
    <col min="149" max="150" width="15.5546875" bestFit="1" customWidth="1"/>
    <col min="151" max="151" width="24.21875" customWidth="1"/>
    <col min="152" max="167" width="15.5546875" bestFit="1" customWidth="1"/>
    <col min="168" max="168" width="15.88671875" customWidth="1"/>
    <col min="169" max="169" width="15.5546875" bestFit="1" customWidth="1"/>
    <col min="170" max="170" width="17.77734375" customWidth="1"/>
    <col min="171" max="175" width="15.5546875" bestFit="1" customWidth="1"/>
    <col min="176" max="176" width="18.77734375" customWidth="1"/>
    <col min="177" max="177" width="15.5546875" bestFit="1" customWidth="1"/>
    <col min="178" max="178" width="25.21875" customWidth="1"/>
    <col min="179" max="179" width="15.5546875" bestFit="1" customWidth="1"/>
    <col min="180" max="180" width="24.88671875" customWidth="1"/>
    <col min="181" max="182" width="15.5546875" bestFit="1" customWidth="1"/>
    <col min="183" max="183" width="19.88671875" customWidth="1"/>
    <col min="184" max="184" width="23.77734375" customWidth="1"/>
    <col min="185" max="185" width="26.109375" customWidth="1"/>
    <col min="186" max="186" width="17" customWidth="1"/>
    <col min="187" max="188" width="15.5546875" bestFit="1" customWidth="1"/>
    <col min="189" max="189" width="18.6640625" customWidth="1"/>
    <col min="190" max="195" width="15.5546875" bestFit="1" customWidth="1"/>
    <col min="196" max="196" width="16.6640625" customWidth="1"/>
    <col min="197" max="201" width="15.5546875" bestFit="1" customWidth="1"/>
    <col min="202" max="202" width="39.5546875" customWidth="1"/>
    <col min="203" max="203" width="15.5546875" bestFit="1" customWidth="1"/>
    <col min="204" max="204" width="19" customWidth="1"/>
    <col min="205" max="205" width="15.5546875" bestFit="1" customWidth="1"/>
    <col min="206" max="206" width="22.109375" customWidth="1"/>
    <col min="207" max="207" width="15.5546875" bestFit="1" customWidth="1"/>
    <col min="208" max="208" width="16.109375" customWidth="1"/>
    <col min="209" max="211" width="15.5546875" bestFit="1" customWidth="1"/>
    <col min="212" max="212" width="24.44140625" customWidth="1"/>
    <col min="213" max="213" width="15.5546875" bestFit="1" customWidth="1"/>
    <col min="214" max="214" width="20.21875" customWidth="1"/>
    <col min="215" max="215" width="23.109375" customWidth="1"/>
    <col min="216" max="216" width="15.5546875" bestFit="1" customWidth="1"/>
    <col min="217" max="217" width="37.33203125" customWidth="1"/>
    <col min="218" max="218" width="40.44140625" customWidth="1"/>
    <col min="219" max="222" width="15.5546875" bestFit="1" customWidth="1"/>
    <col min="223" max="223" width="47.77734375" customWidth="1"/>
    <col min="224" max="224" width="15.5546875" bestFit="1" customWidth="1"/>
    <col min="225" max="225" width="44.5546875" customWidth="1"/>
    <col min="226" max="226" width="15.5546875" bestFit="1" customWidth="1"/>
    <col min="227" max="227" width="22.88671875" customWidth="1"/>
    <col min="228" max="228" width="38.33203125" customWidth="1"/>
    <col min="229" max="229" width="20.21875" customWidth="1"/>
    <col min="230" max="235" width="15.5546875" bestFit="1" customWidth="1"/>
    <col min="236" max="236" width="21" customWidth="1"/>
    <col min="237" max="239" width="15.5546875" bestFit="1" customWidth="1"/>
    <col min="240" max="240" width="28.77734375" customWidth="1"/>
    <col min="241" max="241" width="15.5546875" bestFit="1" customWidth="1"/>
    <col min="242" max="242" width="19.6640625" customWidth="1"/>
    <col min="243" max="243" width="19.21875" customWidth="1"/>
    <col min="244" max="620" width="15.5546875" bestFit="1" customWidth="1"/>
    <col min="621" max="630" width="16.21875" bestFit="1" customWidth="1"/>
  </cols>
  <sheetData>
    <row r="3" spans="1:64" x14ac:dyDescent="0.3">
      <c r="B3" s="16" t="s">
        <v>401</v>
      </c>
    </row>
    <row r="4" spans="1:64" x14ac:dyDescent="0.3">
      <c r="A4" s="16" t="s">
        <v>402</v>
      </c>
      <c r="B4" t="s">
        <v>105</v>
      </c>
      <c r="C4" t="s">
        <v>163</v>
      </c>
      <c r="D4" t="s">
        <v>123</v>
      </c>
      <c r="E4" t="s">
        <v>121</v>
      </c>
      <c r="F4" t="s">
        <v>131</v>
      </c>
      <c r="G4" t="s">
        <v>132</v>
      </c>
      <c r="H4" t="s">
        <v>122</v>
      </c>
      <c r="I4" t="s">
        <v>150</v>
      </c>
      <c r="J4" t="s">
        <v>145</v>
      </c>
      <c r="K4" t="s">
        <v>332</v>
      </c>
      <c r="L4" t="s">
        <v>148</v>
      </c>
      <c r="M4" t="s">
        <v>369</v>
      </c>
      <c r="N4" t="s">
        <v>370</v>
      </c>
      <c r="O4" t="s">
        <v>153</v>
      </c>
      <c r="P4" t="s">
        <v>169</v>
      </c>
      <c r="Q4" t="s">
        <v>371</v>
      </c>
      <c r="R4" t="s">
        <v>314</v>
      </c>
      <c r="S4" t="s">
        <v>172</v>
      </c>
      <c r="T4" t="s">
        <v>175</v>
      </c>
      <c r="U4" t="s">
        <v>179</v>
      </c>
      <c r="V4" t="s">
        <v>372</v>
      </c>
      <c r="W4" t="s">
        <v>186</v>
      </c>
      <c r="X4" t="s">
        <v>195</v>
      </c>
      <c r="Y4" t="s">
        <v>188</v>
      </c>
      <c r="Z4" t="s">
        <v>373</v>
      </c>
      <c r="AA4" t="s">
        <v>203</v>
      </c>
      <c r="AB4" t="s">
        <v>200</v>
      </c>
      <c r="AC4" t="s">
        <v>212</v>
      </c>
      <c r="AD4" t="s">
        <v>209</v>
      </c>
      <c r="AE4" t="s">
        <v>224</v>
      </c>
      <c r="AF4" t="s">
        <v>234</v>
      </c>
      <c r="AG4" t="s">
        <v>254</v>
      </c>
      <c r="AH4" t="s">
        <v>272</v>
      </c>
      <c r="AI4" t="s">
        <v>255</v>
      </c>
      <c r="AJ4" t="s">
        <v>261</v>
      </c>
      <c r="AK4" t="s">
        <v>269</v>
      </c>
      <c r="AL4" t="s">
        <v>374</v>
      </c>
      <c r="AM4" t="s">
        <v>268</v>
      </c>
      <c r="AN4" t="s">
        <v>263</v>
      </c>
      <c r="AO4" t="s">
        <v>274</v>
      </c>
      <c r="AP4" t="s">
        <v>281</v>
      </c>
      <c r="AQ4" t="s">
        <v>278</v>
      </c>
      <c r="AR4" t="s">
        <v>276</v>
      </c>
      <c r="AS4" t="s">
        <v>277</v>
      </c>
      <c r="AT4" t="s">
        <v>287</v>
      </c>
      <c r="AU4" t="s">
        <v>375</v>
      </c>
      <c r="AV4" t="s">
        <v>298</v>
      </c>
      <c r="AW4" t="s">
        <v>289</v>
      </c>
      <c r="AX4" t="s">
        <v>295</v>
      </c>
      <c r="AY4" t="s">
        <v>306</v>
      </c>
      <c r="AZ4" t="s">
        <v>377</v>
      </c>
      <c r="BA4" t="s">
        <v>310</v>
      </c>
      <c r="BB4" t="s">
        <v>313</v>
      </c>
      <c r="BC4" t="s">
        <v>366</v>
      </c>
      <c r="BD4" t="s">
        <v>349</v>
      </c>
      <c r="BE4" t="s">
        <v>335</v>
      </c>
      <c r="BF4" t="s">
        <v>350</v>
      </c>
      <c r="BG4" t="s">
        <v>376</v>
      </c>
      <c r="BH4" t="s">
        <v>353</v>
      </c>
      <c r="BI4" t="s">
        <v>378</v>
      </c>
      <c r="BJ4" t="s">
        <v>367</v>
      </c>
      <c r="BK4" t="s">
        <v>368</v>
      </c>
      <c r="BL4" t="s">
        <v>381</v>
      </c>
    </row>
    <row r="5" spans="1:64" x14ac:dyDescent="0.3">
      <c r="A5" s="17" t="s">
        <v>393</v>
      </c>
      <c r="B5">
        <v>0.1</v>
      </c>
      <c r="C5">
        <v>0.45400000000000001</v>
      </c>
      <c r="D5">
        <v>0.1</v>
      </c>
      <c r="J5">
        <v>0.01</v>
      </c>
      <c r="AC5">
        <v>4.42</v>
      </c>
      <c r="AD5">
        <v>11.401999999999999</v>
      </c>
      <c r="AG5">
        <v>3.0000000000000001E-3</v>
      </c>
      <c r="AJ5">
        <v>0.45400000000000001</v>
      </c>
      <c r="AL5">
        <v>1.2E-2</v>
      </c>
      <c r="AP5">
        <v>0.70199999999999996</v>
      </c>
      <c r="AU5">
        <v>1.2E-2</v>
      </c>
      <c r="AW5">
        <v>2E-3</v>
      </c>
      <c r="AZ5">
        <v>1.379</v>
      </c>
      <c r="BA5">
        <v>0.37</v>
      </c>
      <c r="BF5">
        <v>0.85</v>
      </c>
      <c r="BI5">
        <v>1.377</v>
      </c>
      <c r="BL5">
        <v>21.646999999999998</v>
      </c>
    </row>
    <row r="6" spans="1:64" x14ac:dyDescent="0.3">
      <c r="A6" s="17" t="s">
        <v>394</v>
      </c>
      <c r="B6">
        <v>0.1</v>
      </c>
      <c r="C6">
        <v>0.45400000000000001</v>
      </c>
      <c r="D6">
        <v>0.1</v>
      </c>
      <c r="F6">
        <v>0.11899999999999999</v>
      </c>
      <c r="J6">
        <v>0.01</v>
      </c>
      <c r="P6">
        <v>8.4000000000000005E-2</v>
      </c>
      <c r="R6">
        <v>4.3999999999999997E-2</v>
      </c>
      <c r="X6">
        <v>0.108</v>
      </c>
      <c r="AB6">
        <v>6.3E-2</v>
      </c>
      <c r="AC6">
        <v>4.72</v>
      </c>
      <c r="AD6">
        <v>11.547000000000001</v>
      </c>
      <c r="AG6">
        <v>3.0000000000000001E-3</v>
      </c>
      <c r="AJ6">
        <v>0.87</v>
      </c>
      <c r="AL6">
        <v>1.2E-2</v>
      </c>
      <c r="AO6">
        <v>0.20200000000000001</v>
      </c>
      <c r="AP6">
        <v>2.9020000000000001</v>
      </c>
      <c r="AQ6">
        <v>3.9E-2</v>
      </c>
      <c r="AU6">
        <v>1.2E-2</v>
      </c>
      <c r="AV6">
        <v>7.9000000000000001E-2</v>
      </c>
      <c r="AW6">
        <v>0.192</v>
      </c>
      <c r="AZ6">
        <v>1.85</v>
      </c>
      <c r="BA6">
        <v>0.37</v>
      </c>
      <c r="BC6">
        <v>1E-3</v>
      </c>
      <c r="BF6">
        <v>0.85099999999999998</v>
      </c>
      <c r="BI6">
        <v>1.377</v>
      </c>
      <c r="BL6">
        <v>26.109000000000009</v>
      </c>
    </row>
    <row r="7" spans="1:64" x14ac:dyDescent="0.3">
      <c r="A7" s="17" t="s">
        <v>395</v>
      </c>
      <c r="B7">
        <v>0.1</v>
      </c>
      <c r="C7">
        <v>0.45400000000000001</v>
      </c>
      <c r="D7">
        <v>0.2</v>
      </c>
      <c r="F7">
        <v>0.11899999999999999</v>
      </c>
      <c r="G7">
        <v>0.04</v>
      </c>
      <c r="I7">
        <v>2.7E-2</v>
      </c>
      <c r="J7">
        <v>0.01</v>
      </c>
      <c r="P7">
        <v>9.6000000000000002E-2</v>
      </c>
      <c r="R7">
        <v>4.3999999999999997E-2</v>
      </c>
      <c r="X7">
        <v>0.108</v>
      </c>
      <c r="AA7">
        <v>9.2999999999999999E-2</v>
      </c>
      <c r="AB7">
        <v>6.3E-2</v>
      </c>
      <c r="AC7">
        <v>5.03</v>
      </c>
      <c r="AD7">
        <v>16.702999999999999</v>
      </c>
      <c r="AE7">
        <v>0.71399999999999997</v>
      </c>
      <c r="AG7">
        <v>3.0000000000000001E-3</v>
      </c>
      <c r="AJ7">
        <v>1.1719999999999999</v>
      </c>
      <c r="AL7">
        <v>1.7000000000000001E-2</v>
      </c>
      <c r="AO7">
        <v>0.20200000000000001</v>
      </c>
      <c r="AP7">
        <v>2.9020000000000001</v>
      </c>
      <c r="AQ7">
        <v>3.9E-2</v>
      </c>
      <c r="AS7">
        <v>8.3000000000000004E-2</v>
      </c>
      <c r="AU7">
        <v>1.7000000000000001E-2</v>
      </c>
      <c r="AV7">
        <v>7.9000000000000001E-2</v>
      </c>
      <c r="AW7">
        <v>0.192</v>
      </c>
      <c r="AZ7">
        <v>1.903</v>
      </c>
      <c r="BA7">
        <v>1.089</v>
      </c>
      <c r="BC7">
        <v>1E-3</v>
      </c>
      <c r="BF7">
        <v>0.85099999999999998</v>
      </c>
      <c r="BI7">
        <v>1.377</v>
      </c>
      <c r="BL7">
        <v>33.728000000000002</v>
      </c>
    </row>
    <row r="8" spans="1:64" x14ac:dyDescent="0.3">
      <c r="A8" s="17" t="s">
        <v>396</v>
      </c>
      <c r="B8">
        <v>0.34399999999999997</v>
      </c>
      <c r="C8">
        <v>0.45400000000000001</v>
      </c>
      <c r="D8">
        <v>0.2</v>
      </c>
      <c r="F8">
        <v>0.11899999999999999</v>
      </c>
      <c r="G8">
        <v>0.04</v>
      </c>
      <c r="I8">
        <v>2.7E-2</v>
      </c>
      <c r="J8">
        <v>0.01</v>
      </c>
      <c r="P8">
        <v>9.6000000000000002E-2</v>
      </c>
      <c r="R8">
        <v>4.3999999999999997E-2</v>
      </c>
      <c r="X8">
        <v>0.108</v>
      </c>
      <c r="AA8">
        <v>9.2999999999999999E-2</v>
      </c>
      <c r="AB8">
        <v>6.3E-2</v>
      </c>
      <c r="AC8">
        <v>5.34</v>
      </c>
      <c r="AD8">
        <v>22.323</v>
      </c>
      <c r="AE8">
        <v>0.83399999999999996</v>
      </c>
      <c r="AG8">
        <v>3.0000000000000001E-3</v>
      </c>
      <c r="AJ8">
        <v>3.05</v>
      </c>
      <c r="AL8">
        <v>1.7000000000000001E-2</v>
      </c>
      <c r="AM8">
        <v>1.3240000000000001</v>
      </c>
      <c r="AO8">
        <v>0.20200000000000001</v>
      </c>
      <c r="AP8">
        <v>2.9020000000000001</v>
      </c>
      <c r="AQ8">
        <v>3.9E-2</v>
      </c>
      <c r="AS8">
        <v>0.191</v>
      </c>
      <c r="AU8">
        <v>1.7000000000000001E-2</v>
      </c>
      <c r="AV8">
        <v>7.9000000000000001E-2</v>
      </c>
      <c r="AW8">
        <v>0.192</v>
      </c>
      <c r="AZ8">
        <v>1.903</v>
      </c>
      <c r="BA8">
        <v>1.089</v>
      </c>
      <c r="BB8">
        <v>5.0000000000000001E-3</v>
      </c>
      <c r="BC8">
        <v>1E-3</v>
      </c>
      <c r="BD8">
        <v>3.3000000000000002E-2</v>
      </c>
      <c r="BF8">
        <v>0.85099999999999998</v>
      </c>
      <c r="BI8">
        <v>1.377</v>
      </c>
      <c r="BL8">
        <v>43.370000000000005</v>
      </c>
    </row>
    <row r="9" spans="1:64" x14ac:dyDescent="0.3">
      <c r="A9" s="17" t="s">
        <v>397</v>
      </c>
      <c r="B9">
        <v>1.3939999999999999</v>
      </c>
      <c r="C9">
        <v>0.45400000000000001</v>
      </c>
      <c r="D9">
        <v>0.64</v>
      </c>
      <c r="F9">
        <v>0.11899999999999999</v>
      </c>
      <c r="G9">
        <v>0.04</v>
      </c>
      <c r="I9">
        <v>0.04</v>
      </c>
      <c r="J9">
        <v>0.01</v>
      </c>
      <c r="L9">
        <v>4.0000000000000001E-3</v>
      </c>
      <c r="P9">
        <v>9.6000000000000002E-2</v>
      </c>
      <c r="R9">
        <v>4.3999999999999997E-2</v>
      </c>
      <c r="W9">
        <v>1.2E-2</v>
      </c>
      <c r="X9">
        <v>0.108</v>
      </c>
      <c r="AA9">
        <v>9.2999999999999999E-2</v>
      </c>
      <c r="AB9">
        <v>6.3E-2</v>
      </c>
      <c r="AC9">
        <v>6.42</v>
      </c>
      <c r="AD9">
        <v>25.260999999999999</v>
      </c>
      <c r="AE9">
        <v>0.88400000000000001</v>
      </c>
      <c r="AG9">
        <v>3.0000000000000001E-3</v>
      </c>
      <c r="AH9">
        <v>1.5249999999999999</v>
      </c>
      <c r="AI9">
        <v>0.20399999999999999</v>
      </c>
      <c r="AJ9">
        <v>3.38</v>
      </c>
      <c r="AK9">
        <v>0.13500000000000001</v>
      </c>
      <c r="AL9">
        <v>1.7000000000000001E-2</v>
      </c>
      <c r="AM9">
        <v>1.331</v>
      </c>
      <c r="AO9">
        <v>0.49399999999999999</v>
      </c>
      <c r="AP9">
        <v>2.9020000000000001</v>
      </c>
      <c r="AQ9">
        <v>3.9E-2</v>
      </c>
      <c r="AR9">
        <v>2.8000000000000001E-2</v>
      </c>
      <c r="AS9">
        <v>0.36</v>
      </c>
      <c r="AU9">
        <v>1.7000000000000001E-2</v>
      </c>
      <c r="AV9">
        <v>7.9000000000000001E-2</v>
      </c>
      <c r="AW9">
        <v>0.192</v>
      </c>
      <c r="AZ9">
        <v>1.907</v>
      </c>
      <c r="BA9">
        <v>1.089</v>
      </c>
      <c r="BB9">
        <v>5.0000000000000001E-3</v>
      </c>
      <c r="BC9">
        <v>1E-3</v>
      </c>
      <c r="BD9">
        <v>0.107</v>
      </c>
      <c r="BF9">
        <v>1.478</v>
      </c>
      <c r="BI9">
        <v>1.377</v>
      </c>
      <c r="BL9">
        <v>52.352000000000018</v>
      </c>
    </row>
    <row r="10" spans="1:64" x14ac:dyDescent="0.3">
      <c r="A10" s="17" t="s">
        <v>398</v>
      </c>
      <c r="B10">
        <v>1.3939999999999999</v>
      </c>
      <c r="C10">
        <v>49.1</v>
      </c>
      <c r="D10">
        <v>2.0209999999999999</v>
      </c>
      <c r="E10">
        <v>0.10199999999999999</v>
      </c>
      <c r="F10">
        <v>0.11899999999999999</v>
      </c>
      <c r="G10">
        <v>0.04</v>
      </c>
      <c r="I10">
        <v>0.14899999999999999</v>
      </c>
      <c r="J10">
        <v>8.2000000000000003E-2</v>
      </c>
      <c r="K10">
        <v>0.122</v>
      </c>
      <c r="L10">
        <v>4.0000000000000001E-3</v>
      </c>
      <c r="N10">
        <v>0.218</v>
      </c>
      <c r="P10">
        <v>9.6000000000000002E-2</v>
      </c>
      <c r="Q10">
        <v>10</v>
      </c>
      <c r="R10">
        <v>4.3999999999999997E-2</v>
      </c>
      <c r="U10">
        <v>0.55500000000000005</v>
      </c>
      <c r="V10">
        <v>0.06</v>
      </c>
      <c r="W10">
        <v>1.2E-2</v>
      </c>
      <c r="X10">
        <v>0.108</v>
      </c>
      <c r="AA10">
        <v>0.29299999999999998</v>
      </c>
      <c r="AB10">
        <v>6.3E-2</v>
      </c>
      <c r="AC10">
        <v>6.94</v>
      </c>
      <c r="AD10">
        <v>34.055999999999997</v>
      </c>
      <c r="AE10">
        <v>0.84899999999999998</v>
      </c>
      <c r="AG10">
        <v>0.14799999999999999</v>
      </c>
      <c r="AH10">
        <v>2.4119999999999999</v>
      </c>
      <c r="AI10">
        <v>0.20399999999999999</v>
      </c>
      <c r="AJ10">
        <v>4.2220000000000004</v>
      </c>
      <c r="AK10">
        <v>0.13500000000000001</v>
      </c>
      <c r="AL10">
        <v>3.7669999999999999</v>
      </c>
      <c r="AM10">
        <v>1.331</v>
      </c>
      <c r="AN10">
        <v>7.9000000000000001E-2</v>
      </c>
      <c r="AO10">
        <v>0.49399999999999999</v>
      </c>
      <c r="AP10">
        <v>2.9020000000000001</v>
      </c>
      <c r="AQ10">
        <v>3.9E-2</v>
      </c>
      <c r="AR10">
        <v>2.8000000000000001E-2</v>
      </c>
      <c r="AS10">
        <v>1.0429999999999999</v>
      </c>
      <c r="AU10">
        <v>1.7000000000000001E-2</v>
      </c>
      <c r="AV10">
        <v>7.9000000000000001E-2</v>
      </c>
      <c r="AW10">
        <v>0.192</v>
      </c>
      <c r="AY10">
        <v>3.3460000000000001</v>
      </c>
      <c r="AZ10">
        <v>3.03</v>
      </c>
      <c r="BA10">
        <v>1.089</v>
      </c>
      <c r="BB10">
        <v>5.0000000000000001E-3</v>
      </c>
      <c r="BC10">
        <v>1E-3</v>
      </c>
      <c r="BD10">
        <v>0.14099999999999999</v>
      </c>
      <c r="BF10">
        <v>1.5649999999999999</v>
      </c>
      <c r="BG10">
        <v>3.75</v>
      </c>
      <c r="BH10">
        <v>5.1999999999999998E-2</v>
      </c>
      <c r="BI10">
        <v>2.448</v>
      </c>
      <c r="BJ10">
        <v>1E-3</v>
      </c>
      <c r="BL10">
        <v>138.94699999999997</v>
      </c>
    </row>
    <row r="11" spans="1:64" x14ac:dyDescent="0.3">
      <c r="A11" s="17" t="s">
        <v>379</v>
      </c>
      <c r="B11">
        <v>1.7969999999999999</v>
      </c>
      <c r="C11">
        <v>219.1</v>
      </c>
      <c r="D11">
        <v>2.0209999999999999</v>
      </c>
      <c r="E11">
        <v>0.70599999999999996</v>
      </c>
      <c r="F11">
        <v>0.11899999999999999</v>
      </c>
      <c r="G11">
        <v>0.04</v>
      </c>
      <c r="H11">
        <v>8.5999999999999993E-2</v>
      </c>
      <c r="I11">
        <v>0.14899999999999999</v>
      </c>
      <c r="J11">
        <v>0.154</v>
      </c>
      <c r="K11">
        <v>0.122</v>
      </c>
      <c r="L11">
        <v>0.59599999999999997</v>
      </c>
      <c r="N11">
        <v>0.218</v>
      </c>
      <c r="P11">
        <v>9.6000000000000002E-2</v>
      </c>
      <c r="Q11">
        <v>10</v>
      </c>
      <c r="R11">
        <v>4.3999999999999997E-2</v>
      </c>
      <c r="S11">
        <v>0.35</v>
      </c>
      <c r="U11">
        <v>0.55500000000000005</v>
      </c>
      <c r="V11">
        <v>0.06</v>
      </c>
      <c r="W11">
        <v>0.222</v>
      </c>
      <c r="X11">
        <v>0.108</v>
      </c>
      <c r="Z11">
        <v>0.312</v>
      </c>
      <c r="AA11">
        <v>0.29599999999999999</v>
      </c>
      <c r="AB11">
        <v>6.3E-2</v>
      </c>
      <c r="AC11">
        <v>7.08</v>
      </c>
      <c r="AD11">
        <v>34.106000000000002</v>
      </c>
      <c r="AE11">
        <v>0.92800000000000005</v>
      </c>
      <c r="AG11">
        <v>0.14799999999999999</v>
      </c>
      <c r="AH11">
        <v>2.4119999999999999</v>
      </c>
      <c r="AI11">
        <v>0.20399999999999999</v>
      </c>
      <c r="AJ11">
        <v>4.3079999999999998</v>
      </c>
      <c r="AK11">
        <v>0.153</v>
      </c>
      <c r="AL11">
        <v>3.7669999999999999</v>
      </c>
      <c r="AM11">
        <v>1.331</v>
      </c>
      <c r="AN11">
        <v>0.21099999999999999</v>
      </c>
      <c r="AO11">
        <v>0.49399999999999999</v>
      </c>
      <c r="AP11">
        <v>2.9020000000000001</v>
      </c>
      <c r="AQ11">
        <v>3.9E-2</v>
      </c>
      <c r="AR11">
        <v>2.8000000000000001E-2</v>
      </c>
      <c r="AS11">
        <v>1.212</v>
      </c>
      <c r="AU11">
        <v>1.7000000000000001E-2</v>
      </c>
      <c r="AV11">
        <v>7.9000000000000001E-2</v>
      </c>
      <c r="AW11">
        <v>0.192</v>
      </c>
      <c r="AY11">
        <v>3.3759999999999999</v>
      </c>
      <c r="AZ11">
        <v>3.6219999999999999</v>
      </c>
      <c r="BA11">
        <v>1.099</v>
      </c>
      <c r="BB11">
        <v>5.0000000000000001E-3</v>
      </c>
      <c r="BC11">
        <v>1E-3</v>
      </c>
      <c r="BD11">
        <v>0.24299999999999999</v>
      </c>
      <c r="BF11">
        <v>1.7949999999999999</v>
      </c>
      <c r="BG11">
        <v>3.75</v>
      </c>
      <c r="BH11">
        <v>5.1999999999999998E-2</v>
      </c>
      <c r="BI11">
        <v>2.448</v>
      </c>
      <c r="BJ11">
        <v>1E-3</v>
      </c>
      <c r="BK11">
        <v>9.9000000000000005E-2</v>
      </c>
      <c r="BL11">
        <v>313.31600000000003</v>
      </c>
    </row>
    <row r="12" spans="1:64" x14ac:dyDescent="0.3">
      <c r="A12" s="17" t="s">
        <v>399</v>
      </c>
      <c r="B12">
        <v>1.7969999999999999</v>
      </c>
      <c r="C12">
        <v>219.1</v>
      </c>
      <c r="D12">
        <v>5.7610000000000001</v>
      </c>
      <c r="E12">
        <v>0.70599999999999996</v>
      </c>
      <c r="F12">
        <v>0.11899999999999999</v>
      </c>
      <c r="G12">
        <v>0.04</v>
      </c>
      <c r="H12">
        <v>0.13500000000000001</v>
      </c>
      <c r="I12">
        <v>0.14899999999999999</v>
      </c>
      <c r="J12">
        <v>11.430999999999999</v>
      </c>
      <c r="K12">
        <v>0.122</v>
      </c>
      <c r="L12">
        <v>0.78700000000000003</v>
      </c>
      <c r="N12">
        <v>0.218</v>
      </c>
      <c r="O12">
        <v>11.746</v>
      </c>
      <c r="P12">
        <v>9.6000000000000002E-2</v>
      </c>
      <c r="Q12">
        <v>10</v>
      </c>
      <c r="R12">
        <v>4.3999999999999997E-2</v>
      </c>
      <c r="S12">
        <v>0.35</v>
      </c>
      <c r="U12">
        <v>0.55500000000000005</v>
      </c>
      <c r="V12">
        <v>0.06</v>
      </c>
      <c r="W12">
        <v>0.51300000000000001</v>
      </c>
      <c r="X12">
        <v>0.108</v>
      </c>
      <c r="Z12">
        <v>0.312</v>
      </c>
      <c r="AA12">
        <v>0.29599999999999999</v>
      </c>
      <c r="AB12">
        <v>6.3E-2</v>
      </c>
      <c r="AC12">
        <v>7.46</v>
      </c>
      <c r="AD12">
        <v>35.024999999999999</v>
      </c>
      <c r="AE12">
        <v>0.92800000000000005</v>
      </c>
      <c r="AF12">
        <v>0.157</v>
      </c>
      <c r="AG12">
        <v>0.28000000000000003</v>
      </c>
      <c r="AH12">
        <v>2.4119999999999999</v>
      </c>
      <c r="AI12">
        <v>0.20399999999999999</v>
      </c>
      <c r="AJ12">
        <v>5.6859999999999999</v>
      </c>
      <c r="AK12">
        <v>0.153</v>
      </c>
      <c r="AL12">
        <v>3.7669999999999999</v>
      </c>
      <c r="AM12">
        <v>1.331</v>
      </c>
      <c r="AN12">
        <v>0.443</v>
      </c>
      <c r="AO12">
        <v>0.49399999999999999</v>
      </c>
      <c r="AP12">
        <v>2.9319999999999999</v>
      </c>
      <c r="AQ12">
        <v>3.9E-2</v>
      </c>
      <c r="AR12">
        <v>9.7000000000000003E-2</v>
      </c>
      <c r="AS12">
        <v>2.0249999999999999</v>
      </c>
      <c r="AU12">
        <v>1.7000000000000001E-2</v>
      </c>
      <c r="AV12">
        <v>7.9000000000000001E-2</v>
      </c>
      <c r="AW12">
        <v>0.192</v>
      </c>
      <c r="AX12">
        <v>1.2E-2</v>
      </c>
      <c r="AY12">
        <v>3.5049999999999999</v>
      </c>
      <c r="AZ12">
        <v>3.8130000000000002</v>
      </c>
      <c r="BA12">
        <v>1.099</v>
      </c>
      <c r="BB12">
        <v>0.19800000000000001</v>
      </c>
      <c r="BC12">
        <v>3.3000000000000002E-2</v>
      </c>
      <c r="BD12">
        <v>0.48799999999999999</v>
      </c>
      <c r="BE12">
        <v>0.4</v>
      </c>
      <c r="BF12">
        <v>1.8180000000000001</v>
      </c>
      <c r="BG12">
        <v>3.75</v>
      </c>
      <c r="BH12">
        <v>5.1999999999999998E-2</v>
      </c>
      <c r="BI12">
        <v>2.448</v>
      </c>
      <c r="BJ12">
        <v>0.113</v>
      </c>
      <c r="BK12">
        <v>9.9000000000000005E-2</v>
      </c>
      <c r="BL12">
        <v>346.05699999999979</v>
      </c>
    </row>
    <row r="13" spans="1:64" x14ac:dyDescent="0.3">
      <c r="A13" s="17" t="s">
        <v>380</v>
      </c>
      <c r="B13">
        <v>1.7969999999999999</v>
      </c>
      <c r="C13">
        <v>219.1</v>
      </c>
      <c r="D13">
        <v>7.391</v>
      </c>
      <c r="E13">
        <v>0.746</v>
      </c>
      <c r="F13">
        <v>0.11899999999999999</v>
      </c>
      <c r="G13">
        <v>0.04</v>
      </c>
      <c r="H13">
        <v>0.19500000000000001</v>
      </c>
      <c r="I13">
        <v>0.14899999999999999</v>
      </c>
      <c r="J13">
        <v>23.850999999999999</v>
      </c>
      <c r="K13">
        <v>0.122</v>
      </c>
      <c r="L13">
        <v>0.80900000000000005</v>
      </c>
      <c r="M13">
        <v>1.032</v>
      </c>
      <c r="N13">
        <v>0.218</v>
      </c>
      <c r="O13">
        <v>11.746</v>
      </c>
      <c r="P13">
        <v>1.048</v>
      </c>
      <c r="Q13">
        <v>10.125</v>
      </c>
      <c r="R13">
        <v>4.3999999999999997E-2</v>
      </c>
      <c r="S13">
        <v>2.6</v>
      </c>
      <c r="T13">
        <v>1.7999999999999999E-2</v>
      </c>
      <c r="U13">
        <v>0.55500000000000005</v>
      </c>
      <c r="V13">
        <v>0.06</v>
      </c>
      <c r="W13">
        <v>0.70499999999999996</v>
      </c>
      <c r="X13">
        <v>0.108</v>
      </c>
      <c r="Z13">
        <v>0.92</v>
      </c>
      <c r="AA13">
        <v>0.29599999999999999</v>
      </c>
      <c r="AB13">
        <v>6.3E-2</v>
      </c>
      <c r="AC13">
        <v>8</v>
      </c>
      <c r="AD13">
        <v>36.225000000000001</v>
      </c>
      <c r="AE13">
        <v>0.95799999999999996</v>
      </c>
      <c r="AF13">
        <v>0.254</v>
      </c>
      <c r="AG13">
        <v>0.28000000000000003</v>
      </c>
      <c r="AH13">
        <v>2.4119999999999999</v>
      </c>
      <c r="AI13">
        <v>0.20399999999999999</v>
      </c>
      <c r="AJ13">
        <v>5.7969999999999997</v>
      </c>
      <c r="AK13">
        <v>0.153</v>
      </c>
      <c r="AL13">
        <v>3.7669999999999999</v>
      </c>
      <c r="AM13">
        <v>1.331</v>
      </c>
      <c r="AN13">
        <v>0.443</v>
      </c>
      <c r="AO13">
        <v>0.49399999999999999</v>
      </c>
      <c r="AP13">
        <v>3.0579999999999998</v>
      </c>
      <c r="AQ13">
        <v>0.33900000000000002</v>
      </c>
      <c r="AR13">
        <v>0.16500000000000001</v>
      </c>
      <c r="AS13">
        <v>2.1520000000000001</v>
      </c>
      <c r="AT13">
        <v>0.5</v>
      </c>
      <c r="AU13">
        <v>1.7000000000000001E-2</v>
      </c>
      <c r="AV13">
        <v>7.9000000000000001E-2</v>
      </c>
      <c r="AW13">
        <v>0.192</v>
      </c>
      <c r="AX13">
        <v>1.2E-2</v>
      </c>
      <c r="AY13">
        <v>3.5049999999999999</v>
      </c>
      <c r="AZ13">
        <v>4.7869999999999999</v>
      </c>
      <c r="BA13">
        <v>2.0089999999999999</v>
      </c>
      <c r="BB13">
        <v>0.19800000000000001</v>
      </c>
      <c r="BC13">
        <v>3.3000000000000002E-2</v>
      </c>
      <c r="BD13">
        <v>0.48799999999999999</v>
      </c>
      <c r="BE13">
        <v>0.7</v>
      </c>
      <c r="BF13">
        <v>1.8180000000000001</v>
      </c>
      <c r="BG13">
        <v>3.75</v>
      </c>
      <c r="BH13">
        <v>5.1999999999999998E-2</v>
      </c>
      <c r="BI13">
        <v>2.448</v>
      </c>
      <c r="BJ13">
        <v>0.113</v>
      </c>
      <c r="BK13">
        <v>9.9000000000000005E-2</v>
      </c>
      <c r="BL13">
        <v>370.68900000000002</v>
      </c>
    </row>
    <row r="14" spans="1:64" x14ac:dyDescent="0.3">
      <c r="A14" s="17" t="s">
        <v>400</v>
      </c>
      <c r="B14">
        <v>1.7969999999999999</v>
      </c>
      <c r="C14">
        <v>219.1</v>
      </c>
      <c r="D14">
        <v>7.6109999999999998</v>
      </c>
      <c r="E14">
        <v>0.78600000000000003</v>
      </c>
      <c r="F14">
        <v>0.11899999999999999</v>
      </c>
      <c r="G14">
        <v>0.04</v>
      </c>
      <c r="H14">
        <v>0.78300000000000003</v>
      </c>
      <c r="I14">
        <v>0.186</v>
      </c>
      <c r="J14">
        <v>23.850999999999999</v>
      </c>
      <c r="K14">
        <v>0.122</v>
      </c>
      <c r="L14">
        <v>0.80900000000000005</v>
      </c>
      <c r="M14">
        <v>1.1319999999999999</v>
      </c>
      <c r="N14">
        <v>0.218</v>
      </c>
      <c r="O14">
        <v>11.746</v>
      </c>
      <c r="P14">
        <v>1.048</v>
      </c>
      <c r="Q14">
        <v>10.18</v>
      </c>
      <c r="R14">
        <v>4.3999999999999997E-2</v>
      </c>
      <c r="S14">
        <v>2.6</v>
      </c>
      <c r="T14">
        <v>1.7999999999999999E-2</v>
      </c>
      <c r="U14">
        <v>0.55500000000000005</v>
      </c>
      <c r="V14">
        <v>0.06</v>
      </c>
      <c r="W14">
        <v>0.70499999999999996</v>
      </c>
      <c r="X14">
        <v>0.108</v>
      </c>
      <c r="Y14">
        <v>7.6999999999999999E-2</v>
      </c>
      <c r="Z14">
        <v>0.92</v>
      </c>
      <c r="AA14">
        <v>0.29599999999999999</v>
      </c>
      <c r="AB14">
        <v>6.3E-2</v>
      </c>
      <c r="AC14">
        <v>8.01</v>
      </c>
      <c r="AD14">
        <v>36.225000000000001</v>
      </c>
      <c r="AE14">
        <v>1.754</v>
      </c>
      <c r="AF14">
        <v>0.254</v>
      </c>
      <c r="AG14">
        <v>0.46400000000000002</v>
      </c>
      <c r="AH14">
        <v>2.4119999999999999</v>
      </c>
      <c r="AI14">
        <v>0.20399999999999999</v>
      </c>
      <c r="AJ14">
        <v>5.9290000000000003</v>
      </c>
      <c r="AK14">
        <v>0.153</v>
      </c>
      <c r="AL14">
        <v>3.7669999999999999</v>
      </c>
      <c r="AM14">
        <v>1.331</v>
      </c>
      <c r="AN14">
        <v>0.443</v>
      </c>
      <c r="AO14">
        <v>0.49399999999999999</v>
      </c>
      <c r="AP14">
        <v>3.069</v>
      </c>
      <c r="AQ14">
        <v>0.33900000000000002</v>
      </c>
      <c r="AR14">
        <v>0.16500000000000001</v>
      </c>
      <c r="AS14">
        <v>2.5379999999999998</v>
      </c>
      <c r="AT14">
        <v>0.5</v>
      </c>
      <c r="AU14">
        <v>1.7000000000000001E-2</v>
      </c>
      <c r="AV14">
        <v>7.9000000000000001E-2</v>
      </c>
      <c r="AW14">
        <v>0.192</v>
      </c>
      <c r="AX14">
        <v>1.2E-2</v>
      </c>
      <c r="AY14">
        <v>3.605</v>
      </c>
      <c r="AZ14">
        <v>4.7869999999999999</v>
      </c>
      <c r="BA14">
        <v>2.0089999999999999</v>
      </c>
      <c r="BB14">
        <v>0.19800000000000001</v>
      </c>
      <c r="BC14">
        <v>3.3000000000000002E-2</v>
      </c>
      <c r="BD14">
        <v>0.48799999999999999</v>
      </c>
      <c r="BE14">
        <v>0.7</v>
      </c>
      <c r="BF14">
        <v>2.5179999999999998</v>
      </c>
      <c r="BG14">
        <v>3.75</v>
      </c>
      <c r="BH14">
        <v>5.1999999999999998E-2</v>
      </c>
      <c r="BI14">
        <v>2.448</v>
      </c>
      <c r="BJ14">
        <v>0.185</v>
      </c>
      <c r="BK14">
        <v>9.9000000000000005E-2</v>
      </c>
      <c r="BL14">
        <v>374.197</v>
      </c>
    </row>
    <row r="18" spans="1:34" ht="18" x14ac:dyDescent="0.3">
      <c r="A18" s="19"/>
      <c r="B18" s="22" t="s">
        <v>0</v>
      </c>
      <c r="C18" s="22" t="s">
        <v>1</v>
      </c>
      <c r="D18" s="22" t="s">
        <v>2</v>
      </c>
      <c r="E18" s="22" t="s">
        <v>3</v>
      </c>
      <c r="F18" s="22" t="s">
        <v>4</v>
      </c>
      <c r="G18" s="22" t="s">
        <v>5</v>
      </c>
      <c r="H18" s="22" t="s">
        <v>6</v>
      </c>
      <c r="I18" s="22" t="s">
        <v>7</v>
      </c>
      <c r="J18" s="22" t="s">
        <v>8</v>
      </c>
      <c r="K18" s="22" t="s">
        <v>9</v>
      </c>
      <c r="L18" s="22" t="s">
        <v>10</v>
      </c>
      <c r="M18" s="22" t="s">
        <v>11</v>
      </c>
      <c r="N18" s="22" t="s">
        <v>12</v>
      </c>
      <c r="O18" s="22" t="s">
        <v>13</v>
      </c>
      <c r="P18" s="22" t="s">
        <v>14</v>
      </c>
      <c r="Q18" s="22" t="s">
        <v>15</v>
      </c>
      <c r="R18" s="22" t="s">
        <v>16</v>
      </c>
      <c r="S18" s="22" t="s">
        <v>17</v>
      </c>
      <c r="T18" s="22" t="s">
        <v>18</v>
      </c>
      <c r="U18" s="22" t="s">
        <v>19</v>
      </c>
      <c r="V18" s="22" t="s">
        <v>20</v>
      </c>
      <c r="W18" s="22" t="s">
        <v>21</v>
      </c>
      <c r="X18" s="22" t="s">
        <v>22</v>
      </c>
      <c r="Y18" s="22" t="s">
        <v>23</v>
      </c>
      <c r="Z18" s="22" t="s">
        <v>24</v>
      </c>
      <c r="AA18" s="22" t="s">
        <v>25</v>
      </c>
      <c r="AB18" s="22" t="s">
        <v>26</v>
      </c>
      <c r="AC18" s="22" t="s">
        <v>27</v>
      </c>
      <c r="AD18" s="22" t="s">
        <v>28</v>
      </c>
      <c r="AE18" s="22" t="s">
        <v>29</v>
      </c>
      <c r="AF18" s="22" t="s">
        <v>30</v>
      </c>
      <c r="AG18" s="22" t="s">
        <v>31</v>
      </c>
      <c r="AH18" s="22" t="s">
        <v>32</v>
      </c>
    </row>
    <row r="19" spans="1:34" x14ac:dyDescent="0.3">
      <c r="A19" s="6" t="s">
        <v>383</v>
      </c>
      <c r="B19" s="3">
        <v>0.45400000000000001</v>
      </c>
      <c r="C19" s="1"/>
      <c r="D19" s="1"/>
      <c r="E19" s="1"/>
      <c r="F19" s="3">
        <v>0.01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3">
        <v>3.0000000000000001E-3</v>
      </c>
      <c r="T19" s="3">
        <v>0.45400000000000001</v>
      </c>
      <c r="U19" s="1"/>
      <c r="V19" s="1"/>
      <c r="W19" s="1"/>
      <c r="X19" s="1"/>
      <c r="Y19" s="1"/>
      <c r="Z19" s="1"/>
      <c r="AA19" s="3">
        <v>0.37</v>
      </c>
      <c r="AB19" s="1"/>
      <c r="AC19" s="1"/>
      <c r="AD19" s="1"/>
      <c r="AE19" s="1"/>
      <c r="AF19" s="3">
        <v>0.85</v>
      </c>
      <c r="AG19" s="1"/>
      <c r="AH19" s="5"/>
    </row>
    <row r="20" spans="1:34" x14ac:dyDescent="0.3">
      <c r="A20" s="21" t="s">
        <v>384</v>
      </c>
      <c r="B20" s="18">
        <v>0.45400000000000001</v>
      </c>
      <c r="C20" s="19"/>
      <c r="D20" s="19"/>
      <c r="E20" s="19"/>
      <c r="F20" s="18">
        <v>0.01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8">
        <v>3.0000000000000001E-3</v>
      </c>
      <c r="T20" s="18">
        <v>0.87</v>
      </c>
      <c r="U20" s="19"/>
      <c r="V20" s="19"/>
      <c r="W20" s="18">
        <v>0.20200000000000001</v>
      </c>
      <c r="X20" s="19"/>
      <c r="Y20" s="19"/>
      <c r="Z20" s="19"/>
      <c r="AA20" s="18">
        <v>0.37</v>
      </c>
      <c r="AB20" s="19"/>
      <c r="AC20" s="18">
        <v>1E-3</v>
      </c>
      <c r="AD20" s="19"/>
      <c r="AE20" s="19"/>
      <c r="AF20" s="18">
        <v>0.85099999999999998</v>
      </c>
      <c r="AG20" s="19"/>
      <c r="AH20" s="20"/>
    </row>
    <row r="21" spans="1:34" x14ac:dyDescent="0.3">
      <c r="A21" s="21" t="s">
        <v>385</v>
      </c>
      <c r="B21" s="18">
        <v>0.45400000000000001</v>
      </c>
      <c r="C21" s="19"/>
      <c r="D21" s="19"/>
      <c r="E21" s="18">
        <v>2.7E-2</v>
      </c>
      <c r="F21" s="18">
        <v>0.01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8">
        <v>0.71399999999999997</v>
      </c>
      <c r="R21" s="19"/>
      <c r="S21" s="18">
        <v>3.0000000000000001E-3</v>
      </c>
      <c r="T21" s="18">
        <v>1.1719999999999999</v>
      </c>
      <c r="U21" s="19"/>
      <c r="V21" s="19"/>
      <c r="W21" s="18">
        <v>0.20200000000000001</v>
      </c>
      <c r="X21" s="19"/>
      <c r="Y21" s="18">
        <v>8.3000000000000004E-2</v>
      </c>
      <c r="Z21" s="19"/>
      <c r="AA21" s="18">
        <v>1.089</v>
      </c>
      <c r="AB21" s="19"/>
      <c r="AC21" s="18">
        <v>1E-3</v>
      </c>
      <c r="AD21" s="19"/>
      <c r="AE21" s="19"/>
      <c r="AF21" s="18">
        <v>0.85099999999999998</v>
      </c>
      <c r="AG21" s="19"/>
      <c r="AH21" s="20"/>
    </row>
    <row r="22" spans="1:34" x14ac:dyDescent="0.3">
      <c r="A22" s="21" t="s">
        <v>386</v>
      </c>
      <c r="B22" s="18">
        <v>0.45400000000000001</v>
      </c>
      <c r="C22" s="19"/>
      <c r="D22" s="19"/>
      <c r="E22" s="18">
        <v>2.7E-2</v>
      </c>
      <c r="F22" s="18">
        <v>0.01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8">
        <v>0.83399999999999996</v>
      </c>
      <c r="R22" s="19"/>
      <c r="S22" s="18">
        <v>3.0000000000000001E-3</v>
      </c>
      <c r="T22" s="18">
        <v>3.05</v>
      </c>
      <c r="U22" s="19"/>
      <c r="V22" s="18">
        <v>1.3240000000000001</v>
      </c>
      <c r="W22" s="18">
        <v>0.20200000000000001</v>
      </c>
      <c r="X22" s="19"/>
      <c r="Y22" s="18">
        <v>0.191</v>
      </c>
      <c r="Z22" s="19"/>
      <c r="AA22" s="18">
        <v>1.089</v>
      </c>
      <c r="AB22" s="18">
        <v>5.0000000000000001E-3</v>
      </c>
      <c r="AC22" s="18">
        <v>1E-3</v>
      </c>
      <c r="AD22" s="18">
        <v>3.3000000000000002E-2</v>
      </c>
      <c r="AE22" s="19"/>
      <c r="AF22" s="18">
        <v>0.85099999999999998</v>
      </c>
      <c r="AG22" s="19"/>
      <c r="AH22" s="20"/>
    </row>
    <row r="23" spans="1:34" x14ac:dyDescent="0.3">
      <c r="A23" s="7" t="s">
        <v>387</v>
      </c>
      <c r="B23" s="4">
        <v>0.45400000000000001</v>
      </c>
      <c r="C23" s="1"/>
      <c r="D23" s="1"/>
      <c r="E23" s="4">
        <v>0.04</v>
      </c>
      <c r="F23" s="4">
        <v>0.01</v>
      </c>
      <c r="G23" s="1"/>
      <c r="H23" s="1"/>
      <c r="I23" s="1"/>
      <c r="J23" s="1"/>
      <c r="K23" s="1"/>
      <c r="L23" s="1"/>
      <c r="M23" s="1"/>
      <c r="N23" s="4">
        <v>1.2E-2</v>
      </c>
      <c r="O23" s="1"/>
      <c r="P23" s="1"/>
      <c r="Q23" s="4">
        <v>0.88400000000000001</v>
      </c>
      <c r="R23" s="1"/>
      <c r="S23" s="4">
        <v>3.0000000000000001E-3</v>
      </c>
      <c r="T23" s="4">
        <v>3.38</v>
      </c>
      <c r="U23" s="4">
        <v>0.13500000000000001</v>
      </c>
      <c r="V23" s="4">
        <v>1.331</v>
      </c>
      <c r="W23" s="4">
        <v>0.49399999999999999</v>
      </c>
      <c r="X23" s="4">
        <v>2.8000000000000001E-2</v>
      </c>
      <c r="Y23" s="4">
        <v>0.36</v>
      </c>
      <c r="Z23" s="1"/>
      <c r="AA23" s="4">
        <v>1.089</v>
      </c>
      <c r="AB23" s="4">
        <v>5.0000000000000001E-3</v>
      </c>
      <c r="AC23" s="4">
        <v>1E-3</v>
      </c>
      <c r="AD23" s="4">
        <v>0.107</v>
      </c>
      <c r="AE23" s="1"/>
      <c r="AF23" s="4">
        <v>1.478</v>
      </c>
      <c r="AG23" s="1"/>
      <c r="AH23" s="5"/>
    </row>
    <row r="24" spans="1:34" x14ac:dyDescent="0.3">
      <c r="A24" s="7" t="s">
        <v>388</v>
      </c>
      <c r="B24" s="4">
        <v>49.1</v>
      </c>
      <c r="C24" s="4">
        <v>0.10199999999999999</v>
      </c>
      <c r="D24" s="1"/>
      <c r="E24" s="4">
        <v>0.14899999999999999</v>
      </c>
      <c r="F24" s="4">
        <v>8.2000000000000003E-2</v>
      </c>
      <c r="G24" s="4">
        <v>0.122</v>
      </c>
      <c r="H24" s="1"/>
      <c r="I24" s="4">
        <v>0.218</v>
      </c>
      <c r="J24" s="4">
        <v>10</v>
      </c>
      <c r="K24" s="1"/>
      <c r="L24" s="1"/>
      <c r="M24" s="4">
        <v>0.06</v>
      </c>
      <c r="N24" s="4">
        <v>1.2E-2</v>
      </c>
      <c r="O24" s="1"/>
      <c r="P24" s="1"/>
      <c r="Q24" s="4">
        <v>0.84899999999999998</v>
      </c>
      <c r="R24" s="1"/>
      <c r="S24" s="4">
        <v>0.14799999999999999</v>
      </c>
      <c r="T24" s="4">
        <v>4.2220000000000004</v>
      </c>
      <c r="U24" s="4">
        <v>0.13500000000000001</v>
      </c>
      <c r="V24" s="4">
        <v>1.331</v>
      </c>
      <c r="W24" s="4">
        <v>0.49399999999999999</v>
      </c>
      <c r="X24" s="4">
        <v>2.8000000000000001E-2</v>
      </c>
      <c r="Y24" s="4">
        <v>1.0429999999999999</v>
      </c>
      <c r="Z24" s="4">
        <v>3.3460000000000001</v>
      </c>
      <c r="AA24" s="4">
        <v>1.089</v>
      </c>
      <c r="AB24" s="4">
        <v>5.0000000000000001E-3</v>
      </c>
      <c r="AC24" s="4">
        <v>1E-3</v>
      </c>
      <c r="AD24" s="4">
        <v>0.14099999999999999</v>
      </c>
      <c r="AE24" s="1"/>
      <c r="AF24" s="4">
        <v>1.5649999999999999</v>
      </c>
      <c r="AG24" s="4">
        <v>1E-3</v>
      </c>
      <c r="AH24" s="5"/>
    </row>
    <row r="25" spans="1:34" x14ac:dyDescent="0.3">
      <c r="A25" s="7" t="s">
        <v>389</v>
      </c>
      <c r="B25" s="4">
        <v>219.1</v>
      </c>
      <c r="C25" s="4">
        <v>0.70599999999999996</v>
      </c>
      <c r="D25" s="4">
        <v>8.5999999999999993E-2</v>
      </c>
      <c r="E25" s="4">
        <v>0.14899999999999999</v>
      </c>
      <c r="F25" s="4">
        <v>0.154</v>
      </c>
      <c r="G25" s="4">
        <v>0.122</v>
      </c>
      <c r="H25" s="1"/>
      <c r="I25" s="4">
        <v>0.218</v>
      </c>
      <c r="J25" s="4">
        <v>10</v>
      </c>
      <c r="K25" s="4">
        <v>0.35</v>
      </c>
      <c r="L25" s="1"/>
      <c r="M25" s="4">
        <v>0.06</v>
      </c>
      <c r="N25" s="4">
        <v>0.222</v>
      </c>
      <c r="O25" s="1"/>
      <c r="P25" s="4">
        <v>0.312</v>
      </c>
      <c r="Q25" s="4">
        <v>0.92800000000000005</v>
      </c>
      <c r="R25" s="1"/>
      <c r="S25" s="4">
        <v>0.14799999999999999</v>
      </c>
      <c r="T25" s="4">
        <v>4.3079999999999998</v>
      </c>
      <c r="U25" s="4">
        <v>0.153</v>
      </c>
      <c r="V25" s="4">
        <v>1.331</v>
      </c>
      <c r="W25" s="4">
        <v>0.49399999999999999</v>
      </c>
      <c r="X25" s="4">
        <v>2.8000000000000001E-2</v>
      </c>
      <c r="Y25" s="4">
        <v>1.212</v>
      </c>
      <c r="Z25" s="4">
        <v>3.3759999999999999</v>
      </c>
      <c r="AA25" s="4">
        <v>1.099</v>
      </c>
      <c r="AB25" s="4">
        <v>5.0000000000000001E-3</v>
      </c>
      <c r="AC25" s="4">
        <v>1E-3</v>
      </c>
      <c r="AD25" s="4">
        <v>0.24299999999999999</v>
      </c>
      <c r="AE25" s="1"/>
      <c r="AF25" s="4">
        <v>1.7949999999999999</v>
      </c>
      <c r="AG25" s="4">
        <v>1E-3</v>
      </c>
      <c r="AH25" s="4">
        <v>9.9000000000000005E-2</v>
      </c>
    </row>
    <row r="26" spans="1:34" x14ac:dyDescent="0.3">
      <c r="A26" s="21" t="s">
        <v>390</v>
      </c>
      <c r="B26" s="18">
        <v>219.1</v>
      </c>
      <c r="C26" s="18">
        <v>0.70599999999999996</v>
      </c>
      <c r="D26" s="18">
        <v>0.13500000000000001</v>
      </c>
      <c r="E26" s="18">
        <v>0.14899999999999999</v>
      </c>
      <c r="F26" s="18">
        <v>11.430999999999999</v>
      </c>
      <c r="G26" s="18">
        <v>0.122</v>
      </c>
      <c r="H26" s="19"/>
      <c r="I26" s="18">
        <v>0.218</v>
      </c>
      <c r="J26" s="18">
        <v>10</v>
      </c>
      <c r="K26" s="18">
        <v>0.35</v>
      </c>
      <c r="L26" s="19"/>
      <c r="M26" s="18">
        <v>0.06</v>
      </c>
      <c r="N26" s="18">
        <v>0.51300000000000001</v>
      </c>
      <c r="O26" s="19"/>
      <c r="P26" s="18">
        <v>0.312</v>
      </c>
      <c r="Q26" s="18">
        <v>0.92800000000000005</v>
      </c>
      <c r="R26" s="18">
        <v>0.157</v>
      </c>
      <c r="S26" s="18">
        <v>0.28000000000000003</v>
      </c>
      <c r="T26" s="18">
        <v>5.6859999999999999</v>
      </c>
      <c r="U26" s="18">
        <v>0.153</v>
      </c>
      <c r="V26" s="18">
        <v>1.331</v>
      </c>
      <c r="W26" s="18">
        <v>0.49399999999999999</v>
      </c>
      <c r="X26" s="18">
        <v>9.7000000000000003E-2</v>
      </c>
      <c r="Y26" s="18">
        <v>2.0249999999999999</v>
      </c>
      <c r="Z26" s="18">
        <v>3.5049999999999999</v>
      </c>
      <c r="AA26" s="18">
        <v>1.099</v>
      </c>
      <c r="AB26" s="18">
        <v>0.19800000000000001</v>
      </c>
      <c r="AC26" s="18">
        <v>3.3000000000000002E-2</v>
      </c>
      <c r="AD26" s="18">
        <v>0.48799999999999999</v>
      </c>
      <c r="AE26" s="18">
        <v>0.4</v>
      </c>
      <c r="AF26" s="18">
        <v>1.8180000000000001</v>
      </c>
      <c r="AG26" s="18">
        <v>0.113</v>
      </c>
      <c r="AH26" s="18">
        <v>9.9000000000000005E-2</v>
      </c>
    </row>
    <row r="27" spans="1:34" x14ac:dyDescent="0.3">
      <c r="A27" s="21" t="s">
        <v>391</v>
      </c>
      <c r="B27" s="18">
        <v>219.1</v>
      </c>
      <c r="C27" s="18">
        <v>0.746</v>
      </c>
      <c r="D27" s="18">
        <v>0.19500000000000001</v>
      </c>
      <c r="E27" s="18">
        <v>0.14899999999999999</v>
      </c>
      <c r="F27" s="18">
        <v>23.850999999999999</v>
      </c>
      <c r="G27" s="18">
        <v>0.122</v>
      </c>
      <c r="H27" s="18">
        <v>1.032</v>
      </c>
      <c r="I27" s="18">
        <v>0.218</v>
      </c>
      <c r="J27" s="18">
        <v>10.125</v>
      </c>
      <c r="K27" s="18">
        <v>2.6</v>
      </c>
      <c r="L27" s="18">
        <v>1.7999999999999999E-2</v>
      </c>
      <c r="M27" s="18">
        <v>0.06</v>
      </c>
      <c r="N27" s="18">
        <v>0.70499999999999996</v>
      </c>
      <c r="O27" s="19"/>
      <c r="P27" s="18">
        <v>0.92</v>
      </c>
      <c r="Q27" s="18">
        <v>0.95799999999999996</v>
      </c>
      <c r="R27" s="18">
        <v>0.254</v>
      </c>
      <c r="S27" s="18">
        <v>0.28000000000000003</v>
      </c>
      <c r="T27" s="18">
        <v>5.7969999999999997</v>
      </c>
      <c r="U27" s="18">
        <v>0.153</v>
      </c>
      <c r="V27" s="18">
        <v>1.331</v>
      </c>
      <c r="W27" s="18">
        <v>0.49399999999999999</v>
      </c>
      <c r="X27" s="18">
        <v>0.16500000000000001</v>
      </c>
      <c r="Y27" s="18">
        <v>2.1520000000000001</v>
      </c>
      <c r="Z27" s="18">
        <v>3.5049999999999999</v>
      </c>
      <c r="AA27" s="18">
        <v>2.0089999999999999</v>
      </c>
      <c r="AB27" s="18">
        <v>0.19800000000000001</v>
      </c>
      <c r="AC27" s="18">
        <v>3.3000000000000002E-2</v>
      </c>
      <c r="AD27" s="18">
        <v>0.48799999999999999</v>
      </c>
      <c r="AE27" s="18">
        <v>0.7</v>
      </c>
      <c r="AF27" s="18">
        <v>1.8180000000000001</v>
      </c>
      <c r="AG27" s="18">
        <v>0.113</v>
      </c>
      <c r="AH27" s="18">
        <v>9.9000000000000005E-2</v>
      </c>
    </row>
    <row r="28" spans="1:34" x14ac:dyDescent="0.3">
      <c r="A28" s="6" t="s">
        <v>392</v>
      </c>
      <c r="B28" s="3">
        <v>219.1</v>
      </c>
      <c r="C28" s="3">
        <v>0.78600000000000003</v>
      </c>
      <c r="D28" s="3">
        <v>0.78300000000000003</v>
      </c>
      <c r="E28" s="3">
        <v>0.186</v>
      </c>
      <c r="F28" s="3">
        <v>23.850999999999999</v>
      </c>
      <c r="G28" s="3">
        <v>0.122</v>
      </c>
      <c r="H28" s="3">
        <v>1.1319999999999999</v>
      </c>
      <c r="I28" s="3">
        <v>0.218</v>
      </c>
      <c r="J28" s="3">
        <v>10.18</v>
      </c>
      <c r="K28" s="3">
        <v>2.6</v>
      </c>
      <c r="L28" s="3">
        <v>1.7999999999999999E-2</v>
      </c>
      <c r="M28" s="3">
        <v>0.06</v>
      </c>
      <c r="N28" s="3">
        <v>0.70499999999999996</v>
      </c>
      <c r="O28" s="3">
        <v>7.6999999999999999E-2</v>
      </c>
      <c r="P28" s="3">
        <v>0.92</v>
      </c>
      <c r="Q28" s="3">
        <v>1.754</v>
      </c>
      <c r="R28" s="3">
        <v>0.254</v>
      </c>
      <c r="S28" s="3">
        <v>0.46400000000000002</v>
      </c>
      <c r="T28" s="3">
        <v>5.9290000000000003</v>
      </c>
      <c r="U28" s="3">
        <v>0.153</v>
      </c>
      <c r="V28" s="3">
        <v>1.331</v>
      </c>
      <c r="W28" s="3">
        <v>0.49399999999999999</v>
      </c>
      <c r="X28" s="3">
        <v>0.16500000000000001</v>
      </c>
      <c r="Y28" s="3">
        <v>2.5379999999999998</v>
      </c>
      <c r="Z28" s="3">
        <v>3.605</v>
      </c>
      <c r="AA28" s="3">
        <v>2.0089999999999999</v>
      </c>
      <c r="AB28" s="3">
        <v>0.19800000000000001</v>
      </c>
      <c r="AC28" s="3">
        <v>3.3000000000000002E-2</v>
      </c>
      <c r="AD28" s="3">
        <v>0.48799999999999999</v>
      </c>
      <c r="AE28" s="3">
        <v>0.7</v>
      </c>
      <c r="AF28" s="3">
        <v>2.5179999999999998</v>
      </c>
      <c r="AG28" s="3">
        <v>0.185</v>
      </c>
      <c r="AH28" s="3">
        <v>9.9000000000000005E-2</v>
      </c>
    </row>
    <row r="29" spans="1:34" ht="18" x14ac:dyDescent="0.3">
      <c r="A29" t="s">
        <v>382</v>
      </c>
      <c r="B29" s="22" t="s">
        <v>0</v>
      </c>
      <c r="C29" s="22" t="s">
        <v>1</v>
      </c>
      <c r="D29" s="22" t="s">
        <v>2</v>
      </c>
      <c r="E29" s="22" t="s">
        <v>3</v>
      </c>
      <c r="F29" s="22" t="s">
        <v>4</v>
      </c>
      <c r="G29" s="22" t="s">
        <v>5</v>
      </c>
      <c r="H29" s="22" t="s">
        <v>6</v>
      </c>
      <c r="I29" s="22" t="s">
        <v>7</v>
      </c>
      <c r="J29" s="22" t="s">
        <v>8</v>
      </c>
      <c r="K29" s="22" t="s">
        <v>9</v>
      </c>
      <c r="L29" s="22" t="s">
        <v>10</v>
      </c>
      <c r="M29" s="22" t="s">
        <v>11</v>
      </c>
      <c r="N29" s="22" t="s">
        <v>12</v>
      </c>
      <c r="O29" s="22" t="s">
        <v>13</v>
      </c>
      <c r="P29" s="22" t="s">
        <v>14</v>
      </c>
      <c r="Q29" s="22" t="s">
        <v>15</v>
      </c>
      <c r="R29" s="22" t="s">
        <v>16</v>
      </c>
      <c r="S29" s="22" t="s">
        <v>17</v>
      </c>
      <c r="T29" s="22" t="s">
        <v>18</v>
      </c>
      <c r="U29" s="22" t="s">
        <v>19</v>
      </c>
      <c r="V29" s="22" t="s">
        <v>20</v>
      </c>
      <c r="W29" s="22" t="s">
        <v>21</v>
      </c>
      <c r="X29" s="22" t="s">
        <v>22</v>
      </c>
      <c r="Y29" s="22" t="s">
        <v>23</v>
      </c>
      <c r="Z29" s="22" t="s">
        <v>24</v>
      </c>
      <c r="AA29" s="22" t="s">
        <v>25</v>
      </c>
      <c r="AB29" s="22" t="s">
        <v>26</v>
      </c>
      <c r="AC29" s="22" t="s">
        <v>27</v>
      </c>
      <c r="AD29" s="22" t="s">
        <v>28</v>
      </c>
      <c r="AE29" s="22" t="s">
        <v>29</v>
      </c>
      <c r="AF29" s="22" t="s">
        <v>30</v>
      </c>
      <c r="AG29" s="22" t="s">
        <v>31</v>
      </c>
      <c r="AH29" s="22" t="s">
        <v>32</v>
      </c>
    </row>
    <row r="30" spans="1:34" x14ac:dyDescent="0.3">
      <c r="A30" s="6" t="s">
        <v>383</v>
      </c>
      <c r="B30" s="23">
        <f t="shared" ref="B30:AH30" si="0">B19-0</f>
        <v>0.45400000000000001</v>
      </c>
      <c r="C30" s="23">
        <f t="shared" si="0"/>
        <v>0</v>
      </c>
      <c r="D30" s="23">
        <f t="shared" si="0"/>
        <v>0</v>
      </c>
      <c r="E30" s="23">
        <f t="shared" si="0"/>
        <v>0</v>
      </c>
      <c r="F30" s="23">
        <f t="shared" si="0"/>
        <v>0.01</v>
      </c>
      <c r="G30" s="23">
        <f t="shared" si="0"/>
        <v>0</v>
      </c>
      <c r="H30" s="23">
        <f t="shared" si="0"/>
        <v>0</v>
      </c>
      <c r="I30" s="23">
        <f t="shared" si="0"/>
        <v>0</v>
      </c>
      <c r="J30" s="23">
        <f t="shared" si="0"/>
        <v>0</v>
      </c>
      <c r="K30" s="23">
        <f t="shared" si="0"/>
        <v>0</v>
      </c>
      <c r="L30" s="23">
        <f t="shared" si="0"/>
        <v>0</v>
      </c>
      <c r="M30" s="23">
        <f t="shared" si="0"/>
        <v>0</v>
      </c>
      <c r="N30" s="23">
        <f t="shared" si="0"/>
        <v>0</v>
      </c>
      <c r="O30" s="23">
        <f t="shared" si="0"/>
        <v>0</v>
      </c>
      <c r="P30" s="23">
        <f t="shared" si="0"/>
        <v>0</v>
      </c>
      <c r="Q30" s="23">
        <f t="shared" si="0"/>
        <v>0</v>
      </c>
      <c r="R30" s="23">
        <f t="shared" si="0"/>
        <v>0</v>
      </c>
      <c r="S30" s="23">
        <f t="shared" si="0"/>
        <v>3.0000000000000001E-3</v>
      </c>
      <c r="T30" s="23">
        <f t="shared" si="0"/>
        <v>0.45400000000000001</v>
      </c>
      <c r="U30" s="23">
        <f t="shared" si="0"/>
        <v>0</v>
      </c>
      <c r="V30" s="23">
        <f t="shared" si="0"/>
        <v>0</v>
      </c>
      <c r="W30" s="23">
        <f t="shared" si="0"/>
        <v>0</v>
      </c>
      <c r="X30" s="23">
        <f t="shared" si="0"/>
        <v>0</v>
      </c>
      <c r="Y30" s="23">
        <f t="shared" si="0"/>
        <v>0</v>
      </c>
      <c r="Z30" s="23">
        <f t="shared" si="0"/>
        <v>0</v>
      </c>
      <c r="AA30" s="23">
        <f t="shared" si="0"/>
        <v>0.37</v>
      </c>
      <c r="AB30" s="23">
        <f t="shared" si="0"/>
        <v>0</v>
      </c>
      <c r="AC30" s="23">
        <f t="shared" si="0"/>
        <v>0</v>
      </c>
      <c r="AD30" s="23">
        <f t="shared" si="0"/>
        <v>0</v>
      </c>
      <c r="AE30" s="23">
        <f t="shared" si="0"/>
        <v>0</v>
      </c>
      <c r="AF30" s="23">
        <f t="shared" si="0"/>
        <v>0.85</v>
      </c>
      <c r="AG30" s="23">
        <f t="shared" si="0"/>
        <v>0</v>
      </c>
      <c r="AH30" s="23">
        <f t="shared" si="0"/>
        <v>0</v>
      </c>
    </row>
    <row r="31" spans="1:34" x14ac:dyDescent="0.3">
      <c r="A31" s="21" t="s">
        <v>384</v>
      </c>
      <c r="B31" s="23">
        <f t="shared" ref="B31:AH31" si="1">B20-B19</f>
        <v>0</v>
      </c>
      <c r="C31" s="23">
        <f t="shared" si="1"/>
        <v>0</v>
      </c>
      <c r="D31" s="23">
        <f t="shared" si="1"/>
        <v>0</v>
      </c>
      <c r="E31" s="23">
        <f t="shared" si="1"/>
        <v>0</v>
      </c>
      <c r="F31" s="23">
        <f t="shared" si="1"/>
        <v>0</v>
      </c>
      <c r="G31" s="23">
        <f t="shared" si="1"/>
        <v>0</v>
      </c>
      <c r="H31" s="23">
        <f t="shared" si="1"/>
        <v>0</v>
      </c>
      <c r="I31" s="23">
        <f t="shared" si="1"/>
        <v>0</v>
      </c>
      <c r="J31" s="23">
        <f t="shared" si="1"/>
        <v>0</v>
      </c>
      <c r="K31" s="23">
        <f t="shared" si="1"/>
        <v>0</v>
      </c>
      <c r="L31" s="23">
        <f t="shared" si="1"/>
        <v>0</v>
      </c>
      <c r="M31" s="23">
        <f t="shared" si="1"/>
        <v>0</v>
      </c>
      <c r="N31" s="23">
        <f t="shared" si="1"/>
        <v>0</v>
      </c>
      <c r="O31" s="23">
        <f t="shared" si="1"/>
        <v>0</v>
      </c>
      <c r="P31" s="23">
        <f t="shared" si="1"/>
        <v>0</v>
      </c>
      <c r="Q31" s="23">
        <f t="shared" si="1"/>
        <v>0</v>
      </c>
      <c r="R31" s="23">
        <f t="shared" si="1"/>
        <v>0</v>
      </c>
      <c r="S31" s="23">
        <f t="shared" si="1"/>
        <v>0</v>
      </c>
      <c r="T31" s="23">
        <f t="shared" si="1"/>
        <v>0.41599999999999998</v>
      </c>
      <c r="U31" s="23">
        <f t="shared" si="1"/>
        <v>0</v>
      </c>
      <c r="V31" s="23">
        <f t="shared" si="1"/>
        <v>0</v>
      </c>
      <c r="W31" s="23">
        <f t="shared" si="1"/>
        <v>0.20200000000000001</v>
      </c>
      <c r="X31" s="23">
        <f t="shared" si="1"/>
        <v>0</v>
      </c>
      <c r="Y31" s="23">
        <f t="shared" si="1"/>
        <v>0</v>
      </c>
      <c r="Z31" s="23">
        <f t="shared" si="1"/>
        <v>0</v>
      </c>
      <c r="AA31" s="23">
        <f t="shared" si="1"/>
        <v>0</v>
      </c>
      <c r="AB31" s="23">
        <f t="shared" si="1"/>
        <v>0</v>
      </c>
      <c r="AC31" s="23">
        <f t="shared" si="1"/>
        <v>1E-3</v>
      </c>
      <c r="AD31" s="23">
        <f t="shared" si="1"/>
        <v>0</v>
      </c>
      <c r="AE31" s="23">
        <f t="shared" si="1"/>
        <v>0</v>
      </c>
      <c r="AF31" s="23">
        <f t="shared" si="1"/>
        <v>1.0000000000000009E-3</v>
      </c>
      <c r="AG31" s="23">
        <f t="shared" si="1"/>
        <v>0</v>
      </c>
      <c r="AH31" s="23">
        <f t="shared" si="1"/>
        <v>0</v>
      </c>
    </row>
    <row r="32" spans="1:34" x14ac:dyDescent="0.3">
      <c r="A32" s="21" t="s">
        <v>385</v>
      </c>
      <c r="B32" s="23">
        <f t="shared" ref="B32:AH32" si="2">B21-B20</f>
        <v>0</v>
      </c>
      <c r="C32" s="23">
        <f t="shared" si="2"/>
        <v>0</v>
      </c>
      <c r="D32" s="23">
        <f t="shared" si="2"/>
        <v>0</v>
      </c>
      <c r="E32" s="23">
        <f t="shared" si="2"/>
        <v>2.7E-2</v>
      </c>
      <c r="F32" s="23">
        <f t="shared" si="2"/>
        <v>0</v>
      </c>
      <c r="G32" s="23">
        <f t="shared" si="2"/>
        <v>0</v>
      </c>
      <c r="H32" s="23">
        <f t="shared" si="2"/>
        <v>0</v>
      </c>
      <c r="I32" s="23">
        <f t="shared" si="2"/>
        <v>0</v>
      </c>
      <c r="J32" s="23">
        <f t="shared" si="2"/>
        <v>0</v>
      </c>
      <c r="K32" s="23">
        <f t="shared" si="2"/>
        <v>0</v>
      </c>
      <c r="L32" s="23">
        <f t="shared" si="2"/>
        <v>0</v>
      </c>
      <c r="M32" s="23">
        <f t="shared" si="2"/>
        <v>0</v>
      </c>
      <c r="N32" s="23">
        <f t="shared" si="2"/>
        <v>0</v>
      </c>
      <c r="O32" s="23">
        <f t="shared" si="2"/>
        <v>0</v>
      </c>
      <c r="P32" s="23">
        <f t="shared" si="2"/>
        <v>0</v>
      </c>
      <c r="Q32" s="23">
        <f t="shared" si="2"/>
        <v>0.71399999999999997</v>
      </c>
      <c r="R32" s="23">
        <f t="shared" si="2"/>
        <v>0</v>
      </c>
      <c r="S32" s="23">
        <f t="shared" si="2"/>
        <v>0</v>
      </c>
      <c r="T32" s="23">
        <f t="shared" si="2"/>
        <v>0.30199999999999994</v>
      </c>
      <c r="U32" s="23">
        <f t="shared" si="2"/>
        <v>0</v>
      </c>
      <c r="V32" s="23">
        <f t="shared" si="2"/>
        <v>0</v>
      </c>
      <c r="W32" s="23">
        <f t="shared" si="2"/>
        <v>0</v>
      </c>
      <c r="X32" s="23">
        <f t="shared" si="2"/>
        <v>0</v>
      </c>
      <c r="Y32" s="23">
        <f t="shared" si="2"/>
        <v>8.3000000000000004E-2</v>
      </c>
      <c r="Z32" s="23">
        <f t="shared" si="2"/>
        <v>0</v>
      </c>
      <c r="AA32" s="23">
        <f t="shared" si="2"/>
        <v>0.71899999999999997</v>
      </c>
      <c r="AB32" s="23">
        <f t="shared" si="2"/>
        <v>0</v>
      </c>
      <c r="AC32" s="23">
        <f t="shared" si="2"/>
        <v>0</v>
      </c>
      <c r="AD32" s="23">
        <f t="shared" si="2"/>
        <v>0</v>
      </c>
      <c r="AE32" s="23">
        <f t="shared" si="2"/>
        <v>0</v>
      </c>
      <c r="AF32" s="23">
        <f t="shared" si="2"/>
        <v>0</v>
      </c>
      <c r="AG32" s="23">
        <f t="shared" si="2"/>
        <v>0</v>
      </c>
      <c r="AH32" s="23">
        <f t="shared" si="2"/>
        <v>0</v>
      </c>
    </row>
    <row r="33" spans="1:52" x14ac:dyDescent="0.3">
      <c r="A33" s="21" t="s">
        <v>386</v>
      </c>
      <c r="B33" s="23">
        <f t="shared" ref="B33:AH33" si="3">B22-B21</f>
        <v>0</v>
      </c>
      <c r="C33" s="23">
        <f t="shared" si="3"/>
        <v>0</v>
      </c>
      <c r="D33" s="23">
        <f t="shared" si="3"/>
        <v>0</v>
      </c>
      <c r="E33" s="23">
        <f t="shared" si="3"/>
        <v>0</v>
      </c>
      <c r="F33" s="23">
        <f t="shared" si="3"/>
        <v>0</v>
      </c>
      <c r="G33" s="23">
        <f t="shared" si="3"/>
        <v>0</v>
      </c>
      <c r="H33" s="23">
        <f t="shared" si="3"/>
        <v>0</v>
      </c>
      <c r="I33" s="23">
        <f t="shared" si="3"/>
        <v>0</v>
      </c>
      <c r="J33" s="23">
        <f t="shared" si="3"/>
        <v>0</v>
      </c>
      <c r="K33" s="23">
        <f t="shared" si="3"/>
        <v>0</v>
      </c>
      <c r="L33" s="23">
        <f t="shared" si="3"/>
        <v>0</v>
      </c>
      <c r="M33" s="23">
        <f t="shared" si="3"/>
        <v>0</v>
      </c>
      <c r="N33" s="23">
        <f t="shared" si="3"/>
        <v>0</v>
      </c>
      <c r="O33" s="23">
        <f t="shared" si="3"/>
        <v>0</v>
      </c>
      <c r="P33" s="23">
        <f t="shared" si="3"/>
        <v>0</v>
      </c>
      <c r="Q33" s="23">
        <f t="shared" si="3"/>
        <v>0.12</v>
      </c>
      <c r="R33" s="23">
        <f t="shared" si="3"/>
        <v>0</v>
      </c>
      <c r="S33" s="23">
        <f t="shared" si="3"/>
        <v>0</v>
      </c>
      <c r="T33" s="23">
        <f t="shared" si="3"/>
        <v>1.8779999999999999</v>
      </c>
      <c r="U33" s="23">
        <f t="shared" si="3"/>
        <v>0</v>
      </c>
      <c r="V33" s="23">
        <f t="shared" si="3"/>
        <v>1.3240000000000001</v>
      </c>
      <c r="W33" s="23">
        <f t="shared" si="3"/>
        <v>0</v>
      </c>
      <c r="X33" s="23">
        <f t="shared" si="3"/>
        <v>0</v>
      </c>
      <c r="Y33" s="23">
        <f t="shared" si="3"/>
        <v>0.108</v>
      </c>
      <c r="Z33" s="23">
        <f t="shared" si="3"/>
        <v>0</v>
      </c>
      <c r="AA33" s="23">
        <f t="shared" si="3"/>
        <v>0</v>
      </c>
      <c r="AB33" s="23">
        <f t="shared" si="3"/>
        <v>5.0000000000000001E-3</v>
      </c>
      <c r="AC33" s="23">
        <f t="shared" si="3"/>
        <v>0</v>
      </c>
      <c r="AD33" s="23">
        <f t="shared" si="3"/>
        <v>3.3000000000000002E-2</v>
      </c>
      <c r="AE33" s="23">
        <f t="shared" si="3"/>
        <v>0</v>
      </c>
      <c r="AF33" s="23">
        <f t="shared" si="3"/>
        <v>0</v>
      </c>
      <c r="AG33" s="23">
        <f t="shared" si="3"/>
        <v>0</v>
      </c>
      <c r="AH33" s="23">
        <f t="shared" si="3"/>
        <v>0</v>
      </c>
    </row>
    <row r="34" spans="1:52" x14ac:dyDescent="0.3">
      <c r="A34" s="7" t="s">
        <v>387</v>
      </c>
      <c r="B34" s="23">
        <f t="shared" ref="B34:AH34" si="4">B23-B22</f>
        <v>0</v>
      </c>
      <c r="C34" s="23">
        <f t="shared" si="4"/>
        <v>0</v>
      </c>
      <c r="D34" s="23">
        <f t="shared" si="4"/>
        <v>0</v>
      </c>
      <c r="E34" s="23">
        <f t="shared" si="4"/>
        <v>1.3000000000000001E-2</v>
      </c>
      <c r="F34" s="23">
        <f t="shared" si="4"/>
        <v>0</v>
      </c>
      <c r="G34" s="23">
        <f t="shared" si="4"/>
        <v>0</v>
      </c>
      <c r="H34" s="23">
        <f t="shared" si="4"/>
        <v>0</v>
      </c>
      <c r="I34" s="23">
        <f t="shared" si="4"/>
        <v>0</v>
      </c>
      <c r="J34" s="23">
        <f t="shared" si="4"/>
        <v>0</v>
      </c>
      <c r="K34" s="23">
        <f t="shared" si="4"/>
        <v>0</v>
      </c>
      <c r="L34" s="23">
        <f t="shared" si="4"/>
        <v>0</v>
      </c>
      <c r="M34" s="23">
        <f t="shared" si="4"/>
        <v>0</v>
      </c>
      <c r="N34" s="23">
        <f t="shared" si="4"/>
        <v>1.2E-2</v>
      </c>
      <c r="O34" s="23">
        <f t="shared" si="4"/>
        <v>0</v>
      </c>
      <c r="P34" s="23">
        <f t="shared" si="4"/>
        <v>0</v>
      </c>
      <c r="Q34" s="23">
        <f t="shared" si="4"/>
        <v>5.0000000000000044E-2</v>
      </c>
      <c r="R34" s="23">
        <f t="shared" si="4"/>
        <v>0</v>
      </c>
      <c r="S34" s="23">
        <f t="shared" si="4"/>
        <v>0</v>
      </c>
      <c r="T34" s="23">
        <f t="shared" si="4"/>
        <v>0.33000000000000007</v>
      </c>
      <c r="U34" s="23">
        <f t="shared" si="4"/>
        <v>0.13500000000000001</v>
      </c>
      <c r="V34" s="23">
        <f t="shared" si="4"/>
        <v>6.9999999999998952E-3</v>
      </c>
      <c r="W34" s="23">
        <f t="shared" si="4"/>
        <v>0.29199999999999998</v>
      </c>
      <c r="X34" s="23">
        <f t="shared" si="4"/>
        <v>2.8000000000000001E-2</v>
      </c>
      <c r="Y34" s="23">
        <f t="shared" si="4"/>
        <v>0.16899999999999998</v>
      </c>
      <c r="Z34" s="23">
        <f t="shared" si="4"/>
        <v>0</v>
      </c>
      <c r="AA34" s="23">
        <f t="shared" si="4"/>
        <v>0</v>
      </c>
      <c r="AB34" s="23">
        <f t="shared" si="4"/>
        <v>0</v>
      </c>
      <c r="AC34" s="23">
        <f t="shared" si="4"/>
        <v>0</v>
      </c>
      <c r="AD34" s="23">
        <f t="shared" si="4"/>
        <v>7.3999999999999996E-2</v>
      </c>
      <c r="AE34" s="23">
        <f t="shared" si="4"/>
        <v>0</v>
      </c>
      <c r="AF34" s="23">
        <f t="shared" si="4"/>
        <v>0.627</v>
      </c>
      <c r="AG34" s="23">
        <f t="shared" si="4"/>
        <v>0</v>
      </c>
      <c r="AH34" s="23">
        <f t="shared" si="4"/>
        <v>0</v>
      </c>
    </row>
    <row r="35" spans="1:52" x14ac:dyDescent="0.3">
      <c r="A35" s="7" t="s">
        <v>388</v>
      </c>
      <c r="B35" s="23">
        <f t="shared" ref="B35:AH35" si="5">B24-B23</f>
        <v>48.646000000000001</v>
      </c>
      <c r="C35" s="23">
        <f t="shared" si="5"/>
        <v>0.10199999999999999</v>
      </c>
      <c r="D35" s="23">
        <f t="shared" si="5"/>
        <v>0</v>
      </c>
      <c r="E35" s="23">
        <f t="shared" si="5"/>
        <v>0.10899999999999999</v>
      </c>
      <c r="F35" s="23">
        <f t="shared" si="5"/>
        <v>7.2000000000000008E-2</v>
      </c>
      <c r="G35" s="23">
        <f t="shared" si="5"/>
        <v>0.122</v>
      </c>
      <c r="H35" s="23">
        <f t="shared" si="5"/>
        <v>0</v>
      </c>
      <c r="I35" s="23">
        <f t="shared" si="5"/>
        <v>0.218</v>
      </c>
      <c r="J35" s="23">
        <f t="shared" si="5"/>
        <v>10</v>
      </c>
      <c r="K35" s="23">
        <f t="shared" si="5"/>
        <v>0</v>
      </c>
      <c r="L35" s="23">
        <f t="shared" si="5"/>
        <v>0</v>
      </c>
      <c r="M35" s="23">
        <f t="shared" si="5"/>
        <v>0.06</v>
      </c>
      <c r="N35" s="23">
        <f t="shared" si="5"/>
        <v>0</v>
      </c>
      <c r="O35" s="23">
        <f t="shared" si="5"/>
        <v>0</v>
      </c>
      <c r="P35" s="23">
        <f t="shared" si="5"/>
        <v>0</v>
      </c>
      <c r="Q35" s="23">
        <f t="shared" si="5"/>
        <v>-3.5000000000000031E-2</v>
      </c>
      <c r="R35" s="23">
        <f t="shared" si="5"/>
        <v>0</v>
      </c>
      <c r="S35" s="23">
        <f t="shared" si="5"/>
        <v>0.14499999999999999</v>
      </c>
      <c r="T35" s="23">
        <f t="shared" si="5"/>
        <v>0.84200000000000053</v>
      </c>
      <c r="U35" s="23">
        <f t="shared" si="5"/>
        <v>0</v>
      </c>
      <c r="V35" s="23">
        <f t="shared" si="5"/>
        <v>0</v>
      </c>
      <c r="W35" s="23">
        <f t="shared" si="5"/>
        <v>0</v>
      </c>
      <c r="X35" s="23">
        <f t="shared" si="5"/>
        <v>0</v>
      </c>
      <c r="Y35" s="23">
        <f t="shared" si="5"/>
        <v>0.68299999999999994</v>
      </c>
      <c r="Z35" s="23">
        <f t="shared" si="5"/>
        <v>3.3460000000000001</v>
      </c>
      <c r="AA35" s="23">
        <f t="shared" si="5"/>
        <v>0</v>
      </c>
      <c r="AB35" s="23">
        <f t="shared" si="5"/>
        <v>0</v>
      </c>
      <c r="AC35" s="23">
        <f t="shared" si="5"/>
        <v>0</v>
      </c>
      <c r="AD35" s="23">
        <f t="shared" si="5"/>
        <v>3.3999999999999989E-2</v>
      </c>
      <c r="AE35" s="23">
        <f t="shared" si="5"/>
        <v>0</v>
      </c>
      <c r="AF35" s="23">
        <f t="shared" si="5"/>
        <v>8.6999999999999966E-2</v>
      </c>
      <c r="AG35" s="23">
        <f t="shared" si="5"/>
        <v>1E-3</v>
      </c>
      <c r="AH35" s="23">
        <f t="shared" si="5"/>
        <v>0</v>
      </c>
    </row>
    <row r="36" spans="1:52" x14ac:dyDescent="0.3">
      <c r="A36" s="7" t="s">
        <v>389</v>
      </c>
      <c r="B36" s="23">
        <f t="shared" ref="B36:AH36" si="6">B25-B24</f>
        <v>170</v>
      </c>
      <c r="C36" s="23">
        <f t="shared" si="6"/>
        <v>0.60399999999999998</v>
      </c>
      <c r="D36" s="23">
        <f t="shared" si="6"/>
        <v>8.5999999999999993E-2</v>
      </c>
      <c r="E36" s="23">
        <f t="shared" si="6"/>
        <v>0</v>
      </c>
      <c r="F36" s="23">
        <f t="shared" si="6"/>
        <v>7.1999999999999995E-2</v>
      </c>
      <c r="G36" s="23">
        <f t="shared" si="6"/>
        <v>0</v>
      </c>
      <c r="H36" s="23">
        <f t="shared" si="6"/>
        <v>0</v>
      </c>
      <c r="I36" s="23">
        <f t="shared" si="6"/>
        <v>0</v>
      </c>
      <c r="J36" s="23">
        <f t="shared" si="6"/>
        <v>0</v>
      </c>
      <c r="K36" s="23">
        <f t="shared" si="6"/>
        <v>0.35</v>
      </c>
      <c r="L36" s="23">
        <f t="shared" si="6"/>
        <v>0</v>
      </c>
      <c r="M36" s="23">
        <f t="shared" si="6"/>
        <v>0</v>
      </c>
      <c r="N36" s="23">
        <f t="shared" si="6"/>
        <v>0.21</v>
      </c>
      <c r="O36" s="23">
        <f t="shared" si="6"/>
        <v>0</v>
      </c>
      <c r="P36" s="23">
        <f t="shared" si="6"/>
        <v>0.312</v>
      </c>
      <c r="Q36" s="23">
        <f t="shared" si="6"/>
        <v>7.900000000000007E-2</v>
      </c>
      <c r="R36" s="23">
        <f t="shared" si="6"/>
        <v>0</v>
      </c>
      <c r="S36" s="23">
        <f t="shared" si="6"/>
        <v>0</v>
      </c>
      <c r="T36" s="23">
        <f t="shared" si="6"/>
        <v>8.599999999999941E-2</v>
      </c>
      <c r="U36" s="23">
        <f t="shared" si="6"/>
        <v>1.7999999999999988E-2</v>
      </c>
      <c r="V36" s="23">
        <f t="shared" si="6"/>
        <v>0</v>
      </c>
      <c r="W36" s="23">
        <f t="shared" si="6"/>
        <v>0</v>
      </c>
      <c r="X36" s="23">
        <f t="shared" si="6"/>
        <v>0</v>
      </c>
      <c r="Y36" s="23">
        <f t="shared" si="6"/>
        <v>0.16900000000000004</v>
      </c>
      <c r="Z36" s="23">
        <f t="shared" si="6"/>
        <v>2.9999999999999805E-2</v>
      </c>
      <c r="AA36" s="23">
        <f t="shared" si="6"/>
        <v>1.0000000000000009E-2</v>
      </c>
      <c r="AB36" s="23">
        <f t="shared" si="6"/>
        <v>0</v>
      </c>
      <c r="AC36" s="23">
        <f t="shared" si="6"/>
        <v>0</v>
      </c>
      <c r="AD36" s="23">
        <f t="shared" si="6"/>
        <v>0.10200000000000001</v>
      </c>
      <c r="AE36" s="23">
        <f t="shared" si="6"/>
        <v>0</v>
      </c>
      <c r="AF36" s="23">
        <f t="shared" si="6"/>
        <v>0.22999999999999998</v>
      </c>
      <c r="AG36" s="23">
        <f t="shared" si="6"/>
        <v>0</v>
      </c>
      <c r="AH36" s="23">
        <f t="shared" si="6"/>
        <v>9.9000000000000005E-2</v>
      </c>
    </row>
    <row r="37" spans="1:52" x14ac:dyDescent="0.3">
      <c r="A37" s="21" t="s">
        <v>390</v>
      </c>
      <c r="B37" s="23">
        <f t="shared" ref="B37:AH37" si="7">B26-B25</f>
        <v>0</v>
      </c>
      <c r="C37" s="23">
        <f t="shared" si="7"/>
        <v>0</v>
      </c>
      <c r="D37" s="23">
        <f t="shared" si="7"/>
        <v>4.9000000000000016E-2</v>
      </c>
      <c r="E37" s="23">
        <f t="shared" si="7"/>
        <v>0</v>
      </c>
      <c r="F37" s="23">
        <f t="shared" si="7"/>
        <v>11.276999999999999</v>
      </c>
      <c r="G37" s="23">
        <f t="shared" si="7"/>
        <v>0</v>
      </c>
      <c r="H37" s="23">
        <f t="shared" si="7"/>
        <v>0</v>
      </c>
      <c r="I37" s="23">
        <f t="shared" si="7"/>
        <v>0</v>
      </c>
      <c r="J37" s="23">
        <f t="shared" si="7"/>
        <v>0</v>
      </c>
      <c r="K37" s="23">
        <f t="shared" si="7"/>
        <v>0</v>
      </c>
      <c r="L37" s="23">
        <f t="shared" si="7"/>
        <v>0</v>
      </c>
      <c r="M37" s="23">
        <f t="shared" si="7"/>
        <v>0</v>
      </c>
      <c r="N37" s="23">
        <f t="shared" si="7"/>
        <v>0.29100000000000004</v>
      </c>
      <c r="O37" s="23">
        <f t="shared" si="7"/>
        <v>0</v>
      </c>
      <c r="P37" s="23">
        <f t="shared" si="7"/>
        <v>0</v>
      </c>
      <c r="Q37" s="23">
        <f t="shared" si="7"/>
        <v>0</v>
      </c>
      <c r="R37" s="23">
        <f t="shared" si="7"/>
        <v>0.157</v>
      </c>
      <c r="S37" s="23">
        <f t="shared" si="7"/>
        <v>0.13200000000000003</v>
      </c>
      <c r="T37" s="23">
        <f t="shared" si="7"/>
        <v>1.3780000000000001</v>
      </c>
      <c r="U37" s="23">
        <f t="shared" si="7"/>
        <v>0</v>
      </c>
      <c r="V37" s="23">
        <f t="shared" si="7"/>
        <v>0</v>
      </c>
      <c r="W37" s="23">
        <f t="shared" si="7"/>
        <v>0</v>
      </c>
      <c r="X37" s="23">
        <f t="shared" si="7"/>
        <v>6.9000000000000006E-2</v>
      </c>
      <c r="Y37" s="23">
        <f t="shared" si="7"/>
        <v>0.81299999999999994</v>
      </c>
      <c r="Z37" s="23">
        <f t="shared" si="7"/>
        <v>0.129</v>
      </c>
      <c r="AA37" s="23">
        <f t="shared" si="7"/>
        <v>0</v>
      </c>
      <c r="AB37" s="23">
        <f t="shared" si="7"/>
        <v>0.193</v>
      </c>
      <c r="AC37" s="23">
        <f t="shared" si="7"/>
        <v>3.2000000000000001E-2</v>
      </c>
      <c r="AD37" s="23">
        <f t="shared" si="7"/>
        <v>0.245</v>
      </c>
      <c r="AE37" s="23">
        <f t="shared" si="7"/>
        <v>0.4</v>
      </c>
      <c r="AF37" s="23">
        <f t="shared" si="7"/>
        <v>2.3000000000000131E-2</v>
      </c>
      <c r="AG37" s="23">
        <f t="shared" si="7"/>
        <v>0.112</v>
      </c>
      <c r="AH37" s="23">
        <f t="shared" si="7"/>
        <v>0</v>
      </c>
    </row>
    <row r="38" spans="1:52" x14ac:dyDescent="0.3">
      <c r="A38" s="21" t="s">
        <v>391</v>
      </c>
      <c r="B38" s="23">
        <f t="shared" ref="B38:AH38" si="8">B27-B26</f>
        <v>0</v>
      </c>
      <c r="C38" s="23">
        <f t="shared" si="8"/>
        <v>4.0000000000000036E-2</v>
      </c>
      <c r="D38" s="23">
        <f t="shared" si="8"/>
        <v>0.06</v>
      </c>
      <c r="E38" s="23">
        <f t="shared" si="8"/>
        <v>0</v>
      </c>
      <c r="F38" s="23">
        <f t="shared" si="8"/>
        <v>12.42</v>
      </c>
      <c r="G38" s="23">
        <f t="shared" si="8"/>
        <v>0</v>
      </c>
      <c r="H38" s="23">
        <f t="shared" si="8"/>
        <v>1.032</v>
      </c>
      <c r="I38" s="23">
        <f t="shared" si="8"/>
        <v>0</v>
      </c>
      <c r="J38" s="23">
        <f t="shared" si="8"/>
        <v>0.125</v>
      </c>
      <c r="K38" s="23">
        <f t="shared" si="8"/>
        <v>2.25</v>
      </c>
      <c r="L38" s="23">
        <f t="shared" si="8"/>
        <v>1.7999999999999999E-2</v>
      </c>
      <c r="M38" s="23">
        <f t="shared" si="8"/>
        <v>0</v>
      </c>
      <c r="N38" s="23">
        <f t="shared" si="8"/>
        <v>0.19199999999999995</v>
      </c>
      <c r="O38" s="23">
        <f t="shared" si="8"/>
        <v>0</v>
      </c>
      <c r="P38" s="23">
        <f t="shared" si="8"/>
        <v>0.6080000000000001</v>
      </c>
      <c r="Q38" s="23">
        <f t="shared" si="8"/>
        <v>2.9999999999999916E-2</v>
      </c>
      <c r="R38" s="23">
        <f t="shared" si="8"/>
        <v>9.7000000000000003E-2</v>
      </c>
      <c r="S38" s="23">
        <f t="shared" si="8"/>
        <v>0</v>
      </c>
      <c r="T38" s="23">
        <f t="shared" si="8"/>
        <v>0.11099999999999977</v>
      </c>
      <c r="U38" s="23">
        <f t="shared" si="8"/>
        <v>0</v>
      </c>
      <c r="V38" s="23">
        <f t="shared" si="8"/>
        <v>0</v>
      </c>
      <c r="W38" s="23">
        <f t="shared" si="8"/>
        <v>0</v>
      </c>
      <c r="X38" s="23">
        <f t="shared" si="8"/>
        <v>6.8000000000000005E-2</v>
      </c>
      <c r="Y38" s="23">
        <f t="shared" si="8"/>
        <v>0.12700000000000022</v>
      </c>
      <c r="Z38" s="23">
        <f t="shared" si="8"/>
        <v>0</v>
      </c>
      <c r="AA38" s="23">
        <f t="shared" si="8"/>
        <v>0.90999999999999992</v>
      </c>
      <c r="AB38" s="23">
        <f t="shared" si="8"/>
        <v>0</v>
      </c>
      <c r="AC38" s="23">
        <f t="shared" si="8"/>
        <v>0</v>
      </c>
      <c r="AD38" s="23">
        <f t="shared" si="8"/>
        <v>0</v>
      </c>
      <c r="AE38" s="23">
        <f t="shared" si="8"/>
        <v>0.29999999999999993</v>
      </c>
      <c r="AF38" s="23">
        <f t="shared" si="8"/>
        <v>0</v>
      </c>
      <c r="AG38" s="23">
        <f t="shared" si="8"/>
        <v>0</v>
      </c>
      <c r="AH38" s="23">
        <f t="shared" si="8"/>
        <v>0</v>
      </c>
    </row>
    <row r="39" spans="1:52" x14ac:dyDescent="0.3">
      <c r="A39" s="6" t="s">
        <v>392</v>
      </c>
      <c r="B39" s="23">
        <f t="shared" ref="B39:AH39" si="9">B28-B27</f>
        <v>0</v>
      </c>
      <c r="C39" s="23">
        <f t="shared" si="9"/>
        <v>4.0000000000000036E-2</v>
      </c>
      <c r="D39" s="23">
        <f t="shared" si="9"/>
        <v>0.58800000000000008</v>
      </c>
      <c r="E39" s="23">
        <f t="shared" si="9"/>
        <v>3.7000000000000005E-2</v>
      </c>
      <c r="F39" s="23">
        <f t="shared" si="9"/>
        <v>0</v>
      </c>
      <c r="G39" s="23">
        <f t="shared" si="9"/>
        <v>0</v>
      </c>
      <c r="H39" s="23">
        <f t="shared" si="9"/>
        <v>9.9999999999999867E-2</v>
      </c>
      <c r="I39" s="23">
        <f t="shared" si="9"/>
        <v>0</v>
      </c>
      <c r="J39" s="23">
        <f t="shared" si="9"/>
        <v>5.4999999999999716E-2</v>
      </c>
      <c r="K39" s="23">
        <f t="shared" si="9"/>
        <v>0</v>
      </c>
      <c r="L39" s="23">
        <f t="shared" si="9"/>
        <v>0</v>
      </c>
      <c r="M39" s="23">
        <f t="shared" si="9"/>
        <v>0</v>
      </c>
      <c r="N39" s="23">
        <f t="shared" si="9"/>
        <v>0</v>
      </c>
      <c r="O39" s="23">
        <f t="shared" si="9"/>
        <v>7.6999999999999999E-2</v>
      </c>
      <c r="P39" s="23">
        <f t="shared" si="9"/>
        <v>0</v>
      </c>
      <c r="Q39" s="23">
        <f t="shared" si="9"/>
        <v>0.79600000000000004</v>
      </c>
      <c r="R39" s="23">
        <f t="shared" si="9"/>
        <v>0</v>
      </c>
      <c r="S39" s="23">
        <f t="shared" si="9"/>
        <v>0.184</v>
      </c>
      <c r="T39" s="23">
        <f t="shared" si="9"/>
        <v>0.13200000000000056</v>
      </c>
      <c r="U39" s="23">
        <f t="shared" si="9"/>
        <v>0</v>
      </c>
      <c r="V39" s="23">
        <f t="shared" si="9"/>
        <v>0</v>
      </c>
      <c r="W39" s="23">
        <f t="shared" si="9"/>
        <v>0</v>
      </c>
      <c r="X39" s="23">
        <f t="shared" si="9"/>
        <v>0</v>
      </c>
      <c r="Y39" s="23">
        <f t="shared" si="9"/>
        <v>0.38599999999999968</v>
      </c>
      <c r="Z39" s="23">
        <f t="shared" si="9"/>
        <v>0.10000000000000009</v>
      </c>
      <c r="AA39" s="23">
        <f t="shared" si="9"/>
        <v>0</v>
      </c>
      <c r="AB39" s="23">
        <f t="shared" si="9"/>
        <v>0</v>
      </c>
      <c r="AC39" s="23">
        <f t="shared" si="9"/>
        <v>0</v>
      </c>
      <c r="AD39" s="23">
        <f t="shared" si="9"/>
        <v>0</v>
      </c>
      <c r="AE39" s="23">
        <f t="shared" si="9"/>
        <v>0</v>
      </c>
      <c r="AF39" s="23">
        <f t="shared" si="9"/>
        <v>0.69999999999999973</v>
      </c>
      <c r="AG39" s="23">
        <f t="shared" si="9"/>
        <v>7.1999999999999995E-2</v>
      </c>
      <c r="AH39" s="23">
        <f t="shared" si="9"/>
        <v>0</v>
      </c>
    </row>
    <row r="40" spans="1:52" x14ac:dyDescent="0.3">
      <c r="A40" s="22"/>
      <c r="B40" s="1"/>
      <c r="C40" s="19"/>
      <c r="D40" s="19"/>
      <c r="E40" s="18"/>
      <c r="F40" s="4"/>
      <c r="G40" s="4"/>
      <c r="H40" s="4"/>
      <c r="I40" s="18"/>
      <c r="J40" s="18"/>
      <c r="K40" s="3"/>
    </row>
    <row r="41" spans="1:52" x14ac:dyDescent="0.3">
      <c r="A41" s="22"/>
      <c r="B41" s="1"/>
      <c r="C41" s="18"/>
      <c r="D41" s="18"/>
      <c r="E41" s="18"/>
      <c r="F41" s="4"/>
      <c r="G41" s="4"/>
      <c r="H41" s="4"/>
      <c r="I41" s="18"/>
      <c r="J41" s="18"/>
      <c r="K41" s="3"/>
    </row>
    <row r="42" spans="1:52" ht="18" x14ac:dyDescent="0.3">
      <c r="A42" s="8"/>
      <c r="B42" s="8" t="s">
        <v>63</v>
      </c>
      <c r="C42" s="8" t="s">
        <v>1</v>
      </c>
      <c r="D42" s="8" t="s">
        <v>64</v>
      </c>
      <c r="E42" s="8" t="s">
        <v>2</v>
      </c>
      <c r="F42" s="8" t="s">
        <v>65</v>
      </c>
      <c r="G42" s="8" t="s">
        <v>3</v>
      </c>
      <c r="H42" s="8" t="s">
        <v>4</v>
      </c>
      <c r="I42" s="8" t="s">
        <v>66</v>
      </c>
      <c r="J42" s="8" t="s">
        <v>5</v>
      </c>
      <c r="K42" s="8" t="s">
        <v>67</v>
      </c>
      <c r="L42" s="8" t="s">
        <v>6</v>
      </c>
      <c r="M42" s="8" t="s">
        <v>68</v>
      </c>
      <c r="N42" s="8" t="s">
        <v>7</v>
      </c>
      <c r="O42" s="8" t="s">
        <v>8</v>
      </c>
      <c r="P42" s="8" t="s">
        <v>69</v>
      </c>
      <c r="Q42" s="8" t="s">
        <v>9</v>
      </c>
      <c r="R42" s="8" t="s">
        <v>70</v>
      </c>
      <c r="S42" s="8" t="s">
        <v>10</v>
      </c>
      <c r="T42" s="8" t="s">
        <v>71</v>
      </c>
      <c r="U42" s="8" t="s">
        <v>11</v>
      </c>
      <c r="V42" s="8" t="s">
        <v>12</v>
      </c>
      <c r="W42" s="8" t="s">
        <v>13</v>
      </c>
      <c r="X42" s="8" t="s">
        <v>14</v>
      </c>
      <c r="Y42" s="8" t="s">
        <v>15</v>
      </c>
      <c r="Z42" s="8" t="s">
        <v>72</v>
      </c>
      <c r="AA42" s="8" t="s">
        <v>16</v>
      </c>
      <c r="AB42" s="8" t="s">
        <v>17</v>
      </c>
      <c r="AC42" s="8" t="s">
        <v>73</v>
      </c>
      <c r="AD42" s="8" t="s">
        <v>18</v>
      </c>
      <c r="AE42" s="8" t="s">
        <v>19</v>
      </c>
      <c r="AF42" s="8" t="s">
        <v>74</v>
      </c>
      <c r="AG42" s="8" t="s">
        <v>75</v>
      </c>
      <c r="AH42" s="8" t="s">
        <v>20</v>
      </c>
      <c r="AI42" s="8" t="s">
        <v>21</v>
      </c>
      <c r="AJ42" s="8" t="s">
        <v>22</v>
      </c>
      <c r="AK42" s="8" t="s">
        <v>23</v>
      </c>
      <c r="AL42" s="8" t="s">
        <v>24</v>
      </c>
      <c r="AM42" s="8" t="s">
        <v>76</v>
      </c>
      <c r="AN42" s="8" t="s">
        <v>25</v>
      </c>
      <c r="AO42" s="8" t="s">
        <v>77</v>
      </c>
      <c r="AP42" s="8" t="s">
        <v>26</v>
      </c>
      <c r="AQ42" s="8" t="s">
        <v>78</v>
      </c>
      <c r="AR42" s="8" t="s">
        <v>27</v>
      </c>
      <c r="AS42" s="8" t="s">
        <v>79</v>
      </c>
      <c r="AT42" s="8" t="s">
        <v>80</v>
      </c>
      <c r="AU42" s="8" t="s">
        <v>28</v>
      </c>
      <c r="AV42" s="8" t="s">
        <v>29</v>
      </c>
      <c r="AW42" s="8" t="s">
        <v>81</v>
      </c>
      <c r="AX42" s="8" t="s">
        <v>30</v>
      </c>
      <c r="AY42" s="8" t="s">
        <v>31</v>
      </c>
      <c r="AZ42" s="8" t="s">
        <v>32</v>
      </c>
    </row>
    <row r="43" spans="1:52" x14ac:dyDescent="0.3">
      <c r="A43" s="9">
        <v>2010</v>
      </c>
      <c r="B43" s="11"/>
      <c r="C43" s="11"/>
      <c r="D43" s="11"/>
      <c r="E43" s="10">
        <v>7.0000000000000001E-3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0">
        <v>4.5830000000000002</v>
      </c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0">
        <v>1.3160000000000001</v>
      </c>
      <c r="AX43" s="10">
        <v>9.2999999999999999E-2</v>
      </c>
      <c r="AY43" s="11"/>
      <c r="AZ43" s="11"/>
    </row>
    <row r="44" spans="1:52" x14ac:dyDescent="0.3">
      <c r="A44" s="9">
        <v>2011</v>
      </c>
      <c r="B44" s="11"/>
      <c r="C44" s="11"/>
      <c r="D44" s="11"/>
      <c r="E44" s="10">
        <v>2.7E-2</v>
      </c>
      <c r="F44" s="11"/>
      <c r="G44" s="11"/>
      <c r="H44" s="11"/>
      <c r="I44" s="11"/>
      <c r="J44" s="11"/>
      <c r="K44" s="11"/>
      <c r="L44" s="10">
        <v>2.1999999999999999E-2</v>
      </c>
      <c r="M44" s="11"/>
      <c r="N44" s="11"/>
      <c r="O44" s="11"/>
      <c r="P44" s="11"/>
      <c r="Q44" s="11"/>
      <c r="R44" s="11"/>
      <c r="S44" s="10">
        <v>0.25600000000000001</v>
      </c>
      <c r="T44" s="11"/>
      <c r="U44" s="11"/>
      <c r="V44" s="11"/>
      <c r="W44" s="11"/>
      <c r="X44" s="11"/>
      <c r="Y44" s="10">
        <v>0.40799999999999997</v>
      </c>
      <c r="Z44" s="11"/>
      <c r="AA44" s="11"/>
      <c r="AB44" s="11"/>
      <c r="AC44" s="10">
        <v>5.0999999999999997E-2</v>
      </c>
      <c r="AD44" s="11"/>
      <c r="AE44" s="11"/>
      <c r="AF44" s="10">
        <v>4.9000000000000002E-2</v>
      </c>
      <c r="AG44" s="10">
        <v>4.5830000000000002</v>
      </c>
      <c r="AH44" s="11"/>
      <c r="AI44" s="11"/>
      <c r="AJ44" s="11"/>
      <c r="AK44" s="10">
        <v>2.1999999999999999E-2</v>
      </c>
      <c r="AL44" s="10">
        <v>5.6000000000000001E-2</v>
      </c>
      <c r="AM44" s="11"/>
      <c r="AN44" s="11"/>
      <c r="AO44" s="11"/>
      <c r="AP44" s="11"/>
      <c r="AQ44" s="11"/>
      <c r="AR44" s="11"/>
      <c r="AS44" s="11"/>
      <c r="AT44" s="11"/>
      <c r="AU44" s="10">
        <v>0.27200000000000002</v>
      </c>
      <c r="AV44" s="11"/>
      <c r="AW44" s="10">
        <v>1.35</v>
      </c>
      <c r="AX44" s="10">
        <v>0.26</v>
      </c>
      <c r="AY44" s="11"/>
      <c r="AZ44" s="10">
        <v>0.17199999999999999</v>
      </c>
    </row>
    <row r="45" spans="1:52" x14ac:dyDescent="0.3">
      <c r="A45" s="9">
        <v>2012</v>
      </c>
      <c r="B45" s="11"/>
      <c r="C45" s="11"/>
      <c r="D45" s="11"/>
      <c r="E45" s="10">
        <v>8.7999999999999995E-2</v>
      </c>
      <c r="F45" s="11"/>
      <c r="G45" s="11"/>
      <c r="H45" s="11"/>
      <c r="I45" s="11"/>
      <c r="J45" s="11"/>
      <c r="K45" s="11"/>
      <c r="L45" s="10">
        <v>8.5999999999999993E-2</v>
      </c>
      <c r="M45" s="11"/>
      <c r="N45" s="11"/>
      <c r="O45" s="11"/>
      <c r="P45" s="11"/>
      <c r="Q45" s="11"/>
      <c r="R45" s="11"/>
      <c r="S45" s="10">
        <v>0.97499999999999998</v>
      </c>
      <c r="T45" s="11"/>
      <c r="U45" s="11"/>
      <c r="V45" s="11"/>
      <c r="W45" s="11"/>
      <c r="X45" s="11"/>
      <c r="Y45" s="10">
        <v>1.556</v>
      </c>
      <c r="Z45" s="10">
        <v>9.7000000000000003E-2</v>
      </c>
      <c r="AA45" s="11"/>
      <c r="AB45" s="11"/>
      <c r="AC45" s="10">
        <v>8.1000000000000003E-2</v>
      </c>
      <c r="AD45" s="11"/>
      <c r="AE45" s="11"/>
      <c r="AF45" s="10">
        <v>8.6999999999999994E-2</v>
      </c>
      <c r="AG45" s="10">
        <v>4.5830000000000002</v>
      </c>
      <c r="AH45" s="11"/>
      <c r="AI45" s="11"/>
      <c r="AJ45" s="11"/>
      <c r="AK45" s="10">
        <v>8.5999999999999993E-2</v>
      </c>
      <c r="AL45" s="10">
        <v>0.21199999999999999</v>
      </c>
      <c r="AM45" s="11"/>
      <c r="AN45" s="11"/>
      <c r="AO45" s="11"/>
      <c r="AP45" s="11"/>
      <c r="AQ45" s="11"/>
      <c r="AR45" s="11"/>
      <c r="AS45" s="11"/>
      <c r="AT45" s="11"/>
      <c r="AU45" s="10">
        <v>1.0309999999999999</v>
      </c>
      <c r="AV45" s="11"/>
      <c r="AW45" s="10">
        <v>1.45</v>
      </c>
      <c r="AX45" s="10">
        <v>0.56299999999999994</v>
      </c>
      <c r="AY45" s="11"/>
      <c r="AZ45" s="10">
        <v>0.89</v>
      </c>
    </row>
    <row r="46" spans="1:52" x14ac:dyDescent="0.3">
      <c r="A46" s="9">
        <v>2013</v>
      </c>
      <c r="B46" s="11"/>
      <c r="C46" s="11"/>
      <c r="D46" s="11"/>
      <c r="E46" s="10">
        <v>0.23</v>
      </c>
      <c r="F46" s="10">
        <v>0.01</v>
      </c>
      <c r="G46" s="11"/>
      <c r="H46" s="11"/>
      <c r="I46" s="11"/>
      <c r="J46" s="11"/>
      <c r="K46" s="11"/>
      <c r="L46" s="10">
        <v>0.28399999999999997</v>
      </c>
      <c r="M46" s="11"/>
      <c r="N46" s="11"/>
      <c r="O46" s="11"/>
      <c r="P46" s="11"/>
      <c r="Q46" s="11"/>
      <c r="R46" s="11"/>
      <c r="S46" s="10">
        <v>3.1709999999999998</v>
      </c>
      <c r="T46" s="11"/>
      <c r="U46" s="11"/>
      <c r="V46" s="10">
        <v>0.14399999999999999</v>
      </c>
      <c r="W46" s="11"/>
      <c r="X46" s="10">
        <v>5.0999999999999997E-2</v>
      </c>
      <c r="Y46" s="10">
        <v>5.0599999999999996</v>
      </c>
      <c r="Z46" s="10">
        <v>9.7000000000000003E-2</v>
      </c>
      <c r="AA46" s="11"/>
      <c r="AB46" s="11"/>
      <c r="AC46" s="10">
        <v>0.14399999999999999</v>
      </c>
      <c r="AD46" s="10">
        <v>7.0000000000000007E-2</v>
      </c>
      <c r="AE46" s="11"/>
      <c r="AF46" s="10">
        <v>0.126</v>
      </c>
      <c r="AG46" s="10">
        <v>4.5830000000000002</v>
      </c>
      <c r="AH46" s="10">
        <v>0.01</v>
      </c>
      <c r="AI46" s="11"/>
      <c r="AJ46" s="11"/>
      <c r="AK46" s="10">
        <v>0.748</v>
      </c>
      <c r="AL46" s="10">
        <v>0.69199999999999995</v>
      </c>
      <c r="AM46" s="11"/>
      <c r="AN46" s="10">
        <v>4.9000000000000002E-2</v>
      </c>
      <c r="AO46" s="11"/>
      <c r="AP46" s="11"/>
      <c r="AQ46" s="11"/>
      <c r="AR46" s="10">
        <v>0.26500000000000001</v>
      </c>
      <c r="AS46" s="11"/>
      <c r="AT46" s="11"/>
      <c r="AU46" s="10">
        <v>3.3540000000000001</v>
      </c>
      <c r="AV46" s="11"/>
      <c r="AW46" s="10">
        <v>1.45</v>
      </c>
      <c r="AX46" s="10">
        <v>1.2949999999999999</v>
      </c>
      <c r="AY46" s="11"/>
      <c r="AZ46" s="10">
        <v>1.9159999999999999</v>
      </c>
    </row>
    <row r="47" spans="1:52" x14ac:dyDescent="0.3">
      <c r="A47" s="9">
        <v>2014</v>
      </c>
      <c r="B47" s="11"/>
      <c r="C47" s="11"/>
      <c r="D47" s="11"/>
      <c r="E47" s="10">
        <v>0.41099999999999998</v>
      </c>
      <c r="F47" s="10">
        <v>2.3E-2</v>
      </c>
      <c r="G47" s="11"/>
      <c r="H47" s="11"/>
      <c r="I47" s="11"/>
      <c r="J47" s="11"/>
      <c r="K47" s="11"/>
      <c r="L47" s="10">
        <v>0.503</v>
      </c>
      <c r="M47" s="11"/>
      <c r="N47" s="11"/>
      <c r="O47" s="11"/>
      <c r="P47" s="11"/>
      <c r="Q47" s="11"/>
      <c r="R47" s="11"/>
      <c r="S47" s="10">
        <v>5.6040000000000001</v>
      </c>
      <c r="T47" s="11"/>
      <c r="U47" s="11"/>
      <c r="V47" s="10">
        <v>0.14599999999999999</v>
      </c>
      <c r="W47" s="11"/>
      <c r="X47" s="10">
        <v>0.10199999999999999</v>
      </c>
      <c r="Y47" s="10">
        <v>9.0069999999999997</v>
      </c>
      <c r="Z47" s="10">
        <v>9.7000000000000003E-2</v>
      </c>
      <c r="AA47" s="11"/>
      <c r="AB47" s="11"/>
      <c r="AC47" s="12">
        <v>0.22212999999999999</v>
      </c>
      <c r="AD47" s="10">
        <v>0.14000000000000001</v>
      </c>
      <c r="AE47" s="11"/>
      <c r="AF47" s="10">
        <v>0.107</v>
      </c>
      <c r="AG47" s="10">
        <v>4.5830000000000002</v>
      </c>
      <c r="AH47" s="10">
        <v>3.1E-2</v>
      </c>
      <c r="AI47" s="11"/>
      <c r="AJ47" s="10">
        <v>1.4999999999999999E-2</v>
      </c>
      <c r="AK47" s="10">
        <v>1.431</v>
      </c>
      <c r="AL47" s="10">
        <v>1.2350000000000001</v>
      </c>
      <c r="AM47" s="11"/>
      <c r="AN47" s="10">
        <v>9.7000000000000003E-2</v>
      </c>
      <c r="AO47" s="11"/>
      <c r="AP47" s="11"/>
      <c r="AQ47" s="11"/>
      <c r="AR47" s="10">
        <v>0.53</v>
      </c>
      <c r="AS47" s="11"/>
      <c r="AT47" s="10">
        <v>0</v>
      </c>
      <c r="AU47" s="10">
        <v>10.724</v>
      </c>
      <c r="AV47" s="11"/>
      <c r="AW47" s="10">
        <v>1.45</v>
      </c>
      <c r="AX47" s="10">
        <v>2.1709999999999998</v>
      </c>
      <c r="AY47" s="11"/>
      <c r="AZ47" s="10">
        <v>2.0760000000000001</v>
      </c>
    </row>
    <row r="48" spans="1:52" x14ac:dyDescent="0.3">
      <c r="A48" s="9">
        <v>2015</v>
      </c>
      <c r="B48" s="11"/>
      <c r="C48" s="10">
        <v>6.4000000000000001E-2</v>
      </c>
      <c r="D48" s="11"/>
      <c r="E48" s="10">
        <v>0.63700000000000001</v>
      </c>
      <c r="F48" s="10">
        <v>2.9000000000000001E-2</v>
      </c>
      <c r="G48" s="11"/>
      <c r="H48" s="11"/>
      <c r="I48" s="11"/>
      <c r="J48" s="11"/>
      <c r="K48" s="11"/>
      <c r="L48" s="10">
        <v>0.56699999999999995</v>
      </c>
      <c r="M48" s="11"/>
      <c r="N48" s="10">
        <v>5.5E-2</v>
      </c>
      <c r="O48" s="11"/>
      <c r="P48" s="11"/>
      <c r="Q48" s="11"/>
      <c r="R48" s="11"/>
      <c r="S48" s="10">
        <v>6.3319999999999999</v>
      </c>
      <c r="T48" s="11"/>
      <c r="U48" s="11"/>
      <c r="V48" s="10">
        <v>0.19900000000000001</v>
      </c>
      <c r="W48" s="11"/>
      <c r="X48" s="10">
        <v>0.152</v>
      </c>
      <c r="Y48" s="10">
        <v>11.256</v>
      </c>
      <c r="Z48" s="10">
        <v>9.7000000000000003E-2</v>
      </c>
      <c r="AA48" s="10">
        <v>2.4E-2</v>
      </c>
      <c r="AB48" s="11"/>
      <c r="AC48" s="10">
        <v>0.56799999999999995</v>
      </c>
      <c r="AD48" s="10">
        <v>0.32600000000000001</v>
      </c>
      <c r="AE48" s="11"/>
      <c r="AF48" s="10">
        <v>0.13400000000000001</v>
      </c>
      <c r="AG48" s="10">
        <v>15.856999999999999</v>
      </c>
      <c r="AH48" s="10">
        <v>3.1E-2</v>
      </c>
      <c r="AI48" s="11"/>
      <c r="AJ48" s="10">
        <v>1.4999999999999999E-2</v>
      </c>
      <c r="AK48" s="10">
        <v>2.258</v>
      </c>
      <c r="AL48" s="10">
        <v>1.8149999999999999</v>
      </c>
      <c r="AM48" s="11"/>
      <c r="AN48" s="10">
        <v>0.30299999999999999</v>
      </c>
      <c r="AO48" s="11"/>
      <c r="AP48" s="10">
        <v>0.129</v>
      </c>
      <c r="AQ48" s="11"/>
      <c r="AR48" s="10">
        <v>0.85199999999999998</v>
      </c>
      <c r="AS48" s="11"/>
      <c r="AT48" s="10">
        <v>0</v>
      </c>
      <c r="AU48" s="10">
        <v>12.16</v>
      </c>
      <c r="AV48" s="11"/>
      <c r="AW48" s="10">
        <v>1.45</v>
      </c>
      <c r="AX48" s="10">
        <v>4.0869999999999997</v>
      </c>
      <c r="AY48" s="10">
        <v>0.20799999999999999</v>
      </c>
      <c r="AZ48" s="10">
        <v>1.861</v>
      </c>
    </row>
    <row r="49" spans="1:52" x14ac:dyDescent="0.3">
      <c r="A49" s="9">
        <v>2016</v>
      </c>
      <c r="B49" s="11"/>
      <c r="C49" s="10">
        <v>0.246</v>
      </c>
      <c r="D49" s="11"/>
      <c r="E49" s="10">
        <v>0.64700000000000002</v>
      </c>
      <c r="F49" s="10">
        <v>1.9E-2</v>
      </c>
      <c r="G49" s="11"/>
      <c r="H49" s="10">
        <v>8.8999999999999996E-2</v>
      </c>
      <c r="I49" s="11"/>
      <c r="J49" s="11"/>
      <c r="K49" s="11"/>
      <c r="L49" s="10">
        <v>0.44500000000000001</v>
      </c>
      <c r="M49" s="11"/>
      <c r="N49" s="10">
        <v>0.14099999999999999</v>
      </c>
      <c r="O49" s="10">
        <v>4.8890000000000002</v>
      </c>
      <c r="P49" s="11"/>
      <c r="Q49" s="11"/>
      <c r="R49" s="11"/>
      <c r="S49" s="10">
        <v>5.3810000000000002</v>
      </c>
      <c r="T49" s="11"/>
      <c r="U49" s="10">
        <v>2E-3</v>
      </c>
      <c r="V49" s="10">
        <v>0.38600000000000001</v>
      </c>
      <c r="W49" s="11"/>
      <c r="X49" s="10">
        <v>0.20300000000000001</v>
      </c>
      <c r="Y49" s="10">
        <v>11.974</v>
      </c>
      <c r="Z49" s="10">
        <v>9.7000000000000003E-2</v>
      </c>
      <c r="AA49" s="10">
        <v>5.1999999999999998E-2</v>
      </c>
      <c r="AB49" s="10">
        <v>4.1000000000000002E-2</v>
      </c>
      <c r="AC49" s="10">
        <v>0.80200000000000005</v>
      </c>
      <c r="AD49" s="10">
        <v>0.47899999999999998</v>
      </c>
      <c r="AE49" s="11"/>
      <c r="AF49" s="10">
        <v>0.23</v>
      </c>
      <c r="AG49" s="10">
        <v>15.856999999999999</v>
      </c>
      <c r="AH49" s="10">
        <v>8.4000000000000005E-2</v>
      </c>
      <c r="AI49" s="10">
        <v>0.01</v>
      </c>
      <c r="AJ49" s="10">
        <v>1.4999999999999999E-2</v>
      </c>
      <c r="AK49" s="10">
        <v>3.2120000000000002</v>
      </c>
      <c r="AL49" s="10">
        <v>6.9589999999999996</v>
      </c>
      <c r="AM49" s="11"/>
      <c r="AN49" s="10">
        <v>0.434</v>
      </c>
      <c r="AO49" s="11"/>
      <c r="AP49" s="10">
        <v>0.17699999999999999</v>
      </c>
      <c r="AQ49" s="10">
        <v>2.3E-2</v>
      </c>
      <c r="AR49" s="10">
        <v>1.1359999999999999</v>
      </c>
      <c r="AS49" s="11"/>
      <c r="AT49" s="10">
        <v>0</v>
      </c>
      <c r="AU49" s="10">
        <v>17.437999999999999</v>
      </c>
      <c r="AV49" s="10">
        <v>2E-3</v>
      </c>
      <c r="AW49" s="10">
        <v>1.8</v>
      </c>
      <c r="AX49" s="10">
        <v>8.7520000000000007</v>
      </c>
      <c r="AY49" s="10">
        <v>0.29399999999999998</v>
      </c>
      <c r="AZ49" s="10">
        <v>1.349</v>
      </c>
    </row>
    <row r="50" spans="1:52" x14ac:dyDescent="0.3">
      <c r="A50" s="9">
        <v>2017</v>
      </c>
      <c r="B50" s="10">
        <v>1E-3</v>
      </c>
      <c r="C50" s="10">
        <v>0.27700000000000002</v>
      </c>
      <c r="D50" s="11"/>
      <c r="E50" s="10">
        <v>0.70699999999999996</v>
      </c>
      <c r="F50" s="10">
        <v>6.0000000000000001E-3</v>
      </c>
      <c r="G50" s="11"/>
      <c r="H50" s="10">
        <v>0.13300000000000001</v>
      </c>
      <c r="I50" s="11"/>
      <c r="J50" s="11"/>
      <c r="K50" s="11"/>
      <c r="L50" s="10">
        <v>0.78400000000000003</v>
      </c>
      <c r="M50" s="11"/>
      <c r="N50" s="10">
        <v>0.23799999999999999</v>
      </c>
      <c r="O50" s="10">
        <v>4.8890000000000002</v>
      </c>
      <c r="P50" s="11"/>
      <c r="Q50" s="11"/>
      <c r="R50" s="11"/>
      <c r="S50" s="10">
        <v>3.8039999999999998</v>
      </c>
      <c r="T50" s="11"/>
      <c r="U50" s="10">
        <v>4.0000000000000001E-3</v>
      </c>
      <c r="V50" s="10">
        <v>0.84799999999999998</v>
      </c>
      <c r="W50" s="11"/>
      <c r="X50" s="10">
        <v>0.254</v>
      </c>
      <c r="Y50" s="10">
        <v>15.135</v>
      </c>
      <c r="Z50" s="11"/>
      <c r="AA50" s="10">
        <v>0.158</v>
      </c>
      <c r="AB50" s="10">
        <v>2.1549999999999998</v>
      </c>
      <c r="AC50" s="10">
        <v>0.97499999999999998</v>
      </c>
      <c r="AD50" s="10">
        <v>0.78200000000000003</v>
      </c>
      <c r="AE50" s="11"/>
      <c r="AF50" s="10">
        <v>0.311</v>
      </c>
      <c r="AG50" s="10">
        <v>15.856999999999999</v>
      </c>
      <c r="AH50" s="10">
        <v>0.14299999999999999</v>
      </c>
      <c r="AI50" s="10">
        <v>5.2999999999999999E-2</v>
      </c>
      <c r="AJ50" s="10">
        <v>7.0000000000000001E-3</v>
      </c>
      <c r="AK50" s="10">
        <v>8.6709999999999994</v>
      </c>
      <c r="AL50" s="10">
        <v>11.586</v>
      </c>
      <c r="AM50" s="11"/>
      <c r="AN50" s="10">
        <v>0.72399999999999998</v>
      </c>
      <c r="AO50" s="11"/>
      <c r="AP50" s="10">
        <v>0.25800000000000001</v>
      </c>
      <c r="AQ50" s="10">
        <v>5.1999999999999998E-2</v>
      </c>
      <c r="AR50" s="10">
        <v>1.601</v>
      </c>
      <c r="AS50" s="11"/>
      <c r="AT50" s="11"/>
      <c r="AU50" s="10">
        <v>20.582000000000001</v>
      </c>
      <c r="AV50" s="10">
        <v>1.4E-2</v>
      </c>
      <c r="AW50" s="10">
        <v>1.8</v>
      </c>
      <c r="AX50" s="10">
        <v>10.308999999999999</v>
      </c>
      <c r="AY50" s="10">
        <v>0.42399999999999999</v>
      </c>
      <c r="AZ50" s="10">
        <v>1.2030000000000001</v>
      </c>
    </row>
    <row r="51" spans="1:52" x14ac:dyDescent="0.3">
      <c r="A51" s="9">
        <v>2018</v>
      </c>
      <c r="B51" s="10">
        <v>5.0000000000000001E-3</v>
      </c>
      <c r="C51" s="10">
        <v>0.248</v>
      </c>
      <c r="D51" s="11"/>
      <c r="E51" s="10">
        <v>0.54100000000000004</v>
      </c>
      <c r="F51" s="10">
        <v>5.0000000000000001E-3</v>
      </c>
      <c r="G51" s="10">
        <v>5.0000000000000001E-3</v>
      </c>
      <c r="H51" s="10">
        <v>0.27300000000000002</v>
      </c>
      <c r="I51" s="10">
        <v>5.0000000000000001E-3</v>
      </c>
      <c r="J51" s="10">
        <v>1.7000000000000001E-2</v>
      </c>
      <c r="K51" s="11"/>
      <c r="L51" s="10">
        <v>0.78400000000000003</v>
      </c>
      <c r="M51" s="11"/>
      <c r="N51" s="10">
        <v>1.9930000000000001</v>
      </c>
      <c r="O51" s="10">
        <v>4.8890000000000002</v>
      </c>
      <c r="P51" s="11"/>
      <c r="Q51" s="11"/>
      <c r="R51" s="11"/>
      <c r="S51" s="10">
        <v>3.6080000000000001</v>
      </c>
      <c r="T51" s="10">
        <v>5.0000000000000001E-3</v>
      </c>
      <c r="U51" s="10">
        <v>8.9999999999999993E-3</v>
      </c>
      <c r="V51" s="10">
        <v>0.875</v>
      </c>
      <c r="W51" s="10">
        <v>5.0000000000000001E-3</v>
      </c>
      <c r="X51" s="10">
        <v>0.25900000000000001</v>
      </c>
      <c r="Y51" s="10">
        <v>24.523</v>
      </c>
      <c r="Z51" s="11"/>
      <c r="AA51" s="10">
        <v>0.152</v>
      </c>
      <c r="AB51" s="10">
        <v>2.2290000000000001</v>
      </c>
      <c r="AC51" s="10">
        <v>0.73499999999999999</v>
      </c>
      <c r="AD51" s="10">
        <v>0.753</v>
      </c>
      <c r="AE51" s="10">
        <v>5.0000000000000001E-3</v>
      </c>
      <c r="AF51" s="10">
        <v>0.35599999999999998</v>
      </c>
      <c r="AG51" s="10">
        <v>15.856999999999999</v>
      </c>
      <c r="AH51" s="10">
        <v>0.14799999999999999</v>
      </c>
      <c r="AI51" s="10">
        <v>8.7999999999999995E-2</v>
      </c>
      <c r="AJ51" s="10">
        <v>0.02</v>
      </c>
      <c r="AK51" s="10">
        <v>13.217000000000001</v>
      </c>
      <c r="AL51" s="10">
        <v>18.611000000000001</v>
      </c>
      <c r="AM51" s="11"/>
      <c r="AN51" s="10">
        <v>0.82299999999999995</v>
      </c>
      <c r="AO51" s="11"/>
      <c r="AP51" s="10">
        <v>0.13400000000000001</v>
      </c>
      <c r="AQ51" s="10">
        <v>0.42699999999999999</v>
      </c>
      <c r="AR51" s="10">
        <v>1.365</v>
      </c>
      <c r="AS51" s="10">
        <v>5.0000000000000001E-3</v>
      </c>
      <c r="AT51" s="11"/>
      <c r="AU51" s="10">
        <v>24.878</v>
      </c>
      <c r="AV51" s="10">
        <v>9.8000000000000004E-2</v>
      </c>
      <c r="AW51" s="10">
        <v>1.8</v>
      </c>
      <c r="AX51" s="10">
        <v>12.108000000000001</v>
      </c>
      <c r="AY51" s="10">
        <v>1.722</v>
      </c>
      <c r="AZ51" s="10">
        <v>1.42</v>
      </c>
    </row>
    <row r="52" spans="1:52" x14ac:dyDescent="0.3">
      <c r="A52" s="9">
        <v>2019</v>
      </c>
      <c r="B52" s="10">
        <v>4.3999999999999997E-2</v>
      </c>
      <c r="C52" s="10">
        <v>1.1379999999999999</v>
      </c>
      <c r="D52" s="10">
        <v>3.6999999999999998E-2</v>
      </c>
      <c r="E52" s="10">
        <v>1.5</v>
      </c>
      <c r="F52" s="10">
        <v>0.04</v>
      </c>
      <c r="G52" s="10">
        <v>8.1000000000000003E-2</v>
      </c>
      <c r="H52" s="10">
        <v>1.621</v>
      </c>
      <c r="I52" s="10">
        <v>4.2000000000000003E-2</v>
      </c>
      <c r="J52" s="10">
        <v>5.3999999999999999E-2</v>
      </c>
      <c r="K52" s="10">
        <v>3.5000000000000003E-2</v>
      </c>
      <c r="L52" s="10">
        <v>1.528</v>
      </c>
      <c r="M52" s="10">
        <v>3.6999999999999998E-2</v>
      </c>
      <c r="N52" s="10">
        <v>3.1749999999999998</v>
      </c>
      <c r="O52" s="10">
        <v>4.8890000000000002</v>
      </c>
      <c r="P52" s="10">
        <v>7.5999999999999998E-2</v>
      </c>
      <c r="Q52" s="10">
        <v>3.5000000000000003E-2</v>
      </c>
      <c r="R52" s="10">
        <v>3.6999999999999998E-2</v>
      </c>
      <c r="S52" s="10">
        <v>11.445</v>
      </c>
      <c r="T52" s="10">
        <v>4.2000000000000003E-2</v>
      </c>
      <c r="U52" s="10">
        <v>7.4999999999999997E-2</v>
      </c>
      <c r="V52" s="10">
        <v>1.2969999999999999</v>
      </c>
      <c r="W52" s="10">
        <v>0.153</v>
      </c>
      <c r="X52" s="10">
        <v>0.33500000000000002</v>
      </c>
      <c r="Y52" s="10">
        <v>39.418999999999997</v>
      </c>
      <c r="Z52" s="10">
        <v>3.6999999999999998E-2</v>
      </c>
      <c r="AA52" s="10">
        <v>0.20100000000000001</v>
      </c>
      <c r="AB52" s="10">
        <v>2.5609999999999999</v>
      </c>
      <c r="AC52" s="10">
        <v>0.96699999999999997</v>
      </c>
      <c r="AD52" s="10">
        <v>1.571</v>
      </c>
      <c r="AE52" s="10">
        <v>8.1000000000000003E-2</v>
      </c>
      <c r="AF52" s="10">
        <v>0.502</v>
      </c>
      <c r="AG52" s="10">
        <v>15.856999999999999</v>
      </c>
      <c r="AH52" s="10">
        <v>0.17799999999999999</v>
      </c>
      <c r="AI52" s="10">
        <v>0.115</v>
      </c>
      <c r="AJ52" s="10">
        <v>0.34499999999999997</v>
      </c>
      <c r="AK52" s="10">
        <v>18.273</v>
      </c>
      <c r="AL52" s="10">
        <v>18.97</v>
      </c>
      <c r="AM52" s="10">
        <v>7.5999999999999998E-2</v>
      </c>
      <c r="AN52" s="10">
        <v>1.351</v>
      </c>
      <c r="AO52" s="10">
        <v>0.22700000000000001</v>
      </c>
      <c r="AP52" s="10">
        <v>0.85299999999999998</v>
      </c>
      <c r="AQ52" s="10">
        <v>0.89500000000000002</v>
      </c>
      <c r="AR52" s="10">
        <v>1.3919999999999999</v>
      </c>
      <c r="AS52" s="10">
        <v>0.04</v>
      </c>
      <c r="AT52" s="11"/>
      <c r="AU52" s="10">
        <v>21.847999999999999</v>
      </c>
      <c r="AV52" s="10">
        <v>1.129</v>
      </c>
      <c r="AW52" s="10">
        <v>1.8</v>
      </c>
      <c r="AX52" s="10">
        <v>14.281000000000001</v>
      </c>
      <c r="AY52" s="10">
        <v>3.3580000000000001</v>
      </c>
      <c r="AZ52" s="10">
        <v>1.2629999999999999</v>
      </c>
    </row>
    <row r="53" spans="1:52" x14ac:dyDescent="0.3">
      <c r="A53" t="s">
        <v>382</v>
      </c>
      <c r="B53" s="8" t="s">
        <v>63</v>
      </c>
      <c r="C53" s="8" t="s">
        <v>1</v>
      </c>
      <c r="D53" s="8" t="s">
        <v>64</v>
      </c>
      <c r="E53" s="8" t="s">
        <v>2</v>
      </c>
      <c r="F53" s="8" t="s">
        <v>65</v>
      </c>
      <c r="G53" s="8" t="s">
        <v>3</v>
      </c>
      <c r="H53" s="8" t="s">
        <v>4</v>
      </c>
      <c r="I53" s="8" t="s">
        <v>66</v>
      </c>
      <c r="J53" s="8" t="s">
        <v>5</v>
      </c>
      <c r="K53" s="8" t="s">
        <v>67</v>
      </c>
      <c r="L53" s="8" t="s">
        <v>6</v>
      </c>
      <c r="M53" s="8" t="s">
        <v>68</v>
      </c>
      <c r="N53" s="8" t="s">
        <v>7</v>
      </c>
      <c r="O53" s="8" t="s">
        <v>8</v>
      </c>
      <c r="P53" s="8" t="s">
        <v>69</v>
      </c>
      <c r="Q53" s="8" t="s">
        <v>9</v>
      </c>
      <c r="R53" s="8" t="s">
        <v>70</v>
      </c>
      <c r="S53" s="8" t="s">
        <v>10</v>
      </c>
      <c r="T53" s="8" t="s">
        <v>71</v>
      </c>
      <c r="U53" s="8" t="s">
        <v>11</v>
      </c>
      <c r="V53" s="8" t="s">
        <v>12</v>
      </c>
      <c r="W53" s="8" t="s">
        <v>13</v>
      </c>
      <c r="X53" s="8" t="s">
        <v>14</v>
      </c>
      <c r="Y53" s="8" t="s">
        <v>15</v>
      </c>
      <c r="Z53" s="8" t="s">
        <v>72</v>
      </c>
      <c r="AA53" s="8" t="s">
        <v>16</v>
      </c>
      <c r="AB53" s="8" t="s">
        <v>17</v>
      </c>
      <c r="AC53" s="8" t="s">
        <v>73</v>
      </c>
      <c r="AD53" s="8" t="s">
        <v>18</v>
      </c>
      <c r="AE53" s="8" t="s">
        <v>19</v>
      </c>
      <c r="AF53" s="8" t="s">
        <v>74</v>
      </c>
      <c r="AG53" s="8" t="s">
        <v>75</v>
      </c>
      <c r="AH53" s="8" t="s">
        <v>20</v>
      </c>
      <c r="AI53" s="8" t="s">
        <v>21</v>
      </c>
      <c r="AJ53" s="8" t="s">
        <v>22</v>
      </c>
      <c r="AK53" s="8" t="s">
        <v>23</v>
      </c>
      <c r="AL53" s="8" t="s">
        <v>24</v>
      </c>
      <c r="AM53" s="8" t="s">
        <v>76</v>
      </c>
      <c r="AN53" s="8" t="s">
        <v>25</v>
      </c>
      <c r="AO53" s="8" t="s">
        <v>77</v>
      </c>
      <c r="AP53" s="8" t="s">
        <v>26</v>
      </c>
      <c r="AQ53" s="8" t="s">
        <v>78</v>
      </c>
      <c r="AR53" s="8" t="s">
        <v>27</v>
      </c>
      <c r="AS53" s="8" t="s">
        <v>79</v>
      </c>
      <c r="AT53" s="8" t="s">
        <v>80</v>
      </c>
      <c r="AU53" s="8" t="s">
        <v>28</v>
      </c>
      <c r="AV53" s="8" t="s">
        <v>29</v>
      </c>
      <c r="AW53" s="8" t="s">
        <v>81</v>
      </c>
      <c r="AX53" s="8" t="s">
        <v>30</v>
      </c>
      <c r="AY53" s="8" t="s">
        <v>31</v>
      </c>
      <c r="AZ53" s="8" t="s">
        <v>32</v>
      </c>
    </row>
    <row r="54" spans="1:52" x14ac:dyDescent="0.3">
      <c r="A54" s="9">
        <v>2010</v>
      </c>
      <c r="B54" s="23">
        <f t="shared" ref="B54:AG54" si="10">B43-0</f>
        <v>0</v>
      </c>
      <c r="C54" s="23">
        <f t="shared" si="10"/>
        <v>0</v>
      </c>
      <c r="D54" s="23">
        <f t="shared" si="10"/>
        <v>0</v>
      </c>
      <c r="E54" s="23">
        <f t="shared" si="10"/>
        <v>7.0000000000000001E-3</v>
      </c>
      <c r="F54" s="23">
        <f t="shared" si="10"/>
        <v>0</v>
      </c>
      <c r="G54" s="23">
        <f t="shared" si="10"/>
        <v>0</v>
      </c>
      <c r="H54" s="23">
        <f t="shared" si="10"/>
        <v>0</v>
      </c>
      <c r="I54" s="23">
        <f t="shared" si="10"/>
        <v>0</v>
      </c>
      <c r="J54" s="23">
        <f t="shared" si="10"/>
        <v>0</v>
      </c>
      <c r="K54" s="23">
        <f t="shared" si="10"/>
        <v>0</v>
      </c>
      <c r="L54" s="23">
        <f t="shared" si="10"/>
        <v>0</v>
      </c>
      <c r="M54" s="23">
        <f t="shared" si="10"/>
        <v>0</v>
      </c>
      <c r="N54" s="23">
        <f t="shared" si="10"/>
        <v>0</v>
      </c>
      <c r="O54" s="23">
        <f t="shared" si="10"/>
        <v>0</v>
      </c>
      <c r="P54" s="23">
        <f t="shared" si="10"/>
        <v>0</v>
      </c>
      <c r="Q54" s="23">
        <f t="shared" si="10"/>
        <v>0</v>
      </c>
      <c r="R54" s="23">
        <f t="shared" si="10"/>
        <v>0</v>
      </c>
      <c r="S54" s="23">
        <f t="shared" si="10"/>
        <v>0</v>
      </c>
      <c r="T54" s="23">
        <f t="shared" si="10"/>
        <v>0</v>
      </c>
      <c r="U54" s="23">
        <f t="shared" si="10"/>
        <v>0</v>
      </c>
      <c r="V54" s="23">
        <f t="shared" si="10"/>
        <v>0</v>
      </c>
      <c r="W54" s="23">
        <f t="shared" si="10"/>
        <v>0</v>
      </c>
      <c r="X54" s="23">
        <f t="shared" si="10"/>
        <v>0</v>
      </c>
      <c r="Y54" s="23">
        <f t="shared" si="10"/>
        <v>0</v>
      </c>
      <c r="Z54" s="23">
        <f t="shared" si="10"/>
        <v>0</v>
      </c>
      <c r="AA54" s="23">
        <f t="shared" si="10"/>
        <v>0</v>
      </c>
      <c r="AB54" s="23">
        <f t="shared" si="10"/>
        <v>0</v>
      </c>
      <c r="AC54" s="23">
        <f t="shared" si="10"/>
        <v>0</v>
      </c>
      <c r="AD54" s="23">
        <f t="shared" si="10"/>
        <v>0</v>
      </c>
      <c r="AE54" s="23">
        <f t="shared" si="10"/>
        <v>0</v>
      </c>
      <c r="AF54" s="23">
        <f t="shared" si="10"/>
        <v>0</v>
      </c>
      <c r="AG54" s="23">
        <f t="shared" si="10"/>
        <v>4.5830000000000002</v>
      </c>
      <c r="AH54" s="23">
        <f t="shared" ref="AH54:AZ54" si="11">AH43-0</f>
        <v>0</v>
      </c>
      <c r="AI54" s="23">
        <f t="shared" si="11"/>
        <v>0</v>
      </c>
      <c r="AJ54" s="23">
        <f t="shared" si="11"/>
        <v>0</v>
      </c>
      <c r="AK54" s="23">
        <f t="shared" si="11"/>
        <v>0</v>
      </c>
      <c r="AL54" s="23">
        <f t="shared" si="11"/>
        <v>0</v>
      </c>
      <c r="AM54" s="23">
        <f t="shared" si="11"/>
        <v>0</v>
      </c>
      <c r="AN54" s="23">
        <f t="shared" si="11"/>
        <v>0</v>
      </c>
      <c r="AO54" s="23">
        <f t="shared" si="11"/>
        <v>0</v>
      </c>
      <c r="AP54" s="23">
        <f t="shared" si="11"/>
        <v>0</v>
      </c>
      <c r="AQ54" s="23">
        <f t="shared" si="11"/>
        <v>0</v>
      </c>
      <c r="AR54" s="23">
        <f t="shared" si="11"/>
        <v>0</v>
      </c>
      <c r="AS54" s="23">
        <f t="shared" si="11"/>
        <v>0</v>
      </c>
      <c r="AT54" s="23">
        <f t="shared" si="11"/>
        <v>0</v>
      </c>
      <c r="AU54" s="23">
        <f t="shared" si="11"/>
        <v>0</v>
      </c>
      <c r="AV54" s="23">
        <f t="shared" si="11"/>
        <v>0</v>
      </c>
      <c r="AW54" s="23">
        <f t="shared" si="11"/>
        <v>1.3160000000000001</v>
      </c>
      <c r="AX54" s="23">
        <f t="shared" si="11"/>
        <v>9.2999999999999999E-2</v>
      </c>
      <c r="AY54" s="23">
        <f t="shared" si="11"/>
        <v>0</v>
      </c>
      <c r="AZ54" s="23">
        <f t="shared" si="11"/>
        <v>0</v>
      </c>
    </row>
    <row r="55" spans="1:52" x14ac:dyDescent="0.3">
      <c r="A55" s="9">
        <v>2011</v>
      </c>
      <c r="B55" s="23">
        <f t="shared" ref="B55:AG55" si="12">B44-B43</f>
        <v>0</v>
      </c>
      <c r="C55" s="23">
        <f t="shared" si="12"/>
        <v>0</v>
      </c>
      <c r="D55" s="23">
        <f t="shared" si="12"/>
        <v>0</v>
      </c>
      <c r="E55" s="23">
        <f t="shared" si="12"/>
        <v>0.02</v>
      </c>
      <c r="F55" s="23">
        <f t="shared" si="12"/>
        <v>0</v>
      </c>
      <c r="G55" s="23">
        <f t="shared" si="12"/>
        <v>0</v>
      </c>
      <c r="H55" s="23">
        <f t="shared" si="12"/>
        <v>0</v>
      </c>
      <c r="I55" s="23">
        <f t="shared" si="12"/>
        <v>0</v>
      </c>
      <c r="J55" s="23">
        <f t="shared" si="12"/>
        <v>0</v>
      </c>
      <c r="K55" s="23">
        <f t="shared" si="12"/>
        <v>0</v>
      </c>
      <c r="L55" s="23">
        <f t="shared" si="12"/>
        <v>2.1999999999999999E-2</v>
      </c>
      <c r="M55" s="23">
        <f t="shared" si="12"/>
        <v>0</v>
      </c>
      <c r="N55" s="23">
        <f t="shared" si="12"/>
        <v>0</v>
      </c>
      <c r="O55" s="23">
        <f t="shared" si="12"/>
        <v>0</v>
      </c>
      <c r="P55" s="23">
        <f t="shared" si="12"/>
        <v>0</v>
      </c>
      <c r="Q55" s="23">
        <f t="shared" si="12"/>
        <v>0</v>
      </c>
      <c r="R55" s="23">
        <f t="shared" si="12"/>
        <v>0</v>
      </c>
      <c r="S55" s="23">
        <f t="shared" si="12"/>
        <v>0.25600000000000001</v>
      </c>
      <c r="T55" s="23">
        <f t="shared" si="12"/>
        <v>0</v>
      </c>
      <c r="U55" s="23">
        <f t="shared" si="12"/>
        <v>0</v>
      </c>
      <c r="V55" s="23">
        <f t="shared" si="12"/>
        <v>0</v>
      </c>
      <c r="W55" s="23">
        <f t="shared" si="12"/>
        <v>0</v>
      </c>
      <c r="X55" s="23">
        <f t="shared" si="12"/>
        <v>0</v>
      </c>
      <c r="Y55" s="23">
        <f t="shared" si="12"/>
        <v>0.40799999999999997</v>
      </c>
      <c r="Z55" s="23">
        <f t="shared" si="12"/>
        <v>0</v>
      </c>
      <c r="AA55" s="23">
        <f t="shared" si="12"/>
        <v>0</v>
      </c>
      <c r="AB55" s="23">
        <f t="shared" si="12"/>
        <v>0</v>
      </c>
      <c r="AC55" s="23">
        <f t="shared" si="12"/>
        <v>5.0999999999999997E-2</v>
      </c>
      <c r="AD55" s="23">
        <f t="shared" si="12"/>
        <v>0</v>
      </c>
      <c r="AE55" s="23">
        <f t="shared" si="12"/>
        <v>0</v>
      </c>
      <c r="AF55" s="23">
        <f t="shared" si="12"/>
        <v>4.9000000000000002E-2</v>
      </c>
      <c r="AG55" s="23">
        <f t="shared" si="12"/>
        <v>0</v>
      </c>
      <c r="AH55" s="23">
        <f t="shared" ref="AH55:AZ55" si="13">AH44-AH43</f>
        <v>0</v>
      </c>
      <c r="AI55" s="23">
        <f t="shared" si="13"/>
        <v>0</v>
      </c>
      <c r="AJ55" s="23">
        <f t="shared" si="13"/>
        <v>0</v>
      </c>
      <c r="AK55" s="23">
        <f t="shared" si="13"/>
        <v>2.1999999999999999E-2</v>
      </c>
      <c r="AL55" s="23">
        <f t="shared" si="13"/>
        <v>5.6000000000000001E-2</v>
      </c>
      <c r="AM55" s="23">
        <f t="shared" si="13"/>
        <v>0</v>
      </c>
      <c r="AN55" s="23">
        <f t="shared" si="13"/>
        <v>0</v>
      </c>
      <c r="AO55" s="23">
        <f t="shared" si="13"/>
        <v>0</v>
      </c>
      <c r="AP55" s="23">
        <f t="shared" si="13"/>
        <v>0</v>
      </c>
      <c r="AQ55" s="23">
        <f t="shared" si="13"/>
        <v>0</v>
      </c>
      <c r="AR55" s="23">
        <f t="shared" si="13"/>
        <v>0</v>
      </c>
      <c r="AS55" s="23">
        <f t="shared" si="13"/>
        <v>0</v>
      </c>
      <c r="AT55" s="23">
        <f t="shared" si="13"/>
        <v>0</v>
      </c>
      <c r="AU55" s="23">
        <f t="shared" si="13"/>
        <v>0.27200000000000002</v>
      </c>
      <c r="AV55" s="23">
        <f t="shared" si="13"/>
        <v>0</v>
      </c>
      <c r="AW55" s="23">
        <f t="shared" si="13"/>
        <v>3.400000000000003E-2</v>
      </c>
      <c r="AX55" s="23">
        <f t="shared" si="13"/>
        <v>0.16700000000000001</v>
      </c>
      <c r="AY55" s="23">
        <f t="shared" si="13"/>
        <v>0</v>
      </c>
      <c r="AZ55" s="23">
        <f t="shared" si="13"/>
        <v>0.17199999999999999</v>
      </c>
    </row>
    <row r="56" spans="1:52" x14ac:dyDescent="0.3">
      <c r="A56" s="9">
        <v>2012</v>
      </c>
      <c r="B56" s="23">
        <f t="shared" ref="B56:AG56" si="14">B45-B44</f>
        <v>0</v>
      </c>
      <c r="C56" s="23">
        <f t="shared" si="14"/>
        <v>0</v>
      </c>
      <c r="D56" s="23">
        <f t="shared" si="14"/>
        <v>0</v>
      </c>
      <c r="E56" s="23">
        <f t="shared" si="14"/>
        <v>6.0999999999999999E-2</v>
      </c>
      <c r="F56" s="23">
        <f t="shared" si="14"/>
        <v>0</v>
      </c>
      <c r="G56" s="23">
        <f t="shared" si="14"/>
        <v>0</v>
      </c>
      <c r="H56" s="23">
        <f t="shared" si="14"/>
        <v>0</v>
      </c>
      <c r="I56" s="23">
        <f t="shared" si="14"/>
        <v>0</v>
      </c>
      <c r="J56" s="23">
        <f t="shared" si="14"/>
        <v>0</v>
      </c>
      <c r="K56" s="23">
        <f t="shared" si="14"/>
        <v>0</v>
      </c>
      <c r="L56" s="23">
        <f t="shared" si="14"/>
        <v>6.4000000000000001E-2</v>
      </c>
      <c r="M56" s="23">
        <f t="shared" si="14"/>
        <v>0</v>
      </c>
      <c r="N56" s="23">
        <f t="shared" si="14"/>
        <v>0</v>
      </c>
      <c r="O56" s="23">
        <f t="shared" si="14"/>
        <v>0</v>
      </c>
      <c r="P56" s="23">
        <f t="shared" si="14"/>
        <v>0</v>
      </c>
      <c r="Q56" s="23">
        <f t="shared" si="14"/>
        <v>0</v>
      </c>
      <c r="R56" s="23">
        <f t="shared" si="14"/>
        <v>0</v>
      </c>
      <c r="S56" s="23">
        <f t="shared" si="14"/>
        <v>0.71899999999999997</v>
      </c>
      <c r="T56" s="23">
        <f t="shared" si="14"/>
        <v>0</v>
      </c>
      <c r="U56" s="23">
        <f t="shared" si="14"/>
        <v>0</v>
      </c>
      <c r="V56" s="23">
        <f t="shared" si="14"/>
        <v>0</v>
      </c>
      <c r="W56" s="23">
        <f t="shared" si="14"/>
        <v>0</v>
      </c>
      <c r="X56" s="23">
        <f t="shared" si="14"/>
        <v>0</v>
      </c>
      <c r="Y56" s="23">
        <f t="shared" si="14"/>
        <v>1.1480000000000001</v>
      </c>
      <c r="Z56" s="23">
        <f t="shared" si="14"/>
        <v>9.7000000000000003E-2</v>
      </c>
      <c r="AA56" s="23">
        <f t="shared" si="14"/>
        <v>0</v>
      </c>
      <c r="AB56" s="23">
        <f t="shared" si="14"/>
        <v>0</v>
      </c>
      <c r="AC56" s="23">
        <f t="shared" si="14"/>
        <v>3.0000000000000006E-2</v>
      </c>
      <c r="AD56" s="23">
        <f t="shared" si="14"/>
        <v>0</v>
      </c>
      <c r="AE56" s="23">
        <f t="shared" si="14"/>
        <v>0</v>
      </c>
      <c r="AF56" s="23">
        <f t="shared" si="14"/>
        <v>3.7999999999999992E-2</v>
      </c>
      <c r="AG56" s="23">
        <f t="shared" si="14"/>
        <v>0</v>
      </c>
      <c r="AH56" s="23">
        <f t="shared" ref="AH56:AZ56" si="15">AH45-AH44</f>
        <v>0</v>
      </c>
      <c r="AI56" s="23">
        <f t="shared" si="15"/>
        <v>0</v>
      </c>
      <c r="AJ56" s="23">
        <f t="shared" si="15"/>
        <v>0</v>
      </c>
      <c r="AK56" s="23">
        <f t="shared" si="15"/>
        <v>6.4000000000000001E-2</v>
      </c>
      <c r="AL56" s="23">
        <f t="shared" si="15"/>
        <v>0.156</v>
      </c>
      <c r="AM56" s="23">
        <f t="shared" si="15"/>
        <v>0</v>
      </c>
      <c r="AN56" s="23">
        <f t="shared" si="15"/>
        <v>0</v>
      </c>
      <c r="AO56" s="23">
        <f t="shared" si="15"/>
        <v>0</v>
      </c>
      <c r="AP56" s="23">
        <f t="shared" si="15"/>
        <v>0</v>
      </c>
      <c r="AQ56" s="23">
        <f t="shared" si="15"/>
        <v>0</v>
      </c>
      <c r="AR56" s="23">
        <f t="shared" si="15"/>
        <v>0</v>
      </c>
      <c r="AS56" s="23">
        <f t="shared" si="15"/>
        <v>0</v>
      </c>
      <c r="AT56" s="23">
        <f t="shared" si="15"/>
        <v>0</v>
      </c>
      <c r="AU56" s="23">
        <f t="shared" si="15"/>
        <v>0.7589999999999999</v>
      </c>
      <c r="AV56" s="23">
        <f t="shared" si="15"/>
        <v>0</v>
      </c>
      <c r="AW56" s="23">
        <f t="shared" si="15"/>
        <v>9.9999999999999867E-2</v>
      </c>
      <c r="AX56" s="23">
        <f t="shared" si="15"/>
        <v>0.30299999999999994</v>
      </c>
      <c r="AY56" s="23">
        <f t="shared" si="15"/>
        <v>0</v>
      </c>
      <c r="AZ56" s="23">
        <f t="shared" si="15"/>
        <v>0.71799999999999997</v>
      </c>
    </row>
    <row r="57" spans="1:52" x14ac:dyDescent="0.3">
      <c r="A57" s="9">
        <v>2013</v>
      </c>
      <c r="B57" s="23">
        <f t="shared" ref="B57:AG57" si="16">B46-B45</f>
        <v>0</v>
      </c>
      <c r="C57" s="23">
        <f t="shared" si="16"/>
        <v>0</v>
      </c>
      <c r="D57" s="23">
        <f t="shared" si="16"/>
        <v>0</v>
      </c>
      <c r="E57" s="23">
        <f t="shared" si="16"/>
        <v>0.14200000000000002</v>
      </c>
      <c r="F57" s="23">
        <f t="shared" si="16"/>
        <v>0.01</v>
      </c>
      <c r="G57" s="23">
        <f t="shared" si="16"/>
        <v>0</v>
      </c>
      <c r="H57" s="23">
        <f t="shared" si="16"/>
        <v>0</v>
      </c>
      <c r="I57" s="23">
        <f t="shared" si="16"/>
        <v>0</v>
      </c>
      <c r="J57" s="23">
        <f t="shared" si="16"/>
        <v>0</v>
      </c>
      <c r="K57" s="23">
        <f t="shared" si="16"/>
        <v>0</v>
      </c>
      <c r="L57" s="23">
        <f t="shared" si="16"/>
        <v>0.19799999999999998</v>
      </c>
      <c r="M57" s="23">
        <f t="shared" si="16"/>
        <v>0</v>
      </c>
      <c r="N57" s="23">
        <f t="shared" si="16"/>
        <v>0</v>
      </c>
      <c r="O57" s="23">
        <f t="shared" si="16"/>
        <v>0</v>
      </c>
      <c r="P57" s="23">
        <f t="shared" si="16"/>
        <v>0</v>
      </c>
      <c r="Q57" s="23">
        <f t="shared" si="16"/>
        <v>0</v>
      </c>
      <c r="R57" s="23">
        <f t="shared" si="16"/>
        <v>0</v>
      </c>
      <c r="S57" s="23">
        <f t="shared" si="16"/>
        <v>2.1959999999999997</v>
      </c>
      <c r="T57" s="23">
        <f t="shared" si="16"/>
        <v>0</v>
      </c>
      <c r="U57" s="23">
        <f t="shared" si="16"/>
        <v>0</v>
      </c>
      <c r="V57" s="23">
        <f t="shared" si="16"/>
        <v>0.14399999999999999</v>
      </c>
      <c r="W57" s="23">
        <f t="shared" si="16"/>
        <v>0</v>
      </c>
      <c r="X57" s="23">
        <f t="shared" si="16"/>
        <v>5.0999999999999997E-2</v>
      </c>
      <c r="Y57" s="23">
        <f t="shared" si="16"/>
        <v>3.5039999999999996</v>
      </c>
      <c r="Z57" s="23">
        <f t="shared" si="16"/>
        <v>0</v>
      </c>
      <c r="AA57" s="23">
        <f t="shared" si="16"/>
        <v>0</v>
      </c>
      <c r="AB57" s="23">
        <f t="shared" si="16"/>
        <v>0</v>
      </c>
      <c r="AC57" s="23">
        <f t="shared" si="16"/>
        <v>6.2999999999999987E-2</v>
      </c>
      <c r="AD57" s="23">
        <f t="shared" si="16"/>
        <v>7.0000000000000007E-2</v>
      </c>
      <c r="AE57" s="23">
        <f t="shared" si="16"/>
        <v>0</v>
      </c>
      <c r="AF57" s="23">
        <f t="shared" si="16"/>
        <v>3.9000000000000007E-2</v>
      </c>
      <c r="AG57" s="23">
        <f t="shared" si="16"/>
        <v>0</v>
      </c>
      <c r="AH57" s="23">
        <f t="shared" ref="AH57:AZ57" si="17">AH46-AH45</f>
        <v>0.01</v>
      </c>
      <c r="AI57" s="23">
        <f t="shared" si="17"/>
        <v>0</v>
      </c>
      <c r="AJ57" s="23">
        <f t="shared" si="17"/>
        <v>0</v>
      </c>
      <c r="AK57" s="23">
        <f t="shared" si="17"/>
        <v>0.66200000000000003</v>
      </c>
      <c r="AL57" s="23">
        <f t="shared" si="17"/>
        <v>0.48</v>
      </c>
      <c r="AM57" s="23">
        <f t="shared" si="17"/>
        <v>0</v>
      </c>
      <c r="AN57" s="23">
        <f t="shared" si="17"/>
        <v>4.9000000000000002E-2</v>
      </c>
      <c r="AO57" s="23">
        <f t="shared" si="17"/>
        <v>0</v>
      </c>
      <c r="AP57" s="23">
        <f t="shared" si="17"/>
        <v>0</v>
      </c>
      <c r="AQ57" s="23">
        <f t="shared" si="17"/>
        <v>0</v>
      </c>
      <c r="AR57" s="23">
        <f t="shared" si="17"/>
        <v>0.26500000000000001</v>
      </c>
      <c r="AS57" s="23">
        <f t="shared" si="17"/>
        <v>0</v>
      </c>
      <c r="AT57" s="23">
        <f t="shared" si="17"/>
        <v>0</v>
      </c>
      <c r="AU57" s="23">
        <f t="shared" si="17"/>
        <v>2.3230000000000004</v>
      </c>
      <c r="AV57" s="23">
        <f t="shared" si="17"/>
        <v>0</v>
      </c>
      <c r="AW57" s="23">
        <f t="shared" si="17"/>
        <v>0</v>
      </c>
      <c r="AX57" s="23">
        <f t="shared" si="17"/>
        <v>0.73199999999999998</v>
      </c>
      <c r="AY57" s="23">
        <f t="shared" si="17"/>
        <v>0</v>
      </c>
      <c r="AZ57" s="23">
        <f t="shared" si="17"/>
        <v>1.0259999999999998</v>
      </c>
    </row>
    <row r="58" spans="1:52" x14ac:dyDescent="0.3">
      <c r="A58" s="9">
        <v>2014</v>
      </c>
      <c r="B58" s="23">
        <f t="shared" ref="B58:AG58" si="18">B47-B46</f>
        <v>0</v>
      </c>
      <c r="C58" s="23">
        <f t="shared" si="18"/>
        <v>0</v>
      </c>
      <c r="D58" s="23">
        <f t="shared" si="18"/>
        <v>0</v>
      </c>
      <c r="E58" s="23">
        <f t="shared" si="18"/>
        <v>0.18099999999999997</v>
      </c>
      <c r="F58" s="23">
        <f t="shared" si="18"/>
        <v>1.2999999999999999E-2</v>
      </c>
      <c r="G58" s="23">
        <f t="shared" si="18"/>
        <v>0</v>
      </c>
      <c r="H58" s="23">
        <f t="shared" si="18"/>
        <v>0</v>
      </c>
      <c r="I58" s="23">
        <f t="shared" si="18"/>
        <v>0</v>
      </c>
      <c r="J58" s="23">
        <f t="shared" si="18"/>
        <v>0</v>
      </c>
      <c r="K58" s="23">
        <f t="shared" si="18"/>
        <v>0</v>
      </c>
      <c r="L58" s="23">
        <f t="shared" si="18"/>
        <v>0.21900000000000003</v>
      </c>
      <c r="M58" s="23">
        <f t="shared" si="18"/>
        <v>0</v>
      </c>
      <c r="N58" s="23">
        <f t="shared" si="18"/>
        <v>0</v>
      </c>
      <c r="O58" s="23">
        <f t="shared" si="18"/>
        <v>0</v>
      </c>
      <c r="P58" s="23">
        <f t="shared" si="18"/>
        <v>0</v>
      </c>
      <c r="Q58" s="23">
        <f t="shared" si="18"/>
        <v>0</v>
      </c>
      <c r="R58" s="23">
        <f t="shared" si="18"/>
        <v>0</v>
      </c>
      <c r="S58" s="23">
        <f t="shared" si="18"/>
        <v>2.4330000000000003</v>
      </c>
      <c r="T58" s="23">
        <f t="shared" si="18"/>
        <v>0</v>
      </c>
      <c r="U58" s="23">
        <f t="shared" si="18"/>
        <v>0</v>
      </c>
      <c r="V58" s="23">
        <f t="shared" si="18"/>
        <v>2.0000000000000018E-3</v>
      </c>
      <c r="W58" s="23">
        <f t="shared" si="18"/>
        <v>0</v>
      </c>
      <c r="X58" s="23">
        <f t="shared" si="18"/>
        <v>5.0999999999999997E-2</v>
      </c>
      <c r="Y58" s="23">
        <f t="shared" si="18"/>
        <v>3.9470000000000001</v>
      </c>
      <c r="Z58" s="23">
        <f t="shared" si="18"/>
        <v>0</v>
      </c>
      <c r="AA58" s="23">
        <f t="shared" si="18"/>
        <v>0</v>
      </c>
      <c r="AB58" s="23">
        <f t="shared" si="18"/>
        <v>0</v>
      </c>
      <c r="AC58" s="23">
        <f t="shared" si="18"/>
        <v>7.8130000000000005E-2</v>
      </c>
      <c r="AD58" s="23">
        <f t="shared" si="18"/>
        <v>7.0000000000000007E-2</v>
      </c>
      <c r="AE58" s="23">
        <f t="shared" si="18"/>
        <v>0</v>
      </c>
      <c r="AF58" s="23">
        <f t="shared" si="18"/>
        <v>-1.9000000000000003E-2</v>
      </c>
      <c r="AG58" s="23">
        <f t="shared" si="18"/>
        <v>0</v>
      </c>
      <c r="AH58" s="23">
        <f t="shared" ref="AH58:AZ58" si="19">AH47-AH46</f>
        <v>2.0999999999999998E-2</v>
      </c>
      <c r="AI58" s="23">
        <f t="shared" si="19"/>
        <v>0</v>
      </c>
      <c r="AJ58" s="23">
        <f t="shared" si="19"/>
        <v>1.4999999999999999E-2</v>
      </c>
      <c r="AK58" s="23">
        <f t="shared" si="19"/>
        <v>0.68300000000000005</v>
      </c>
      <c r="AL58" s="23">
        <f t="shared" si="19"/>
        <v>0.54300000000000015</v>
      </c>
      <c r="AM58" s="23">
        <f t="shared" si="19"/>
        <v>0</v>
      </c>
      <c r="AN58" s="23">
        <f t="shared" si="19"/>
        <v>4.8000000000000001E-2</v>
      </c>
      <c r="AO58" s="23">
        <f t="shared" si="19"/>
        <v>0</v>
      </c>
      <c r="AP58" s="23">
        <f t="shared" si="19"/>
        <v>0</v>
      </c>
      <c r="AQ58" s="23">
        <f t="shared" si="19"/>
        <v>0</v>
      </c>
      <c r="AR58" s="23">
        <f t="shared" si="19"/>
        <v>0.26500000000000001</v>
      </c>
      <c r="AS58" s="23">
        <f t="shared" si="19"/>
        <v>0</v>
      </c>
      <c r="AT58" s="23">
        <f t="shared" si="19"/>
        <v>0</v>
      </c>
      <c r="AU58" s="23">
        <f t="shared" si="19"/>
        <v>7.37</v>
      </c>
      <c r="AV58" s="23">
        <f t="shared" si="19"/>
        <v>0</v>
      </c>
      <c r="AW58" s="23">
        <f t="shared" si="19"/>
        <v>0</v>
      </c>
      <c r="AX58" s="23">
        <f t="shared" si="19"/>
        <v>0.87599999999999989</v>
      </c>
      <c r="AY58" s="23">
        <f t="shared" si="19"/>
        <v>0</v>
      </c>
      <c r="AZ58" s="23">
        <f t="shared" si="19"/>
        <v>0.16000000000000014</v>
      </c>
    </row>
    <row r="59" spans="1:52" x14ac:dyDescent="0.3">
      <c r="A59" s="9">
        <v>2015</v>
      </c>
      <c r="B59" s="23">
        <f t="shared" ref="B59:AG59" si="20">B48-B47</f>
        <v>0</v>
      </c>
      <c r="C59" s="23">
        <f t="shared" si="20"/>
        <v>6.4000000000000001E-2</v>
      </c>
      <c r="D59" s="23">
        <f t="shared" si="20"/>
        <v>0</v>
      </c>
      <c r="E59" s="23">
        <f t="shared" si="20"/>
        <v>0.22600000000000003</v>
      </c>
      <c r="F59" s="23">
        <f t="shared" si="20"/>
        <v>6.0000000000000019E-3</v>
      </c>
      <c r="G59" s="23">
        <f t="shared" si="20"/>
        <v>0</v>
      </c>
      <c r="H59" s="23">
        <f t="shared" si="20"/>
        <v>0</v>
      </c>
      <c r="I59" s="23">
        <f t="shared" si="20"/>
        <v>0</v>
      </c>
      <c r="J59" s="23">
        <f t="shared" si="20"/>
        <v>0</v>
      </c>
      <c r="K59" s="23">
        <f t="shared" si="20"/>
        <v>0</v>
      </c>
      <c r="L59" s="23">
        <f t="shared" si="20"/>
        <v>6.3999999999999946E-2</v>
      </c>
      <c r="M59" s="23">
        <f t="shared" si="20"/>
        <v>0</v>
      </c>
      <c r="N59" s="23">
        <f t="shared" si="20"/>
        <v>5.5E-2</v>
      </c>
      <c r="O59" s="23">
        <f t="shared" si="20"/>
        <v>0</v>
      </c>
      <c r="P59" s="23">
        <f t="shared" si="20"/>
        <v>0</v>
      </c>
      <c r="Q59" s="23">
        <f t="shared" si="20"/>
        <v>0</v>
      </c>
      <c r="R59" s="23">
        <f t="shared" si="20"/>
        <v>0</v>
      </c>
      <c r="S59" s="23">
        <f t="shared" si="20"/>
        <v>0.72799999999999976</v>
      </c>
      <c r="T59" s="23">
        <f t="shared" si="20"/>
        <v>0</v>
      </c>
      <c r="U59" s="23">
        <f t="shared" si="20"/>
        <v>0</v>
      </c>
      <c r="V59" s="23">
        <f t="shared" si="20"/>
        <v>5.3000000000000019E-2</v>
      </c>
      <c r="W59" s="23">
        <f t="shared" si="20"/>
        <v>0</v>
      </c>
      <c r="X59" s="23">
        <f t="shared" si="20"/>
        <v>0.05</v>
      </c>
      <c r="Y59" s="23">
        <f t="shared" si="20"/>
        <v>2.2490000000000006</v>
      </c>
      <c r="Z59" s="23">
        <f t="shared" si="20"/>
        <v>0</v>
      </c>
      <c r="AA59" s="23">
        <f t="shared" si="20"/>
        <v>2.4E-2</v>
      </c>
      <c r="AB59" s="23">
        <f t="shared" si="20"/>
        <v>0</v>
      </c>
      <c r="AC59" s="23">
        <f t="shared" si="20"/>
        <v>0.34586999999999996</v>
      </c>
      <c r="AD59" s="23">
        <f t="shared" si="20"/>
        <v>0.186</v>
      </c>
      <c r="AE59" s="23">
        <f t="shared" si="20"/>
        <v>0</v>
      </c>
      <c r="AF59" s="23">
        <f t="shared" si="20"/>
        <v>2.700000000000001E-2</v>
      </c>
      <c r="AG59" s="23">
        <f t="shared" si="20"/>
        <v>11.273999999999999</v>
      </c>
      <c r="AH59" s="23">
        <f t="shared" ref="AH59:AZ59" si="21">AH48-AH47</f>
        <v>0</v>
      </c>
      <c r="AI59" s="23">
        <f t="shared" si="21"/>
        <v>0</v>
      </c>
      <c r="AJ59" s="23">
        <f t="shared" si="21"/>
        <v>0</v>
      </c>
      <c r="AK59" s="23">
        <f t="shared" si="21"/>
        <v>0.82699999999999996</v>
      </c>
      <c r="AL59" s="23">
        <f t="shared" si="21"/>
        <v>0.57999999999999985</v>
      </c>
      <c r="AM59" s="23">
        <f t="shared" si="21"/>
        <v>0</v>
      </c>
      <c r="AN59" s="23">
        <f t="shared" si="21"/>
        <v>0.20599999999999999</v>
      </c>
      <c r="AO59" s="23">
        <f t="shared" si="21"/>
        <v>0</v>
      </c>
      <c r="AP59" s="23">
        <f t="shared" si="21"/>
        <v>0.129</v>
      </c>
      <c r="AQ59" s="23">
        <f t="shared" si="21"/>
        <v>0</v>
      </c>
      <c r="AR59" s="23">
        <f t="shared" si="21"/>
        <v>0.32199999999999995</v>
      </c>
      <c r="AS59" s="23">
        <f t="shared" si="21"/>
        <v>0</v>
      </c>
      <c r="AT59" s="23">
        <f t="shared" si="21"/>
        <v>0</v>
      </c>
      <c r="AU59" s="23">
        <f t="shared" si="21"/>
        <v>1.4359999999999999</v>
      </c>
      <c r="AV59" s="23">
        <f t="shared" si="21"/>
        <v>0</v>
      </c>
      <c r="AW59" s="23">
        <f t="shared" si="21"/>
        <v>0</v>
      </c>
      <c r="AX59" s="23">
        <f t="shared" si="21"/>
        <v>1.9159999999999999</v>
      </c>
      <c r="AY59" s="23">
        <f t="shared" si="21"/>
        <v>0.20799999999999999</v>
      </c>
      <c r="AZ59" s="23">
        <f t="shared" si="21"/>
        <v>-0.21500000000000008</v>
      </c>
    </row>
    <row r="60" spans="1:52" x14ac:dyDescent="0.3">
      <c r="A60" s="9">
        <v>2016</v>
      </c>
      <c r="B60" s="23">
        <f t="shared" ref="B60:AG60" si="22">B49-B48</f>
        <v>0</v>
      </c>
      <c r="C60" s="23">
        <f t="shared" si="22"/>
        <v>0.182</v>
      </c>
      <c r="D60" s="23">
        <f t="shared" si="22"/>
        <v>0</v>
      </c>
      <c r="E60" s="23">
        <f t="shared" si="22"/>
        <v>1.0000000000000009E-2</v>
      </c>
      <c r="F60" s="23">
        <f t="shared" si="22"/>
        <v>-1.0000000000000002E-2</v>
      </c>
      <c r="G60" s="23">
        <f t="shared" si="22"/>
        <v>0</v>
      </c>
      <c r="H60" s="23">
        <f t="shared" si="22"/>
        <v>8.8999999999999996E-2</v>
      </c>
      <c r="I60" s="23">
        <f t="shared" si="22"/>
        <v>0</v>
      </c>
      <c r="J60" s="23">
        <f t="shared" si="22"/>
        <v>0</v>
      </c>
      <c r="K60" s="23">
        <f t="shared" si="22"/>
        <v>0</v>
      </c>
      <c r="L60" s="23">
        <f t="shared" si="22"/>
        <v>-0.12199999999999994</v>
      </c>
      <c r="M60" s="23">
        <f t="shared" si="22"/>
        <v>0</v>
      </c>
      <c r="N60" s="23">
        <f t="shared" si="22"/>
        <v>8.5999999999999993E-2</v>
      </c>
      <c r="O60" s="23">
        <f t="shared" si="22"/>
        <v>4.8890000000000002</v>
      </c>
      <c r="P60" s="23">
        <f t="shared" si="22"/>
        <v>0</v>
      </c>
      <c r="Q60" s="23">
        <f t="shared" si="22"/>
        <v>0</v>
      </c>
      <c r="R60" s="23">
        <f t="shared" si="22"/>
        <v>0</v>
      </c>
      <c r="S60" s="23">
        <f t="shared" si="22"/>
        <v>-0.95099999999999962</v>
      </c>
      <c r="T60" s="23">
        <f t="shared" si="22"/>
        <v>0</v>
      </c>
      <c r="U60" s="23">
        <f t="shared" si="22"/>
        <v>2E-3</v>
      </c>
      <c r="V60" s="23">
        <f t="shared" si="22"/>
        <v>0.187</v>
      </c>
      <c r="W60" s="23">
        <f t="shared" si="22"/>
        <v>0</v>
      </c>
      <c r="X60" s="23">
        <f t="shared" si="22"/>
        <v>5.1000000000000018E-2</v>
      </c>
      <c r="Y60" s="23">
        <f t="shared" si="22"/>
        <v>0.71799999999999997</v>
      </c>
      <c r="Z60" s="23">
        <f t="shared" si="22"/>
        <v>0</v>
      </c>
      <c r="AA60" s="23">
        <f t="shared" si="22"/>
        <v>2.7999999999999997E-2</v>
      </c>
      <c r="AB60" s="23">
        <f t="shared" si="22"/>
        <v>4.1000000000000002E-2</v>
      </c>
      <c r="AC60" s="23">
        <f t="shared" si="22"/>
        <v>0.2340000000000001</v>
      </c>
      <c r="AD60" s="23">
        <f t="shared" si="22"/>
        <v>0.15299999999999997</v>
      </c>
      <c r="AE60" s="23">
        <f t="shared" si="22"/>
        <v>0</v>
      </c>
      <c r="AF60" s="23">
        <f t="shared" si="22"/>
        <v>9.6000000000000002E-2</v>
      </c>
      <c r="AG60" s="23">
        <f t="shared" si="22"/>
        <v>0</v>
      </c>
      <c r="AH60" s="23">
        <f t="shared" ref="AH60:AZ60" si="23">AH49-AH48</f>
        <v>5.3000000000000005E-2</v>
      </c>
      <c r="AI60" s="23">
        <f t="shared" si="23"/>
        <v>0.01</v>
      </c>
      <c r="AJ60" s="23">
        <f t="shared" si="23"/>
        <v>0</v>
      </c>
      <c r="AK60" s="23">
        <f t="shared" si="23"/>
        <v>0.95400000000000018</v>
      </c>
      <c r="AL60" s="23">
        <f t="shared" si="23"/>
        <v>5.1440000000000001</v>
      </c>
      <c r="AM60" s="23">
        <f t="shared" si="23"/>
        <v>0</v>
      </c>
      <c r="AN60" s="23">
        <f t="shared" si="23"/>
        <v>0.13100000000000001</v>
      </c>
      <c r="AO60" s="23">
        <f t="shared" si="23"/>
        <v>0</v>
      </c>
      <c r="AP60" s="23">
        <f t="shared" si="23"/>
        <v>4.7999999999999987E-2</v>
      </c>
      <c r="AQ60" s="23">
        <f t="shared" si="23"/>
        <v>2.3E-2</v>
      </c>
      <c r="AR60" s="23">
        <f t="shared" si="23"/>
        <v>0.28399999999999992</v>
      </c>
      <c r="AS60" s="23">
        <f t="shared" si="23"/>
        <v>0</v>
      </c>
      <c r="AT60" s="23">
        <f t="shared" si="23"/>
        <v>0</v>
      </c>
      <c r="AU60" s="23">
        <f t="shared" si="23"/>
        <v>5.2779999999999987</v>
      </c>
      <c r="AV60" s="23">
        <f t="shared" si="23"/>
        <v>2E-3</v>
      </c>
      <c r="AW60" s="23">
        <f t="shared" si="23"/>
        <v>0.35000000000000009</v>
      </c>
      <c r="AX60" s="23">
        <f t="shared" si="23"/>
        <v>4.6650000000000009</v>
      </c>
      <c r="AY60" s="23">
        <f t="shared" si="23"/>
        <v>8.5999999999999993E-2</v>
      </c>
      <c r="AZ60" s="23">
        <f t="shared" si="23"/>
        <v>-0.51200000000000001</v>
      </c>
    </row>
    <row r="61" spans="1:52" x14ac:dyDescent="0.3">
      <c r="A61" s="9">
        <v>2017</v>
      </c>
      <c r="B61" s="23">
        <f t="shared" ref="B61:AG61" si="24">B50-B49</f>
        <v>1E-3</v>
      </c>
      <c r="C61" s="23">
        <f t="shared" si="24"/>
        <v>3.1000000000000028E-2</v>
      </c>
      <c r="D61" s="23">
        <f t="shared" si="24"/>
        <v>0</v>
      </c>
      <c r="E61" s="23">
        <f t="shared" si="24"/>
        <v>5.9999999999999942E-2</v>
      </c>
      <c r="F61" s="23">
        <f t="shared" si="24"/>
        <v>-1.2999999999999999E-2</v>
      </c>
      <c r="G61" s="23">
        <f t="shared" si="24"/>
        <v>0</v>
      </c>
      <c r="H61" s="23">
        <f t="shared" si="24"/>
        <v>4.4000000000000011E-2</v>
      </c>
      <c r="I61" s="23">
        <f t="shared" si="24"/>
        <v>0</v>
      </c>
      <c r="J61" s="23">
        <f t="shared" si="24"/>
        <v>0</v>
      </c>
      <c r="K61" s="23">
        <f t="shared" si="24"/>
        <v>0</v>
      </c>
      <c r="L61" s="23">
        <f t="shared" si="24"/>
        <v>0.33900000000000002</v>
      </c>
      <c r="M61" s="23">
        <f t="shared" si="24"/>
        <v>0</v>
      </c>
      <c r="N61" s="23">
        <f t="shared" si="24"/>
        <v>9.7000000000000003E-2</v>
      </c>
      <c r="O61" s="23">
        <f t="shared" si="24"/>
        <v>0</v>
      </c>
      <c r="P61" s="23">
        <f t="shared" si="24"/>
        <v>0</v>
      </c>
      <c r="Q61" s="23">
        <f t="shared" si="24"/>
        <v>0</v>
      </c>
      <c r="R61" s="23">
        <f t="shared" si="24"/>
        <v>0</v>
      </c>
      <c r="S61" s="23">
        <f t="shared" si="24"/>
        <v>-1.5770000000000004</v>
      </c>
      <c r="T61" s="23">
        <f t="shared" si="24"/>
        <v>0</v>
      </c>
      <c r="U61" s="23">
        <f t="shared" si="24"/>
        <v>2E-3</v>
      </c>
      <c r="V61" s="23">
        <f t="shared" si="24"/>
        <v>0.46199999999999997</v>
      </c>
      <c r="W61" s="23">
        <f t="shared" si="24"/>
        <v>0</v>
      </c>
      <c r="X61" s="23">
        <f t="shared" si="24"/>
        <v>5.099999999999999E-2</v>
      </c>
      <c r="Y61" s="23">
        <f t="shared" si="24"/>
        <v>3.1609999999999996</v>
      </c>
      <c r="Z61" s="23">
        <f t="shared" si="24"/>
        <v>-9.7000000000000003E-2</v>
      </c>
      <c r="AA61" s="23">
        <f t="shared" si="24"/>
        <v>0.10600000000000001</v>
      </c>
      <c r="AB61" s="23">
        <f t="shared" si="24"/>
        <v>2.1139999999999999</v>
      </c>
      <c r="AC61" s="23">
        <f t="shared" si="24"/>
        <v>0.17299999999999993</v>
      </c>
      <c r="AD61" s="23">
        <f t="shared" si="24"/>
        <v>0.30300000000000005</v>
      </c>
      <c r="AE61" s="23">
        <f t="shared" si="24"/>
        <v>0</v>
      </c>
      <c r="AF61" s="23">
        <f t="shared" si="24"/>
        <v>8.0999999999999989E-2</v>
      </c>
      <c r="AG61" s="23">
        <f t="shared" si="24"/>
        <v>0</v>
      </c>
      <c r="AH61" s="23">
        <f t="shared" ref="AH61:AZ61" si="25">AH50-AH49</f>
        <v>5.8999999999999983E-2</v>
      </c>
      <c r="AI61" s="23">
        <f t="shared" si="25"/>
        <v>4.2999999999999997E-2</v>
      </c>
      <c r="AJ61" s="23">
        <f t="shared" si="25"/>
        <v>-8.0000000000000002E-3</v>
      </c>
      <c r="AK61" s="23">
        <f t="shared" si="25"/>
        <v>5.4589999999999996</v>
      </c>
      <c r="AL61" s="23">
        <f t="shared" si="25"/>
        <v>4.6270000000000007</v>
      </c>
      <c r="AM61" s="23">
        <f t="shared" si="25"/>
        <v>0</v>
      </c>
      <c r="AN61" s="23">
        <f t="shared" si="25"/>
        <v>0.28999999999999998</v>
      </c>
      <c r="AO61" s="23">
        <f t="shared" si="25"/>
        <v>0</v>
      </c>
      <c r="AP61" s="23">
        <f t="shared" si="25"/>
        <v>8.1000000000000016E-2</v>
      </c>
      <c r="AQ61" s="23">
        <f t="shared" si="25"/>
        <v>2.8999999999999998E-2</v>
      </c>
      <c r="AR61" s="23">
        <f t="shared" si="25"/>
        <v>0.46500000000000008</v>
      </c>
      <c r="AS61" s="23">
        <f t="shared" si="25"/>
        <v>0</v>
      </c>
      <c r="AT61" s="23">
        <f t="shared" si="25"/>
        <v>0</v>
      </c>
      <c r="AU61" s="23">
        <f t="shared" si="25"/>
        <v>3.1440000000000019</v>
      </c>
      <c r="AV61" s="23">
        <f t="shared" si="25"/>
        <v>1.2E-2</v>
      </c>
      <c r="AW61" s="23">
        <f t="shared" si="25"/>
        <v>0</v>
      </c>
      <c r="AX61" s="23">
        <f t="shared" si="25"/>
        <v>1.5569999999999986</v>
      </c>
      <c r="AY61" s="23">
        <f t="shared" si="25"/>
        <v>0.13</v>
      </c>
      <c r="AZ61" s="23">
        <f t="shared" si="25"/>
        <v>-0.14599999999999991</v>
      </c>
    </row>
    <row r="62" spans="1:52" x14ac:dyDescent="0.3">
      <c r="A62" s="9">
        <v>2018</v>
      </c>
      <c r="B62" s="23">
        <f t="shared" ref="B62:AG62" si="26">B51-B50</f>
        <v>4.0000000000000001E-3</v>
      </c>
      <c r="C62" s="23">
        <f t="shared" si="26"/>
        <v>-2.9000000000000026E-2</v>
      </c>
      <c r="D62" s="23">
        <f t="shared" si="26"/>
        <v>0</v>
      </c>
      <c r="E62" s="23">
        <f t="shared" si="26"/>
        <v>-0.16599999999999993</v>
      </c>
      <c r="F62" s="23">
        <f t="shared" si="26"/>
        <v>-1E-3</v>
      </c>
      <c r="G62" s="23">
        <f t="shared" si="26"/>
        <v>5.0000000000000001E-3</v>
      </c>
      <c r="H62" s="23">
        <f t="shared" si="26"/>
        <v>0.14000000000000001</v>
      </c>
      <c r="I62" s="23">
        <f t="shared" si="26"/>
        <v>5.0000000000000001E-3</v>
      </c>
      <c r="J62" s="23">
        <f t="shared" si="26"/>
        <v>1.7000000000000001E-2</v>
      </c>
      <c r="K62" s="23">
        <f t="shared" si="26"/>
        <v>0</v>
      </c>
      <c r="L62" s="23">
        <f t="shared" si="26"/>
        <v>0</v>
      </c>
      <c r="M62" s="23">
        <f t="shared" si="26"/>
        <v>0</v>
      </c>
      <c r="N62" s="23">
        <f t="shared" si="26"/>
        <v>1.7550000000000001</v>
      </c>
      <c r="O62" s="23">
        <f t="shared" si="26"/>
        <v>0</v>
      </c>
      <c r="P62" s="23">
        <f t="shared" si="26"/>
        <v>0</v>
      </c>
      <c r="Q62" s="23">
        <f t="shared" si="26"/>
        <v>0</v>
      </c>
      <c r="R62" s="23">
        <f t="shared" si="26"/>
        <v>0</v>
      </c>
      <c r="S62" s="23">
        <f t="shared" si="26"/>
        <v>-0.19599999999999973</v>
      </c>
      <c r="T62" s="23">
        <f t="shared" si="26"/>
        <v>5.0000000000000001E-3</v>
      </c>
      <c r="U62" s="23">
        <f t="shared" si="26"/>
        <v>4.9999999999999992E-3</v>
      </c>
      <c r="V62" s="23">
        <f t="shared" si="26"/>
        <v>2.7000000000000024E-2</v>
      </c>
      <c r="W62" s="23">
        <f t="shared" si="26"/>
        <v>5.0000000000000001E-3</v>
      </c>
      <c r="X62" s="23">
        <f t="shared" si="26"/>
        <v>5.0000000000000044E-3</v>
      </c>
      <c r="Y62" s="23">
        <f t="shared" si="26"/>
        <v>9.3879999999999999</v>
      </c>
      <c r="Z62" s="23">
        <f t="shared" si="26"/>
        <v>0</v>
      </c>
      <c r="AA62" s="23">
        <f t="shared" si="26"/>
        <v>-6.0000000000000053E-3</v>
      </c>
      <c r="AB62" s="23">
        <f t="shared" si="26"/>
        <v>7.4000000000000288E-2</v>
      </c>
      <c r="AC62" s="23">
        <f t="shared" si="26"/>
        <v>-0.24</v>
      </c>
      <c r="AD62" s="23">
        <f t="shared" si="26"/>
        <v>-2.9000000000000026E-2</v>
      </c>
      <c r="AE62" s="23">
        <f t="shared" si="26"/>
        <v>5.0000000000000001E-3</v>
      </c>
      <c r="AF62" s="23">
        <f t="shared" si="26"/>
        <v>4.4999999999999984E-2</v>
      </c>
      <c r="AG62" s="23">
        <f t="shared" si="26"/>
        <v>0</v>
      </c>
      <c r="AH62" s="23">
        <f t="shared" ref="AH62:AZ62" si="27">AH51-AH50</f>
        <v>5.0000000000000044E-3</v>
      </c>
      <c r="AI62" s="23">
        <f t="shared" si="27"/>
        <v>3.4999999999999996E-2</v>
      </c>
      <c r="AJ62" s="23">
        <f t="shared" si="27"/>
        <v>1.3000000000000001E-2</v>
      </c>
      <c r="AK62" s="23">
        <f t="shared" si="27"/>
        <v>4.5460000000000012</v>
      </c>
      <c r="AL62" s="23">
        <f t="shared" si="27"/>
        <v>7.0250000000000004</v>
      </c>
      <c r="AM62" s="23">
        <f t="shared" si="27"/>
        <v>0</v>
      </c>
      <c r="AN62" s="23">
        <f t="shared" si="27"/>
        <v>9.8999999999999977E-2</v>
      </c>
      <c r="AO62" s="23">
        <f t="shared" si="27"/>
        <v>0</v>
      </c>
      <c r="AP62" s="23">
        <f t="shared" si="27"/>
        <v>-0.124</v>
      </c>
      <c r="AQ62" s="23">
        <f t="shared" si="27"/>
        <v>0.375</v>
      </c>
      <c r="AR62" s="23">
        <f t="shared" si="27"/>
        <v>-0.23599999999999999</v>
      </c>
      <c r="AS62" s="23">
        <f t="shared" si="27"/>
        <v>5.0000000000000001E-3</v>
      </c>
      <c r="AT62" s="23">
        <f t="shared" si="27"/>
        <v>0</v>
      </c>
      <c r="AU62" s="23">
        <f t="shared" si="27"/>
        <v>4.2959999999999994</v>
      </c>
      <c r="AV62" s="23">
        <f t="shared" si="27"/>
        <v>8.4000000000000005E-2</v>
      </c>
      <c r="AW62" s="23">
        <f t="shared" si="27"/>
        <v>0</v>
      </c>
      <c r="AX62" s="23">
        <f t="shared" si="27"/>
        <v>1.7990000000000013</v>
      </c>
      <c r="AY62" s="23">
        <f t="shared" si="27"/>
        <v>1.298</v>
      </c>
      <c r="AZ62" s="23">
        <f t="shared" si="27"/>
        <v>0.21699999999999986</v>
      </c>
    </row>
    <row r="63" spans="1:52" x14ac:dyDescent="0.3">
      <c r="A63" s="9">
        <v>2019</v>
      </c>
      <c r="B63" s="23">
        <f t="shared" ref="B63:AG63" si="28">B52-B51</f>
        <v>3.9E-2</v>
      </c>
      <c r="C63" s="23">
        <f t="shared" si="28"/>
        <v>0.8899999999999999</v>
      </c>
      <c r="D63" s="23">
        <f t="shared" si="28"/>
        <v>3.6999999999999998E-2</v>
      </c>
      <c r="E63" s="23">
        <f t="shared" si="28"/>
        <v>0.95899999999999996</v>
      </c>
      <c r="F63" s="23">
        <f t="shared" si="28"/>
        <v>3.5000000000000003E-2</v>
      </c>
      <c r="G63" s="23">
        <f t="shared" si="28"/>
        <v>7.5999999999999998E-2</v>
      </c>
      <c r="H63" s="23">
        <f t="shared" si="28"/>
        <v>1.3479999999999999</v>
      </c>
      <c r="I63" s="23">
        <f t="shared" si="28"/>
        <v>3.7000000000000005E-2</v>
      </c>
      <c r="J63" s="23">
        <f t="shared" si="28"/>
        <v>3.6999999999999998E-2</v>
      </c>
      <c r="K63" s="23">
        <f t="shared" si="28"/>
        <v>3.5000000000000003E-2</v>
      </c>
      <c r="L63" s="23">
        <f t="shared" si="28"/>
        <v>0.74399999999999999</v>
      </c>
      <c r="M63" s="23">
        <f t="shared" si="28"/>
        <v>3.6999999999999998E-2</v>
      </c>
      <c r="N63" s="23">
        <f t="shared" si="28"/>
        <v>1.1819999999999997</v>
      </c>
      <c r="O63" s="23">
        <f t="shared" si="28"/>
        <v>0</v>
      </c>
      <c r="P63" s="23">
        <f t="shared" si="28"/>
        <v>7.5999999999999998E-2</v>
      </c>
      <c r="Q63" s="23">
        <f t="shared" si="28"/>
        <v>3.5000000000000003E-2</v>
      </c>
      <c r="R63" s="23">
        <f t="shared" si="28"/>
        <v>3.6999999999999998E-2</v>
      </c>
      <c r="S63" s="23">
        <f t="shared" si="28"/>
        <v>7.8369999999999997</v>
      </c>
      <c r="T63" s="23">
        <f t="shared" si="28"/>
        <v>3.7000000000000005E-2</v>
      </c>
      <c r="U63" s="23">
        <f t="shared" si="28"/>
        <v>6.6000000000000003E-2</v>
      </c>
      <c r="V63" s="23">
        <f t="shared" si="28"/>
        <v>0.42199999999999993</v>
      </c>
      <c r="W63" s="23">
        <f t="shared" si="28"/>
        <v>0.14799999999999999</v>
      </c>
      <c r="X63" s="23">
        <f t="shared" si="28"/>
        <v>7.6000000000000012E-2</v>
      </c>
      <c r="Y63" s="23">
        <f t="shared" si="28"/>
        <v>14.895999999999997</v>
      </c>
      <c r="Z63" s="23">
        <f t="shared" si="28"/>
        <v>3.6999999999999998E-2</v>
      </c>
      <c r="AA63" s="23">
        <f t="shared" si="28"/>
        <v>4.9000000000000016E-2</v>
      </c>
      <c r="AB63" s="23">
        <f t="shared" si="28"/>
        <v>0.33199999999999985</v>
      </c>
      <c r="AC63" s="23">
        <f t="shared" si="28"/>
        <v>0.23199999999999998</v>
      </c>
      <c r="AD63" s="23">
        <f t="shared" si="28"/>
        <v>0.81799999999999995</v>
      </c>
      <c r="AE63" s="23">
        <f t="shared" si="28"/>
        <v>7.5999999999999998E-2</v>
      </c>
      <c r="AF63" s="23">
        <f t="shared" si="28"/>
        <v>0.14600000000000002</v>
      </c>
      <c r="AG63" s="23">
        <f t="shared" si="28"/>
        <v>0</v>
      </c>
      <c r="AH63" s="23">
        <f t="shared" ref="AH63:AZ63" si="29">AH52-AH51</f>
        <v>0.03</v>
      </c>
      <c r="AI63" s="23">
        <f t="shared" si="29"/>
        <v>2.700000000000001E-2</v>
      </c>
      <c r="AJ63" s="23">
        <f t="shared" si="29"/>
        <v>0.32499999999999996</v>
      </c>
      <c r="AK63" s="23">
        <f t="shared" si="29"/>
        <v>5.0559999999999992</v>
      </c>
      <c r="AL63" s="23">
        <f t="shared" si="29"/>
        <v>0.35899999999999821</v>
      </c>
      <c r="AM63" s="23">
        <f t="shared" si="29"/>
        <v>7.5999999999999998E-2</v>
      </c>
      <c r="AN63" s="23">
        <f t="shared" si="29"/>
        <v>0.52800000000000002</v>
      </c>
      <c r="AO63" s="23">
        <f t="shared" si="29"/>
        <v>0.22700000000000001</v>
      </c>
      <c r="AP63" s="23">
        <f t="shared" si="29"/>
        <v>0.71899999999999997</v>
      </c>
      <c r="AQ63" s="23">
        <f t="shared" si="29"/>
        <v>0.46800000000000003</v>
      </c>
      <c r="AR63" s="23">
        <f t="shared" si="29"/>
        <v>2.6999999999999913E-2</v>
      </c>
      <c r="AS63" s="23">
        <f t="shared" si="29"/>
        <v>3.5000000000000003E-2</v>
      </c>
      <c r="AT63" s="23">
        <f t="shared" si="29"/>
        <v>0</v>
      </c>
      <c r="AU63" s="23">
        <f t="shared" si="29"/>
        <v>-3.0300000000000011</v>
      </c>
      <c r="AV63" s="23">
        <f t="shared" si="29"/>
        <v>1.0309999999999999</v>
      </c>
      <c r="AW63" s="23">
        <f t="shared" si="29"/>
        <v>0</v>
      </c>
      <c r="AX63" s="23">
        <f t="shared" si="29"/>
        <v>2.173</v>
      </c>
      <c r="AY63" s="23">
        <f t="shared" si="29"/>
        <v>1.6360000000000001</v>
      </c>
      <c r="AZ63" s="23">
        <f t="shared" si="29"/>
        <v>-0.15700000000000003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workbookViewId="0">
      <selection activeCell="B2" sqref="B2:K34"/>
    </sheetView>
  </sheetViews>
  <sheetFormatPr defaultRowHeight="14.4" x14ac:dyDescent="0.3"/>
  <cols>
    <col min="1" max="1" width="10.109375" customWidth="1"/>
  </cols>
  <sheetData>
    <row r="1" spans="1:11" s="2" customFormat="1" x14ac:dyDescent="0.3">
      <c r="A1" s="19" t="s">
        <v>382</v>
      </c>
      <c r="B1" s="6" t="s">
        <v>383</v>
      </c>
      <c r="C1" s="21" t="s">
        <v>384</v>
      </c>
      <c r="D1" s="21" t="s">
        <v>385</v>
      </c>
      <c r="E1" s="21" t="s">
        <v>386</v>
      </c>
      <c r="F1" s="7" t="s">
        <v>387</v>
      </c>
      <c r="G1" s="7" t="s">
        <v>388</v>
      </c>
      <c r="H1" s="7" t="s">
        <v>389</v>
      </c>
      <c r="I1" s="21" t="s">
        <v>390</v>
      </c>
      <c r="J1" s="21" t="s">
        <v>391</v>
      </c>
      <c r="K1" s="6" t="s">
        <v>392</v>
      </c>
    </row>
    <row r="2" spans="1:11" s="2" customFormat="1" x14ac:dyDescent="0.3">
      <c r="A2" s="22" t="s">
        <v>0</v>
      </c>
      <c r="B2" s="3">
        <v>0.45400000000000001</v>
      </c>
      <c r="C2" s="18">
        <v>0.45400000000000001</v>
      </c>
      <c r="D2" s="18">
        <v>0.45400000000000001</v>
      </c>
      <c r="E2" s="18">
        <v>0.45400000000000001</v>
      </c>
      <c r="F2" s="4">
        <v>0.45400000000000001</v>
      </c>
      <c r="G2" s="4">
        <v>49.1</v>
      </c>
      <c r="H2" s="4">
        <v>219.1</v>
      </c>
      <c r="I2" s="18">
        <v>219.1</v>
      </c>
      <c r="J2" s="18">
        <v>219.1</v>
      </c>
      <c r="K2" s="3">
        <v>219.1</v>
      </c>
    </row>
    <row r="3" spans="1:11" s="2" customFormat="1" x14ac:dyDescent="0.3">
      <c r="A3" s="22" t="s">
        <v>1</v>
      </c>
      <c r="B3" s="1"/>
      <c r="C3" s="19"/>
      <c r="D3" s="19"/>
      <c r="E3" s="19"/>
      <c r="F3" s="1"/>
      <c r="G3" s="4">
        <v>0.10199999999999999</v>
      </c>
      <c r="H3" s="4">
        <v>0.70599999999999996</v>
      </c>
      <c r="I3" s="18">
        <v>0.70599999999999996</v>
      </c>
      <c r="J3" s="18">
        <v>0.746</v>
      </c>
      <c r="K3" s="3">
        <v>0.78600000000000003</v>
      </c>
    </row>
    <row r="4" spans="1:11" s="2" customFormat="1" x14ac:dyDescent="0.3">
      <c r="A4" s="22" t="s">
        <v>2</v>
      </c>
      <c r="B4" s="1"/>
      <c r="C4" s="19"/>
      <c r="D4" s="19"/>
      <c r="E4" s="19"/>
      <c r="F4" s="1"/>
      <c r="G4" s="1"/>
      <c r="H4" s="4">
        <v>8.5999999999999993E-2</v>
      </c>
      <c r="I4" s="18">
        <v>0.13500000000000001</v>
      </c>
      <c r="J4" s="18">
        <v>0.19500000000000001</v>
      </c>
      <c r="K4" s="3">
        <v>0.78300000000000003</v>
      </c>
    </row>
    <row r="5" spans="1:11" s="2" customFormat="1" x14ac:dyDescent="0.3">
      <c r="A5" s="22" t="s">
        <v>3</v>
      </c>
      <c r="B5" s="1"/>
      <c r="C5" s="19"/>
      <c r="D5" s="18">
        <v>2.7E-2</v>
      </c>
      <c r="E5" s="18">
        <v>2.7E-2</v>
      </c>
      <c r="F5" s="4">
        <v>0.04</v>
      </c>
      <c r="G5" s="4">
        <v>0.14899999999999999</v>
      </c>
      <c r="H5" s="4">
        <v>0.14899999999999999</v>
      </c>
      <c r="I5" s="18">
        <v>0.14899999999999999</v>
      </c>
      <c r="J5" s="18">
        <v>0.14899999999999999</v>
      </c>
      <c r="K5" s="3">
        <v>0.186</v>
      </c>
    </row>
    <row r="6" spans="1:11" s="2" customFormat="1" x14ac:dyDescent="0.3">
      <c r="A6" s="22" t="s">
        <v>4</v>
      </c>
      <c r="B6" s="3">
        <v>0.01</v>
      </c>
      <c r="C6" s="18">
        <v>0.01</v>
      </c>
      <c r="D6" s="18">
        <v>0.01</v>
      </c>
      <c r="E6" s="18">
        <v>0.01</v>
      </c>
      <c r="F6" s="4">
        <v>0.01</v>
      </c>
      <c r="G6" s="4">
        <v>8.2000000000000003E-2</v>
      </c>
      <c r="H6" s="4">
        <v>0.154</v>
      </c>
      <c r="I6" s="18">
        <v>11.430999999999999</v>
      </c>
      <c r="J6" s="18">
        <v>23.850999999999999</v>
      </c>
      <c r="K6" s="3">
        <v>23.850999999999999</v>
      </c>
    </row>
    <row r="7" spans="1:11" s="2" customFormat="1" x14ac:dyDescent="0.3">
      <c r="A7" s="22" t="s">
        <v>5</v>
      </c>
      <c r="B7" s="1"/>
      <c r="C7" s="19"/>
      <c r="D7" s="19"/>
      <c r="E7" s="19"/>
      <c r="F7" s="1"/>
      <c r="G7" s="4">
        <v>0.122</v>
      </c>
      <c r="H7" s="4">
        <v>0.122</v>
      </c>
      <c r="I7" s="18">
        <v>0.122</v>
      </c>
      <c r="J7" s="18">
        <v>0.122</v>
      </c>
      <c r="K7" s="3">
        <v>0.122</v>
      </c>
    </row>
    <row r="8" spans="1:11" s="2" customFormat="1" x14ac:dyDescent="0.3">
      <c r="A8" s="22" t="s">
        <v>6</v>
      </c>
      <c r="B8" s="1"/>
      <c r="C8" s="19"/>
      <c r="D8" s="19"/>
      <c r="E8" s="19"/>
      <c r="F8" s="1"/>
      <c r="G8" s="1"/>
      <c r="H8" s="1"/>
      <c r="I8" s="19"/>
      <c r="J8" s="18">
        <v>1.032</v>
      </c>
      <c r="K8" s="3">
        <v>1.1319999999999999</v>
      </c>
    </row>
    <row r="9" spans="1:11" s="2" customFormat="1" x14ac:dyDescent="0.3">
      <c r="A9" s="22" t="s">
        <v>7</v>
      </c>
      <c r="B9" s="1"/>
      <c r="C9" s="19"/>
      <c r="D9" s="19"/>
      <c r="E9" s="19"/>
      <c r="F9" s="1"/>
      <c r="G9" s="4">
        <v>0.218</v>
      </c>
      <c r="H9" s="4">
        <v>0.218</v>
      </c>
      <c r="I9" s="18">
        <v>0.218</v>
      </c>
      <c r="J9" s="18">
        <v>0.218</v>
      </c>
      <c r="K9" s="3">
        <v>0.218</v>
      </c>
    </row>
    <row r="10" spans="1:11" s="2" customFormat="1" x14ac:dyDescent="0.3">
      <c r="A10" s="22" t="s">
        <v>8</v>
      </c>
      <c r="B10" s="1"/>
      <c r="C10" s="19"/>
      <c r="D10" s="19"/>
      <c r="E10" s="19"/>
      <c r="F10" s="1"/>
      <c r="G10" s="4">
        <v>10</v>
      </c>
      <c r="H10" s="4">
        <v>10</v>
      </c>
      <c r="I10" s="18">
        <v>10</v>
      </c>
      <c r="J10" s="18">
        <v>10.125</v>
      </c>
      <c r="K10" s="3">
        <v>10.18</v>
      </c>
    </row>
    <row r="11" spans="1:11" s="2" customFormat="1" x14ac:dyDescent="0.3">
      <c r="A11" s="22" t="s">
        <v>9</v>
      </c>
      <c r="B11" s="1"/>
      <c r="C11" s="19"/>
      <c r="D11" s="19"/>
      <c r="E11" s="19"/>
      <c r="F11" s="1"/>
      <c r="G11" s="1"/>
      <c r="H11" s="4">
        <v>0.35</v>
      </c>
      <c r="I11" s="18">
        <v>0.35</v>
      </c>
      <c r="J11" s="18">
        <v>2.6</v>
      </c>
      <c r="K11" s="3">
        <v>2.6</v>
      </c>
    </row>
    <row r="12" spans="1:11" s="2" customFormat="1" x14ac:dyDescent="0.3">
      <c r="A12" s="22" t="s">
        <v>10</v>
      </c>
      <c r="B12" s="1"/>
      <c r="C12" s="19"/>
      <c r="D12" s="19"/>
      <c r="E12" s="19"/>
      <c r="F12" s="1"/>
      <c r="G12" s="1"/>
      <c r="H12" s="1"/>
      <c r="I12" s="19"/>
      <c r="J12" s="18">
        <v>1.7999999999999999E-2</v>
      </c>
      <c r="K12" s="3">
        <v>1.7999999999999999E-2</v>
      </c>
    </row>
    <row r="13" spans="1:11" s="2" customFormat="1" x14ac:dyDescent="0.3">
      <c r="A13" s="22" t="s">
        <v>11</v>
      </c>
      <c r="B13" s="1"/>
      <c r="C13" s="19"/>
      <c r="D13" s="19"/>
      <c r="E13" s="19"/>
      <c r="F13" s="1"/>
      <c r="G13" s="4">
        <v>0.06</v>
      </c>
      <c r="H13" s="4">
        <v>0.06</v>
      </c>
      <c r="I13" s="18">
        <v>0.06</v>
      </c>
      <c r="J13" s="18">
        <v>0.06</v>
      </c>
      <c r="K13" s="3">
        <v>0.06</v>
      </c>
    </row>
    <row r="14" spans="1:11" s="2" customFormat="1" x14ac:dyDescent="0.3">
      <c r="A14" s="22" t="s">
        <v>12</v>
      </c>
      <c r="B14" s="1"/>
      <c r="C14" s="19"/>
      <c r="D14" s="19"/>
      <c r="E14" s="19"/>
      <c r="F14" s="4">
        <v>1.2E-2</v>
      </c>
      <c r="G14" s="4">
        <v>1.2E-2</v>
      </c>
      <c r="H14" s="4">
        <v>0.222</v>
      </c>
      <c r="I14" s="18">
        <v>0.51300000000000001</v>
      </c>
      <c r="J14" s="18">
        <v>0.70499999999999996</v>
      </c>
      <c r="K14" s="3">
        <v>0.70499999999999996</v>
      </c>
    </row>
    <row r="15" spans="1:11" s="2" customFormat="1" x14ac:dyDescent="0.3">
      <c r="A15" s="22" t="s">
        <v>13</v>
      </c>
      <c r="B15" s="1"/>
      <c r="C15" s="19"/>
      <c r="D15" s="19"/>
      <c r="E15" s="19"/>
      <c r="F15" s="1"/>
      <c r="G15" s="1"/>
      <c r="H15" s="1"/>
      <c r="I15" s="19"/>
      <c r="J15" s="19"/>
      <c r="K15" s="3">
        <v>7.6999999999999999E-2</v>
      </c>
    </row>
    <row r="16" spans="1:11" s="2" customFormat="1" x14ac:dyDescent="0.3">
      <c r="A16" s="22" t="s">
        <v>14</v>
      </c>
      <c r="B16" s="1"/>
      <c r="C16" s="19"/>
      <c r="D16" s="19"/>
      <c r="E16" s="19"/>
      <c r="F16" s="1"/>
      <c r="G16" s="1"/>
      <c r="H16" s="4">
        <v>0.312</v>
      </c>
      <c r="I16" s="18">
        <v>0.312</v>
      </c>
      <c r="J16" s="18">
        <v>0.92</v>
      </c>
      <c r="K16" s="3">
        <v>0.92</v>
      </c>
    </row>
    <row r="17" spans="1:11" s="2" customFormat="1" x14ac:dyDescent="0.3">
      <c r="A17" s="22" t="s">
        <v>15</v>
      </c>
      <c r="B17" s="1"/>
      <c r="C17" s="19"/>
      <c r="D17" s="18">
        <v>0.71399999999999997</v>
      </c>
      <c r="E17" s="18">
        <v>0.83399999999999996</v>
      </c>
      <c r="F17" s="4">
        <v>0.88400000000000001</v>
      </c>
      <c r="G17" s="4">
        <v>0.84899999999999998</v>
      </c>
      <c r="H17" s="4">
        <v>0.92800000000000005</v>
      </c>
      <c r="I17" s="18">
        <v>0.92800000000000005</v>
      </c>
      <c r="J17" s="18">
        <v>0.95799999999999996</v>
      </c>
      <c r="K17" s="3">
        <v>1.754</v>
      </c>
    </row>
    <row r="18" spans="1:11" s="2" customFormat="1" x14ac:dyDescent="0.3">
      <c r="A18" s="22" t="s">
        <v>16</v>
      </c>
      <c r="B18" s="1"/>
      <c r="C18" s="19"/>
      <c r="D18" s="19"/>
      <c r="E18" s="19"/>
      <c r="F18" s="1"/>
      <c r="G18" s="1"/>
      <c r="H18" s="1"/>
      <c r="I18" s="18">
        <v>0.157</v>
      </c>
      <c r="J18" s="18">
        <v>0.254</v>
      </c>
      <c r="K18" s="3">
        <v>0.254</v>
      </c>
    </row>
    <row r="19" spans="1:11" s="2" customFormat="1" x14ac:dyDescent="0.3">
      <c r="A19" s="22" t="s">
        <v>17</v>
      </c>
      <c r="B19" s="3">
        <v>3.0000000000000001E-3</v>
      </c>
      <c r="C19" s="18">
        <v>3.0000000000000001E-3</v>
      </c>
      <c r="D19" s="18">
        <v>3.0000000000000001E-3</v>
      </c>
      <c r="E19" s="18">
        <v>3.0000000000000001E-3</v>
      </c>
      <c r="F19" s="4">
        <v>3.0000000000000001E-3</v>
      </c>
      <c r="G19" s="4">
        <v>0.14799999999999999</v>
      </c>
      <c r="H19" s="4">
        <v>0.14799999999999999</v>
      </c>
      <c r="I19" s="18">
        <v>0.28000000000000003</v>
      </c>
      <c r="J19" s="18">
        <v>0.28000000000000003</v>
      </c>
      <c r="K19" s="3">
        <v>0.46400000000000002</v>
      </c>
    </row>
    <row r="20" spans="1:11" s="2" customFormat="1" x14ac:dyDescent="0.3">
      <c r="A20" s="22" t="s">
        <v>18</v>
      </c>
      <c r="B20" s="3">
        <v>0.45400000000000001</v>
      </c>
      <c r="C20" s="18">
        <v>0.87</v>
      </c>
      <c r="D20" s="18">
        <v>1.1719999999999999</v>
      </c>
      <c r="E20" s="18">
        <v>3.05</v>
      </c>
      <c r="F20" s="4">
        <v>3.38</v>
      </c>
      <c r="G20" s="4">
        <v>4.2220000000000004</v>
      </c>
      <c r="H20" s="4">
        <v>4.3079999999999998</v>
      </c>
      <c r="I20" s="18">
        <v>5.6859999999999999</v>
      </c>
      <c r="J20" s="18">
        <v>5.7969999999999997</v>
      </c>
      <c r="K20" s="3">
        <v>5.9290000000000003</v>
      </c>
    </row>
    <row r="21" spans="1:11" s="2" customFormat="1" x14ac:dyDescent="0.3">
      <c r="A21" s="22" t="s">
        <v>19</v>
      </c>
      <c r="B21" s="1"/>
      <c r="C21" s="19"/>
      <c r="D21" s="19"/>
      <c r="E21" s="19"/>
      <c r="F21" s="4">
        <v>0.13500000000000001</v>
      </c>
      <c r="G21" s="4">
        <v>0.13500000000000001</v>
      </c>
      <c r="H21" s="4">
        <v>0.153</v>
      </c>
      <c r="I21" s="18">
        <v>0.153</v>
      </c>
      <c r="J21" s="18">
        <v>0.153</v>
      </c>
      <c r="K21" s="3">
        <v>0.153</v>
      </c>
    </row>
    <row r="22" spans="1:11" s="2" customFormat="1" x14ac:dyDescent="0.3">
      <c r="A22" s="22" t="s">
        <v>20</v>
      </c>
      <c r="B22" s="1"/>
      <c r="C22" s="19"/>
      <c r="D22" s="19"/>
      <c r="E22" s="18">
        <v>1.3240000000000001</v>
      </c>
      <c r="F22" s="4">
        <v>1.331</v>
      </c>
      <c r="G22" s="4">
        <v>1.331</v>
      </c>
      <c r="H22" s="4">
        <v>1.331</v>
      </c>
      <c r="I22" s="18">
        <v>1.331</v>
      </c>
      <c r="J22" s="18">
        <v>1.331</v>
      </c>
      <c r="K22" s="3">
        <v>1.331</v>
      </c>
    </row>
    <row r="23" spans="1:11" s="2" customFormat="1" x14ac:dyDescent="0.3">
      <c r="A23" s="22" t="s">
        <v>21</v>
      </c>
      <c r="B23" s="1"/>
      <c r="C23" s="18">
        <v>0.20200000000000001</v>
      </c>
      <c r="D23" s="18">
        <v>0.20200000000000001</v>
      </c>
      <c r="E23" s="18">
        <v>0.20200000000000001</v>
      </c>
      <c r="F23" s="4">
        <v>0.49399999999999999</v>
      </c>
      <c r="G23" s="4">
        <v>0.49399999999999999</v>
      </c>
      <c r="H23" s="4">
        <v>0.49399999999999999</v>
      </c>
      <c r="I23" s="18">
        <v>0.49399999999999999</v>
      </c>
      <c r="J23" s="18">
        <v>0.49399999999999999</v>
      </c>
      <c r="K23" s="3">
        <v>0.49399999999999999</v>
      </c>
    </row>
    <row r="24" spans="1:11" s="2" customFormat="1" x14ac:dyDescent="0.3">
      <c r="A24" s="22" t="s">
        <v>22</v>
      </c>
      <c r="B24" s="1"/>
      <c r="C24" s="19"/>
      <c r="D24" s="19"/>
      <c r="E24" s="19"/>
      <c r="F24" s="4">
        <v>2.8000000000000001E-2</v>
      </c>
      <c r="G24" s="4">
        <v>2.8000000000000001E-2</v>
      </c>
      <c r="H24" s="4">
        <v>2.8000000000000001E-2</v>
      </c>
      <c r="I24" s="18">
        <v>9.7000000000000003E-2</v>
      </c>
      <c r="J24" s="18">
        <v>0.16500000000000001</v>
      </c>
      <c r="K24" s="3">
        <v>0.16500000000000001</v>
      </c>
    </row>
    <row r="25" spans="1:11" s="2" customFormat="1" x14ac:dyDescent="0.3">
      <c r="A25" s="22" t="s">
        <v>23</v>
      </c>
      <c r="B25" s="1"/>
      <c r="C25" s="19"/>
      <c r="D25" s="18">
        <v>8.3000000000000004E-2</v>
      </c>
      <c r="E25" s="18">
        <v>0.191</v>
      </c>
      <c r="F25" s="4">
        <v>0.36</v>
      </c>
      <c r="G25" s="4">
        <v>1.0429999999999999</v>
      </c>
      <c r="H25" s="4">
        <v>1.212</v>
      </c>
      <c r="I25" s="18">
        <v>2.0249999999999999</v>
      </c>
      <c r="J25" s="18">
        <v>2.1520000000000001</v>
      </c>
      <c r="K25" s="3">
        <v>2.5379999999999998</v>
      </c>
    </row>
    <row r="26" spans="1:11" s="2" customFormat="1" x14ac:dyDescent="0.3">
      <c r="A26" s="22" t="s">
        <v>24</v>
      </c>
      <c r="B26" s="1"/>
      <c r="C26" s="19"/>
      <c r="D26" s="19"/>
      <c r="E26" s="19"/>
      <c r="F26" s="1"/>
      <c r="G26" s="4">
        <v>3.3460000000000001</v>
      </c>
      <c r="H26" s="4">
        <v>3.3759999999999999</v>
      </c>
      <c r="I26" s="18">
        <v>3.5049999999999999</v>
      </c>
      <c r="J26" s="18">
        <v>3.5049999999999999</v>
      </c>
      <c r="K26" s="3">
        <v>3.605</v>
      </c>
    </row>
    <row r="27" spans="1:11" s="2" customFormat="1" x14ac:dyDescent="0.3">
      <c r="A27" s="22" t="s">
        <v>25</v>
      </c>
      <c r="B27" s="3">
        <v>0.37</v>
      </c>
      <c r="C27" s="18">
        <v>0.37</v>
      </c>
      <c r="D27" s="18">
        <v>1.089</v>
      </c>
      <c r="E27" s="18">
        <v>1.089</v>
      </c>
      <c r="F27" s="4">
        <v>1.089</v>
      </c>
      <c r="G27" s="4">
        <v>1.089</v>
      </c>
      <c r="H27" s="4">
        <v>1.099</v>
      </c>
      <c r="I27" s="18">
        <v>1.099</v>
      </c>
      <c r="J27" s="18">
        <v>2.0089999999999999</v>
      </c>
      <c r="K27" s="3">
        <v>2.0089999999999999</v>
      </c>
    </row>
    <row r="28" spans="1:11" s="2" customFormat="1" x14ac:dyDescent="0.3">
      <c r="A28" s="22" t="s">
        <v>26</v>
      </c>
      <c r="B28" s="1"/>
      <c r="C28" s="19"/>
      <c r="D28" s="19"/>
      <c r="E28" s="18">
        <v>5.0000000000000001E-3</v>
      </c>
      <c r="F28" s="4">
        <v>5.0000000000000001E-3</v>
      </c>
      <c r="G28" s="4">
        <v>5.0000000000000001E-3</v>
      </c>
      <c r="H28" s="4">
        <v>5.0000000000000001E-3</v>
      </c>
      <c r="I28" s="18">
        <v>0.19800000000000001</v>
      </c>
      <c r="J28" s="18">
        <v>0.19800000000000001</v>
      </c>
      <c r="K28" s="3">
        <v>0.19800000000000001</v>
      </c>
    </row>
    <row r="29" spans="1:11" s="2" customFormat="1" x14ac:dyDescent="0.3">
      <c r="A29" s="22" t="s">
        <v>27</v>
      </c>
      <c r="B29" s="1"/>
      <c r="C29" s="18">
        <v>1E-3</v>
      </c>
      <c r="D29" s="18">
        <v>1E-3</v>
      </c>
      <c r="E29" s="18">
        <v>1E-3</v>
      </c>
      <c r="F29" s="4">
        <v>1E-3</v>
      </c>
      <c r="G29" s="4">
        <v>1E-3</v>
      </c>
      <c r="H29" s="4">
        <v>1E-3</v>
      </c>
      <c r="I29" s="18">
        <v>3.3000000000000002E-2</v>
      </c>
      <c r="J29" s="18">
        <v>3.3000000000000002E-2</v>
      </c>
      <c r="K29" s="3">
        <v>3.3000000000000002E-2</v>
      </c>
    </row>
    <row r="30" spans="1:11" s="2" customFormat="1" x14ac:dyDescent="0.3">
      <c r="A30" s="22" t="s">
        <v>28</v>
      </c>
      <c r="B30" s="1"/>
      <c r="C30" s="19"/>
      <c r="D30" s="19"/>
      <c r="E30" s="18">
        <v>3.3000000000000002E-2</v>
      </c>
      <c r="F30" s="4">
        <v>0.107</v>
      </c>
      <c r="G30" s="4">
        <v>0.14099999999999999</v>
      </c>
      <c r="H30" s="4">
        <v>0.24299999999999999</v>
      </c>
      <c r="I30" s="18">
        <v>0.48799999999999999</v>
      </c>
      <c r="J30" s="18">
        <v>0.48799999999999999</v>
      </c>
      <c r="K30" s="3">
        <v>0.48799999999999999</v>
      </c>
    </row>
    <row r="31" spans="1:11" s="2" customFormat="1" x14ac:dyDescent="0.3">
      <c r="A31" s="22" t="s">
        <v>29</v>
      </c>
      <c r="B31" s="1"/>
      <c r="C31" s="19"/>
      <c r="D31" s="19"/>
      <c r="E31" s="19"/>
      <c r="F31" s="1"/>
      <c r="G31" s="1"/>
      <c r="H31" s="1"/>
      <c r="I31" s="18">
        <v>0.4</v>
      </c>
      <c r="J31" s="18">
        <v>0.7</v>
      </c>
      <c r="K31" s="3">
        <v>0.7</v>
      </c>
    </row>
    <row r="32" spans="1:11" s="2" customFormat="1" x14ac:dyDescent="0.3">
      <c r="A32" s="22" t="s">
        <v>30</v>
      </c>
      <c r="B32" s="3">
        <v>0.85</v>
      </c>
      <c r="C32" s="18">
        <v>0.85099999999999998</v>
      </c>
      <c r="D32" s="18">
        <v>0.85099999999999998</v>
      </c>
      <c r="E32" s="18">
        <v>0.85099999999999998</v>
      </c>
      <c r="F32" s="4">
        <v>1.478</v>
      </c>
      <c r="G32" s="4">
        <v>1.5649999999999999</v>
      </c>
      <c r="H32" s="4">
        <v>1.7949999999999999</v>
      </c>
      <c r="I32" s="18">
        <v>1.8180000000000001</v>
      </c>
      <c r="J32" s="18">
        <v>1.8180000000000001</v>
      </c>
      <c r="K32" s="3">
        <v>2.5179999999999998</v>
      </c>
    </row>
    <row r="33" spans="1:11" s="2" customFormat="1" x14ac:dyDescent="0.3">
      <c r="A33" s="22" t="s">
        <v>31</v>
      </c>
      <c r="B33" s="1"/>
      <c r="C33" s="19"/>
      <c r="D33" s="19"/>
      <c r="E33" s="19"/>
      <c r="F33" s="1"/>
      <c r="G33" s="4">
        <v>1E-3</v>
      </c>
      <c r="H33" s="4">
        <v>1E-3</v>
      </c>
      <c r="I33" s="18">
        <v>0.113</v>
      </c>
      <c r="J33" s="18">
        <v>0.113</v>
      </c>
      <c r="K33" s="3">
        <v>0.185</v>
      </c>
    </row>
    <row r="34" spans="1:11" s="2" customFormat="1" x14ac:dyDescent="0.3">
      <c r="A34" s="22" t="s">
        <v>32</v>
      </c>
      <c r="B34" s="5"/>
      <c r="C34" s="20"/>
      <c r="D34" s="20"/>
      <c r="E34" s="20"/>
      <c r="F34" s="5"/>
      <c r="G34" s="5"/>
      <c r="H34" s="4">
        <v>9.9000000000000005E-2</v>
      </c>
      <c r="I34" s="18">
        <v>9.9000000000000005E-2</v>
      </c>
      <c r="J34" s="18">
        <v>9.9000000000000005E-2</v>
      </c>
      <c r="K34" s="3">
        <v>9.9000000000000005E-2</v>
      </c>
    </row>
    <row r="35" spans="1:11" s="2" customFormat="1" x14ac:dyDescent="0.3">
      <c r="A35" s="22" t="s">
        <v>33</v>
      </c>
      <c r="B35" s="3">
        <v>0.1</v>
      </c>
      <c r="C35" s="18">
        <v>0.1</v>
      </c>
      <c r="D35" s="18">
        <v>0.1</v>
      </c>
      <c r="E35" s="18">
        <v>0.34399999999999997</v>
      </c>
      <c r="F35" s="4">
        <v>1.3939999999999999</v>
      </c>
      <c r="G35" s="4">
        <v>1.3939999999999999</v>
      </c>
      <c r="H35" s="4">
        <v>1.7969999999999999</v>
      </c>
      <c r="I35" s="18">
        <v>1.7969999999999999</v>
      </c>
      <c r="J35" s="18">
        <v>1.7969999999999999</v>
      </c>
      <c r="K35" s="3">
        <v>1.7969999999999999</v>
      </c>
    </row>
    <row r="36" spans="1:11" s="2" customFormat="1" x14ac:dyDescent="0.3">
      <c r="A36" s="22" t="s">
        <v>34</v>
      </c>
      <c r="B36" s="3">
        <v>0.1</v>
      </c>
      <c r="C36" s="18">
        <v>0.1</v>
      </c>
      <c r="D36" s="18">
        <v>0.2</v>
      </c>
      <c r="E36" s="18">
        <v>0.2</v>
      </c>
      <c r="F36" s="4">
        <v>0.64</v>
      </c>
      <c r="G36" s="4">
        <v>2.0209999999999999</v>
      </c>
      <c r="H36" s="4">
        <v>2.0209999999999999</v>
      </c>
      <c r="I36" s="18">
        <v>5.7610000000000001</v>
      </c>
      <c r="J36" s="18">
        <v>7.391</v>
      </c>
      <c r="K36" s="3">
        <v>7.6109999999999998</v>
      </c>
    </row>
    <row r="37" spans="1:11" s="2" customFormat="1" x14ac:dyDescent="0.3">
      <c r="A37" s="22" t="s">
        <v>35</v>
      </c>
      <c r="B37" s="3">
        <v>4.42</v>
      </c>
      <c r="C37" s="18">
        <v>4.72</v>
      </c>
      <c r="D37" s="18">
        <v>5.03</v>
      </c>
      <c r="E37" s="18">
        <v>5.34</v>
      </c>
      <c r="F37" s="4">
        <v>6.42</v>
      </c>
      <c r="G37" s="4">
        <v>6.94</v>
      </c>
      <c r="H37" s="4">
        <v>7.08</v>
      </c>
      <c r="I37" s="18">
        <v>7.46</v>
      </c>
      <c r="J37" s="18">
        <v>8</v>
      </c>
      <c r="K37" s="3">
        <v>8.01</v>
      </c>
    </row>
    <row r="38" spans="1:11" s="2" customFormat="1" x14ac:dyDescent="0.3">
      <c r="A38" s="22" t="s">
        <v>36</v>
      </c>
      <c r="B38" s="3">
        <v>11.401999999999999</v>
      </c>
      <c r="C38" s="18">
        <v>11.547000000000001</v>
      </c>
      <c r="D38" s="18">
        <v>16.702999999999999</v>
      </c>
      <c r="E38" s="18">
        <v>22.323</v>
      </c>
      <c r="F38" s="4">
        <v>25.260999999999999</v>
      </c>
      <c r="G38" s="4">
        <v>34.055999999999997</v>
      </c>
      <c r="H38" s="4">
        <v>34.106000000000002</v>
      </c>
      <c r="I38" s="18">
        <v>35.024999999999999</v>
      </c>
      <c r="J38" s="18">
        <v>36.225000000000001</v>
      </c>
      <c r="K38" s="3">
        <v>36.225000000000001</v>
      </c>
    </row>
    <row r="39" spans="1:11" s="2" customFormat="1" x14ac:dyDescent="0.3">
      <c r="A39" s="22" t="s">
        <v>37</v>
      </c>
      <c r="B39" s="1"/>
      <c r="C39" s="19"/>
      <c r="D39" s="19"/>
      <c r="E39" s="19"/>
      <c r="F39" s="4">
        <v>1.5249999999999999</v>
      </c>
      <c r="G39" s="4">
        <v>2.4119999999999999</v>
      </c>
      <c r="H39" s="4">
        <v>2.4119999999999999</v>
      </c>
      <c r="I39" s="18">
        <v>2.4119999999999999</v>
      </c>
      <c r="J39" s="18">
        <v>2.4119999999999999</v>
      </c>
      <c r="K39" s="3">
        <v>2.4119999999999999</v>
      </c>
    </row>
    <row r="40" spans="1:11" s="2" customFormat="1" x14ac:dyDescent="0.3">
      <c r="A40" s="22" t="s">
        <v>38</v>
      </c>
      <c r="B40" s="1"/>
      <c r="C40" s="19"/>
      <c r="D40" s="19"/>
      <c r="E40" s="19"/>
      <c r="F40" s="4">
        <v>0.20399999999999999</v>
      </c>
      <c r="G40" s="4">
        <v>0.20399999999999999</v>
      </c>
      <c r="H40" s="4">
        <v>0.20399999999999999</v>
      </c>
      <c r="I40" s="18">
        <v>0.20399999999999999</v>
      </c>
      <c r="J40" s="18">
        <v>0.20399999999999999</v>
      </c>
      <c r="K40" s="3">
        <v>0.20399999999999999</v>
      </c>
    </row>
    <row r="41" spans="1:11" s="2" customFormat="1" x14ac:dyDescent="0.3">
      <c r="A41" s="22" t="s">
        <v>39</v>
      </c>
      <c r="B41" s="1"/>
      <c r="C41" s="19"/>
      <c r="D41" s="19"/>
      <c r="E41" s="19"/>
      <c r="F41" s="1"/>
      <c r="G41" s="4">
        <v>7.9000000000000001E-2</v>
      </c>
      <c r="H41" s="4">
        <v>0.21099999999999999</v>
      </c>
      <c r="I41" s="18">
        <v>0.443</v>
      </c>
      <c r="J41" s="18">
        <v>0.443</v>
      </c>
      <c r="K41" s="3">
        <v>0.443</v>
      </c>
    </row>
    <row r="42" spans="1:11" s="2" customFormat="1" x14ac:dyDescent="0.3">
      <c r="A42" s="22" t="s">
        <v>40</v>
      </c>
      <c r="B42" s="3">
        <v>0.70199999999999996</v>
      </c>
      <c r="C42" s="18">
        <v>2.9020000000000001</v>
      </c>
      <c r="D42" s="18">
        <v>2.9020000000000001</v>
      </c>
      <c r="E42" s="18">
        <v>2.9020000000000001</v>
      </c>
      <c r="F42" s="4">
        <v>2.9020000000000001</v>
      </c>
      <c r="G42" s="4">
        <v>2.9020000000000001</v>
      </c>
      <c r="H42" s="4">
        <v>2.9020000000000001</v>
      </c>
      <c r="I42" s="18">
        <v>2.9319999999999999</v>
      </c>
      <c r="J42" s="18">
        <v>3.0579999999999998</v>
      </c>
      <c r="K42" s="3">
        <v>3.069</v>
      </c>
    </row>
    <row r="43" spans="1:11" s="2" customFormat="1" x14ac:dyDescent="0.3">
      <c r="A43" s="22" t="s">
        <v>41</v>
      </c>
      <c r="B43" s="5"/>
      <c r="C43" s="20"/>
      <c r="D43" s="20"/>
      <c r="E43" s="20"/>
      <c r="F43" s="5"/>
      <c r="G43" s="5"/>
      <c r="H43" s="5"/>
      <c r="I43" s="20"/>
      <c r="J43" s="18">
        <v>0.5</v>
      </c>
      <c r="K43" s="3">
        <v>0.5</v>
      </c>
    </row>
    <row r="44" spans="1:11" s="2" customFormat="1" x14ac:dyDescent="0.3">
      <c r="A44" s="22" t="s">
        <v>42</v>
      </c>
      <c r="B44" s="5"/>
      <c r="C44" s="20"/>
      <c r="D44" s="20"/>
      <c r="E44" s="20"/>
      <c r="F44" s="5"/>
      <c r="G44" s="5"/>
      <c r="H44" s="5"/>
      <c r="I44" s="18">
        <v>11.746</v>
      </c>
      <c r="J44" s="18">
        <v>11.746</v>
      </c>
      <c r="K44" s="3">
        <v>11.746</v>
      </c>
    </row>
    <row r="45" spans="1:11" s="2" customFormat="1" x14ac:dyDescent="0.3">
      <c r="A45" s="22" t="s">
        <v>43</v>
      </c>
      <c r="B45" s="1"/>
      <c r="C45" s="18">
        <v>4.3999999999999997E-2</v>
      </c>
      <c r="D45" s="18">
        <v>4.3999999999999997E-2</v>
      </c>
      <c r="E45" s="18">
        <v>4.3999999999999997E-2</v>
      </c>
      <c r="F45" s="4">
        <v>4.3999999999999997E-2</v>
      </c>
      <c r="G45" s="4">
        <v>4.3999999999999997E-2</v>
      </c>
      <c r="H45" s="4">
        <v>4.3999999999999997E-2</v>
      </c>
      <c r="I45" s="18">
        <v>4.3999999999999997E-2</v>
      </c>
      <c r="J45" s="18">
        <v>4.3999999999999997E-2</v>
      </c>
      <c r="K45" s="3">
        <v>4.3999999999999997E-2</v>
      </c>
    </row>
    <row r="46" spans="1:11" s="2" customFormat="1" x14ac:dyDescent="0.3">
      <c r="A46" s="22" t="s">
        <v>44</v>
      </c>
      <c r="B46" s="1"/>
      <c r="C46" s="18">
        <v>0.108</v>
      </c>
      <c r="D46" s="18">
        <v>0.108</v>
      </c>
      <c r="E46" s="18">
        <v>0.108</v>
      </c>
      <c r="F46" s="4">
        <v>0.108</v>
      </c>
      <c r="G46" s="4">
        <v>0.108</v>
      </c>
      <c r="H46" s="4">
        <v>0.108</v>
      </c>
      <c r="I46" s="18">
        <v>0.108</v>
      </c>
      <c r="J46" s="18">
        <v>0.108</v>
      </c>
      <c r="K46" s="3">
        <v>0.108</v>
      </c>
    </row>
    <row r="47" spans="1:11" s="2" customFormat="1" x14ac:dyDescent="0.3">
      <c r="A47" s="22" t="s">
        <v>45</v>
      </c>
      <c r="B47" s="1"/>
      <c r="C47" s="19"/>
      <c r="D47" s="18">
        <v>9.2999999999999999E-2</v>
      </c>
      <c r="E47" s="18">
        <v>9.2999999999999999E-2</v>
      </c>
      <c r="F47" s="4">
        <v>9.2999999999999999E-2</v>
      </c>
      <c r="G47" s="4">
        <v>0.29299999999999998</v>
      </c>
      <c r="H47" s="4">
        <v>0.29599999999999999</v>
      </c>
      <c r="I47" s="18">
        <v>0.29599999999999999</v>
      </c>
      <c r="J47" s="18">
        <v>0.29599999999999999</v>
      </c>
      <c r="K47" s="3">
        <v>0.29599999999999999</v>
      </c>
    </row>
    <row r="48" spans="1:11" s="2" customFormat="1" x14ac:dyDescent="0.3">
      <c r="A48" s="22" t="s">
        <v>46</v>
      </c>
      <c r="B48" s="1"/>
      <c r="C48" s="18">
        <v>6.3E-2</v>
      </c>
      <c r="D48" s="18">
        <v>6.3E-2</v>
      </c>
      <c r="E48" s="18">
        <v>6.3E-2</v>
      </c>
      <c r="F48" s="4">
        <v>6.3E-2</v>
      </c>
      <c r="G48" s="4">
        <v>6.3E-2</v>
      </c>
      <c r="H48" s="4">
        <v>6.3E-2</v>
      </c>
      <c r="I48" s="18">
        <v>6.3E-2</v>
      </c>
      <c r="J48" s="18">
        <v>6.3E-2</v>
      </c>
      <c r="K48" s="3">
        <v>6.3E-2</v>
      </c>
    </row>
    <row r="49" spans="1:11" s="2" customFormat="1" x14ac:dyDescent="0.3">
      <c r="A49" s="22" t="s">
        <v>47</v>
      </c>
      <c r="B49" s="1"/>
      <c r="C49" s="18">
        <v>3.9E-2</v>
      </c>
      <c r="D49" s="18">
        <v>3.9E-2</v>
      </c>
      <c r="E49" s="18">
        <v>3.9E-2</v>
      </c>
      <c r="F49" s="4">
        <v>3.9E-2</v>
      </c>
      <c r="G49" s="4">
        <v>3.9E-2</v>
      </c>
      <c r="H49" s="4">
        <v>3.9E-2</v>
      </c>
      <c r="I49" s="18">
        <v>3.9E-2</v>
      </c>
      <c r="J49" s="18">
        <v>0.33900000000000002</v>
      </c>
      <c r="K49" s="3">
        <v>0.33900000000000002</v>
      </c>
    </row>
    <row r="50" spans="1:11" s="2" customFormat="1" x14ac:dyDescent="0.3">
      <c r="A50" s="22" t="s">
        <v>48</v>
      </c>
      <c r="B50" s="5"/>
      <c r="C50" s="20"/>
      <c r="D50" s="20"/>
      <c r="E50" s="20"/>
      <c r="F50" s="5"/>
      <c r="G50" s="5"/>
      <c r="H50" s="5"/>
      <c r="I50" s="18">
        <v>1.2E-2</v>
      </c>
      <c r="J50" s="18">
        <v>1.2E-2</v>
      </c>
      <c r="K50" s="3">
        <v>1.2E-2</v>
      </c>
    </row>
    <row r="51" spans="1:11" s="2" customFormat="1" x14ac:dyDescent="0.3">
      <c r="A51" s="22" t="s">
        <v>49</v>
      </c>
      <c r="B51" s="3">
        <v>1.2E-2</v>
      </c>
      <c r="C51" s="18">
        <v>1.2E-2</v>
      </c>
      <c r="D51" s="18">
        <v>1.7000000000000001E-2</v>
      </c>
      <c r="E51" s="18">
        <v>1.7000000000000001E-2</v>
      </c>
      <c r="F51" s="4">
        <v>1.7000000000000001E-2</v>
      </c>
      <c r="G51" s="4">
        <v>3.7669999999999999</v>
      </c>
      <c r="H51" s="4">
        <v>3.7669999999999999</v>
      </c>
      <c r="I51" s="18">
        <v>3.7669999999999999</v>
      </c>
      <c r="J51" s="18">
        <v>3.7669999999999999</v>
      </c>
      <c r="K51" s="3">
        <v>3.7669999999999999</v>
      </c>
    </row>
    <row r="52" spans="1:11" s="2" customFormat="1" x14ac:dyDescent="0.3">
      <c r="A52" s="22" t="s">
        <v>50</v>
      </c>
      <c r="B52" s="3">
        <v>1.2E-2</v>
      </c>
      <c r="C52" s="18">
        <v>1.2E-2</v>
      </c>
      <c r="D52" s="18">
        <v>1.7000000000000001E-2</v>
      </c>
      <c r="E52" s="18">
        <v>1.7000000000000001E-2</v>
      </c>
      <c r="F52" s="4">
        <v>1.7000000000000001E-2</v>
      </c>
      <c r="G52" s="4">
        <v>1.7000000000000001E-2</v>
      </c>
      <c r="H52" s="4">
        <v>1.7000000000000001E-2</v>
      </c>
      <c r="I52" s="18">
        <v>1.7000000000000001E-2</v>
      </c>
      <c r="J52" s="18">
        <v>1.7000000000000001E-2</v>
      </c>
      <c r="K52" s="3">
        <v>1.7000000000000001E-2</v>
      </c>
    </row>
    <row r="53" spans="1:11" s="2" customFormat="1" ht="14.4" customHeight="1" x14ac:dyDescent="0.3">
      <c r="A53" s="22" t="s">
        <v>51</v>
      </c>
      <c r="B53" s="5"/>
      <c r="C53" s="20"/>
      <c r="D53" s="20"/>
      <c r="E53" s="20"/>
      <c r="F53" s="5"/>
      <c r="G53" s="4">
        <v>3.75</v>
      </c>
      <c r="H53" s="4">
        <v>3.75</v>
      </c>
      <c r="I53" s="18">
        <v>3.75</v>
      </c>
      <c r="J53" s="18">
        <v>3.75</v>
      </c>
      <c r="K53" s="3">
        <v>3.75</v>
      </c>
    </row>
    <row r="54" spans="1:11" s="2" customFormat="1" x14ac:dyDescent="0.3">
      <c r="A54" s="22" t="s">
        <v>53</v>
      </c>
      <c r="B54" s="5"/>
      <c r="C54" s="20"/>
      <c r="D54" s="20"/>
      <c r="E54" s="20"/>
      <c r="F54" s="5"/>
      <c r="G54" s="4">
        <v>0.55500000000000005</v>
      </c>
      <c r="H54" s="4">
        <v>0.55500000000000005</v>
      </c>
      <c r="I54" s="18">
        <v>0.55500000000000005</v>
      </c>
      <c r="J54" s="18">
        <v>0.55500000000000005</v>
      </c>
      <c r="K54" s="3">
        <v>0.55500000000000005</v>
      </c>
    </row>
    <row r="55" spans="1:11" s="2" customFormat="1" x14ac:dyDescent="0.3">
      <c r="A55" s="22" t="s">
        <v>54</v>
      </c>
      <c r="B55" s="3">
        <v>1.379</v>
      </c>
      <c r="C55" s="18">
        <v>1.85</v>
      </c>
      <c r="D55" s="18">
        <v>1.903</v>
      </c>
      <c r="E55" s="18">
        <v>1.903</v>
      </c>
      <c r="F55" s="4">
        <v>1.907</v>
      </c>
      <c r="G55" s="4">
        <v>3.03</v>
      </c>
      <c r="H55" s="4">
        <v>3.6219999999999999</v>
      </c>
      <c r="I55" s="18">
        <v>3.8130000000000002</v>
      </c>
      <c r="J55" s="18">
        <v>4.7869999999999999</v>
      </c>
      <c r="K55" s="3">
        <v>4.7869999999999999</v>
      </c>
    </row>
    <row r="56" spans="1:11" s="2" customFormat="1" x14ac:dyDescent="0.3">
      <c r="A56" s="22" t="s">
        <v>55</v>
      </c>
      <c r="B56" s="5"/>
      <c r="C56" s="18">
        <v>0.11899999999999999</v>
      </c>
      <c r="D56" s="18">
        <v>0.11899999999999999</v>
      </c>
      <c r="E56" s="18">
        <v>0.11899999999999999</v>
      </c>
      <c r="F56" s="4">
        <v>0.11899999999999999</v>
      </c>
      <c r="G56" s="4">
        <v>0.11899999999999999</v>
      </c>
      <c r="H56" s="4">
        <v>0.11899999999999999</v>
      </c>
      <c r="I56" s="18">
        <v>0.11899999999999999</v>
      </c>
      <c r="J56" s="18">
        <v>0.11899999999999999</v>
      </c>
      <c r="K56" s="3">
        <v>0.11899999999999999</v>
      </c>
    </row>
    <row r="57" spans="1:11" s="2" customFormat="1" x14ac:dyDescent="0.3">
      <c r="A57" s="22" t="s">
        <v>56</v>
      </c>
      <c r="B57" s="1"/>
      <c r="C57" s="19"/>
      <c r="D57" s="18">
        <v>0.04</v>
      </c>
      <c r="E57" s="18">
        <v>0.04</v>
      </c>
      <c r="F57" s="4">
        <v>0.04</v>
      </c>
      <c r="G57" s="4">
        <v>0.04</v>
      </c>
      <c r="H57" s="4">
        <v>0.04</v>
      </c>
      <c r="I57" s="18">
        <v>0.04</v>
      </c>
      <c r="J57" s="18">
        <v>0.04</v>
      </c>
      <c r="K57" s="3">
        <v>0.04</v>
      </c>
    </row>
    <row r="58" spans="1:11" s="2" customFormat="1" x14ac:dyDescent="0.3">
      <c r="A58" s="22" t="s">
        <v>57</v>
      </c>
      <c r="B58" s="1"/>
      <c r="C58" s="19"/>
      <c r="D58" s="19"/>
      <c r="E58" s="19"/>
      <c r="F58" s="4">
        <v>4.0000000000000001E-3</v>
      </c>
      <c r="G58" s="4">
        <v>4.0000000000000001E-3</v>
      </c>
      <c r="H58" s="4">
        <v>0.59599999999999997</v>
      </c>
      <c r="I58" s="18">
        <v>0.78700000000000003</v>
      </c>
      <c r="J58" s="18">
        <v>0.80900000000000005</v>
      </c>
      <c r="K58" s="3">
        <v>0.80900000000000005</v>
      </c>
    </row>
    <row r="59" spans="1:11" s="2" customFormat="1" x14ac:dyDescent="0.3">
      <c r="A59" s="22" t="s">
        <v>58</v>
      </c>
      <c r="B59" s="1"/>
      <c r="C59" s="18">
        <v>8.4000000000000005E-2</v>
      </c>
      <c r="D59" s="18">
        <v>9.6000000000000002E-2</v>
      </c>
      <c r="E59" s="18">
        <v>9.6000000000000002E-2</v>
      </c>
      <c r="F59" s="4">
        <v>9.6000000000000002E-2</v>
      </c>
      <c r="G59" s="4">
        <v>9.6000000000000002E-2</v>
      </c>
      <c r="H59" s="4">
        <v>9.6000000000000002E-2</v>
      </c>
      <c r="I59" s="18">
        <v>9.6000000000000002E-2</v>
      </c>
      <c r="J59" s="18">
        <v>1.048</v>
      </c>
      <c r="K59" s="3">
        <v>1.048</v>
      </c>
    </row>
    <row r="60" spans="1:11" s="2" customFormat="1" x14ac:dyDescent="0.3">
      <c r="A60" s="22" t="s">
        <v>59</v>
      </c>
      <c r="B60" s="1"/>
      <c r="C60" s="18">
        <v>7.9000000000000001E-2</v>
      </c>
      <c r="D60" s="18">
        <v>7.9000000000000001E-2</v>
      </c>
      <c r="E60" s="18">
        <v>7.9000000000000001E-2</v>
      </c>
      <c r="F60" s="4">
        <v>7.9000000000000001E-2</v>
      </c>
      <c r="G60" s="4">
        <v>7.9000000000000001E-2</v>
      </c>
      <c r="H60" s="4">
        <v>7.9000000000000001E-2</v>
      </c>
      <c r="I60" s="18">
        <v>7.9000000000000001E-2</v>
      </c>
      <c r="J60" s="18">
        <v>7.9000000000000001E-2</v>
      </c>
      <c r="K60" s="3">
        <v>7.9000000000000001E-2</v>
      </c>
    </row>
    <row r="61" spans="1:11" s="2" customFormat="1" x14ac:dyDescent="0.3">
      <c r="A61" s="22" t="s">
        <v>60</v>
      </c>
      <c r="B61" s="3">
        <v>2E-3</v>
      </c>
      <c r="C61" s="18">
        <v>0.192</v>
      </c>
      <c r="D61" s="18">
        <v>0.192</v>
      </c>
      <c r="E61" s="18">
        <v>0.192</v>
      </c>
      <c r="F61" s="4">
        <v>0.192</v>
      </c>
      <c r="G61" s="4">
        <v>0.192</v>
      </c>
      <c r="H61" s="4">
        <v>0.192</v>
      </c>
      <c r="I61" s="18">
        <v>0.192</v>
      </c>
      <c r="J61" s="18">
        <v>0.192</v>
      </c>
      <c r="K61" s="3">
        <v>0.192</v>
      </c>
    </row>
    <row r="62" spans="1:11" s="2" customFormat="1" x14ac:dyDescent="0.3">
      <c r="A62" s="22" t="s">
        <v>61</v>
      </c>
      <c r="B62" s="1"/>
      <c r="C62" s="19"/>
      <c r="D62" s="19"/>
      <c r="E62" s="19"/>
      <c r="F62" s="1"/>
      <c r="G62" s="4">
        <v>5.1999999999999998E-2</v>
      </c>
      <c r="H62" s="4">
        <v>5.1999999999999998E-2</v>
      </c>
      <c r="I62" s="18">
        <v>5.1999999999999998E-2</v>
      </c>
      <c r="J62" s="18">
        <v>5.1999999999999998E-2</v>
      </c>
      <c r="K62" s="3">
        <v>5.1999999999999998E-2</v>
      </c>
    </row>
    <row r="63" spans="1:11" s="2" customFormat="1" x14ac:dyDescent="0.3">
      <c r="A63" s="22" t="s">
        <v>62</v>
      </c>
      <c r="B63" s="3">
        <v>1.377</v>
      </c>
      <c r="C63" s="18">
        <v>1.377</v>
      </c>
      <c r="D63" s="18">
        <v>1.377</v>
      </c>
      <c r="E63" s="18">
        <v>1.377</v>
      </c>
      <c r="F63" s="4">
        <v>1.377</v>
      </c>
      <c r="G63" s="4">
        <v>2.448</v>
      </c>
      <c r="H63" s="4">
        <v>2.448</v>
      </c>
      <c r="I63" s="18">
        <v>2.448</v>
      </c>
      <c r="J63" s="18">
        <v>2.448</v>
      </c>
      <c r="K63" s="3">
        <v>2.448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2CEB-669A-4AA1-A396-C4F82B06BF9F}">
  <dimension ref="A1:K93"/>
  <sheetViews>
    <sheetView workbookViewId="0">
      <selection activeCell="A2" sqref="A2:B14"/>
    </sheetView>
  </sheetViews>
  <sheetFormatPr defaultRowHeight="14.4" x14ac:dyDescent="0.3"/>
  <sheetData>
    <row r="1" spans="1:11" x14ac:dyDescent="0.3">
      <c r="A1" s="8"/>
      <c r="B1" s="9">
        <v>2010</v>
      </c>
      <c r="C1" s="9">
        <v>2011</v>
      </c>
      <c r="D1" s="9">
        <v>2012</v>
      </c>
      <c r="E1" s="9">
        <v>2013</v>
      </c>
      <c r="F1" s="9">
        <v>2014</v>
      </c>
      <c r="G1" s="9">
        <v>2015</v>
      </c>
      <c r="H1" s="9">
        <v>2016</v>
      </c>
      <c r="I1" s="9">
        <v>2017</v>
      </c>
      <c r="J1" s="9">
        <v>2018</v>
      </c>
      <c r="K1" s="9">
        <v>2019</v>
      </c>
    </row>
    <row r="2" spans="1:11" x14ac:dyDescent="0.3">
      <c r="A2" s="8" t="s">
        <v>63</v>
      </c>
      <c r="B2" s="11"/>
      <c r="C2" s="11"/>
      <c r="D2" s="11"/>
      <c r="E2" s="11"/>
      <c r="F2" s="11"/>
      <c r="G2" s="11"/>
      <c r="H2" s="11"/>
      <c r="I2" s="10">
        <v>1E-3</v>
      </c>
      <c r="J2" s="10">
        <v>5.0000000000000001E-3</v>
      </c>
      <c r="K2" s="10">
        <v>4.3999999999999997E-2</v>
      </c>
    </row>
    <row r="3" spans="1:11" x14ac:dyDescent="0.3">
      <c r="A3" s="8" t="s">
        <v>1</v>
      </c>
      <c r="B3" s="11"/>
      <c r="C3" s="11"/>
      <c r="D3" s="11"/>
      <c r="E3" s="11"/>
      <c r="F3" s="11"/>
      <c r="G3" s="10">
        <v>6.4000000000000001E-2</v>
      </c>
      <c r="H3" s="10">
        <v>0.246</v>
      </c>
      <c r="I3" s="10">
        <v>0.27700000000000002</v>
      </c>
      <c r="J3" s="10">
        <v>0.248</v>
      </c>
      <c r="K3" s="10">
        <v>1.1379999999999999</v>
      </c>
    </row>
    <row r="4" spans="1:11" x14ac:dyDescent="0.3">
      <c r="A4" s="8" t="s">
        <v>64</v>
      </c>
      <c r="B4" s="11"/>
      <c r="C4" s="11"/>
      <c r="D4" s="11"/>
      <c r="E4" s="11"/>
      <c r="F4" s="11"/>
      <c r="G4" s="11"/>
      <c r="H4" s="11"/>
      <c r="I4" s="11"/>
      <c r="J4" s="11"/>
      <c r="K4" s="10">
        <v>3.6999999999999998E-2</v>
      </c>
    </row>
    <row r="5" spans="1:11" x14ac:dyDescent="0.3">
      <c r="A5" s="8" t="s">
        <v>2</v>
      </c>
      <c r="B5" s="10">
        <v>7.0000000000000001E-3</v>
      </c>
      <c r="C5" s="10">
        <v>2.7E-2</v>
      </c>
      <c r="D5" s="10">
        <v>8.7999999999999995E-2</v>
      </c>
      <c r="E5" s="10">
        <v>0.23</v>
      </c>
      <c r="F5" s="10">
        <v>0.41099999999999998</v>
      </c>
      <c r="G5" s="10">
        <v>0.63700000000000001</v>
      </c>
      <c r="H5" s="10">
        <v>0.64700000000000002</v>
      </c>
      <c r="I5" s="10">
        <v>0.70699999999999996</v>
      </c>
      <c r="J5" s="10">
        <v>0.54100000000000004</v>
      </c>
      <c r="K5" s="10">
        <v>1.5</v>
      </c>
    </row>
    <row r="6" spans="1:11" x14ac:dyDescent="0.3">
      <c r="A6" s="8" t="s">
        <v>65</v>
      </c>
      <c r="B6" s="11"/>
      <c r="C6" s="11"/>
      <c r="D6" s="11"/>
      <c r="E6" s="10">
        <v>0.01</v>
      </c>
      <c r="F6" s="10">
        <v>2.3E-2</v>
      </c>
      <c r="G6" s="10">
        <v>2.9000000000000001E-2</v>
      </c>
      <c r="H6" s="10">
        <v>1.9E-2</v>
      </c>
      <c r="I6" s="10">
        <v>6.0000000000000001E-3</v>
      </c>
      <c r="J6" s="10">
        <v>5.0000000000000001E-3</v>
      </c>
      <c r="K6" s="10">
        <v>0.04</v>
      </c>
    </row>
    <row r="7" spans="1:11" x14ac:dyDescent="0.3">
      <c r="A7" s="8" t="s">
        <v>3</v>
      </c>
      <c r="B7" s="11"/>
      <c r="C7" s="11"/>
      <c r="D7" s="11"/>
      <c r="E7" s="11"/>
      <c r="F7" s="11"/>
      <c r="G7" s="11"/>
      <c r="H7" s="11"/>
      <c r="I7" s="11"/>
      <c r="J7" s="10">
        <v>5.0000000000000001E-3</v>
      </c>
      <c r="K7" s="10">
        <v>8.1000000000000003E-2</v>
      </c>
    </row>
    <row r="8" spans="1:11" x14ac:dyDescent="0.3">
      <c r="A8" s="8" t="s">
        <v>4</v>
      </c>
      <c r="B8" s="11"/>
      <c r="C8" s="11"/>
      <c r="D8" s="11"/>
      <c r="E8" s="11"/>
      <c r="F8" s="11"/>
      <c r="G8" s="11"/>
      <c r="H8" s="10">
        <v>8.8999999999999996E-2</v>
      </c>
      <c r="I8" s="10">
        <v>0.13300000000000001</v>
      </c>
      <c r="J8" s="10">
        <v>0.27300000000000002</v>
      </c>
      <c r="K8" s="10">
        <v>1.621</v>
      </c>
    </row>
    <row r="9" spans="1:11" x14ac:dyDescent="0.3">
      <c r="A9" s="8" t="s">
        <v>66</v>
      </c>
      <c r="B9" s="11"/>
      <c r="C9" s="11"/>
      <c r="D9" s="11"/>
      <c r="E9" s="11"/>
      <c r="F9" s="11"/>
      <c r="G9" s="11"/>
      <c r="H9" s="11"/>
      <c r="I9" s="11"/>
      <c r="J9" s="10">
        <v>5.0000000000000001E-3</v>
      </c>
      <c r="K9" s="10">
        <v>4.2000000000000003E-2</v>
      </c>
    </row>
    <row r="10" spans="1:11" x14ac:dyDescent="0.3">
      <c r="A10" s="8" t="s">
        <v>5</v>
      </c>
      <c r="B10" s="11"/>
      <c r="C10" s="11"/>
      <c r="D10" s="11"/>
      <c r="E10" s="11"/>
      <c r="F10" s="11"/>
      <c r="G10" s="11"/>
      <c r="H10" s="11"/>
      <c r="I10" s="11"/>
      <c r="J10" s="10">
        <v>1.7000000000000001E-2</v>
      </c>
      <c r="K10" s="10">
        <v>5.3999999999999999E-2</v>
      </c>
    </row>
    <row r="11" spans="1:11" x14ac:dyDescent="0.3">
      <c r="A11" s="8" t="s">
        <v>67</v>
      </c>
      <c r="B11" s="11"/>
      <c r="C11" s="11"/>
      <c r="D11" s="11"/>
      <c r="E11" s="11"/>
      <c r="F11" s="11"/>
      <c r="G11" s="11"/>
      <c r="H11" s="11"/>
      <c r="I11" s="11"/>
      <c r="J11" s="11"/>
      <c r="K11" s="10">
        <v>3.5000000000000003E-2</v>
      </c>
    </row>
    <row r="12" spans="1:11" x14ac:dyDescent="0.3">
      <c r="A12" s="8" t="s">
        <v>6</v>
      </c>
      <c r="B12" s="11"/>
      <c r="C12" s="10">
        <v>2.1999999999999999E-2</v>
      </c>
      <c r="D12" s="10">
        <v>8.5999999999999993E-2</v>
      </c>
      <c r="E12" s="10">
        <v>0.28399999999999997</v>
      </c>
      <c r="F12" s="10">
        <v>0.503</v>
      </c>
      <c r="G12" s="10">
        <v>0.56699999999999995</v>
      </c>
      <c r="H12" s="10">
        <v>0.44500000000000001</v>
      </c>
      <c r="I12" s="10">
        <v>0.78400000000000003</v>
      </c>
      <c r="J12" s="10">
        <v>0.78400000000000003</v>
      </c>
      <c r="K12" s="10">
        <v>1.528</v>
      </c>
    </row>
    <row r="13" spans="1:11" x14ac:dyDescent="0.3">
      <c r="A13" s="8" t="s">
        <v>68</v>
      </c>
      <c r="B13" s="11"/>
      <c r="C13" s="11"/>
      <c r="D13" s="11"/>
      <c r="E13" s="11"/>
      <c r="F13" s="11"/>
      <c r="G13" s="11"/>
      <c r="H13" s="11"/>
      <c r="I13" s="11"/>
      <c r="J13" s="11"/>
      <c r="K13" s="10">
        <v>3.6999999999999998E-2</v>
      </c>
    </row>
    <row r="14" spans="1:11" x14ac:dyDescent="0.3">
      <c r="A14" s="8" t="s">
        <v>7</v>
      </c>
      <c r="B14" s="11"/>
      <c r="C14" s="11"/>
      <c r="D14" s="11"/>
      <c r="E14" s="11"/>
      <c r="F14" s="11"/>
      <c r="G14" s="10">
        <v>5.5E-2</v>
      </c>
      <c r="H14" s="10">
        <v>0.14099999999999999</v>
      </c>
      <c r="I14" s="10">
        <v>0.23799999999999999</v>
      </c>
      <c r="J14" s="10">
        <v>1.9930000000000001</v>
      </c>
      <c r="K14" s="10">
        <v>3.1749999999999998</v>
      </c>
    </row>
    <row r="15" spans="1:11" x14ac:dyDescent="0.3">
      <c r="A15" s="8" t="s">
        <v>8</v>
      </c>
      <c r="B15" s="11"/>
      <c r="C15" s="11"/>
      <c r="D15" s="11"/>
      <c r="E15" s="11"/>
      <c r="F15" s="11"/>
      <c r="G15" s="11"/>
      <c r="H15" s="10">
        <v>4.8890000000000002</v>
      </c>
      <c r="I15" s="10">
        <v>4.8890000000000002</v>
      </c>
      <c r="J15" s="10">
        <v>4.8890000000000002</v>
      </c>
      <c r="K15" s="10">
        <v>4.8890000000000002</v>
      </c>
    </row>
    <row r="16" spans="1:11" x14ac:dyDescent="0.3">
      <c r="A16" s="8" t="s">
        <v>69</v>
      </c>
      <c r="B16" s="11"/>
      <c r="C16" s="11"/>
      <c r="D16" s="11"/>
      <c r="E16" s="11"/>
      <c r="F16" s="11"/>
      <c r="G16" s="11"/>
      <c r="H16" s="11"/>
      <c r="I16" s="11"/>
      <c r="J16" s="11"/>
      <c r="K16" s="10">
        <v>7.5999999999999998E-2</v>
      </c>
    </row>
    <row r="17" spans="1:11" x14ac:dyDescent="0.3">
      <c r="A17" s="8" t="s">
        <v>9</v>
      </c>
      <c r="B17" s="11"/>
      <c r="C17" s="11"/>
      <c r="D17" s="11"/>
      <c r="E17" s="11"/>
      <c r="F17" s="11"/>
      <c r="G17" s="11"/>
      <c r="H17" s="11"/>
      <c r="I17" s="11"/>
      <c r="J17" s="11"/>
      <c r="K17" s="10">
        <v>3.5000000000000003E-2</v>
      </c>
    </row>
    <row r="18" spans="1:11" x14ac:dyDescent="0.3">
      <c r="A18" s="8" t="s">
        <v>70</v>
      </c>
      <c r="B18" s="11"/>
      <c r="C18" s="11"/>
      <c r="D18" s="11"/>
      <c r="E18" s="11"/>
      <c r="F18" s="11"/>
      <c r="G18" s="11"/>
      <c r="H18" s="11"/>
      <c r="I18" s="11"/>
      <c r="J18" s="11"/>
      <c r="K18" s="10">
        <v>3.6999999999999998E-2</v>
      </c>
    </row>
    <row r="19" spans="1:11" x14ac:dyDescent="0.3">
      <c r="A19" s="8" t="s">
        <v>10</v>
      </c>
      <c r="B19" s="11"/>
      <c r="C19" s="10">
        <v>0.25600000000000001</v>
      </c>
      <c r="D19" s="10">
        <v>0.97499999999999998</v>
      </c>
      <c r="E19" s="10">
        <v>3.1709999999999998</v>
      </c>
      <c r="F19" s="10">
        <v>5.6040000000000001</v>
      </c>
      <c r="G19" s="10">
        <v>6.3319999999999999</v>
      </c>
      <c r="H19" s="10">
        <v>5.3810000000000002</v>
      </c>
      <c r="I19" s="10">
        <v>3.8039999999999998</v>
      </c>
      <c r="J19" s="10">
        <v>3.6080000000000001</v>
      </c>
      <c r="K19" s="10">
        <v>11.445</v>
      </c>
    </row>
    <row r="20" spans="1:11" x14ac:dyDescent="0.3">
      <c r="A20" s="8" t="s">
        <v>71</v>
      </c>
      <c r="B20" s="11"/>
      <c r="C20" s="11"/>
      <c r="D20" s="11"/>
      <c r="E20" s="11"/>
      <c r="F20" s="11"/>
      <c r="G20" s="11"/>
      <c r="H20" s="11"/>
      <c r="I20" s="11"/>
      <c r="J20" s="10">
        <v>5.0000000000000001E-3</v>
      </c>
      <c r="K20" s="10">
        <v>4.2000000000000003E-2</v>
      </c>
    </row>
    <row r="21" spans="1:11" x14ac:dyDescent="0.3">
      <c r="A21" s="8" t="s">
        <v>11</v>
      </c>
      <c r="B21" s="11"/>
      <c r="C21" s="11"/>
      <c r="D21" s="11"/>
      <c r="E21" s="11"/>
      <c r="F21" s="11"/>
      <c r="G21" s="11"/>
      <c r="H21" s="10">
        <v>2E-3</v>
      </c>
      <c r="I21" s="10">
        <v>4.0000000000000001E-3</v>
      </c>
      <c r="J21" s="10">
        <v>8.9999999999999993E-3</v>
      </c>
      <c r="K21" s="10">
        <v>7.4999999999999997E-2</v>
      </c>
    </row>
    <row r="22" spans="1:11" x14ac:dyDescent="0.3">
      <c r="A22" s="8" t="s">
        <v>12</v>
      </c>
      <c r="B22" s="11"/>
      <c r="C22" s="11"/>
      <c r="D22" s="11"/>
      <c r="E22" s="10">
        <v>0.14399999999999999</v>
      </c>
      <c r="F22" s="10">
        <v>0.14599999999999999</v>
      </c>
      <c r="G22" s="10">
        <v>0.19900000000000001</v>
      </c>
      <c r="H22" s="10">
        <v>0.38600000000000001</v>
      </c>
      <c r="I22" s="10">
        <v>0.84799999999999998</v>
      </c>
      <c r="J22" s="10">
        <v>0.875</v>
      </c>
      <c r="K22" s="10">
        <v>1.2969999999999999</v>
      </c>
    </row>
    <row r="23" spans="1:11" x14ac:dyDescent="0.3">
      <c r="A23" s="8" t="s">
        <v>13</v>
      </c>
      <c r="B23" s="11"/>
      <c r="C23" s="11"/>
      <c r="D23" s="11"/>
      <c r="E23" s="11"/>
      <c r="F23" s="11"/>
      <c r="G23" s="11"/>
      <c r="H23" s="11"/>
      <c r="I23" s="11"/>
      <c r="J23" s="10">
        <v>5.0000000000000001E-3</v>
      </c>
      <c r="K23" s="10">
        <v>0.153</v>
      </c>
    </row>
    <row r="24" spans="1:11" x14ac:dyDescent="0.3">
      <c r="A24" s="8" t="s">
        <v>14</v>
      </c>
      <c r="B24" s="11"/>
      <c r="C24" s="11"/>
      <c r="D24" s="11"/>
      <c r="E24" s="10">
        <v>5.0999999999999997E-2</v>
      </c>
      <c r="F24" s="10">
        <v>0.10199999999999999</v>
      </c>
      <c r="G24" s="10">
        <v>0.152</v>
      </c>
      <c r="H24" s="10">
        <v>0.20300000000000001</v>
      </c>
      <c r="I24" s="10">
        <v>0.254</v>
      </c>
      <c r="J24" s="10">
        <v>0.25900000000000001</v>
      </c>
      <c r="K24" s="10">
        <v>0.33500000000000002</v>
      </c>
    </row>
    <row r="25" spans="1:11" x14ac:dyDescent="0.3">
      <c r="A25" s="8" t="s">
        <v>15</v>
      </c>
      <c r="B25" s="11"/>
      <c r="C25" s="10">
        <v>0.40799999999999997</v>
      </c>
      <c r="D25" s="10">
        <v>1.556</v>
      </c>
      <c r="E25" s="10">
        <v>5.0599999999999996</v>
      </c>
      <c r="F25" s="10">
        <v>9.0069999999999997</v>
      </c>
      <c r="G25" s="10">
        <v>11.256</v>
      </c>
      <c r="H25" s="10">
        <v>11.974</v>
      </c>
      <c r="I25" s="10">
        <v>15.135</v>
      </c>
      <c r="J25" s="10">
        <v>24.523</v>
      </c>
      <c r="K25" s="10">
        <v>39.418999999999997</v>
      </c>
    </row>
    <row r="26" spans="1:11" x14ac:dyDescent="0.3">
      <c r="A26" s="8" t="s">
        <v>72</v>
      </c>
      <c r="B26" s="11"/>
      <c r="C26" s="11"/>
      <c r="D26" s="10">
        <v>9.7000000000000003E-2</v>
      </c>
      <c r="E26" s="10">
        <v>9.7000000000000003E-2</v>
      </c>
      <c r="F26" s="10">
        <v>9.7000000000000003E-2</v>
      </c>
      <c r="G26" s="10">
        <v>9.7000000000000003E-2</v>
      </c>
      <c r="H26" s="10">
        <v>9.7000000000000003E-2</v>
      </c>
      <c r="I26" s="11"/>
      <c r="J26" s="11"/>
      <c r="K26" s="10">
        <v>3.6999999999999998E-2</v>
      </c>
    </row>
    <row r="27" spans="1:11" x14ac:dyDescent="0.3">
      <c r="A27" s="8" t="s">
        <v>16</v>
      </c>
      <c r="B27" s="11"/>
      <c r="C27" s="11"/>
      <c r="D27" s="11"/>
      <c r="E27" s="11"/>
      <c r="F27" s="11"/>
      <c r="G27" s="10">
        <v>2.4E-2</v>
      </c>
      <c r="H27" s="10">
        <v>5.1999999999999998E-2</v>
      </c>
      <c r="I27" s="10">
        <v>0.158</v>
      </c>
      <c r="J27" s="10">
        <v>0.152</v>
      </c>
      <c r="K27" s="10">
        <v>0.20100000000000001</v>
      </c>
    </row>
    <row r="28" spans="1:11" x14ac:dyDescent="0.3">
      <c r="A28" s="8" t="s">
        <v>17</v>
      </c>
      <c r="B28" s="11"/>
      <c r="C28" s="11"/>
      <c r="D28" s="11"/>
      <c r="E28" s="11"/>
      <c r="F28" s="11"/>
      <c r="G28" s="11"/>
      <c r="H28" s="10">
        <v>4.1000000000000002E-2</v>
      </c>
      <c r="I28" s="10">
        <v>2.1549999999999998</v>
      </c>
      <c r="J28" s="10">
        <v>2.2290000000000001</v>
      </c>
      <c r="K28" s="10">
        <v>2.5609999999999999</v>
      </c>
    </row>
    <row r="29" spans="1:11" x14ac:dyDescent="0.3">
      <c r="A29" s="8" t="s">
        <v>73</v>
      </c>
      <c r="B29" s="11"/>
      <c r="C29" s="10">
        <v>5.0999999999999997E-2</v>
      </c>
      <c r="D29" s="10">
        <v>8.1000000000000003E-2</v>
      </c>
      <c r="E29" s="10">
        <v>0.14399999999999999</v>
      </c>
      <c r="F29" s="12">
        <v>0.22212999999999999</v>
      </c>
      <c r="G29" s="10">
        <v>0.56799999999999995</v>
      </c>
      <c r="H29" s="10">
        <v>0.80200000000000005</v>
      </c>
      <c r="I29" s="10">
        <v>0.97499999999999998</v>
      </c>
      <c r="J29" s="10">
        <v>0.73499999999999999</v>
      </c>
      <c r="K29" s="10">
        <v>0.96699999999999997</v>
      </c>
    </row>
    <row r="30" spans="1:11" x14ac:dyDescent="0.3">
      <c r="A30" s="8" t="s">
        <v>18</v>
      </c>
      <c r="B30" s="11"/>
      <c r="C30" s="11"/>
      <c r="D30" s="11"/>
      <c r="E30" s="10">
        <v>7.0000000000000007E-2</v>
      </c>
      <c r="F30" s="10">
        <v>0.14000000000000001</v>
      </c>
      <c r="G30" s="10">
        <v>0.32600000000000001</v>
      </c>
      <c r="H30" s="10">
        <v>0.47899999999999998</v>
      </c>
      <c r="I30" s="10">
        <v>0.78200000000000003</v>
      </c>
      <c r="J30" s="10">
        <v>0.753</v>
      </c>
      <c r="K30" s="10">
        <v>1.571</v>
      </c>
    </row>
    <row r="31" spans="1:11" x14ac:dyDescent="0.3">
      <c r="A31" s="8" t="s">
        <v>19</v>
      </c>
      <c r="B31" s="11"/>
      <c r="C31" s="11"/>
      <c r="D31" s="11"/>
      <c r="E31" s="11"/>
      <c r="F31" s="11"/>
      <c r="G31" s="11"/>
      <c r="H31" s="11"/>
      <c r="I31" s="11"/>
      <c r="J31" s="10">
        <v>5.0000000000000001E-3</v>
      </c>
      <c r="K31" s="10">
        <v>8.1000000000000003E-2</v>
      </c>
    </row>
    <row r="32" spans="1:11" x14ac:dyDescent="0.3">
      <c r="A32" s="8" t="s">
        <v>74</v>
      </c>
      <c r="B32" s="11"/>
      <c r="C32" s="10">
        <v>4.9000000000000002E-2</v>
      </c>
      <c r="D32" s="10">
        <v>8.6999999999999994E-2</v>
      </c>
      <c r="E32" s="10">
        <v>0.126</v>
      </c>
      <c r="F32" s="10">
        <v>0.107</v>
      </c>
      <c r="G32" s="10">
        <v>0.13400000000000001</v>
      </c>
      <c r="H32" s="10">
        <v>0.23</v>
      </c>
      <c r="I32" s="10">
        <v>0.311</v>
      </c>
      <c r="J32" s="10">
        <v>0.35599999999999998</v>
      </c>
      <c r="K32" s="10">
        <v>0.502</v>
      </c>
    </row>
    <row r="33" spans="1:11" x14ac:dyDescent="0.3">
      <c r="A33" s="8" t="s">
        <v>75</v>
      </c>
      <c r="B33" s="10">
        <v>4.5830000000000002</v>
      </c>
      <c r="C33" s="10">
        <v>4.5830000000000002</v>
      </c>
      <c r="D33" s="10">
        <v>4.5830000000000002</v>
      </c>
      <c r="E33" s="10">
        <v>4.5830000000000002</v>
      </c>
      <c r="F33" s="10">
        <v>4.5830000000000002</v>
      </c>
      <c r="G33" s="10">
        <v>15.856999999999999</v>
      </c>
      <c r="H33" s="10">
        <v>15.856999999999999</v>
      </c>
      <c r="I33" s="10">
        <v>15.856999999999999</v>
      </c>
      <c r="J33" s="10">
        <v>15.856999999999999</v>
      </c>
      <c r="K33" s="10">
        <v>15.856999999999999</v>
      </c>
    </row>
    <row r="34" spans="1:11" x14ac:dyDescent="0.3">
      <c r="A34" s="8" t="s">
        <v>20</v>
      </c>
      <c r="B34" s="11"/>
      <c r="C34" s="11"/>
      <c r="D34" s="11"/>
      <c r="E34" s="10">
        <v>0.01</v>
      </c>
      <c r="F34" s="10">
        <v>3.1E-2</v>
      </c>
      <c r="G34" s="10">
        <v>3.1E-2</v>
      </c>
      <c r="H34" s="10">
        <v>8.4000000000000005E-2</v>
      </c>
      <c r="I34" s="10">
        <v>0.14299999999999999</v>
      </c>
      <c r="J34" s="10">
        <v>0.14799999999999999</v>
      </c>
      <c r="K34" s="10">
        <v>0.17799999999999999</v>
      </c>
    </row>
    <row r="35" spans="1:11" x14ac:dyDescent="0.3">
      <c r="A35" s="8" t="s">
        <v>21</v>
      </c>
      <c r="B35" s="11"/>
      <c r="C35" s="11"/>
      <c r="D35" s="11"/>
      <c r="E35" s="11"/>
      <c r="F35" s="11"/>
      <c r="G35" s="11"/>
      <c r="H35" s="10">
        <v>0.01</v>
      </c>
      <c r="I35" s="10">
        <v>5.2999999999999999E-2</v>
      </c>
      <c r="J35" s="10">
        <v>8.7999999999999995E-2</v>
      </c>
      <c r="K35" s="10">
        <v>0.115</v>
      </c>
    </row>
    <row r="36" spans="1:11" x14ac:dyDescent="0.3">
      <c r="A36" s="8" t="s">
        <v>22</v>
      </c>
      <c r="B36" s="11"/>
      <c r="C36" s="11"/>
      <c r="D36" s="11"/>
      <c r="E36" s="11"/>
      <c r="F36" s="10">
        <v>1.4999999999999999E-2</v>
      </c>
      <c r="G36" s="10">
        <v>1.4999999999999999E-2</v>
      </c>
      <c r="H36" s="10">
        <v>1.4999999999999999E-2</v>
      </c>
      <c r="I36" s="10">
        <v>7.0000000000000001E-3</v>
      </c>
      <c r="J36" s="10">
        <v>0.02</v>
      </c>
      <c r="K36" s="10">
        <v>0.34499999999999997</v>
      </c>
    </row>
    <row r="37" spans="1:11" x14ac:dyDescent="0.3">
      <c r="A37" s="8" t="s">
        <v>23</v>
      </c>
      <c r="B37" s="11"/>
      <c r="C37" s="10">
        <v>2.1999999999999999E-2</v>
      </c>
      <c r="D37" s="10">
        <v>8.5999999999999993E-2</v>
      </c>
      <c r="E37" s="10">
        <v>0.748</v>
      </c>
      <c r="F37" s="10">
        <v>1.431</v>
      </c>
      <c r="G37" s="10">
        <v>2.258</v>
      </c>
      <c r="H37" s="10">
        <v>3.2120000000000002</v>
      </c>
      <c r="I37" s="10">
        <v>8.6709999999999994</v>
      </c>
      <c r="J37" s="10">
        <v>13.217000000000001</v>
      </c>
      <c r="K37" s="10">
        <v>18.273</v>
      </c>
    </row>
    <row r="38" spans="1:11" x14ac:dyDescent="0.3">
      <c r="A38" s="8" t="s">
        <v>24</v>
      </c>
      <c r="B38" s="11"/>
      <c r="C38" s="10">
        <v>5.6000000000000001E-2</v>
      </c>
      <c r="D38" s="10">
        <v>0.21199999999999999</v>
      </c>
      <c r="E38" s="10">
        <v>0.69199999999999995</v>
      </c>
      <c r="F38" s="10">
        <v>1.2350000000000001</v>
      </c>
      <c r="G38" s="10">
        <v>1.8149999999999999</v>
      </c>
      <c r="H38" s="10">
        <v>6.9589999999999996</v>
      </c>
      <c r="I38" s="10">
        <v>11.586</v>
      </c>
      <c r="J38" s="10">
        <v>18.611000000000001</v>
      </c>
      <c r="K38" s="10">
        <v>18.97</v>
      </c>
    </row>
    <row r="39" spans="1:11" ht="18" x14ac:dyDescent="0.3">
      <c r="A39" s="8" t="s">
        <v>76</v>
      </c>
      <c r="B39" s="11"/>
      <c r="C39" s="11"/>
      <c r="D39" s="11"/>
      <c r="E39" s="11"/>
      <c r="F39" s="11"/>
      <c r="G39" s="11"/>
      <c r="H39" s="11"/>
      <c r="I39" s="11"/>
      <c r="J39" s="11"/>
      <c r="K39" s="10">
        <v>7.5999999999999998E-2</v>
      </c>
    </row>
    <row r="40" spans="1:11" x14ac:dyDescent="0.3">
      <c r="A40" s="8" t="s">
        <v>25</v>
      </c>
      <c r="B40" s="11"/>
      <c r="C40" s="11"/>
      <c r="D40" s="11"/>
      <c r="E40" s="10">
        <v>4.9000000000000002E-2</v>
      </c>
      <c r="F40" s="10">
        <v>9.7000000000000003E-2</v>
      </c>
      <c r="G40" s="10">
        <v>0.30299999999999999</v>
      </c>
      <c r="H40" s="10">
        <v>0.434</v>
      </c>
      <c r="I40" s="10">
        <v>0.72399999999999998</v>
      </c>
      <c r="J40" s="10">
        <v>0.82299999999999995</v>
      </c>
      <c r="K40" s="10">
        <v>1.351</v>
      </c>
    </row>
    <row r="41" spans="1:11" x14ac:dyDescent="0.3">
      <c r="A41" s="8" t="s">
        <v>77</v>
      </c>
      <c r="B41" s="11"/>
      <c r="C41" s="11"/>
      <c r="D41" s="11"/>
      <c r="E41" s="11"/>
      <c r="F41" s="11"/>
      <c r="G41" s="11"/>
      <c r="H41" s="11"/>
      <c r="I41" s="11"/>
      <c r="J41" s="11"/>
      <c r="K41" s="10">
        <v>0.22700000000000001</v>
      </c>
    </row>
    <row r="42" spans="1:11" x14ac:dyDescent="0.3">
      <c r="A42" s="8" t="s">
        <v>26</v>
      </c>
      <c r="B42" s="11"/>
      <c r="C42" s="11"/>
      <c r="D42" s="11"/>
      <c r="E42" s="11"/>
      <c r="F42" s="11"/>
      <c r="G42" s="10">
        <v>0.129</v>
      </c>
      <c r="H42" s="10">
        <v>0.17699999999999999</v>
      </c>
      <c r="I42" s="10">
        <v>0.25800000000000001</v>
      </c>
      <c r="J42" s="10">
        <v>0.13400000000000001</v>
      </c>
      <c r="K42" s="10">
        <v>0.85299999999999998</v>
      </c>
    </row>
    <row r="43" spans="1:11" x14ac:dyDescent="0.3">
      <c r="A43" s="8" t="s">
        <v>78</v>
      </c>
      <c r="B43" s="11"/>
      <c r="C43" s="11"/>
      <c r="D43" s="11"/>
      <c r="E43" s="11"/>
      <c r="F43" s="11"/>
      <c r="G43" s="11"/>
      <c r="H43" s="10">
        <v>2.3E-2</v>
      </c>
      <c r="I43" s="10">
        <v>5.1999999999999998E-2</v>
      </c>
      <c r="J43" s="10">
        <v>0.42699999999999999</v>
      </c>
      <c r="K43" s="10">
        <v>0.89500000000000002</v>
      </c>
    </row>
    <row r="44" spans="1:11" x14ac:dyDescent="0.3">
      <c r="A44" s="8" t="s">
        <v>27</v>
      </c>
      <c r="B44" s="11"/>
      <c r="C44" s="11"/>
      <c r="D44" s="11"/>
      <c r="E44" s="10">
        <v>0.26500000000000001</v>
      </c>
      <c r="F44" s="10">
        <v>0.53</v>
      </c>
      <c r="G44" s="10">
        <v>0.85199999999999998</v>
      </c>
      <c r="H44" s="10">
        <v>1.1359999999999999</v>
      </c>
      <c r="I44" s="10">
        <v>1.601</v>
      </c>
      <c r="J44" s="10">
        <v>1.365</v>
      </c>
      <c r="K44" s="10">
        <v>1.3919999999999999</v>
      </c>
    </row>
    <row r="45" spans="1:11" x14ac:dyDescent="0.3">
      <c r="A45" s="8" t="s">
        <v>79</v>
      </c>
      <c r="B45" s="11"/>
      <c r="C45" s="11"/>
      <c r="D45" s="11"/>
      <c r="E45" s="11"/>
      <c r="F45" s="11"/>
      <c r="G45" s="11"/>
      <c r="H45" s="11"/>
      <c r="I45" s="11"/>
      <c r="J45" s="10">
        <v>5.0000000000000001E-3</v>
      </c>
      <c r="K45" s="10">
        <v>0.04</v>
      </c>
    </row>
    <row r="46" spans="1:11" x14ac:dyDescent="0.3">
      <c r="A46" s="8" t="s">
        <v>80</v>
      </c>
      <c r="B46" s="11"/>
      <c r="C46" s="11"/>
      <c r="D46" s="11"/>
      <c r="E46" s="11"/>
      <c r="F46" s="10">
        <v>0</v>
      </c>
      <c r="G46" s="10">
        <v>0</v>
      </c>
      <c r="H46" s="10">
        <v>0</v>
      </c>
      <c r="I46" s="11"/>
      <c r="J46" s="11"/>
      <c r="K46" s="11"/>
    </row>
    <row r="47" spans="1:11" x14ac:dyDescent="0.3">
      <c r="A47" s="8" t="s">
        <v>28</v>
      </c>
      <c r="B47" s="11"/>
      <c r="C47" s="10">
        <v>0.27200000000000002</v>
      </c>
      <c r="D47" s="10">
        <v>1.0309999999999999</v>
      </c>
      <c r="E47" s="10">
        <v>3.3540000000000001</v>
      </c>
      <c r="F47" s="10">
        <v>10.724</v>
      </c>
      <c r="G47" s="10">
        <v>12.16</v>
      </c>
      <c r="H47" s="10">
        <v>17.437999999999999</v>
      </c>
      <c r="I47" s="10">
        <v>20.582000000000001</v>
      </c>
      <c r="J47" s="10">
        <v>24.878</v>
      </c>
      <c r="K47" s="10">
        <v>21.847999999999999</v>
      </c>
    </row>
    <row r="48" spans="1:11" x14ac:dyDescent="0.3">
      <c r="A48" s="8" t="s">
        <v>29</v>
      </c>
      <c r="B48" s="11"/>
      <c r="C48" s="11"/>
      <c r="D48" s="11"/>
      <c r="E48" s="11"/>
      <c r="F48" s="11"/>
      <c r="G48" s="11"/>
      <c r="H48" s="10">
        <v>2E-3</v>
      </c>
      <c r="I48" s="10">
        <v>1.4E-2</v>
      </c>
      <c r="J48" s="10">
        <v>9.8000000000000004E-2</v>
      </c>
      <c r="K48" s="10">
        <v>1.129</v>
      </c>
    </row>
    <row r="49" spans="1:11" x14ac:dyDescent="0.3">
      <c r="A49" s="8" t="s">
        <v>81</v>
      </c>
      <c r="B49" s="10">
        <v>1.3160000000000001</v>
      </c>
      <c r="C49" s="10">
        <v>1.35</v>
      </c>
      <c r="D49" s="10">
        <v>1.45</v>
      </c>
      <c r="E49" s="10">
        <v>1.45</v>
      </c>
      <c r="F49" s="10">
        <v>1.45</v>
      </c>
      <c r="G49" s="10">
        <v>1.45</v>
      </c>
      <c r="H49" s="10">
        <v>1.8</v>
      </c>
      <c r="I49" s="10">
        <v>1.8</v>
      </c>
      <c r="J49" s="10">
        <v>1.8</v>
      </c>
      <c r="K49" s="10">
        <v>1.8</v>
      </c>
    </row>
    <row r="50" spans="1:11" x14ac:dyDescent="0.3">
      <c r="A50" s="8" t="s">
        <v>30</v>
      </c>
      <c r="B50" s="10">
        <v>9.2999999999999999E-2</v>
      </c>
      <c r="C50" s="10">
        <v>0.26</v>
      </c>
      <c r="D50" s="10">
        <v>0.56299999999999994</v>
      </c>
      <c r="E50" s="10">
        <v>1.2949999999999999</v>
      </c>
      <c r="F50" s="10">
        <v>2.1709999999999998</v>
      </c>
      <c r="G50" s="10">
        <v>4.0869999999999997</v>
      </c>
      <c r="H50" s="10">
        <v>8.7520000000000007</v>
      </c>
      <c r="I50" s="10">
        <v>10.308999999999999</v>
      </c>
      <c r="J50" s="10">
        <v>12.108000000000001</v>
      </c>
      <c r="K50" s="10">
        <v>14.281000000000001</v>
      </c>
    </row>
    <row r="51" spans="1:11" x14ac:dyDescent="0.3">
      <c r="A51" s="8" t="s">
        <v>31</v>
      </c>
      <c r="B51" s="11"/>
      <c r="C51" s="11"/>
      <c r="D51" s="11"/>
      <c r="E51" s="11"/>
      <c r="F51" s="11"/>
      <c r="G51" s="10">
        <v>0.20799999999999999</v>
      </c>
      <c r="H51" s="10">
        <v>0.29399999999999998</v>
      </c>
      <c r="I51" s="10">
        <v>0.42399999999999999</v>
      </c>
      <c r="J51" s="10">
        <v>1.722</v>
      </c>
      <c r="K51" s="10">
        <v>3.3580000000000001</v>
      </c>
    </row>
    <row r="52" spans="1:11" x14ac:dyDescent="0.3">
      <c r="A52" s="8" t="s">
        <v>32</v>
      </c>
      <c r="B52" s="11"/>
      <c r="C52" s="10">
        <v>0.17199999999999999</v>
      </c>
      <c r="D52" s="10">
        <v>0.89</v>
      </c>
      <c r="E52" s="10">
        <v>1.9159999999999999</v>
      </c>
      <c r="F52" s="10">
        <v>2.0760000000000001</v>
      </c>
      <c r="G52" s="10">
        <v>1.861</v>
      </c>
      <c r="H52" s="10">
        <v>1.349</v>
      </c>
      <c r="I52" s="10">
        <v>1.2030000000000001</v>
      </c>
      <c r="J52" s="10">
        <v>1.42</v>
      </c>
      <c r="K52" s="10">
        <v>1.2629999999999999</v>
      </c>
    </row>
    <row r="53" spans="1:11" x14ac:dyDescent="0.3">
      <c r="A53" s="8" t="s">
        <v>33</v>
      </c>
      <c r="B53" s="11"/>
      <c r="C53" s="11"/>
      <c r="D53" s="11"/>
      <c r="E53" s="10">
        <v>0.47</v>
      </c>
      <c r="F53" s="10">
        <v>0.94099999999999995</v>
      </c>
      <c r="G53" s="10">
        <v>1.5089999999999999</v>
      </c>
      <c r="H53" s="10">
        <v>1.637</v>
      </c>
      <c r="I53" s="10">
        <v>1.766</v>
      </c>
      <c r="J53" s="10">
        <v>1.2969999999999999</v>
      </c>
      <c r="K53" s="10">
        <v>0.83</v>
      </c>
    </row>
    <row r="54" spans="1:11" x14ac:dyDescent="0.3">
      <c r="A54" s="8" t="s">
        <v>34</v>
      </c>
      <c r="B54" s="10">
        <v>32.186</v>
      </c>
      <c r="C54" s="10">
        <v>42.524000000000001</v>
      </c>
      <c r="D54" s="10">
        <v>65.911000000000001</v>
      </c>
      <c r="E54" s="10">
        <v>93.769000000000005</v>
      </c>
      <c r="F54" s="10">
        <v>118.09699999999999</v>
      </c>
      <c r="G54" s="10">
        <v>128.10599999999999</v>
      </c>
      <c r="H54" s="10">
        <v>126.074</v>
      </c>
      <c r="I54" s="10">
        <v>138.67699999999999</v>
      </c>
      <c r="J54" s="10">
        <v>120.416</v>
      </c>
      <c r="K54" s="10">
        <v>104.58499999999999</v>
      </c>
    </row>
    <row r="55" spans="1:11" x14ac:dyDescent="0.3">
      <c r="A55" s="8" t="s">
        <v>82</v>
      </c>
      <c r="B55" s="11"/>
      <c r="C55" s="10">
        <v>2.3E-2</v>
      </c>
      <c r="D55" s="10">
        <v>2.3E-2</v>
      </c>
      <c r="E55" s="10">
        <v>2.3E-2</v>
      </c>
      <c r="F55" s="11"/>
      <c r="G55" s="11"/>
      <c r="H55" s="11"/>
      <c r="I55" s="11"/>
      <c r="J55" s="11"/>
      <c r="K55" s="11"/>
    </row>
    <row r="56" spans="1:11" x14ac:dyDescent="0.3">
      <c r="A56" s="8" t="s">
        <v>83</v>
      </c>
      <c r="B56" s="11"/>
      <c r="C56" s="11"/>
      <c r="D56" s="11"/>
      <c r="E56" s="10">
        <v>0.54100000000000004</v>
      </c>
      <c r="F56" s="10">
        <v>0.73499999999999999</v>
      </c>
      <c r="G56" s="10">
        <v>1.238</v>
      </c>
      <c r="H56" s="10">
        <v>1.8919999999999999</v>
      </c>
      <c r="I56" s="10">
        <v>1.907</v>
      </c>
      <c r="J56" s="10">
        <v>1.3120000000000001</v>
      </c>
      <c r="K56" s="10">
        <v>1.228</v>
      </c>
    </row>
    <row r="57" spans="1:11" x14ac:dyDescent="0.3">
      <c r="A57" s="8" t="s">
        <v>35</v>
      </c>
      <c r="B57" s="10">
        <v>11.515000000000001</v>
      </c>
      <c r="C57" s="10">
        <v>17.401</v>
      </c>
      <c r="D57" s="10">
        <v>21.042999999999999</v>
      </c>
      <c r="E57" s="10">
        <v>29.873000000000001</v>
      </c>
      <c r="F57" s="10">
        <v>33.584000000000003</v>
      </c>
      <c r="G57" s="10">
        <v>38.726999999999997</v>
      </c>
      <c r="H57" s="10">
        <v>40.694000000000003</v>
      </c>
      <c r="I57" s="10">
        <v>53.31</v>
      </c>
      <c r="J57" s="10">
        <v>63.771999999999998</v>
      </c>
      <c r="K57" s="10">
        <v>75.358999999999995</v>
      </c>
    </row>
    <row r="58" spans="1:11" x14ac:dyDescent="0.3">
      <c r="A58" s="8" t="s">
        <v>36</v>
      </c>
      <c r="B58" s="10">
        <v>1.6359999999999999</v>
      </c>
      <c r="C58" s="10">
        <v>1.66</v>
      </c>
      <c r="D58" s="10">
        <v>1.726</v>
      </c>
      <c r="E58" s="10">
        <v>1.9259999999999999</v>
      </c>
      <c r="F58" s="10">
        <v>2.1949999999999998</v>
      </c>
      <c r="G58" s="10">
        <v>2.1789999999999998</v>
      </c>
      <c r="H58" s="10">
        <v>2.0310000000000001</v>
      </c>
      <c r="I58" s="10">
        <v>1.9470000000000001</v>
      </c>
      <c r="J58" s="10">
        <v>2.7349999999999999</v>
      </c>
      <c r="K58" s="10">
        <v>2.8460000000000001</v>
      </c>
    </row>
    <row r="59" spans="1:11" x14ac:dyDescent="0.3">
      <c r="A59" s="8" t="s">
        <v>37</v>
      </c>
      <c r="B59" s="11"/>
      <c r="C59" s="11"/>
      <c r="D59" s="11"/>
      <c r="E59" s="11"/>
      <c r="F59" s="11"/>
      <c r="G59" s="11"/>
      <c r="H59" s="11"/>
      <c r="I59" s="11"/>
      <c r="J59" s="10">
        <v>1.6E-2</v>
      </c>
      <c r="K59" s="10">
        <v>0.14199999999999999</v>
      </c>
    </row>
    <row r="60" spans="1:11" x14ac:dyDescent="0.3">
      <c r="A60" s="8" t="s">
        <v>84</v>
      </c>
      <c r="B60" s="10">
        <v>2.9540000000000002</v>
      </c>
      <c r="C60" s="10">
        <v>3.2389999999999999</v>
      </c>
      <c r="D60" s="10">
        <v>3.524</v>
      </c>
      <c r="E60" s="10">
        <v>3.524</v>
      </c>
      <c r="F60" s="10">
        <v>3.524</v>
      </c>
      <c r="G60" s="10">
        <v>3.524</v>
      </c>
      <c r="H60" s="10">
        <v>3.524</v>
      </c>
      <c r="I60" s="10">
        <v>3.524</v>
      </c>
      <c r="J60" s="10">
        <v>3.524</v>
      </c>
      <c r="K60" s="10">
        <v>3.524</v>
      </c>
    </row>
    <row r="61" spans="1:11" x14ac:dyDescent="0.3">
      <c r="A61" s="8" t="s">
        <v>39</v>
      </c>
      <c r="B61" s="11"/>
      <c r="C61" s="10">
        <v>1.0999999999999999E-2</v>
      </c>
      <c r="D61" s="10">
        <v>4.1000000000000002E-2</v>
      </c>
      <c r="E61" s="10">
        <v>0.13300000000000001</v>
      </c>
      <c r="F61" s="10">
        <v>0.25700000000000001</v>
      </c>
      <c r="G61" s="10">
        <v>0.28899999999999998</v>
      </c>
      <c r="H61" s="10">
        <v>0.254</v>
      </c>
      <c r="I61" s="10">
        <v>0.65100000000000002</v>
      </c>
      <c r="J61" s="10">
        <v>0.78600000000000003</v>
      </c>
      <c r="K61" s="10">
        <v>10.196</v>
      </c>
    </row>
    <row r="62" spans="1:11" x14ac:dyDescent="0.3">
      <c r="A62" s="8" t="s">
        <v>40</v>
      </c>
      <c r="B62" s="10">
        <v>3.5129999999999999</v>
      </c>
      <c r="C62" s="10">
        <v>4.7320000000000002</v>
      </c>
      <c r="D62" s="10">
        <v>5.4340000000000002</v>
      </c>
      <c r="E62" s="10">
        <v>6.931</v>
      </c>
      <c r="F62" s="10">
        <v>7.5750000000000002</v>
      </c>
      <c r="G62" s="10">
        <v>9.2140000000000004</v>
      </c>
      <c r="H62" s="10">
        <v>9.2680000000000007</v>
      </c>
      <c r="I62" s="10">
        <v>8.8049999999999997</v>
      </c>
      <c r="J62" s="10">
        <v>6.867</v>
      </c>
      <c r="K62" s="10">
        <v>5.0890000000000004</v>
      </c>
    </row>
    <row r="63" spans="1:11" x14ac:dyDescent="0.3">
      <c r="A63" s="8" t="s">
        <v>41</v>
      </c>
      <c r="B63" s="11"/>
      <c r="C63" s="10">
        <v>7.0000000000000001E-3</v>
      </c>
      <c r="D63" s="10">
        <v>2.5999999999999999E-2</v>
      </c>
      <c r="E63" s="10">
        <v>8.5000000000000006E-2</v>
      </c>
      <c r="F63" s="10">
        <v>0.16600000000000001</v>
      </c>
      <c r="G63" s="10">
        <v>0.26400000000000001</v>
      </c>
      <c r="H63" s="10">
        <v>0.23499999999999999</v>
      </c>
      <c r="I63" s="10">
        <v>0.19800000000000001</v>
      </c>
      <c r="J63" s="10">
        <v>0.108</v>
      </c>
      <c r="K63" s="10">
        <v>0.312</v>
      </c>
    </row>
    <row r="64" spans="1:11" x14ac:dyDescent="0.3">
      <c r="A64" s="8" t="s">
        <v>85</v>
      </c>
      <c r="B64" s="11"/>
      <c r="C64" s="11"/>
      <c r="D64" s="11"/>
      <c r="E64" s="11"/>
      <c r="F64" s="10">
        <v>3.3000000000000002E-2</v>
      </c>
      <c r="G64" s="10">
        <v>0.17799999999999999</v>
      </c>
      <c r="H64" s="10">
        <v>0.183</v>
      </c>
      <c r="I64" s="10">
        <v>0.41699999999999998</v>
      </c>
      <c r="J64" s="10">
        <v>1.5760000000000001</v>
      </c>
      <c r="K64" s="10">
        <v>4.09</v>
      </c>
    </row>
    <row r="65" spans="1:11" x14ac:dyDescent="0.3">
      <c r="A65" s="8" t="s">
        <v>86</v>
      </c>
      <c r="B65" s="10">
        <v>6.9340000000000002</v>
      </c>
      <c r="C65" s="10">
        <v>7.6980000000000004</v>
      </c>
      <c r="D65" s="10">
        <v>7.78</v>
      </c>
      <c r="E65" s="10">
        <v>7.7910000000000004</v>
      </c>
      <c r="F65" s="10">
        <v>7.7229999999999999</v>
      </c>
      <c r="G65" s="10">
        <v>7.7240000000000002</v>
      </c>
      <c r="H65" s="10">
        <v>7.7439999999999998</v>
      </c>
      <c r="I65" s="10">
        <v>8.0069999999999997</v>
      </c>
      <c r="J65" s="10">
        <v>8.2040000000000006</v>
      </c>
      <c r="K65" s="10">
        <v>8.173</v>
      </c>
    </row>
    <row r="66" spans="1:11" x14ac:dyDescent="0.3">
      <c r="A66" s="8" t="s">
        <v>87</v>
      </c>
      <c r="B66" s="11"/>
      <c r="C66" s="11"/>
      <c r="D66" s="11"/>
      <c r="E66" s="11"/>
      <c r="F66" s="11"/>
      <c r="G66" s="11"/>
      <c r="H66" s="11"/>
      <c r="I66" s="11"/>
      <c r="J66" s="10">
        <v>5.0000000000000001E-3</v>
      </c>
      <c r="K66" s="10">
        <v>0.13</v>
      </c>
    </row>
    <row r="67" spans="1:11" x14ac:dyDescent="0.3">
      <c r="A67" s="8" t="s">
        <v>88</v>
      </c>
      <c r="B67" s="11"/>
      <c r="C67" s="11"/>
      <c r="D67" s="11"/>
      <c r="E67" s="11"/>
      <c r="F67" s="10">
        <v>1.2999999999999999E-2</v>
      </c>
      <c r="G67" s="10">
        <v>1.2999999999999999E-2</v>
      </c>
      <c r="H67" s="10">
        <v>1.2999999999999999E-2</v>
      </c>
      <c r="I67" s="11"/>
      <c r="J67" s="11"/>
      <c r="K67" s="11"/>
    </row>
    <row r="68" spans="1:11" x14ac:dyDescent="0.3">
      <c r="A68" s="8" t="s">
        <v>89</v>
      </c>
      <c r="B68" s="10">
        <v>2.7E-2</v>
      </c>
      <c r="C68" s="10">
        <v>2.7E-2</v>
      </c>
      <c r="D68" s="10">
        <v>2.7E-2</v>
      </c>
      <c r="E68" s="10">
        <v>2.7E-2</v>
      </c>
      <c r="F68" s="11"/>
      <c r="G68" s="11"/>
      <c r="H68" s="11"/>
      <c r="I68" s="11"/>
      <c r="J68" s="11"/>
      <c r="K68" s="11"/>
    </row>
    <row r="69" spans="1:11" x14ac:dyDescent="0.3">
      <c r="A69" s="8" t="s">
        <v>90</v>
      </c>
      <c r="B69" s="11"/>
      <c r="C69" s="10">
        <v>1.0999999999999999E-2</v>
      </c>
      <c r="D69" s="10">
        <v>0.02</v>
      </c>
      <c r="E69" s="10">
        <v>2.5000000000000001E-2</v>
      </c>
      <c r="F69" s="10">
        <v>0.126</v>
      </c>
      <c r="G69" s="10">
        <v>0.14699999999999999</v>
      </c>
      <c r="H69" s="10">
        <v>0.2</v>
      </c>
      <c r="I69" s="10">
        <v>0.14599999999999999</v>
      </c>
      <c r="J69" s="10">
        <v>0.115</v>
      </c>
      <c r="K69" s="10">
        <v>5.8000000000000003E-2</v>
      </c>
    </row>
    <row r="70" spans="1:11" x14ac:dyDescent="0.3">
      <c r="A70" s="8" t="s">
        <v>42</v>
      </c>
      <c r="B70" s="11"/>
      <c r="C70" s="11"/>
      <c r="D70" s="11"/>
      <c r="E70" s="11"/>
      <c r="F70" s="10">
        <v>8.9999999999999993E-3</v>
      </c>
      <c r="G70" s="10">
        <v>1.7000000000000001E-2</v>
      </c>
      <c r="H70" s="10">
        <v>0.03</v>
      </c>
      <c r="I70" s="10">
        <v>0.51500000000000001</v>
      </c>
      <c r="J70" s="10">
        <v>0.52800000000000002</v>
      </c>
      <c r="K70" s="10">
        <v>0.51900000000000002</v>
      </c>
    </row>
    <row r="71" spans="1:11" x14ac:dyDescent="0.3">
      <c r="A71" s="8" t="s">
        <v>91</v>
      </c>
      <c r="B71" s="11"/>
      <c r="C71" s="11"/>
      <c r="D71" s="11"/>
      <c r="E71" s="11"/>
      <c r="F71" s="11"/>
      <c r="G71" s="11"/>
      <c r="H71" s="11"/>
      <c r="I71" s="10">
        <v>0</v>
      </c>
      <c r="J71" s="10">
        <v>0</v>
      </c>
      <c r="K71" s="10">
        <v>0</v>
      </c>
    </row>
    <row r="72" spans="1:11" ht="18" x14ac:dyDescent="0.3">
      <c r="A72" s="8" t="s">
        <v>92</v>
      </c>
      <c r="B72" s="11"/>
      <c r="C72" s="11"/>
      <c r="D72" s="11"/>
      <c r="E72" s="11"/>
      <c r="F72" s="11"/>
      <c r="G72" s="11"/>
      <c r="H72" s="11"/>
      <c r="I72" s="11"/>
      <c r="J72" s="10">
        <v>1.6E-2</v>
      </c>
      <c r="K72" s="10">
        <v>8.5999999999999993E-2</v>
      </c>
    </row>
    <row r="73" spans="1:11" x14ac:dyDescent="0.3">
      <c r="A73" s="8" t="s">
        <v>44</v>
      </c>
      <c r="B73" s="11"/>
      <c r="C73" s="11"/>
      <c r="D73" s="11"/>
      <c r="E73" s="11"/>
      <c r="F73" s="10">
        <v>5.0000000000000001E-3</v>
      </c>
      <c r="G73" s="10">
        <v>5.0000000000000001E-3</v>
      </c>
      <c r="H73" s="10">
        <v>5.0000000000000001E-3</v>
      </c>
      <c r="I73" s="10">
        <v>6.0000000000000001E-3</v>
      </c>
      <c r="J73" s="10">
        <v>2.1999999999999999E-2</v>
      </c>
      <c r="K73" s="10">
        <v>0.08</v>
      </c>
    </row>
    <row r="74" spans="1:11" x14ac:dyDescent="0.3">
      <c r="A74" s="8" t="s">
        <v>45</v>
      </c>
      <c r="B74" s="11"/>
      <c r="C74" s="11"/>
      <c r="D74" s="10">
        <v>2E-3</v>
      </c>
      <c r="E74" s="10">
        <v>2E-3</v>
      </c>
      <c r="F74" s="10">
        <v>2E-3</v>
      </c>
      <c r="G74" s="11"/>
      <c r="H74" s="10">
        <v>1.7000000000000001E-2</v>
      </c>
      <c r="I74" s="10">
        <v>9.7000000000000003E-2</v>
      </c>
      <c r="J74" s="10">
        <v>0.11600000000000001</v>
      </c>
      <c r="K74" s="10">
        <v>0.17</v>
      </c>
    </row>
    <row r="75" spans="1:11" x14ac:dyDescent="0.3">
      <c r="A75" s="8" t="s">
        <v>46</v>
      </c>
      <c r="B75" s="11"/>
      <c r="C75" s="11"/>
      <c r="D75" s="10">
        <v>0.14599999999999999</v>
      </c>
      <c r="E75" s="10">
        <v>0.14599999999999999</v>
      </c>
      <c r="F75" s="10">
        <v>0.19800000000000001</v>
      </c>
      <c r="G75" s="10">
        <v>0.19800000000000001</v>
      </c>
      <c r="H75" s="10">
        <v>0.23899999999999999</v>
      </c>
      <c r="I75" s="10">
        <v>9.0999999999999998E-2</v>
      </c>
      <c r="J75" s="10">
        <v>0.39700000000000002</v>
      </c>
      <c r="K75" s="10">
        <v>0.41799999999999998</v>
      </c>
    </row>
    <row r="76" spans="1:11" x14ac:dyDescent="0.3">
      <c r="A76" s="8" t="s">
        <v>47</v>
      </c>
      <c r="B76" s="10">
        <v>4.0000000000000001E-3</v>
      </c>
      <c r="C76" s="10">
        <v>5.0000000000000001E-3</v>
      </c>
      <c r="D76" s="10">
        <v>6.0000000000000001E-3</v>
      </c>
      <c r="E76" s="10">
        <v>5.0000000000000001E-3</v>
      </c>
      <c r="F76" s="10">
        <v>5.0000000000000001E-3</v>
      </c>
      <c r="G76" s="10">
        <v>5.0000000000000001E-3</v>
      </c>
      <c r="H76" s="10">
        <v>2E-3</v>
      </c>
      <c r="I76" s="10">
        <v>1E-3</v>
      </c>
      <c r="J76" s="11"/>
      <c r="K76" s="11"/>
    </row>
    <row r="77" spans="1:11" x14ac:dyDescent="0.3">
      <c r="A77" s="8" t="s">
        <v>93</v>
      </c>
      <c r="B77" s="11"/>
      <c r="C77" s="11"/>
      <c r="D77" s="11"/>
      <c r="E77" s="11"/>
      <c r="F77" s="10">
        <v>2.1000000000000001E-2</v>
      </c>
      <c r="G77" s="10">
        <v>2.1000000000000001E-2</v>
      </c>
      <c r="H77" s="10">
        <v>2.3E-2</v>
      </c>
      <c r="I77" s="10">
        <v>2.8000000000000001E-2</v>
      </c>
      <c r="J77" s="10">
        <v>4.3999999999999997E-2</v>
      </c>
      <c r="K77" s="10">
        <v>9.1999999999999998E-2</v>
      </c>
    </row>
    <row r="78" spans="1:11" x14ac:dyDescent="0.3">
      <c r="A78" s="8" t="s">
        <v>48</v>
      </c>
      <c r="B78" s="11"/>
      <c r="C78" s="11"/>
      <c r="D78" s="11"/>
      <c r="E78" s="11"/>
      <c r="F78" s="11"/>
      <c r="G78" s="11"/>
      <c r="H78" s="11"/>
      <c r="I78" s="10">
        <v>2.8000000000000001E-2</v>
      </c>
      <c r="J78" s="10">
        <v>3.5999999999999997E-2</v>
      </c>
      <c r="K78" s="10">
        <v>3.5999999999999997E-2</v>
      </c>
    </row>
    <row r="79" spans="1:11" x14ac:dyDescent="0.3">
      <c r="A79" s="8" t="s">
        <v>49</v>
      </c>
      <c r="B79" s="11"/>
      <c r="C79" s="10">
        <v>2.7E-2</v>
      </c>
      <c r="D79" s="10">
        <v>5.6000000000000001E-2</v>
      </c>
      <c r="E79" s="10">
        <v>0.122</v>
      </c>
      <c r="F79" s="10">
        <v>0.214</v>
      </c>
      <c r="G79" s="10">
        <v>0.52600000000000002</v>
      </c>
      <c r="H79" s="10">
        <v>0.53600000000000003</v>
      </c>
      <c r="I79" s="10">
        <v>0.59199999999999997</v>
      </c>
      <c r="J79" s="10">
        <v>0.45200000000000001</v>
      </c>
      <c r="K79" s="10">
        <v>0.53800000000000003</v>
      </c>
    </row>
    <row r="80" spans="1:11" x14ac:dyDescent="0.3">
      <c r="A80" s="8" t="s">
        <v>94</v>
      </c>
      <c r="B80" s="11"/>
      <c r="C80" s="10">
        <v>2.7E-2</v>
      </c>
      <c r="D80" s="10">
        <v>5.6000000000000001E-2</v>
      </c>
      <c r="E80" s="10">
        <v>0.122</v>
      </c>
      <c r="F80" s="10">
        <v>0.214</v>
      </c>
      <c r="G80" s="10">
        <v>0.52600000000000002</v>
      </c>
      <c r="H80" s="10">
        <v>0.53600000000000003</v>
      </c>
      <c r="I80" s="10">
        <v>0.59199999999999997</v>
      </c>
      <c r="J80" s="10">
        <v>0.42599999999999999</v>
      </c>
      <c r="K80" s="10">
        <v>0.34899999999999998</v>
      </c>
    </row>
    <row r="81" spans="1:11" x14ac:dyDescent="0.3">
      <c r="A81" s="8" t="s">
        <v>95</v>
      </c>
      <c r="B81" s="11"/>
      <c r="C81" s="11"/>
      <c r="D81" s="11"/>
      <c r="E81" s="11"/>
      <c r="F81" s="11"/>
      <c r="G81" s="11"/>
      <c r="H81" s="11"/>
      <c r="I81" s="11"/>
      <c r="J81" s="10">
        <v>2.5999999999999999E-2</v>
      </c>
      <c r="K81" s="10">
        <v>0.189</v>
      </c>
    </row>
    <row r="82" spans="1:11" x14ac:dyDescent="0.3">
      <c r="A82" s="8" t="s">
        <v>52</v>
      </c>
      <c r="B82" s="10">
        <v>0.26100000000000001</v>
      </c>
      <c r="C82" s="10">
        <v>0.27100000000000002</v>
      </c>
      <c r="D82" s="10">
        <v>0.57599999999999996</v>
      </c>
      <c r="E82" s="10">
        <v>0.85699999999999998</v>
      </c>
      <c r="F82" s="10">
        <v>1.1579999999999999</v>
      </c>
      <c r="G82" s="10">
        <v>1.502</v>
      </c>
      <c r="H82" s="10">
        <v>1.869</v>
      </c>
      <c r="I82" s="10">
        <v>2.0089999999999999</v>
      </c>
      <c r="J82" s="10">
        <v>2.0710000000000002</v>
      </c>
      <c r="K82" s="10">
        <v>4.4989999999999997</v>
      </c>
    </row>
    <row r="83" spans="1:11" x14ac:dyDescent="0.3">
      <c r="A83" s="8" t="s">
        <v>53</v>
      </c>
      <c r="B83" s="10">
        <v>0.26100000000000001</v>
      </c>
      <c r="C83" s="10">
        <v>0.26100000000000001</v>
      </c>
      <c r="D83" s="10">
        <v>0.54</v>
      </c>
      <c r="E83" s="10">
        <v>0.73699999999999999</v>
      </c>
      <c r="F83" s="10">
        <v>0.92900000000000005</v>
      </c>
      <c r="G83" s="10">
        <v>0.92900000000000005</v>
      </c>
      <c r="H83" s="10">
        <v>0.92900000000000005</v>
      </c>
      <c r="I83" s="10">
        <v>0.95499999999999996</v>
      </c>
      <c r="J83" s="10">
        <v>0.998</v>
      </c>
      <c r="K83" s="10">
        <v>1.1599999999999999</v>
      </c>
    </row>
    <row r="84" spans="1:11" x14ac:dyDescent="0.3">
      <c r="A84" s="8" t="s">
        <v>96</v>
      </c>
      <c r="B84" s="11"/>
      <c r="C84" s="11"/>
      <c r="D84" s="11"/>
      <c r="E84" s="11"/>
      <c r="F84" s="11"/>
      <c r="G84" s="11"/>
      <c r="H84" s="11"/>
      <c r="I84" s="10">
        <v>8.9999999999999993E-3</v>
      </c>
      <c r="J84" s="10">
        <v>8.9999999999999993E-3</v>
      </c>
      <c r="K84" s="10">
        <v>0.16700000000000001</v>
      </c>
    </row>
    <row r="85" spans="1:11" x14ac:dyDescent="0.3">
      <c r="A85" s="8" t="s">
        <v>97</v>
      </c>
      <c r="B85" s="11"/>
      <c r="C85" s="10">
        <v>0.01</v>
      </c>
      <c r="D85" s="10">
        <v>3.6999999999999998E-2</v>
      </c>
      <c r="E85" s="10">
        <v>0.11899999999999999</v>
      </c>
      <c r="F85" s="10">
        <v>0.22900000000000001</v>
      </c>
      <c r="G85" s="10">
        <v>0.57199999999999995</v>
      </c>
      <c r="H85" s="10">
        <v>0.89400000000000002</v>
      </c>
      <c r="I85" s="10">
        <v>0.86</v>
      </c>
      <c r="J85" s="10">
        <v>0.623</v>
      </c>
      <c r="K85" s="10">
        <v>2.3610000000000002</v>
      </c>
    </row>
    <row r="86" spans="1:11" x14ac:dyDescent="0.3">
      <c r="A86" s="8" t="s">
        <v>98</v>
      </c>
      <c r="B86" s="11"/>
      <c r="C86" s="11"/>
      <c r="D86" s="11"/>
      <c r="E86" s="11"/>
      <c r="F86" s="11"/>
      <c r="G86" s="11"/>
      <c r="H86" s="11"/>
      <c r="I86" s="11"/>
      <c r="J86" s="11"/>
      <c r="K86" s="10">
        <v>0.15</v>
      </c>
    </row>
    <row r="87" spans="1:11" x14ac:dyDescent="0.3">
      <c r="A87" s="8" t="s">
        <v>99</v>
      </c>
      <c r="B87" s="11"/>
      <c r="C87" s="11"/>
      <c r="D87" s="11"/>
      <c r="E87" s="11"/>
      <c r="F87" s="11"/>
      <c r="G87" s="11"/>
      <c r="H87" s="11"/>
      <c r="I87" s="11"/>
      <c r="J87" s="10">
        <v>0.16800000000000001</v>
      </c>
      <c r="K87" s="10">
        <v>0.40300000000000002</v>
      </c>
    </row>
    <row r="88" spans="1:11" x14ac:dyDescent="0.3">
      <c r="A88" s="8" t="s">
        <v>100</v>
      </c>
      <c r="B88" s="10">
        <v>0.42299999999999999</v>
      </c>
      <c r="C88" s="10">
        <v>0.42299999999999999</v>
      </c>
      <c r="D88" s="10">
        <v>0.42299999999999999</v>
      </c>
      <c r="E88" s="10">
        <v>0.42299999999999999</v>
      </c>
      <c r="F88" s="10">
        <v>0.42299999999999999</v>
      </c>
      <c r="G88" s="11"/>
      <c r="H88" s="11"/>
      <c r="I88" s="11"/>
      <c r="J88" s="11"/>
      <c r="K88" s="10">
        <v>4.3999999999999997E-2</v>
      </c>
    </row>
    <row r="89" spans="1:11" x14ac:dyDescent="0.3">
      <c r="A89" s="8" t="s">
        <v>55</v>
      </c>
      <c r="B89" s="11"/>
      <c r="C89" s="11"/>
      <c r="D89" s="11"/>
      <c r="E89" s="10">
        <v>0.29299999999999998</v>
      </c>
      <c r="F89" s="10">
        <v>0.29299999999999998</v>
      </c>
      <c r="G89" s="10">
        <v>0.29299999999999998</v>
      </c>
      <c r="H89" s="10">
        <v>0.29299999999999998</v>
      </c>
      <c r="I89" s="10">
        <v>0.29299999999999998</v>
      </c>
      <c r="J89" s="11"/>
      <c r="K89" s="10">
        <v>4.3999999999999997E-2</v>
      </c>
    </row>
    <row r="90" spans="1:11" x14ac:dyDescent="0.3">
      <c r="A90" s="8" t="s">
        <v>56</v>
      </c>
      <c r="B90" s="11"/>
      <c r="C90" s="11"/>
      <c r="D90" s="11"/>
      <c r="E90" s="11"/>
      <c r="F90" s="11"/>
      <c r="G90" s="11"/>
      <c r="H90" s="10">
        <v>0.159</v>
      </c>
      <c r="I90" s="10">
        <v>3.2629999999999999</v>
      </c>
      <c r="J90" s="10">
        <v>3.2629999999999999</v>
      </c>
      <c r="K90" s="10">
        <v>3.2629999999999999</v>
      </c>
    </row>
    <row r="91" spans="1:11" x14ac:dyDescent="0.3">
      <c r="A91" s="8" t="s">
        <v>101</v>
      </c>
      <c r="B91" s="11"/>
      <c r="C91" s="11"/>
      <c r="D91" s="11"/>
      <c r="E91" s="11"/>
      <c r="F91" s="11"/>
      <c r="G91" s="11"/>
      <c r="H91" s="11"/>
      <c r="I91" s="10">
        <v>5.0000000000000001E-3</v>
      </c>
      <c r="J91" s="10">
        <v>8.0000000000000002E-3</v>
      </c>
      <c r="K91" s="10">
        <v>8.0000000000000002E-3</v>
      </c>
    </row>
    <row r="92" spans="1:11" x14ac:dyDescent="0.3">
      <c r="A92" s="8" t="s">
        <v>57</v>
      </c>
      <c r="B92" s="11"/>
      <c r="C92" s="11"/>
      <c r="D92" s="11"/>
      <c r="E92" s="11"/>
      <c r="F92" s="11"/>
      <c r="G92" s="11"/>
      <c r="H92" s="10">
        <v>0.873</v>
      </c>
      <c r="I92" s="10">
        <v>0.873</v>
      </c>
      <c r="J92" s="10">
        <v>0.873</v>
      </c>
      <c r="K92" s="10">
        <v>0.91700000000000004</v>
      </c>
    </row>
    <row r="93" spans="1:11" x14ac:dyDescent="0.3">
      <c r="A93" s="8" t="s">
        <v>60</v>
      </c>
      <c r="B93" s="10">
        <v>0.20599999999999999</v>
      </c>
      <c r="C93" s="10">
        <v>0.20499999999999999</v>
      </c>
      <c r="D93" s="10">
        <v>0.44400000000000001</v>
      </c>
      <c r="E93" s="10">
        <v>1.0960000000000001</v>
      </c>
      <c r="F93" s="10">
        <v>1.345</v>
      </c>
      <c r="G93" s="10">
        <v>1.5129999999999999</v>
      </c>
      <c r="H93" s="10">
        <v>1.9710000000000001</v>
      </c>
      <c r="I93" s="10">
        <v>1.595</v>
      </c>
      <c r="J93" s="10">
        <v>0.94299999999999995</v>
      </c>
      <c r="K93" s="10">
        <v>0.73699999999999999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1D74-7853-45EF-8290-AAC0EBF07EFC}">
  <dimension ref="A1:N267"/>
  <sheetViews>
    <sheetView topLeftCell="A41" workbookViewId="0">
      <selection activeCell="N3" sqref="N3:N53"/>
    </sheetView>
  </sheetViews>
  <sheetFormatPr defaultRowHeight="14.4" x14ac:dyDescent="0.3"/>
  <sheetData>
    <row r="1" spans="1:14" x14ac:dyDescent="0.3">
      <c r="A1" t="s">
        <v>102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4" x14ac:dyDescent="0.3">
      <c r="A2" t="s">
        <v>103</v>
      </c>
      <c r="B2">
        <v>2390502793</v>
      </c>
      <c r="C2">
        <v>2549720670</v>
      </c>
      <c r="D2">
        <v>2534636872</v>
      </c>
      <c r="E2">
        <v>2727849721</v>
      </c>
      <c r="F2">
        <v>2790849162</v>
      </c>
      <c r="G2">
        <v>2962905028</v>
      </c>
      <c r="H2">
        <v>2983636872</v>
      </c>
      <c r="I2">
        <v>3092430168</v>
      </c>
      <c r="J2">
        <v>3202188607</v>
      </c>
      <c r="N2" t="s">
        <v>102</v>
      </c>
    </row>
    <row r="3" spans="1:14" x14ac:dyDescent="0.3">
      <c r="A3" t="s">
        <v>104</v>
      </c>
      <c r="B3" s="13">
        <v>847409000000</v>
      </c>
      <c r="C3" s="13">
        <v>943378000000</v>
      </c>
      <c r="D3" s="13">
        <v>950521000000</v>
      </c>
      <c r="E3" s="13">
        <v>964242000000</v>
      </c>
      <c r="F3" s="13">
        <v>984807000000</v>
      </c>
      <c r="G3" s="13">
        <v>919930000000</v>
      </c>
      <c r="H3" s="13">
        <v>873355000000</v>
      </c>
      <c r="I3" s="13">
        <v>985356000000</v>
      </c>
      <c r="J3" s="13">
        <v>1012850000000</v>
      </c>
      <c r="K3" s="13">
        <v>1009910000000</v>
      </c>
      <c r="L3" s="13">
        <v>920792000000</v>
      </c>
      <c r="N3" s="8" t="s">
        <v>63</v>
      </c>
    </row>
    <row r="4" spans="1:14" x14ac:dyDescent="0.3">
      <c r="A4" t="s">
        <v>105</v>
      </c>
      <c r="B4">
        <v>15856678596</v>
      </c>
      <c r="C4">
        <v>17805113119</v>
      </c>
      <c r="D4">
        <v>19907317066</v>
      </c>
      <c r="E4">
        <v>20146404996</v>
      </c>
      <c r="F4">
        <v>20497126770</v>
      </c>
      <c r="G4">
        <v>19134211764</v>
      </c>
      <c r="H4">
        <v>18116562465</v>
      </c>
      <c r="I4">
        <v>18753469630</v>
      </c>
      <c r="J4">
        <v>18053228579</v>
      </c>
      <c r="K4">
        <v>18799450743</v>
      </c>
      <c r="L4">
        <v>20116137326</v>
      </c>
      <c r="N4" s="8" t="s">
        <v>1</v>
      </c>
    </row>
    <row r="5" spans="1:14" x14ac:dyDescent="0.3">
      <c r="A5" t="s">
        <v>106</v>
      </c>
      <c r="B5" s="13">
        <v>591583000000</v>
      </c>
      <c r="C5" s="13">
        <v>670963000000</v>
      </c>
      <c r="D5" s="13">
        <v>727571000000</v>
      </c>
      <c r="E5" s="13">
        <v>820788000000</v>
      </c>
      <c r="F5" s="13">
        <v>864967000000</v>
      </c>
      <c r="G5" s="13">
        <v>760730000000</v>
      </c>
      <c r="H5" s="13">
        <v>690543000000</v>
      </c>
      <c r="I5" s="13">
        <v>683742000000</v>
      </c>
      <c r="J5" s="13">
        <v>741692000000</v>
      </c>
      <c r="K5" s="13">
        <v>794572000000</v>
      </c>
      <c r="L5" s="13">
        <v>784588000000</v>
      </c>
      <c r="N5" s="8" t="s">
        <v>64</v>
      </c>
    </row>
    <row r="6" spans="1:14" x14ac:dyDescent="0.3">
      <c r="A6" t="s">
        <v>107</v>
      </c>
      <c r="B6">
        <v>83799496611</v>
      </c>
      <c r="C6" s="13">
        <v>111790000000</v>
      </c>
      <c r="D6" s="13">
        <v>128053000000</v>
      </c>
      <c r="E6" s="13">
        <v>136710000000</v>
      </c>
      <c r="F6" s="13">
        <v>145712000000</v>
      </c>
      <c r="G6" s="13">
        <v>116194000000</v>
      </c>
      <c r="H6" s="13">
        <v>101124000000</v>
      </c>
      <c r="I6" s="13">
        <v>122124000000</v>
      </c>
      <c r="J6" s="13">
        <v>101353000000</v>
      </c>
      <c r="K6">
        <v>89417190341</v>
      </c>
      <c r="L6">
        <v>58375976293</v>
      </c>
      <c r="N6" s="8" t="s">
        <v>2</v>
      </c>
    </row>
    <row r="7" spans="1:14" x14ac:dyDescent="0.3">
      <c r="A7" t="s">
        <v>108</v>
      </c>
      <c r="B7">
        <v>11926922829</v>
      </c>
      <c r="C7">
        <v>12890764531</v>
      </c>
      <c r="D7">
        <v>12319830437</v>
      </c>
      <c r="E7">
        <v>12776220507</v>
      </c>
      <c r="F7">
        <v>13228147516</v>
      </c>
      <c r="G7">
        <v>11386850130</v>
      </c>
      <c r="H7">
        <v>11861199831</v>
      </c>
      <c r="I7">
        <v>13019689337</v>
      </c>
      <c r="J7">
        <v>15156432310</v>
      </c>
      <c r="K7">
        <v>15400242875</v>
      </c>
      <c r="L7">
        <v>14887629268</v>
      </c>
      <c r="N7" s="8" t="s">
        <v>65</v>
      </c>
    </row>
    <row r="8" spans="1:14" x14ac:dyDescent="0.3">
      <c r="A8" t="s">
        <v>109</v>
      </c>
      <c r="B8">
        <v>3449966857</v>
      </c>
      <c r="C8">
        <v>3629203786</v>
      </c>
      <c r="D8">
        <v>3188808943</v>
      </c>
      <c r="E8">
        <v>3193704343</v>
      </c>
      <c r="F8">
        <v>3271808157</v>
      </c>
      <c r="G8">
        <v>2789870188</v>
      </c>
      <c r="H8">
        <v>2896679212</v>
      </c>
      <c r="I8">
        <v>3000180750</v>
      </c>
      <c r="J8">
        <v>3218316013</v>
      </c>
      <c r="K8">
        <v>3155065488</v>
      </c>
      <c r="N8" s="8" t="s">
        <v>3</v>
      </c>
    </row>
    <row r="9" spans="1:14" x14ac:dyDescent="0.3">
      <c r="A9" t="s">
        <v>110</v>
      </c>
      <c r="B9" s="13">
        <v>2311240000000</v>
      </c>
      <c r="C9" s="13">
        <v>2501780000000</v>
      </c>
      <c r="D9" s="13">
        <v>2740550000000</v>
      </c>
      <c r="E9" s="13">
        <v>2799580000000</v>
      </c>
      <c r="F9" s="13">
        <v>2831680000000</v>
      </c>
      <c r="G9" s="13">
        <v>2463580000000</v>
      </c>
      <c r="H9" s="13">
        <v>2411980000000</v>
      </c>
      <c r="I9" s="13">
        <v>2466440000000</v>
      </c>
      <c r="J9" s="13">
        <v>2730780000000</v>
      </c>
      <c r="K9" s="13">
        <v>2776470000000</v>
      </c>
      <c r="L9" s="13">
        <v>2447580000000</v>
      </c>
      <c r="N9" s="8" t="s">
        <v>4</v>
      </c>
    </row>
    <row r="10" spans="1:14" x14ac:dyDescent="0.3">
      <c r="A10" t="s">
        <v>111</v>
      </c>
      <c r="B10" s="13">
        <v>289787000000</v>
      </c>
      <c r="C10" s="13">
        <v>350666000000</v>
      </c>
      <c r="D10" s="13">
        <v>374591000000</v>
      </c>
      <c r="E10" s="13">
        <v>390108000000</v>
      </c>
      <c r="F10" s="13">
        <v>403137000000</v>
      </c>
      <c r="G10" s="13">
        <v>358135000000</v>
      </c>
      <c r="H10" s="13">
        <v>357045000000</v>
      </c>
      <c r="I10" s="13">
        <v>385606000000</v>
      </c>
      <c r="J10" s="13">
        <v>422215000000</v>
      </c>
      <c r="K10" s="13">
        <v>417216000000</v>
      </c>
      <c r="L10" s="13">
        <v>358869000000</v>
      </c>
      <c r="N10" s="8" t="s">
        <v>66</v>
      </c>
    </row>
    <row r="11" spans="1:14" x14ac:dyDescent="0.3">
      <c r="A11" t="s">
        <v>112</v>
      </c>
      <c r="B11" s="13">
        <v>423627000000</v>
      </c>
      <c r="C11" s="13">
        <v>530163000000</v>
      </c>
      <c r="D11" s="13">
        <v>545982000000</v>
      </c>
      <c r="E11" s="13">
        <v>552025000000</v>
      </c>
      <c r="F11" s="13">
        <v>526320000000</v>
      </c>
      <c r="G11" s="13">
        <v>594749000000</v>
      </c>
      <c r="H11" s="13">
        <v>557531000000</v>
      </c>
      <c r="I11" s="13">
        <v>643629000000</v>
      </c>
      <c r="J11" s="13">
        <v>524820000000</v>
      </c>
      <c r="K11" s="13">
        <v>451932000000</v>
      </c>
      <c r="L11" s="13">
        <v>389288000000</v>
      </c>
      <c r="N11" s="8" t="s">
        <v>5</v>
      </c>
    </row>
    <row r="12" spans="1:14" x14ac:dyDescent="0.3">
      <c r="A12" t="s">
        <v>113</v>
      </c>
      <c r="B12">
        <v>9260284938</v>
      </c>
      <c r="C12">
        <v>10142111334</v>
      </c>
      <c r="D12">
        <v>10619320049</v>
      </c>
      <c r="E12">
        <v>11121465767</v>
      </c>
      <c r="F12">
        <v>11609512940</v>
      </c>
      <c r="G12">
        <v>10553337673</v>
      </c>
      <c r="H12">
        <v>10546135160</v>
      </c>
      <c r="I12">
        <v>11527458566</v>
      </c>
      <c r="J12">
        <v>12457941907</v>
      </c>
      <c r="K12">
        <v>13619291361</v>
      </c>
      <c r="L12">
        <v>12641209802</v>
      </c>
      <c r="N12" s="8" t="s">
        <v>67</v>
      </c>
    </row>
    <row r="13" spans="1:14" x14ac:dyDescent="0.3">
      <c r="A13" t="s">
        <v>114</v>
      </c>
      <c r="B13">
        <v>573000000</v>
      </c>
      <c r="C13">
        <v>570000000</v>
      </c>
      <c r="D13">
        <v>640000000</v>
      </c>
      <c r="E13">
        <v>638000000</v>
      </c>
      <c r="F13">
        <v>643000000</v>
      </c>
      <c r="G13">
        <v>673000000</v>
      </c>
      <c r="H13">
        <v>671000000</v>
      </c>
      <c r="I13">
        <v>612000000</v>
      </c>
      <c r="J13">
        <v>639000000</v>
      </c>
      <c r="K13">
        <v>648000000</v>
      </c>
      <c r="L13">
        <v>709000000</v>
      </c>
      <c r="N13" s="8" t="s">
        <v>6</v>
      </c>
    </row>
    <row r="14" spans="1:14" x14ac:dyDescent="0.3">
      <c r="A14" t="s">
        <v>115</v>
      </c>
      <c r="B14">
        <v>1148700000</v>
      </c>
      <c r="C14">
        <v>1137637037</v>
      </c>
      <c r="D14">
        <v>1199948148</v>
      </c>
      <c r="E14">
        <v>1181448148</v>
      </c>
      <c r="F14">
        <v>1249733333</v>
      </c>
      <c r="G14">
        <v>1336692593</v>
      </c>
      <c r="H14">
        <v>1436585185</v>
      </c>
      <c r="I14">
        <v>1467977778</v>
      </c>
      <c r="J14">
        <v>1605944444</v>
      </c>
      <c r="K14">
        <v>1687533333</v>
      </c>
      <c r="L14">
        <v>1370281481</v>
      </c>
      <c r="N14" s="8" t="s">
        <v>68</v>
      </c>
    </row>
    <row r="15" spans="1:14" x14ac:dyDescent="0.3">
      <c r="A15" t="s">
        <v>116</v>
      </c>
      <c r="B15" s="13">
        <v>1147590000000</v>
      </c>
      <c r="C15" s="13">
        <v>1397910000000</v>
      </c>
      <c r="D15" s="13">
        <v>1546510000000</v>
      </c>
      <c r="E15" s="13">
        <v>1576340000000</v>
      </c>
      <c r="F15" s="13">
        <v>1467500000000</v>
      </c>
      <c r="G15" s="13">
        <v>1350530000000</v>
      </c>
      <c r="H15" s="13">
        <v>1206690000000</v>
      </c>
      <c r="I15" s="13">
        <v>1326880000000</v>
      </c>
      <c r="J15" s="13">
        <v>1428530000000</v>
      </c>
      <c r="K15" s="13">
        <v>1391950000000</v>
      </c>
      <c r="L15" s="13">
        <v>1327840000000</v>
      </c>
      <c r="N15" s="8" t="s">
        <v>7</v>
      </c>
    </row>
    <row r="16" spans="1:14" x14ac:dyDescent="0.3">
      <c r="A16" t="s">
        <v>117</v>
      </c>
      <c r="B16" s="13">
        <v>392275000000</v>
      </c>
      <c r="C16" s="13">
        <v>431685000000</v>
      </c>
      <c r="D16" s="13">
        <v>409402000000</v>
      </c>
      <c r="E16" s="13">
        <v>430191000000</v>
      </c>
      <c r="F16" s="13">
        <v>442585000000</v>
      </c>
      <c r="G16" s="13">
        <v>381971000000</v>
      </c>
      <c r="H16" s="13">
        <v>395837000000</v>
      </c>
      <c r="I16" s="13">
        <v>417261000000</v>
      </c>
      <c r="J16" s="13">
        <v>455168000000</v>
      </c>
      <c r="K16" s="13">
        <v>445012000000</v>
      </c>
      <c r="L16" s="13">
        <v>433258000000</v>
      </c>
      <c r="N16" s="8" t="s">
        <v>8</v>
      </c>
    </row>
    <row r="17" spans="1:14" x14ac:dyDescent="0.3">
      <c r="A17" t="s">
        <v>118</v>
      </c>
      <c r="B17">
        <v>52909294792</v>
      </c>
      <c r="C17">
        <v>65951627200</v>
      </c>
      <c r="D17">
        <v>69683935845</v>
      </c>
      <c r="E17">
        <v>74164435946</v>
      </c>
      <c r="F17">
        <v>75244294275</v>
      </c>
      <c r="G17">
        <v>53074370486</v>
      </c>
      <c r="H17">
        <v>37867518957</v>
      </c>
      <c r="I17">
        <v>40865558912</v>
      </c>
      <c r="J17">
        <v>47112941176</v>
      </c>
      <c r="K17">
        <v>48174235294</v>
      </c>
      <c r="L17">
        <v>42607176471</v>
      </c>
      <c r="N17" s="8" t="s">
        <v>69</v>
      </c>
    </row>
    <row r="18" spans="1:14" x14ac:dyDescent="0.3">
      <c r="A18" t="s">
        <v>119</v>
      </c>
      <c r="B18">
        <v>2032135247</v>
      </c>
      <c r="C18">
        <v>2235820868</v>
      </c>
      <c r="D18">
        <v>2333308099</v>
      </c>
      <c r="E18">
        <v>2451625333</v>
      </c>
      <c r="F18">
        <v>2705783272</v>
      </c>
      <c r="G18">
        <v>3104394858</v>
      </c>
      <c r="H18">
        <v>2732808557</v>
      </c>
      <c r="I18">
        <v>2748180474</v>
      </c>
      <c r="J18">
        <v>2668495743</v>
      </c>
      <c r="K18">
        <v>2631434363</v>
      </c>
      <c r="L18">
        <v>2841786382</v>
      </c>
      <c r="N18" s="8" t="s">
        <v>9</v>
      </c>
    </row>
    <row r="19" spans="1:14" x14ac:dyDescent="0.3">
      <c r="A19" t="s">
        <v>120</v>
      </c>
      <c r="B19" s="13">
        <v>481421000000</v>
      </c>
      <c r="C19" s="13">
        <v>523330000000</v>
      </c>
      <c r="D19" s="13">
        <v>496153000000</v>
      </c>
      <c r="E19" s="13">
        <v>521791000000</v>
      </c>
      <c r="F19" s="13">
        <v>535390000000</v>
      </c>
      <c r="G19" s="13">
        <v>462336000000</v>
      </c>
      <c r="H19" s="13">
        <v>476063000000</v>
      </c>
      <c r="I19" s="13">
        <v>502765000000</v>
      </c>
      <c r="J19" s="13">
        <v>543274000000</v>
      </c>
      <c r="K19" s="13">
        <v>535289000000</v>
      </c>
      <c r="L19" s="13">
        <v>521861000000</v>
      </c>
      <c r="N19" s="8" t="s">
        <v>70</v>
      </c>
    </row>
    <row r="20" spans="1:14" x14ac:dyDescent="0.3">
      <c r="A20" t="s">
        <v>121</v>
      </c>
      <c r="B20">
        <v>9535344283</v>
      </c>
      <c r="C20">
        <v>10693321954</v>
      </c>
      <c r="D20">
        <v>11141358945</v>
      </c>
      <c r="E20">
        <v>12517845732</v>
      </c>
      <c r="F20">
        <v>13284528654</v>
      </c>
      <c r="G20">
        <v>11388160958</v>
      </c>
      <c r="H20">
        <v>11821066153</v>
      </c>
      <c r="I20">
        <v>12701654743</v>
      </c>
      <c r="J20">
        <v>14262407012</v>
      </c>
      <c r="K20">
        <v>14391686633</v>
      </c>
      <c r="L20">
        <v>15651545332</v>
      </c>
      <c r="N20" s="8" t="s">
        <v>10</v>
      </c>
    </row>
    <row r="21" spans="1:14" x14ac:dyDescent="0.3">
      <c r="A21" t="s">
        <v>122</v>
      </c>
      <c r="B21">
        <v>10109618964</v>
      </c>
      <c r="C21">
        <v>12080296644</v>
      </c>
      <c r="D21">
        <v>12561016091</v>
      </c>
      <c r="E21">
        <v>13444301139</v>
      </c>
      <c r="F21">
        <v>13943016924</v>
      </c>
      <c r="G21">
        <v>11832159276</v>
      </c>
      <c r="H21">
        <v>12833363370</v>
      </c>
      <c r="I21">
        <v>14106956830</v>
      </c>
      <c r="J21">
        <v>15890065020</v>
      </c>
      <c r="K21">
        <v>16178162030</v>
      </c>
      <c r="L21">
        <v>17933606353</v>
      </c>
      <c r="N21" s="8" t="s">
        <v>71</v>
      </c>
    </row>
    <row r="22" spans="1:14" x14ac:dyDescent="0.3">
      <c r="A22" t="s">
        <v>123</v>
      </c>
      <c r="B22" s="13">
        <v>115279000000</v>
      </c>
      <c r="C22" s="13">
        <v>128638000000</v>
      </c>
      <c r="D22" s="13">
        <v>133356000000</v>
      </c>
      <c r="E22" s="13">
        <v>149990000000</v>
      </c>
      <c r="F22" s="13">
        <v>172885000000</v>
      </c>
      <c r="G22" s="13">
        <v>195079000000</v>
      </c>
      <c r="H22" s="13">
        <v>221415000000</v>
      </c>
      <c r="I22" s="13">
        <v>249711000000</v>
      </c>
      <c r="J22" s="13">
        <v>274039000000</v>
      </c>
      <c r="K22" s="13">
        <v>302571000000</v>
      </c>
      <c r="L22" s="13">
        <v>323057000000</v>
      </c>
      <c r="N22" s="8" t="s">
        <v>11</v>
      </c>
    </row>
    <row r="23" spans="1:14" x14ac:dyDescent="0.3">
      <c r="A23" t="s">
        <v>124</v>
      </c>
      <c r="B23">
        <v>50682061053</v>
      </c>
      <c r="C23">
        <v>57678241024</v>
      </c>
      <c r="D23">
        <v>54300857424</v>
      </c>
      <c r="E23">
        <v>55810138436</v>
      </c>
      <c r="F23">
        <v>57082011260</v>
      </c>
      <c r="G23">
        <v>50781996713</v>
      </c>
      <c r="H23">
        <v>53953897624</v>
      </c>
      <c r="I23">
        <v>59199447421</v>
      </c>
      <c r="J23">
        <v>66363422450</v>
      </c>
      <c r="K23">
        <v>68915416142</v>
      </c>
      <c r="L23">
        <v>69889347433</v>
      </c>
      <c r="N23" s="8" t="s">
        <v>12</v>
      </c>
    </row>
    <row r="24" spans="1:14" x14ac:dyDescent="0.3">
      <c r="A24" t="s">
        <v>125</v>
      </c>
      <c r="B24">
        <v>25713271277</v>
      </c>
      <c r="C24">
        <v>28776595745</v>
      </c>
      <c r="D24">
        <v>30749308511</v>
      </c>
      <c r="E24">
        <v>32539468085</v>
      </c>
      <c r="F24">
        <v>33387712766</v>
      </c>
      <c r="G24">
        <v>31050638298</v>
      </c>
      <c r="H24">
        <v>32234973404</v>
      </c>
      <c r="I24">
        <v>35473776596</v>
      </c>
      <c r="J24">
        <v>37801462766</v>
      </c>
      <c r="K24">
        <v>38652579787</v>
      </c>
      <c r="L24">
        <v>34729228723</v>
      </c>
      <c r="N24" s="8" t="s">
        <v>13</v>
      </c>
    </row>
    <row r="25" spans="1:14" x14ac:dyDescent="0.3">
      <c r="A25" t="s">
        <v>126</v>
      </c>
      <c r="B25">
        <v>10095760000</v>
      </c>
      <c r="C25">
        <v>10070450000</v>
      </c>
      <c r="D25">
        <v>10720500000</v>
      </c>
      <c r="E25">
        <v>10494600000</v>
      </c>
      <c r="F25">
        <v>11142900000</v>
      </c>
      <c r="G25">
        <v>11890600000</v>
      </c>
      <c r="H25">
        <v>11992600000</v>
      </c>
      <c r="I25">
        <v>12359700000</v>
      </c>
      <c r="J25">
        <v>12837800000</v>
      </c>
      <c r="K25">
        <v>13164400000</v>
      </c>
      <c r="L25">
        <v>9907500000</v>
      </c>
      <c r="N25" s="8" t="s">
        <v>14</v>
      </c>
    </row>
    <row r="26" spans="1:14" x14ac:dyDescent="0.3">
      <c r="A26" t="s">
        <v>127</v>
      </c>
      <c r="B26">
        <v>17176781046</v>
      </c>
      <c r="C26">
        <v>18644723854</v>
      </c>
      <c r="D26">
        <v>17221192466</v>
      </c>
      <c r="E26">
        <v>18172335776</v>
      </c>
      <c r="F26">
        <v>18560861389</v>
      </c>
      <c r="G26">
        <v>16219819017</v>
      </c>
      <c r="H26">
        <v>16914287349</v>
      </c>
      <c r="I26">
        <v>18079075771</v>
      </c>
      <c r="J26">
        <v>20177409351</v>
      </c>
      <c r="K26">
        <v>20201323260</v>
      </c>
      <c r="L26">
        <v>19946496563</v>
      </c>
      <c r="N26" s="8" t="s">
        <v>15</v>
      </c>
    </row>
    <row r="27" spans="1:14" x14ac:dyDescent="0.3">
      <c r="A27" t="s">
        <v>128</v>
      </c>
      <c r="B27">
        <v>57222490769</v>
      </c>
      <c r="C27">
        <v>61757788945</v>
      </c>
      <c r="D27">
        <v>65685102555</v>
      </c>
      <c r="E27">
        <v>75527984234</v>
      </c>
      <c r="F27">
        <v>78813839984</v>
      </c>
      <c r="G27">
        <v>56454734397</v>
      </c>
      <c r="H27">
        <v>47722657821</v>
      </c>
      <c r="I27">
        <v>54726595249</v>
      </c>
      <c r="J27">
        <v>60031262269</v>
      </c>
      <c r="K27">
        <v>64409647194</v>
      </c>
      <c r="L27">
        <v>60258239056</v>
      </c>
      <c r="N27" s="8" t="s">
        <v>72</v>
      </c>
    </row>
    <row r="28" spans="1:14" x14ac:dyDescent="0.3">
      <c r="A28" t="s">
        <v>129</v>
      </c>
      <c r="B28">
        <v>1377177100</v>
      </c>
      <c r="C28">
        <v>1460797903</v>
      </c>
      <c r="D28">
        <v>1522897506</v>
      </c>
      <c r="E28">
        <v>1579411253</v>
      </c>
      <c r="F28">
        <v>1667335061</v>
      </c>
      <c r="G28">
        <v>1721700991</v>
      </c>
      <c r="H28">
        <v>1789304088</v>
      </c>
      <c r="I28">
        <v>1858529677</v>
      </c>
      <c r="J28">
        <v>1915899787</v>
      </c>
      <c r="K28">
        <v>1982518541</v>
      </c>
      <c r="L28">
        <v>1636280797</v>
      </c>
      <c r="N28" s="8" t="s">
        <v>16</v>
      </c>
    </row>
    <row r="29" spans="1:14" x14ac:dyDescent="0.3">
      <c r="A29" t="s">
        <v>130</v>
      </c>
      <c r="B29">
        <v>6634526000</v>
      </c>
      <c r="C29">
        <v>6312691000</v>
      </c>
      <c r="D29">
        <v>6378188000</v>
      </c>
      <c r="E29">
        <v>6465756000</v>
      </c>
      <c r="F29">
        <v>6413988000</v>
      </c>
      <c r="G29">
        <v>6654541000</v>
      </c>
      <c r="H29">
        <v>6899911000</v>
      </c>
      <c r="I29">
        <v>7142316000</v>
      </c>
      <c r="J29">
        <v>7224329000</v>
      </c>
      <c r="K29">
        <v>7484113000</v>
      </c>
      <c r="L29">
        <v>6842700000</v>
      </c>
      <c r="N29" s="8" t="s">
        <v>17</v>
      </c>
    </row>
    <row r="30" spans="1:14" x14ac:dyDescent="0.3">
      <c r="A30" t="s">
        <v>131</v>
      </c>
      <c r="B30">
        <v>19649631314</v>
      </c>
      <c r="C30">
        <v>23963033431</v>
      </c>
      <c r="D30">
        <v>27084497483</v>
      </c>
      <c r="E30">
        <v>30659338880</v>
      </c>
      <c r="F30">
        <v>32996188013</v>
      </c>
      <c r="G30">
        <v>33000198248</v>
      </c>
      <c r="H30">
        <v>33941126200</v>
      </c>
      <c r="I30">
        <v>37508642165</v>
      </c>
      <c r="J30">
        <v>40287647930</v>
      </c>
      <c r="K30">
        <v>40895322844</v>
      </c>
      <c r="L30">
        <v>36572764863</v>
      </c>
      <c r="N30" s="8" t="s">
        <v>73</v>
      </c>
    </row>
    <row r="31" spans="1:14" x14ac:dyDescent="0.3">
      <c r="A31" t="s">
        <v>132</v>
      </c>
      <c r="B31" s="13">
        <v>2208840000000</v>
      </c>
      <c r="C31" s="13">
        <v>2616160000000</v>
      </c>
      <c r="D31" s="13">
        <v>2465230000000</v>
      </c>
      <c r="E31" s="13">
        <v>2472820000000</v>
      </c>
      <c r="F31" s="13">
        <v>2456040000000</v>
      </c>
      <c r="G31" s="13">
        <v>1802210000000</v>
      </c>
      <c r="H31" s="13">
        <v>1795690000000</v>
      </c>
      <c r="I31" s="13">
        <v>2063510000000</v>
      </c>
      <c r="J31" s="13">
        <v>1916930000000</v>
      </c>
      <c r="K31" s="13">
        <v>1877820000000</v>
      </c>
      <c r="L31" s="13">
        <v>1444730000000</v>
      </c>
      <c r="N31" s="8" t="s">
        <v>18</v>
      </c>
    </row>
    <row r="32" spans="1:14" x14ac:dyDescent="0.3">
      <c r="A32" t="s">
        <v>133</v>
      </c>
      <c r="B32">
        <v>4530000000</v>
      </c>
      <c r="C32">
        <v>4657500000</v>
      </c>
      <c r="D32">
        <v>4610000000</v>
      </c>
      <c r="E32">
        <v>4677000000</v>
      </c>
      <c r="F32">
        <v>4696500000</v>
      </c>
      <c r="G32">
        <v>4715000000</v>
      </c>
      <c r="H32">
        <v>4830000000</v>
      </c>
      <c r="I32">
        <v>4978000000</v>
      </c>
      <c r="J32">
        <v>5086500000</v>
      </c>
      <c r="K32">
        <v>5209000000</v>
      </c>
      <c r="L32">
        <v>4418000000</v>
      </c>
      <c r="N32" s="8" t="s">
        <v>19</v>
      </c>
    </row>
    <row r="33" spans="1:14" x14ac:dyDescent="0.3">
      <c r="A33" t="s">
        <v>134</v>
      </c>
      <c r="B33">
        <v>13707370737</v>
      </c>
      <c r="C33">
        <v>18525319978</v>
      </c>
      <c r="D33">
        <v>19047940301</v>
      </c>
      <c r="E33">
        <v>18093829923</v>
      </c>
      <c r="F33">
        <v>17098342541</v>
      </c>
      <c r="G33">
        <v>12930394938</v>
      </c>
      <c r="H33">
        <v>11400854268</v>
      </c>
      <c r="I33">
        <v>12128104859</v>
      </c>
      <c r="J33">
        <v>13567351175</v>
      </c>
      <c r="K33">
        <v>13469422959</v>
      </c>
      <c r="L33">
        <v>12005825770</v>
      </c>
      <c r="N33" s="8" t="s">
        <v>74</v>
      </c>
    </row>
    <row r="34" spans="1:14" x14ac:dyDescent="0.3">
      <c r="A34" t="s">
        <v>135</v>
      </c>
      <c r="B34">
        <v>1547991318</v>
      </c>
      <c r="C34">
        <v>1777101317</v>
      </c>
      <c r="D34">
        <v>1781281282</v>
      </c>
      <c r="E34">
        <v>1756215665</v>
      </c>
      <c r="F34">
        <v>1907090813</v>
      </c>
      <c r="G34">
        <v>2003598213</v>
      </c>
      <c r="H34">
        <v>2158972129</v>
      </c>
      <c r="I34">
        <v>2450364928</v>
      </c>
      <c r="J34">
        <v>2446866405</v>
      </c>
      <c r="K34">
        <v>2535657069</v>
      </c>
      <c r="L34">
        <v>2315437338</v>
      </c>
      <c r="N34" s="8" t="s">
        <v>75</v>
      </c>
    </row>
    <row r="35" spans="1:14" x14ac:dyDescent="0.3">
      <c r="A35" t="s">
        <v>136</v>
      </c>
      <c r="B35">
        <v>12786654498</v>
      </c>
      <c r="C35">
        <v>15351972361</v>
      </c>
      <c r="D35">
        <v>14380004175</v>
      </c>
      <c r="E35">
        <v>14901750991</v>
      </c>
      <c r="F35">
        <v>15654660710</v>
      </c>
      <c r="G35">
        <v>13578754072</v>
      </c>
      <c r="H35">
        <v>15082578065</v>
      </c>
      <c r="I35">
        <v>16088437675</v>
      </c>
      <c r="J35">
        <v>16914245098</v>
      </c>
      <c r="K35">
        <v>16593720656</v>
      </c>
      <c r="L35">
        <v>15061922802</v>
      </c>
      <c r="N35" s="8" t="s">
        <v>20</v>
      </c>
    </row>
    <row r="36" spans="1:14" x14ac:dyDescent="0.3">
      <c r="A36" t="s">
        <v>137</v>
      </c>
      <c r="B36">
        <v>2142591376</v>
      </c>
      <c r="C36">
        <v>2437982840</v>
      </c>
      <c r="D36">
        <v>2510126699</v>
      </c>
      <c r="E36">
        <v>1691544192</v>
      </c>
      <c r="F36">
        <v>1894813505</v>
      </c>
      <c r="G36">
        <v>1695825708</v>
      </c>
      <c r="H36">
        <v>1825018191</v>
      </c>
      <c r="I36">
        <v>2072349794</v>
      </c>
      <c r="J36">
        <v>2220978978</v>
      </c>
      <c r="K36">
        <v>2220307369</v>
      </c>
      <c r="L36">
        <v>2380087758</v>
      </c>
      <c r="N36" s="8" t="s">
        <v>21</v>
      </c>
    </row>
    <row r="37" spans="1:14" x14ac:dyDescent="0.3">
      <c r="A37" t="s">
        <v>138</v>
      </c>
      <c r="B37" s="13">
        <v>1617340000000</v>
      </c>
      <c r="C37" s="13">
        <v>1793330000000</v>
      </c>
      <c r="D37" s="13">
        <v>1828370000000</v>
      </c>
      <c r="E37" s="13">
        <v>1846600000000</v>
      </c>
      <c r="F37" s="13">
        <v>1805750000000</v>
      </c>
      <c r="G37" s="13">
        <v>1556510000000</v>
      </c>
      <c r="H37" s="13">
        <v>1527990000000</v>
      </c>
      <c r="I37" s="13">
        <v>1649270000000</v>
      </c>
      <c r="J37" s="13">
        <v>1725330000000</v>
      </c>
      <c r="K37" s="13">
        <v>1742020000000</v>
      </c>
      <c r="L37" s="13">
        <v>1645420000000</v>
      </c>
      <c r="N37" s="8" t="s">
        <v>22</v>
      </c>
    </row>
    <row r="38" spans="1:14" x14ac:dyDescent="0.3">
      <c r="A38" t="s">
        <v>139</v>
      </c>
      <c r="B38" s="13">
        <v>1318170000000</v>
      </c>
      <c r="C38" s="13">
        <v>1449340000000</v>
      </c>
      <c r="D38" s="13">
        <v>1353320000000</v>
      </c>
      <c r="E38" s="13">
        <v>1422760000000</v>
      </c>
      <c r="F38" s="13">
        <v>1465930000000</v>
      </c>
      <c r="G38" s="13">
        <v>1293060000000</v>
      </c>
      <c r="H38" s="13">
        <v>1321560000000</v>
      </c>
      <c r="I38" s="13">
        <v>1464530000000</v>
      </c>
      <c r="J38" s="13">
        <v>1645460000000</v>
      </c>
      <c r="K38" s="13">
        <v>1673860000000</v>
      </c>
      <c r="L38" s="13">
        <v>1653250000000</v>
      </c>
      <c r="N38" s="8" t="s">
        <v>23</v>
      </c>
    </row>
    <row r="39" spans="1:14" x14ac:dyDescent="0.3">
      <c r="A39" t="s">
        <v>140</v>
      </c>
      <c r="B39" s="13">
        <v>603434000000</v>
      </c>
      <c r="C39" s="13">
        <v>722038000000</v>
      </c>
      <c r="D39" s="13">
        <v>692110000000</v>
      </c>
      <c r="E39" s="13">
        <v>712748000000</v>
      </c>
      <c r="F39" s="13">
        <v>734397000000</v>
      </c>
      <c r="G39" s="13">
        <v>702150000000</v>
      </c>
      <c r="H39" s="13">
        <v>695601000000</v>
      </c>
      <c r="I39" s="13">
        <v>704479000000</v>
      </c>
      <c r="J39" s="13">
        <v>735539000000</v>
      </c>
      <c r="K39" s="13">
        <v>731767000000</v>
      </c>
      <c r="L39" s="13">
        <v>752248000000</v>
      </c>
      <c r="N39" s="8" t="s">
        <v>24</v>
      </c>
    </row>
    <row r="40" spans="1:14" ht="18" x14ac:dyDescent="0.3">
      <c r="A40" t="s">
        <v>141</v>
      </c>
      <c r="N40" s="8" t="s">
        <v>76</v>
      </c>
    </row>
    <row r="41" spans="1:14" x14ac:dyDescent="0.3">
      <c r="A41" t="s">
        <v>142</v>
      </c>
      <c r="B41" s="13">
        <v>218538000000</v>
      </c>
      <c r="C41" s="13">
        <v>252252000000</v>
      </c>
      <c r="D41" s="13">
        <v>267122000000</v>
      </c>
      <c r="E41" s="13">
        <v>278384000000</v>
      </c>
      <c r="F41" s="13">
        <v>260542000000</v>
      </c>
      <c r="G41" s="13">
        <v>243919000000</v>
      </c>
      <c r="H41" s="13">
        <v>250440000000</v>
      </c>
      <c r="I41" s="13">
        <v>277035000000</v>
      </c>
      <c r="J41" s="13">
        <v>297572000000</v>
      </c>
      <c r="K41" s="13">
        <v>279385000000</v>
      </c>
      <c r="L41" s="13">
        <v>252940000000</v>
      </c>
      <c r="N41" s="8" t="s">
        <v>25</v>
      </c>
    </row>
    <row r="42" spans="1:14" x14ac:dyDescent="0.3">
      <c r="A42" t="s">
        <v>143</v>
      </c>
      <c r="B42" s="13">
        <v>6087160000000</v>
      </c>
      <c r="C42" s="13">
        <v>7551500000000</v>
      </c>
      <c r="D42" s="13">
        <v>8532230000000</v>
      </c>
      <c r="E42" s="13">
        <v>9570410000000</v>
      </c>
      <c r="F42" s="13">
        <v>10475700000000</v>
      </c>
      <c r="G42" s="13">
        <v>11061600000000</v>
      </c>
      <c r="H42" s="13">
        <v>11233300000000</v>
      </c>
      <c r="I42" s="13">
        <v>12310400000000</v>
      </c>
      <c r="J42" s="13">
        <v>13894800000000</v>
      </c>
      <c r="K42" s="13">
        <v>14279900000000</v>
      </c>
      <c r="L42" s="13">
        <v>14722700000000</v>
      </c>
      <c r="N42" s="8" t="s">
        <v>77</v>
      </c>
    </row>
    <row r="43" spans="1:14" x14ac:dyDescent="0.3">
      <c r="A43" t="s">
        <v>144</v>
      </c>
      <c r="B43">
        <v>34936305297</v>
      </c>
      <c r="C43">
        <v>36693712825</v>
      </c>
      <c r="D43">
        <v>36302305578</v>
      </c>
      <c r="E43">
        <v>42760237561</v>
      </c>
      <c r="F43">
        <v>48843008580</v>
      </c>
      <c r="G43">
        <v>45814637971</v>
      </c>
      <c r="H43">
        <v>47964234560</v>
      </c>
      <c r="I43">
        <v>51588158718</v>
      </c>
      <c r="J43">
        <v>58011466451</v>
      </c>
      <c r="K43">
        <v>58539424930</v>
      </c>
      <c r="L43">
        <v>61348579465</v>
      </c>
      <c r="N43" s="8" t="s">
        <v>26</v>
      </c>
    </row>
    <row r="44" spans="1:14" x14ac:dyDescent="0.3">
      <c r="A44" t="s">
        <v>145</v>
      </c>
      <c r="B44">
        <v>27507499709</v>
      </c>
      <c r="C44">
        <v>30630912185</v>
      </c>
      <c r="D44">
        <v>30155064574</v>
      </c>
      <c r="E44">
        <v>33728622819</v>
      </c>
      <c r="F44">
        <v>36386546918</v>
      </c>
      <c r="G44">
        <v>32210232912</v>
      </c>
      <c r="H44">
        <v>33814337900</v>
      </c>
      <c r="I44">
        <v>36098550142</v>
      </c>
      <c r="J44">
        <v>39973839065</v>
      </c>
      <c r="K44">
        <v>39670977333</v>
      </c>
      <c r="L44">
        <v>40804449726</v>
      </c>
      <c r="N44" s="8" t="s">
        <v>78</v>
      </c>
    </row>
    <row r="45" spans="1:14" x14ac:dyDescent="0.3">
      <c r="A45" t="s">
        <v>146</v>
      </c>
      <c r="B45">
        <v>21565720044</v>
      </c>
      <c r="C45">
        <v>25839749199</v>
      </c>
      <c r="D45">
        <v>29306235826</v>
      </c>
      <c r="E45">
        <v>32679745298</v>
      </c>
      <c r="F45">
        <v>35909040266</v>
      </c>
      <c r="G45">
        <v>37917704900</v>
      </c>
      <c r="H45">
        <v>37134799975</v>
      </c>
      <c r="I45">
        <v>38019265626</v>
      </c>
      <c r="J45">
        <v>47146004587</v>
      </c>
      <c r="K45">
        <v>50400747050</v>
      </c>
      <c r="L45">
        <v>48716960860</v>
      </c>
      <c r="N45" s="8" t="s">
        <v>27</v>
      </c>
    </row>
    <row r="46" spans="1:14" x14ac:dyDescent="0.3">
      <c r="A46" t="s">
        <v>147</v>
      </c>
      <c r="B46">
        <v>13135580695</v>
      </c>
      <c r="C46">
        <v>15634897273</v>
      </c>
      <c r="D46">
        <v>17693924573</v>
      </c>
      <c r="E46">
        <v>17953617927</v>
      </c>
      <c r="F46">
        <v>17889079958</v>
      </c>
      <c r="G46">
        <v>11885478502</v>
      </c>
      <c r="H46">
        <v>10215989995</v>
      </c>
      <c r="I46">
        <v>11090177747</v>
      </c>
      <c r="J46">
        <v>13670036996</v>
      </c>
      <c r="K46">
        <v>12750339023</v>
      </c>
      <c r="L46">
        <v>10187122341</v>
      </c>
      <c r="N46" s="8" t="s">
        <v>79</v>
      </c>
    </row>
    <row r="47" spans="1:14" x14ac:dyDescent="0.3">
      <c r="A47" t="s">
        <v>148</v>
      </c>
      <c r="B47" s="13">
        <v>286563000000</v>
      </c>
      <c r="C47" s="13">
        <v>334944000000</v>
      </c>
      <c r="D47" s="13">
        <v>370921000000</v>
      </c>
      <c r="E47" s="13">
        <v>382116000000</v>
      </c>
      <c r="F47" s="13">
        <v>381112000000</v>
      </c>
      <c r="G47" s="13">
        <v>293482000000</v>
      </c>
      <c r="H47" s="13">
        <v>282825000000</v>
      </c>
      <c r="I47" s="13">
        <v>311884000000</v>
      </c>
      <c r="J47" s="13">
        <v>334198000000</v>
      </c>
      <c r="K47" s="13">
        <v>323430000000</v>
      </c>
      <c r="L47" s="13">
        <v>271438000000</v>
      </c>
      <c r="N47" s="8" t="s">
        <v>80</v>
      </c>
    </row>
    <row r="48" spans="1:14" x14ac:dyDescent="0.3">
      <c r="A48" t="s">
        <v>149</v>
      </c>
      <c r="B48">
        <v>907978723.5</v>
      </c>
      <c r="C48">
        <v>1023086184</v>
      </c>
      <c r="D48">
        <v>1015843369</v>
      </c>
      <c r="E48">
        <v>1116224161</v>
      </c>
      <c r="F48">
        <v>1149587652</v>
      </c>
      <c r="G48">
        <v>966029542</v>
      </c>
      <c r="H48">
        <v>1012835518</v>
      </c>
      <c r="I48">
        <v>1077439663</v>
      </c>
      <c r="J48">
        <v>1188797575</v>
      </c>
      <c r="K48">
        <v>1192559739</v>
      </c>
      <c r="L48">
        <v>1235400352</v>
      </c>
      <c r="N48" s="8" t="s">
        <v>28</v>
      </c>
    </row>
    <row r="49" spans="1:14" x14ac:dyDescent="0.3">
      <c r="A49" t="s">
        <v>150</v>
      </c>
      <c r="B49">
        <v>1664310770</v>
      </c>
      <c r="C49">
        <v>1865915544</v>
      </c>
      <c r="D49">
        <v>1741809809</v>
      </c>
      <c r="E49">
        <v>1850470042</v>
      </c>
      <c r="F49">
        <v>1859898513</v>
      </c>
      <c r="G49">
        <v>1596800287</v>
      </c>
      <c r="H49">
        <v>1662998678</v>
      </c>
      <c r="I49">
        <v>1768319144</v>
      </c>
      <c r="J49">
        <v>1966503223</v>
      </c>
      <c r="K49">
        <v>1981845741</v>
      </c>
      <c r="L49">
        <v>1703698677</v>
      </c>
      <c r="N49" s="8" t="s">
        <v>29</v>
      </c>
    </row>
    <row r="50" spans="1:14" x14ac:dyDescent="0.3">
      <c r="A50" t="s">
        <v>151</v>
      </c>
      <c r="B50">
        <v>37658614803</v>
      </c>
      <c r="C50">
        <v>42762617082</v>
      </c>
      <c r="D50">
        <v>47231651863</v>
      </c>
      <c r="E50">
        <v>50949672206</v>
      </c>
      <c r="F50">
        <v>52016408951</v>
      </c>
      <c r="G50">
        <v>56441917653</v>
      </c>
      <c r="H50">
        <v>58847016045</v>
      </c>
      <c r="I50">
        <v>60516043590</v>
      </c>
      <c r="J50">
        <v>62420165100</v>
      </c>
      <c r="K50">
        <v>64072870932</v>
      </c>
      <c r="L50">
        <v>61846895121</v>
      </c>
      <c r="N50" s="8" t="s">
        <v>81</v>
      </c>
    </row>
    <row r="51" spans="1:14" x14ac:dyDescent="0.3">
      <c r="A51" t="s">
        <v>152</v>
      </c>
      <c r="B51">
        <v>64524447018</v>
      </c>
      <c r="C51">
        <v>69668271733</v>
      </c>
      <c r="D51">
        <v>72051115324</v>
      </c>
      <c r="E51">
        <v>73345409464</v>
      </c>
      <c r="F51">
        <v>74470922980</v>
      </c>
      <c r="G51">
        <v>73243299833</v>
      </c>
      <c r="H51">
        <v>69598702058</v>
      </c>
      <c r="I51">
        <v>71693634217</v>
      </c>
      <c r="J51">
        <v>75312833438</v>
      </c>
      <c r="K51">
        <v>76173669481</v>
      </c>
      <c r="L51">
        <v>66039332389</v>
      </c>
      <c r="N51" s="8" t="s">
        <v>30</v>
      </c>
    </row>
    <row r="52" spans="1:14" x14ac:dyDescent="0.3">
      <c r="A52" t="s">
        <v>153</v>
      </c>
      <c r="B52">
        <v>64328000000</v>
      </c>
      <c r="C52">
        <v>68990000000</v>
      </c>
      <c r="D52">
        <v>73141000000</v>
      </c>
      <c r="E52">
        <v>77148000000</v>
      </c>
      <c r="F52">
        <v>80656000000</v>
      </c>
      <c r="G52">
        <v>87133000000</v>
      </c>
      <c r="H52">
        <v>91370000000</v>
      </c>
      <c r="I52">
        <v>96851000000</v>
      </c>
      <c r="J52" s="13">
        <v>100050000000</v>
      </c>
      <c r="K52" s="13">
        <v>103428000000</v>
      </c>
      <c r="L52" s="13">
        <v>107352000000</v>
      </c>
      <c r="N52" s="8" t="s">
        <v>31</v>
      </c>
    </row>
    <row r="53" spans="1:14" x14ac:dyDescent="0.3">
      <c r="A53" t="s">
        <v>154</v>
      </c>
      <c r="C53">
        <v>3038699609</v>
      </c>
      <c r="D53">
        <v>3131096089</v>
      </c>
      <c r="E53">
        <v>3147616201</v>
      </c>
      <c r="F53">
        <v>3158406034</v>
      </c>
      <c r="G53">
        <v>3151910782</v>
      </c>
      <c r="H53">
        <v>3122287933</v>
      </c>
      <c r="I53">
        <v>3116610112</v>
      </c>
      <c r="J53">
        <v>3127908045</v>
      </c>
      <c r="K53">
        <v>3101787709</v>
      </c>
      <c r="L53">
        <v>2595821709</v>
      </c>
      <c r="N53" s="8" t="s">
        <v>32</v>
      </c>
    </row>
    <row r="54" spans="1:14" x14ac:dyDescent="0.3">
      <c r="A54" t="s">
        <v>155</v>
      </c>
      <c r="B54">
        <v>4156990760</v>
      </c>
      <c r="C54">
        <v>4186223809</v>
      </c>
      <c r="D54">
        <v>4291159006</v>
      </c>
      <c r="E54">
        <v>4405954638</v>
      </c>
      <c r="F54">
        <v>4563017881</v>
      </c>
      <c r="G54">
        <v>4708336733</v>
      </c>
      <c r="H54">
        <v>4909498980</v>
      </c>
      <c r="I54">
        <v>5166467299</v>
      </c>
      <c r="J54">
        <v>5522625585</v>
      </c>
      <c r="K54">
        <v>5935769351</v>
      </c>
      <c r="L54">
        <v>5591623665</v>
      </c>
    </row>
    <row r="55" spans="1:14" x14ac:dyDescent="0.3">
      <c r="A55" t="s">
        <v>156</v>
      </c>
      <c r="B55">
        <v>25732432719</v>
      </c>
      <c r="C55">
        <v>27565469098</v>
      </c>
      <c r="D55">
        <v>24978513427</v>
      </c>
      <c r="E55">
        <v>23900872626</v>
      </c>
      <c r="F55">
        <v>23156850007</v>
      </c>
      <c r="G55">
        <v>19842404305</v>
      </c>
      <c r="H55">
        <v>20953442550</v>
      </c>
      <c r="I55">
        <v>22870833710</v>
      </c>
      <c r="J55">
        <v>25522671233</v>
      </c>
      <c r="K55">
        <v>25758357775</v>
      </c>
      <c r="L55">
        <v>24612646488</v>
      </c>
    </row>
    <row r="56" spans="1:14" x14ac:dyDescent="0.3">
      <c r="A56" t="s">
        <v>157</v>
      </c>
      <c r="B56" s="13">
        <v>209070000000</v>
      </c>
      <c r="C56" s="13">
        <v>229563000000</v>
      </c>
      <c r="D56" s="13">
        <v>208858000000</v>
      </c>
      <c r="E56" s="13">
        <v>211686000000</v>
      </c>
      <c r="F56" s="13">
        <v>209359000000</v>
      </c>
      <c r="G56" s="13">
        <v>188033000000</v>
      </c>
      <c r="H56" s="13">
        <v>196272000000</v>
      </c>
      <c r="I56" s="13">
        <v>218629000000</v>
      </c>
      <c r="J56" s="13">
        <v>248950000000</v>
      </c>
      <c r="K56" s="13">
        <v>252498000000</v>
      </c>
      <c r="L56" s="13">
        <v>245339000000</v>
      </c>
    </row>
    <row r="57" spans="1:14" x14ac:dyDescent="0.3">
      <c r="A57" t="s">
        <v>158</v>
      </c>
      <c r="B57" s="13">
        <v>3399670000000</v>
      </c>
      <c r="C57" s="13">
        <v>3749310000000</v>
      </c>
      <c r="D57" s="13">
        <v>3527140000000</v>
      </c>
      <c r="E57" s="13">
        <v>3733800000000</v>
      </c>
      <c r="F57" s="13">
        <v>3889090000000</v>
      </c>
      <c r="G57" s="13">
        <v>3357590000000</v>
      </c>
      <c r="H57" s="13">
        <v>3469850000000</v>
      </c>
      <c r="I57" s="13">
        <v>3690850000000</v>
      </c>
      <c r="J57" s="13">
        <v>3977290000000</v>
      </c>
      <c r="K57" s="13">
        <v>3888330000000</v>
      </c>
      <c r="L57" s="13">
        <v>3846410000000</v>
      </c>
    </row>
    <row r="58" spans="1:14" x14ac:dyDescent="0.3">
      <c r="A58" t="s">
        <v>159</v>
      </c>
      <c r="B58">
        <v>1128611700</v>
      </c>
      <c r="C58">
        <v>1239144502</v>
      </c>
      <c r="D58">
        <v>1353632942</v>
      </c>
      <c r="E58">
        <v>2042817163</v>
      </c>
      <c r="F58">
        <v>2214679081</v>
      </c>
      <c r="G58">
        <v>2430274292</v>
      </c>
      <c r="H58">
        <v>2603540257</v>
      </c>
      <c r="I58">
        <v>2751445574</v>
      </c>
      <c r="J58">
        <v>3012803457</v>
      </c>
      <c r="K58">
        <v>3324615549</v>
      </c>
      <c r="L58">
        <v>3384385217</v>
      </c>
    </row>
    <row r="59" spans="1:14" x14ac:dyDescent="0.3">
      <c r="A59" t="s">
        <v>160</v>
      </c>
      <c r="B59">
        <v>493825925.89999998</v>
      </c>
      <c r="C59">
        <v>501025925.89999998</v>
      </c>
      <c r="D59">
        <v>485996296.30000001</v>
      </c>
      <c r="E59">
        <v>498296296.30000001</v>
      </c>
      <c r="F59">
        <v>520207407.39999998</v>
      </c>
      <c r="G59">
        <v>540737037</v>
      </c>
      <c r="H59">
        <v>576229629.60000002</v>
      </c>
      <c r="I59">
        <v>519837037</v>
      </c>
      <c r="J59">
        <v>550622222.20000005</v>
      </c>
      <c r="K59">
        <v>611537037</v>
      </c>
      <c r="L59">
        <v>504214814.80000001</v>
      </c>
    </row>
    <row r="60" spans="1:14" x14ac:dyDescent="0.3">
      <c r="A60" t="s">
        <v>161</v>
      </c>
      <c r="B60" s="13">
        <v>321995000000</v>
      </c>
      <c r="C60" s="13">
        <v>344003000000</v>
      </c>
      <c r="D60" s="13">
        <v>327149000000</v>
      </c>
      <c r="E60" s="13">
        <v>343584000000</v>
      </c>
      <c r="F60" s="13">
        <v>352994000000</v>
      </c>
      <c r="G60" s="13">
        <v>302673000000</v>
      </c>
      <c r="H60" s="13">
        <v>313116000000</v>
      </c>
      <c r="I60" s="13">
        <v>332121000000</v>
      </c>
      <c r="J60" s="13">
        <v>356841000000</v>
      </c>
      <c r="K60" s="13">
        <v>347561000000</v>
      </c>
      <c r="L60" s="13">
        <v>356085000000</v>
      </c>
    </row>
    <row r="61" spans="1:14" x14ac:dyDescent="0.3">
      <c r="A61" t="s">
        <v>162</v>
      </c>
      <c r="B61">
        <v>53860175556</v>
      </c>
      <c r="C61">
        <v>58029750746</v>
      </c>
      <c r="D61">
        <v>60681537196</v>
      </c>
      <c r="E61">
        <v>62682163837</v>
      </c>
      <c r="F61">
        <v>67179914027</v>
      </c>
      <c r="G61">
        <v>71164825257</v>
      </c>
      <c r="H61">
        <v>75704720190</v>
      </c>
      <c r="I61">
        <v>79997975622</v>
      </c>
      <c r="J61">
        <v>85555378043</v>
      </c>
      <c r="K61">
        <v>88941299734</v>
      </c>
      <c r="L61">
        <v>78844702329</v>
      </c>
    </row>
    <row r="62" spans="1:14" x14ac:dyDescent="0.3">
      <c r="A62" t="s">
        <v>163</v>
      </c>
      <c r="B62" s="13">
        <v>161207000000</v>
      </c>
      <c r="C62" s="13">
        <v>200013000000</v>
      </c>
      <c r="D62" s="13">
        <v>209059000000</v>
      </c>
      <c r="E62" s="13">
        <v>209755000000</v>
      </c>
      <c r="F62" s="13">
        <v>213810000000</v>
      </c>
      <c r="G62" s="13">
        <v>165979000000</v>
      </c>
      <c r="H62" s="13">
        <v>160034000000</v>
      </c>
      <c r="I62" s="13">
        <v>170097000000</v>
      </c>
      <c r="J62" s="13">
        <v>174911000000</v>
      </c>
      <c r="K62" s="13">
        <v>171767000000</v>
      </c>
      <c r="L62" s="13">
        <v>145009000000</v>
      </c>
    </row>
    <row r="63" spans="1:14" x14ac:dyDescent="0.3">
      <c r="A63" t="s">
        <v>164</v>
      </c>
      <c r="B63" s="13">
        <v>7857940000000</v>
      </c>
      <c r="C63" s="13">
        <v>9608210000000</v>
      </c>
      <c r="D63" s="13">
        <v>10719100000000</v>
      </c>
      <c r="E63" s="13">
        <v>11828300000000</v>
      </c>
      <c r="F63" s="13">
        <v>12751200000000</v>
      </c>
      <c r="G63" s="13">
        <v>13281200000000</v>
      </c>
      <c r="H63" s="13">
        <v>13560200000000</v>
      </c>
      <c r="I63" s="13">
        <v>14819300000000</v>
      </c>
      <c r="J63" s="13">
        <v>16575000000000</v>
      </c>
      <c r="K63" s="13">
        <v>17135400000000</v>
      </c>
      <c r="L63" s="13">
        <v>17448900000000</v>
      </c>
    </row>
    <row r="64" spans="1:14" x14ac:dyDescent="0.3">
      <c r="A64" t="s">
        <v>165</v>
      </c>
      <c r="B64" s="13">
        <v>8800250000000</v>
      </c>
      <c r="C64" s="13">
        <v>9651880000000</v>
      </c>
      <c r="D64" s="13">
        <v>10096200000000</v>
      </c>
      <c r="E64" s="13">
        <v>10250900000000</v>
      </c>
      <c r="F64" s="13">
        <v>10603400000000</v>
      </c>
      <c r="G64" s="13">
        <v>10082400000000</v>
      </c>
      <c r="H64" s="13">
        <v>10307800000000</v>
      </c>
      <c r="I64" s="13">
        <v>11137600000000</v>
      </c>
      <c r="J64" s="13">
        <v>11214800000000</v>
      </c>
      <c r="K64" s="13">
        <v>11527300000000</v>
      </c>
      <c r="L64" s="13">
        <v>10668200000000</v>
      </c>
    </row>
    <row r="65" spans="1:12" x14ac:dyDescent="0.3">
      <c r="A65" t="s">
        <v>166</v>
      </c>
      <c r="B65" s="13">
        <v>17032300000000</v>
      </c>
      <c r="C65" s="13">
        <v>19751900000000</v>
      </c>
      <c r="D65" s="13">
        <v>21131800000000</v>
      </c>
      <c r="E65" s="13">
        <v>21367600000000</v>
      </c>
      <c r="F65" s="13">
        <v>22038400000000</v>
      </c>
      <c r="G65" s="13">
        <v>21951400000000</v>
      </c>
      <c r="H65" s="13">
        <v>22720700000000</v>
      </c>
      <c r="I65" s="13">
        <v>24268500000000</v>
      </c>
      <c r="J65" s="13">
        <v>26416300000000</v>
      </c>
      <c r="K65" s="13">
        <v>26981500000000</v>
      </c>
      <c r="L65" s="13">
        <v>27097400000000</v>
      </c>
    </row>
    <row r="66" spans="1:12" x14ac:dyDescent="0.3">
      <c r="A66" t="s">
        <v>167</v>
      </c>
      <c r="B66" s="13">
        <v>3119370000000</v>
      </c>
      <c r="C66" s="13">
        <v>3853330000000</v>
      </c>
      <c r="D66" s="13">
        <v>4085330000000</v>
      </c>
      <c r="E66" s="13">
        <v>4341020000000</v>
      </c>
      <c r="F66" s="13">
        <v>4045790000000</v>
      </c>
      <c r="G66" s="13">
        <v>3099130000000</v>
      </c>
      <c r="H66" s="13">
        <v>2965860000000</v>
      </c>
      <c r="I66" s="13">
        <v>3329880000000</v>
      </c>
      <c r="J66" s="13">
        <v>3423990000000</v>
      </c>
      <c r="K66" s="13">
        <v>3493930000000</v>
      </c>
      <c r="L66" s="13">
        <v>3222400000000</v>
      </c>
    </row>
    <row r="67" spans="1:12" x14ac:dyDescent="0.3">
      <c r="A67" t="s">
        <v>168</v>
      </c>
      <c r="B67" s="13">
        <v>21025800000000</v>
      </c>
      <c r="C67" s="13">
        <v>23314100000000</v>
      </c>
      <c r="D67" s="13">
        <v>22462300000000</v>
      </c>
      <c r="E67" s="13">
        <v>23481200000000</v>
      </c>
      <c r="F67" s="13">
        <v>23811800000000</v>
      </c>
      <c r="G67" s="13">
        <v>20513300000000</v>
      </c>
      <c r="H67" s="13">
        <v>20453700000000</v>
      </c>
      <c r="I67" s="13">
        <v>21680100000000</v>
      </c>
      <c r="J67" s="13">
        <v>23224000000000</v>
      </c>
      <c r="K67" s="13">
        <v>22934000000000</v>
      </c>
      <c r="L67" s="13">
        <v>22121600000000</v>
      </c>
    </row>
    <row r="68" spans="1:12" x14ac:dyDescent="0.3">
      <c r="A68" t="s">
        <v>169</v>
      </c>
      <c r="B68">
        <v>69555367000</v>
      </c>
      <c r="C68">
        <v>79276664000</v>
      </c>
      <c r="D68">
        <v>87924544000</v>
      </c>
      <c r="E68">
        <v>95129659000</v>
      </c>
      <c r="F68" s="13">
        <v>101726000000</v>
      </c>
      <c r="G68">
        <v>99290381000</v>
      </c>
      <c r="H68">
        <v>99937696000</v>
      </c>
      <c r="I68" s="13">
        <v>104296000000</v>
      </c>
      <c r="J68" s="13">
        <v>107562000000</v>
      </c>
      <c r="K68" s="13">
        <v>108108000000</v>
      </c>
      <c r="L68">
        <v>98808010000</v>
      </c>
    </row>
    <row r="69" spans="1:12" x14ac:dyDescent="0.3">
      <c r="A69" t="s">
        <v>170</v>
      </c>
      <c r="B69" s="13">
        <v>218984000000</v>
      </c>
      <c r="C69" s="13">
        <v>235990000000</v>
      </c>
      <c r="D69" s="13">
        <v>279117000000</v>
      </c>
      <c r="E69" s="13">
        <v>288434000000</v>
      </c>
      <c r="F69" s="13">
        <v>305595000000</v>
      </c>
      <c r="G69" s="13">
        <v>329367000000</v>
      </c>
      <c r="H69" s="13">
        <v>332442000000</v>
      </c>
      <c r="I69" s="13">
        <v>235734000000</v>
      </c>
      <c r="J69" s="13">
        <v>249713000000</v>
      </c>
      <c r="K69" s="13">
        <v>303081000000</v>
      </c>
      <c r="L69" s="13">
        <v>365253000000</v>
      </c>
    </row>
    <row r="70" spans="1:12" x14ac:dyDescent="0.3">
      <c r="A70" t="s">
        <v>171</v>
      </c>
      <c r="B70" s="13">
        <v>12641300000000</v>
      </c>
      <c r="C70" s="13">
        <v>13637400000000</v>
      </c>
      <c r="D70" s="13">
        <v>12638200000000</v>
      </c>
      <c r="E70" s="13">
        <v>13195400000000</v>
      </c>
      <c r="F70" s="13">
        <v>13508900000000</v>
      </c>
      <c r="G70" s="13">
        <v>11674400000000</v>
      </c>
      <c r="H70" s="13">
        <v>11972600000000</v>
      </c>
      <c r="I70" s="13">
        <v>12677500000000</v>
      </c>
      <c r="J70" s="13">
        <v>13698900000000</v>
      </c>
      <c r="K70" s="13">
        <v>13413600000000</v>
      </c>
      <c r="L70" s="13">
        <v>13021000000000</v>
      </c>
    </row>
    <row r="71" spans="1:12" x14ac:dyDescent="0.3">
      <c r="A71" t="s">
        <v>172</v>
      </c>
      <c r="B71">
        <v>1589515447</v>
      </c>
      <c r="C71">
        <v>2065001626</v>
      </c>
    </row>
    <row r="72" spans="1:12" x14ac:dyDescent="0.3">
      <c r="A72" t="s">
        <v>173</v>
      </c>
      <c r="B72" s="13">
        <v>1422110000000</v>
      </c>
      <c r="C72" s="13">
        <v>1480710000000</v>
      </c>
      <c r="D72" s="13">
        <v>1324740000000</v>
      </c>
      <c r="E72" s="13">
        <v>1355140000000</v>
      </c>
      <c r="F72" s="13">
        <v>1371220000000</v>
      </c>
      <c r="G72" s="13">
        <v>1195600000000</v>
      </c>
      <c r="H72" s="13">
        <v>1232910000000</v>
      </c>
      <c r="I72" s="13">
        <v>1312540000000</v>
      </c>
      <c r="J72" s="13">
        <v>1420990000000</v>
      </c>
      <c r="K72" s="13">
        <v>1393050000000</v>
      </c>
      <c r="L72" s="13">
        <v>1281480000000</v>
      </c>
    </row>
    <row r="73" spans="1:12" x14ac:dyDescent="0.3">
      <c r="A73" t="s">
        <v>174</v>
      </c>
      <c r="B73">
        <v>19523477326</v>
      </c>
      <c r="C73">
        <v>23213994093</v>
      </c>
      <c r="D73">
        <v>23019150071</v>
      </c>
      <c r="E73">
        <v>25115753366</v>
      </c>
      <c r="F73">
        <v>26634083965</v>
      </c>
      <c r="G73">
        <v>22890762090</v>
      </c>
      <c r="H73">
        <v>24072829277</v>
      </c>
      <c r="I73">
        <v>26924385103</v>
      </c>
      <c r="J73">
        <v>30489500905</v>
      </c>
      <c r="K73">
        <v>31045591753</v>
      </c>
      <c r="L73">
        <v>30650285472</v>
      </c>
    </row>
    <row r="74" spans="1:12" x14ac:dyDescent="0.3">
      <c r="A74" t="s">
        <v>175</v>
      </c>
      <c r="B74">
        <v>29933790334</v>
      </c>
      <c r="C74">
        <v>31952763089</v>
      </c>
      <c r="D74">
        <v>43310721414</v>
      </c>
      <c r="E74">
        <v>47648211133</v>
      </c>
      <c r="F74">
        <v>55612228234</v>
      </c>
      <c r="G74">
        <v>64589334979</v>
      </c>
      <c r="H74">
        <v>74296618481</v>
      </c>
      <c r="I74">
        <v>81770791971</v>
      </c>
      <c r="J74">
        <v>84269348327</v>
      </c>
      <c r="K74">
        <v>95912590628</v>
      </c>
      <c r="L74" s="13">
        <v>107645000000</v>
      </c>
    </row>
    <row r="75" spans="1:12" x14ac:dyDescent="0.3">
      <c r="A75" t="s">
        <v>176</v>
      </c>
      <c r="B75" s="13">
        <v>14557600000000</v>
      </c>
      <c r="C75" s="13">
        <v>15759500000000</v>
      </c>
      <c r="D75" s="13">
        <v>14636200000000</v>
      </c>
      <c r="E75" s="13">
        <v>15299700000000</v>
      </c>
      <c r="F75" s="13">
        <v>15652100000000</v>
      </c>
      <c r="G75" s="13">
        <v>13551900000000</v>
      </c>
      <c r="H75" s="13">
        <v>13893300000000</v>
      </c>
      <c r="I75" s="13">
        <v>14766000000000</v>
      </c>
      <c r="J75" s="13">
        <v>15978200000000</v>
      </c>
      <c r="K75" s="13">
        <v>15689400000000</v>
      </c>
      <c r="L75" s="13">
        <v>15291900000000</v>
      </c>
    </row>
    <row r="76" spans="1:12" x14ac:dyDescent="0.3">
      <c r="A76" t="s">
        <v>177</v>
      </c>
      <c r="B76" s="13">
        <v>1689110000000</v>
      </c>
      <c r="C76" s="13">
        <v>1539480000000</v>
      </c>
      <c r="D76" s="13">
        <v>1738130000000</v>
      </c>
      <c r="E76" s="13">
        <v>1806530000000</v>
      </c>
      <c r="F76" s="13">
        <v>1958700000000</v>
      </c>
      <c r="G76" s="13">
        <v>1560340000000</v>
      </c>
      <c r="H76" s="13">
        <v>1407790000000</v>
      </c>
      <c r="I76" s="13">
        <v>1440150000000</v>
      </c>
      <c r="J76" s="13">
        <v>1572830000000</v>
      </c>
      <c r="K76" s="13">
        <v>1661770000000</v>
      </c>
      <c r="L76" s="13">
        <v>1508640000000</v>
      </c>
    </row>
    <row r="77" spans="1:12" x14ac:dyDescent="0.3">
      <c r="A77" t="s">
        <v>178</v>
      </c>
      <c r="B77" s="13">
        <v>249424000000</v>
      </c>
      <c r="C77" s="13">
        <v>275604000000</v>
      </c>
      <c r="D77" s="13">
        <v>258290000000</v>
      </c>
      <c r="E77" s="13">
        <v>271362000000</v>
      </c>
      <c r="F77" s="13">
        <v>274863000000</v>
      </c>
      <c r="G77" s="13">
        <v>234534000000</v>
      </c>
      <c r="H77" s="13">
        <v>240771000000</v>
      </c>
      <c r="I77" s="13">
        <v>255648000000</v>
      </c>
      <c r="J77" s="13">
        <v>275715000000</v>
      </c>
      <c r="K77" s="13">
        <v>268508000000</v>
      </c>
      <c r="L77" s="13">
        <v>269595000000</v>
      </c>
    </row>
    <row r="78" spans="1:12" x14ac:dyDescent="0.3">
      <c r="A78" t="s">
        <v>179</v>
      </c>
      <c r="B78">
        <v>3140508836</v>
      </c>
      <c r="C78">
        <v>3774530616</v>
      </c>
      <c r="D78">
        <v>3972012571</v>
      </c>
      <c r="E78">
        <v>4190143206</v>
      </c>
      <c r="F78">
        <v>4856963230</v>
      </c>
      <c r="G78">
        <v>4682546863</v>
      </c>
      <c r="H78">
        <v>4930204230</v>
      </c>
      <c r="I78">
        <v>5353404422</v>
      </c>
      <c r="J78">
        <v>5581371848</v>
      </c>
      <c r="K78">
        <v>5496264766</v>
      </c>
      <c r="L78">
        <v>4533883782</v>
      </c>
    </row>
    <row r="79" spans="1:12" x14ac:dyDescent="0.3">
      <c r="A79" t="s">
        <v>180</v>
      </c>
      <c r="B79" s="13">
        <v>2645190000000</v>
      </c>
      <c r="C79" s="13">
        <v>2865160000000</v>
      </c>
      <c r="D79" s="13">
        <v>2683670000000</v>
      </c>
      <c r="E79" s="13">
        <v>2811880000000</v>
      </c>
      <c r="F79" s="13">
        <v>2855960000000</v>
      </c>
      <c r="G79" s="13">
        <v>2439190000000</v>
      </c>
      <c r="H79" s="13">
        <v>2472960000000</v>
      </c>
      <c r="I79" s="13">
        <v>2595150000000</v>
      </c>
      <c r="J79" s="13">
        <v>2790960000000</v>
      </c>
      <c r="K79" s="13">
        <v>2728870000000</v>
      </c>
      <c r="L79" s="13">
        <v>2630320000000</v>
      </c>
    </row>
    <row r="80" spans="1:12" x14ac:dyDescent="0.3">
      <c r="A80" t="s">
        <v>181</v>
      </c>
      <c r="B80">
        <v>2320424601</v>
      </c>
      <c r="C80">
        <v>2490807831</v>
      </c>
      <c r="D80">
        <v>2366301252</v>
      </c>
      <c r="E80">
        <v>2627049837</v>
      </c>
      <c r="F80">
        <v>2850743875</v>
      </c>
      <c r="G80">
        <v>2518096286</v>
      </c>
      <c r="H80">
        <v>2738832687</v>
      </c>
      <c r="I80">
        <v>2899226098</v>
      </c>
      <c r="J80">
        <v>3051341336</v>
      </c>
      <c r="K80">
        <v>3126293220</v>
      </c>
    </row>
    <row r="81" spans="1:12" x14ac:dyDescent="0.3">
      <c r="A81" t="s">
        <v>182</v>
      </c>
      <c r="B81">
        <v>296944100</v>
      </c>
      <c r="C81">
        <v>311301600</v>
      </c>
      <c r="D81">
        <v>327248700</v>
      </c>
      <c r="E81">
        <v>317214400</v>
      </c>
      <c r="F81">
        <v>319271200</v>
      </c>
      <c r="G81">
        <v>316489900</v>
      </c>
      <c r="H81">
        <v>332265200</v>
      </c>
      <c r="I81">
        <v>366666800</v>
      </c>
      <c r="J81">
        <v>401932300</v>
      </c>
      <c r="K81">
        <v>408057100</v>
      </c>
      <c r="L81">
        <v>410083600</v>
      </c>
    </row>
    <row r="82" spans="1:12" x14ac:dyDescent="0.3">
      <c r="A82" t="s">
        <v>183</v>
      </c>
      <c r="B82">
        <v>14372591916</v>
      </c>
      <c r="C82">
        <v>18210308748</v>
      </c>
      <c r="D82">
        <v>17170465294</v>
      </c>
      <c r="E82">
        <v>17595745653</v>
      </c>
      <c r="F82">
        <v>18203968002</v>
      </c>
      <c r="G82">
        <v>14383107714</v>
      </c>
      <c r="H82">
        <v>14023890620</v>
      </c>
      <c r="I82">
        <v>14929488771</v>
      </c>
      <c r="J82">
        <v>16867325127</v>
      </c>
      <c r="K82">
        <v>16874405840</v>
      </c>
      <c r="L82">
        <v>15316826192</v>
      </c>
    </row>
    <row r="83" spans="1:12" x14ac:dyDescent="0.3">
      <c r="A83" t="s">
        <v>184</v>
      </c>
      <c r="B83" s="13">
        <v>2491110000000</v>
      </c>
      <c r="C83" s="13">
        <v>2674890000000</v>
      </c>
      <c r="D83" s="13">
        <v>2719160000000</v>
      </c>
      <c r="E83" s="13">
        <v>2803290000000</v>
      </c>
      <c r="F83" s="13">
        <v>3087170000000</v>
      </c>
      <c r="G83" s="13">
        <v>2956570000000</v>
      </c>
      <c r="H83" s="13">
        <v>2722850000000</v>
      </c>
      <c r="I83" s="13">
        <v>2699020000000</v>
      </c>
      <c r="J83" s="13">
        <v>2900790000000</v>
      </c>
      <c r="K83" s="13">
        <v>2878670000000</v>
      </c>
      <c r="L83" s="13">
        <v>2759800000000</v>
      </c>
    </row>
    <row r="84" spans="1:12" x14ac:dyDescent="0.3">
      <c r="A84" t="s">
        <v>185</v>
      </c>
      <c r="B84">
        <v>12243505583</v>
      </c>
      <c r="C84">
        <v>15107441447</v>
      </c>
      <c r="D84">
        <v>16488403076</v>
      </c>
      <c r="E84">
        <v>17189551521</v>
      </c>
      <c r="F84">
        <v>17627003455</v>
      </c>
      <c r="G84">
        <v>14953950557</v>
      </c>
      <c r="H84">
        <v>15141758567</v>
      </c>
      <c r="I84">
        <v>16242916916</v>
      </c>
      <c r="J84">
        <v>17599700091</v>
      </c>
      <c r="K84">
        <v>17477255562</v>
      </c>
      <c r="L84">
        <v>15846489611</v>
      </c>
    </row>
    <row r="85" spans="1:12" x14ac:dyDescent="0.3">
      <c r="A85" t="s">
        <v>186</v>
      </c>
      <c r="B85">
        <v>32197272797</v>
      </c>
      <c r="C85">
        <v>39337314810</v>
      </c>
      <c r="D85">
        <v>41270954737</v>
      </c>
      <c r="E85">
        <v>62823043706</v>
      </c>
      <c r="F85">
        <v>54782847753</v>
      </c>
      <c r="G85">
        <v>49406568433</v>
      </c>
      <c r="H85">
        <v>56165172899</v>
      </c>
      <c r="I85">
        <v>60406382899</v>
      </c>
      <c r="J85">
        <v>67299280680</v>
      </c>
      <c r="K85">
        <v>68337537816</v>
      </c>
      <c r="L85">
        <v>68532281806</v>
      </c>
    </row>
    <row r="86" spans="1:12" x14ac:dyDescent="0.3">
      <c r="A86" t="s">
        <v>187</v>
      </c>
    </row>
    <row r="87" spans="1:12" x14ac:dyDescent="0.3">
      <c r="A87" t="s">
        <v>188</v>
      </c>
      <c r="B87">
        <v>6853467858</v>
      </c>
      <c r="C87">
        <v>6785137173</v>
      </c>
      <c r="D87">
        <v>7638045254</v>
      </c>
      <c r="E87">
        <v>8376613843</v>
      </c>
      <c r="F87">
        <v>8778473615</v>
      </c>
      <c r="G87">
        <v>8794202444</v>
      </c>
      <c r="H87">
        <v>8595955581</v>
      </c>
      <c r="I87">
        <v>10324668267</v>
      </c>
      <c r="J87">
        <v>11857030337</v>
      </c>
      <c r="K87">
        <v>13513809258</v>
      </c>
      <c r="L87">
        <v>15681050917</v>
      </c>
    </row>
    <row r="88" spans="1:12" x14ac:dyDescent="0.3">
      <c r="A88" t="s">
        <v>189</v>
      </c>
      <c r="B88">
        <v>1543292393</v>
      </c>
      <c r="C88">
        <v>1409694554</v>
      </c>
      <c r="D88">
        <v>1415006238</v>
      </c>
      <c r="E88">
        <v>1375608956</v>
      </c>
      <c r="F88">
        <v>1229460602</v>
      </c>
      <c r="G88">
        <v>1378176868</v>
      </c>
      <c r="H88">
        <v>1484579844</v>
      </c>
      <c r="I88">
        <v>1504909753</v>
      </c>
      <c r="J88">
        <v>1670670669</v>
      </c>
      <c r="K88">
        <v>1812529105</v>
      </c>
      <c r="L88">
        <v>1868086275</v>
      </c>
    </row>
    <row r="89" spans="1:12" x14ac:dyDescent="0.3">
      <c r="A89" t="s">
        <v>190</v>
      </c>
      <c r="B89">
        <v>849878424.20000005</v>
      </c>
      <c r="C89">
        <v>1099818652</v>
      </c>
      <c r="D89">
        <v>989271229.60000002</v>
      </c>
      <c r="E89">
        <v>1046087418</v>
      </c>
      <c r="F89">
        <v>1054915645</v>
      </c>
      <c r="G89">
        <v>1048229629</v>
      </c>
      <c r="H89">
        <v>1179004941</v>
      </c>
      <c r="I89">
        <v>1350177128</v>
      </c>
      <c r="J89">
        <v>1504630121</v>
      </c>
      <c r="K89">
        <v>1439638443</v>
      </c>
      <c r="L89">
        <v>1431758243</v>
      </c>
    </row>
    <row r="90" spans="1:12" x14ac:dyDescent="0.3">
      <c r="A90" t="s">
        <v>191</v>
      </c>
      <c r="B90">
        <v>16314443429</v>
      </c>
      <c r="C90">
        <v>21357343682</v>
      </c>
      <c r="D90">
        <v>22388344124</v>
      </c>
      <c r="E90">
        <v>21948834290</v>
      </c>
      <c r="F90">
        <v>21765453087</v>
      </c>
      <c r="G90">
        <v>13185496881</v>
      </c>
      <c r="H90">
        <v>11240808847</v>
      </c>
      <c r="I90">
        <v>12200913888</v>
      </c>
      <c r="J90">
        <v>13097012189</v>
      </c>
      <c r="K90">
        <v>11417278045</v>
      </c>
      <c r="L90">
        <v>10021856754</v>
      </c>
    </row>
    <row r="91" spans="1:12" x14ac:dyDescent="0.3">
      <c r="A91" t="s">
        <v>192</v>
      </c>
      <c r="B91" s="13">
        <v>297125000000</v>
      </c>
      <c r="C91" s="13">
        <v>282996000000</v>
      </c>
      <c r="D91" s="13">
        <v>242029000000</v>
      </c>
      <c r="E91" s="13">
        <v>238908000000</v>
      </c>
      <c r="F91" s="13">
        <v>235458000000</v>
      </c>
      <c r="G91" s="13">
        <v>195684000000</v>
      </c>
      <c r="H91" s="13">
        <v>193148000000</v>
      </c>
      <c r="I91" s="13">
        <v>199844000000</v>
      </c>
      <c r="J91" s="13">
        <v>212049000000</v>
      </c>
      <c r="K91" s="13">
        <v>205144000000</v>
      </c>
      <c r="L91" s="13">
        <v>188835000000</v>
      </c>
    </row>
    <row r="92" spans="1:12" x14ac:dyDescent="0.3">
      <c r="A92" t="s">
        <v>193</v>
      </c>
      <c r="B92">
        <v>771013259.29999995</v>
      </c>
      <c r="C92">
        <v>778655925.89999998</v>
      </c>
      <c r="D92">
        <v>799882259.29999995</v>
      </c>
      <c r="E92">
        <v>842620111.10000002</v>
      </c>
      <c r="F92">
        <v>911497407.39999998</v>
      </c>
      <c r="G92">
        <v>997007925.89999998</v>
      </c>
      <c r="H92">
        <v>1061640741</v>
      </c>
      <c r="I92">
        <v>1125685185</v>
      </c>
      <c r="J92">
        <v>1166523556</v>
      </c>
      <c r="K92">
        <v>1212694407</v>
      </c>
      <c r="L92">
        <v>1042100556</v>
      </c>
    </row>
    <row r="93" spans="1:12" x14ac:dyDescent="0.3">
      <c r="A93" t="s">
        <v>194</v>
      </c>
      <c r="B93">
        <v>2503156061</v>
      </c>
      <c r="C93">
        <v>2684467376</v>
      </c>
      <c r="D93">
        <v>2609667674</v>
      </c>
      <c r="E93">
        <v>2684952727</v>
      </c>
      <c r="F93">
        <v>2842048998</v>
      </c>
      <c r="G93">
        <v>2499115623</v>
      </c>
      <c r="H93">
        <v>2707146783</v>
      </c>
      <c r="I93">
        <v>2851610656</v>
      </c>
      <c r="J93">
        <v>3040414278</v>
      </c>
      <c r="K93">
        <v>2982247279</v>
      </c>
    </row>
    <row r="94" spans="1:12" x14ac:dyDescent="0.3">
      <c r="A94" t="s">
        <v>195</v>
      </c>
      <c r="B94">
        <v>40676432029</v>
      </c>
      <c r="C94">
        <v>46876114650</v>
      </c>
      <c r="D94">
        <v>49593961142</v>
      </c>
      <c r="E94">
        <v>52996540704</v>
      </c>
      <c r="F94">
        <v>57852399964</v>
      </c>
      <c r="G94">
        <v>62186186576</v>
      </c>
      <c r="H94">
        <v>66053725049</v>
      </c>
      <c r="I94">
        <v>71654134379</v>
      </c>
      <c r="J94">
        <v>73208583759</v>
      </c>
      <c r="K94">
        <v>77020015201</v>
      </c>
      <c r="L94">
        <v>77604632171</v>
      </c>
    </row>
    <row r="95" spans="1:12" x14ac:dyDescent="0.3">
      <c r="A95" t="s">
        <v>196</v>
      </c>
      <c r="B95">
        <v>4949000000</v>
      </c>
      <c r="C95">
        <v>4984000000</v>
      </c>
      <c r="D95">
        <v>5265000000</v>
      </c>
      <c r="E95">
        <v>5399000000</v>
      </c>
      <c r="F95">
        <v>5610000000</v>
      </c>
      <c r="G95">
        <v>5799000000</v>
      </c>
      <c r="H95">
        <v>5901000000</v>
      </c>
      <c r="I95">
        <v>6013000000</v>
      </c>
      <c r="J95">
        <v>6060000000</v>
      </c>
      <c r="K95">
        <v>6364000000</v>
      </c>
      <c r="L95">
        <v>5844000000</v>
      </c>
    </row>
    <row r="96" spans="1:12" x14ac:dyDescent="0.3">
      <c r="A96" t="s">
        <v>197</v>
      </c>
      <c r="B96">
        <v>3432913073</v>
      </c>
      <c r="C96">
        <v>3691384318</v>
      </c>
      <c r="D96">
        <v>4063089192</v>
      </c>
      <c r="E96">
        <v>4167800259</v>
      </c>
      <c r="F96">
        <v>4127659492</v>
      </c>
      <c r="G96">
        <v>4279840194</v>
      </c>
      <c r="H96">
        <v>4482697337</v>
      </c>
      <c r="I96">
        <v>4748174334</v>
      </c>
      <c r="J96">
        <v>4787636237</v>
      </c>
      <c r="K96">
        <v>5173760192</v>
      </c>
      <c r="L96">
        <v>5471256595</v>
      </c>
    </row>
    <row r="97" spans="1:12" x14ac:dyDescent="0.3">
      <c r="A97" t="s">
        <v>198</v>
      </c>
      <c r="B97" s="13">
        <v>45501300000000</v>
      </c>
      <c r="C97" s="13">
        <v>49127200000000</v>
      </c>
      <c r="D97" s="13">
        <v>49158400000000</v>
      </c>
      <c r="E97" s="13">
        <v>49754600000000</v>
      </c>
      <c r="F97" s="13">
        <v>50854100000000</v>
      </c>
      <c r="G97" s="13">
        <v>48060600000000</v>
      </c>
      <c r="H97" s="13">
        <v>49104300000000</v>
      </c>
      <c r="I97" s="13">
        <v>51348400000000</v>
      </c>
      <c r="J97" s="13">
        <v>54564200000000</v>
      </c>
      <c r="K97" s="13">
        <v>55045600000000</v>
      </c>
      <c r="L97" s="13">
        <v>53461100000000</v>
      </c>
    </row>
    <row r="98" spans="1:12" x14ac:dyDescent="0.3">
      <c r="A98" t="s">
        <v>199</v>
      </c>
      <c r="B98" s="13">
        <v>228638000000</v>
      </c>
      <c r="C98" s="13">
        <v>248514000000</v>
      </c>
      <c r="D98" s="13">
        <v>262629000000</v>
      </c>
      <c r="E98" s="13">
        <v>275697000000</v>
      </c>
      <c r="F98" s="13">
        <v>291459000000</v>
      </c>
      <c r="G98" s="13">
        <v>309384000000</v>
      </c>
      <c r="H98" s="13">
        <v>320838000000</v>
      </c>
      <c r="I98" s="13">
        <v>341244000000</v>
      </c>
      <c r="J98" s="13">
        <v>361692000000</v>
      </c>
      <c r="K98" s="13">
        <v>363016000000</v>
      </c>
      <c r="L98" s="13">
        <v>346586000000</v>
      </c>
    </row>
    <row r="99" spans="1:12" x14ac:dyDescent="0.3">
      <c r="A99" t="s">
        <v>200</v>
      </c>
      <c r="B99">
        <v>15729649159</v>
      </c>
      <c r="C99">
        <v>17588098575</v>
      </c>
      <c r="D99">
        <v>18400538859</v>
      </c>
      <c r="E99">
        <v>18372173381</v>
      </c>
      <c r="F99">
        <v>19618567250</v>
      </c>
      <c r="G99">
        <v>20833948800</v>
      </c>
      <c r="H99">
        <v>21566622850</v>
      </c>
      <c r="I99">
        <v>22975415842</v>
      </c>
      <c r="J99">
        <v>23900438564</v>
      </c>
      <c r="K99">
        <v>24915522849</v>
      </c>
      <c r="L99">
        <v>23662231634</v>
      </c>
    </row>
    <row r="100" spans="1:12" x14ac:dyDescent="0.3">
      <c r="A100" t="s">
        <v>201</v>
      </c>
      <c r="B100" s="13">
        <v>504925000000</v>
      </c>
      <c r="C100" s="13">
        <v>559477000000</v>
      </c>
      <c r="D100" s="13">
        <v>579142000000</v>
      </c>
      <c r="E100" s="13">
        <v>650021000000</v>
      </c>
      <c r="F100" s="13">
        <v>687772000000</v>
      </c>
      <c r="G100" s="13">
        <v>660138000000</v>
      </c>
      <c r="H100" s="13">
        <v>668494000000</v>
      </c>
      <c r="I100" s="13">
        <v>720194000000</v>
      </c>
      <c r="J100" s="13">
        <v>768422000000</v>
      </c>
      <c r="K100" s="13">
        <v>789832000000</v>
      </c>
      <c r="L100" s="13">
        <v>797697000000</v>
      </c>
    </row>
    <row r="101" spans="1:12" x14ac:dyDescent="0.3">
      <c r="A101" t="s">
        <v>202</v>
      </c>
      <c r="B101">
        <v>60426018629</v>
      </c>
      <c r="C101">
        <v>63169910822</v>
      </c>
      <c r="D101">
        <v>57192346923</v>
      </c>
      <c r="E101">
        <v>58889082315</v>
      </c>
      <c r="F101">
        <v>58330289757</v>
      </c>
      <c r="G101">
        <v>50163192883</v>
      </c>
      <c r="H101">
        <v>52295158344</v>
      </c>
      <c r="I101">
        <v>56214427431</v>
      </c>
      <c r="J101">
        <v>62247874949</v>
      </c>
      <c r="K101">
        <v>62246206341</v>
      </c>
      <c r="L101">
        <v>57203783203</v>
      </c>
    </row>
    <row r="102" spans="1:12" x14ac:dyDescent="0.3">
      <c r="A102" t="s">
        <v>203</v>
      </c>
      <c r="B102">
        <v>11859315079</v>
      </c>
      <c r="C102">
        <v>13008754111</v>
      </c>
      <c r="D102">
        <v>13708926466</v>
      </c>
      <c r="E102">
        <v>14902474091</v>
      </c>
      <c r="F102">
        <v>15139264670</v>
      </c>
      <c r="G102">
        <v>14833154472</v>
      </c>
      <c r="H102">
        <v>13987693739</v>
      </c>
      <c r="I102">
        <v>15035560373</v>
      </c>
      <c r="J102">
        <v>16455034353</v>
      </c>
      <c r="K102">
        <v>14785839383</v>
      </c>
      <c r="L102">
        <v>14508218017</v>
      </c>
    </row>
    <row r="103" spans="1:12" x14ac:dyDescent="0.3">
      <c r="A103" t="s">
        <v>204</v>
      </c>
      <c r="B103" s="13">
        <v>132231000000</v>
      </c>
      <c r="C103" s="13">
        <v>142000000000</v>
      </c>
      <c r="D103" s="13">
        <v>128857000000</v>
      </c>
      <c r="E103" s="13">
        <v>135733000000</v>
      </c>
      <c r="F103" s="13">
        <v>141079000000</v>
      </c>
      <c r="G103" s="13">
        <v>125210000000</v>
      </c>
      <c r="H103" s="13">
        <v>128636000000</v>
      </c>
      <c r="I103" s="13">
        <v>143136000000</v>
      </c>
      <c r="J103" s="13">
        <v>160587000000</v>
      </c>
      <c r="K103" s="13">
        <v>163526000000</v>
      </c>
      <c r="L103" s="13">
        <v>155808000000</v>
      </c>
    </row>
    <row r="104" spans="1:12" x14ac:dyDescent="0.3">
      <c r="A104" t="s">
        <v>205</v>
      </c>
      <c r="B104" s="13">
        <v>20069200000000</v>
      </c>
      <c r="C104" s="13">
        <v>23696100000000</v>
      </c>
      <c r="D104" s="13">
        <v>25189100000000</v>
      </c>
      <c r="E104" s="13">
        <v>26606900000000</v>
      </c>
      <c r="F104" s="13">
        <v>27504300000000</v>
      </c>
      <c r="G104" s="13">
        <v>25777900000000</v>
      </c>
      <c r="H104" s="13">
        <v>25985800000000</v>
      </c>
      <c r="I104" s="13">
        <v>28680100000000</v>
      </c>
      <c r="J104" s="13">
        <v>30478900000000</v>
      </c>
      <c r="K104" s="13">
        <v>31184100000000</v>
      </c>
      <c r="L104" s="13">
        <v>29900600000000</v>
      </c>
    </row>
    <row r="105" spans="1:12" x14ac:dyDescent="0.3">
      <c r="A105" t="s">
        <v>206</v>
      </c>
      <c r="B105" s="13">
        <v>21735600000000</v>
      </c>
      <c r="C105" s="13">
        <v>25368700000000</v>
      </c>
      <c r="D105" s="13">
        <v>26954700000000</v>
      </c>
      <c r="E105" s="13">
        <v>28527600000000</v>
      </c>
      <c r="F105" s="13">
        <v>29559200000000</v>
      </c>
      <c r="G105" s="13">
        <v>27795200000000</v>
      </c>
      <c r="H105" s="13">
        <v>27944100000000</v>
      </c>
      <c r="I105" s="13">
        <v>30704500000000</v>
      </c>
      <c r="J105" s="13">
        <v>32623800000000</v>
      </c>
      <c r="K105" s="13">
        <v>33422600000000</v>
      </c>
      <c r="L105" s="13">
        <v>32139300000000</v>
      </c>
    </row>
    <row r="106" spans="1:12" x14ac:dyDescent="0.3">
      <c r="A106" t="s">
        <v>207</v>
      </c>
      <c r="B106" s="13">
        <v>1666850000000</v>
      </c>
      <c r="C106" s="13">
        <v>1672510000000</v>
      </c>
      <c r="D106" s="13">
        <v>1765430000000</v>
      </c>
      <c r="E106" s="13">
        <v>1920730000000</v>
      </c>
      <c r="F106" s="13">
        <v>2054960000000</v>
      </c>
      <c r="G106" s="13">
        <v>2016490000000</v>
      </c>
      <c r="H106" s="13">
        <v>1958090000000</v>
      </c>
      <c r="I106" s="13">
        <v>2025490000000</v>
      </c>
      <c r="J106" s="13">
        <v>2146130000000</v>
      </c>
      <c r="K106" s="13">
        <v>2239340000000</v>
      </c>
      <c r="L106" s="13">
        <v>2239420000000</v>
      </c>
    </row>
    <row r="107" spans="1:12" x14ac:dyDescent="0.3">
      <c r="A107" t="s">
        <v>208</v>
      </c>
      <c r="B107" s="13">
        <v>709848000000</v>
      </c>
      <c r="C107" s="13">
        <v>814198000000</v>
      </c>
      <c r="D107" s="13">
        <v>900517000000</v>
      </c>
      <c r="E107" s="13">
        <v>977961000000</v>
      </c>
      <c r="F107" s="13">
        <v>1049230000000</v>
      </c>
      <c r="G107" s="13">
        <v>1011430000000</v>
      </c>
      <c r="H107" s="13">
        <v>942118000000</v>
      </c>
      <c r="I107" s="13">
        <v>925119000000</v>
      </c>
      <c r="J107" s="13">
        <v>966188000000</v>
      </c>
      <c r="K107" s="13">
        <v>998391000000</v>
      </c>
      <c r="L107" s="13">
        <v>961669000000</v>
      </c>
    </row>
    <row r="108" spans="1:12" x14ac:dyDescent="0.3">
      <c r="A108" t="s">
        <v>209</v>
      </c>
      <c r="B108" s="13">
        <v>755094000000</v>
      </c>
      <c r="C108" s="13">
        <v>892969000000</v>
      </c>
      <c r="D108" s="13">
        <v>917870000000</v>
      </c>
      <c r="E108" s="13">
        <v>912524000000</v>
      </c>
      <c r="F108" s="13">
        <v>890815000000</v>
      </c>
      <c r="G108" s="13">
        <v>860854000000</v>
      </c>
      <c r="H108" s="13">
        <v>931877000000</v>
      </c>
      <c r="I108" s="13">
        <v>1015620000000</v>
      </c>
      <c r="J108" s="13">
        <v>1042270000000</v>
      </c>
      <c r="K108" s="13">
        <v>1119090000000</v>
      </c>
      <c r="L108" s="13">
        <v>1058420000000</v>
      </c>
    </row>
    <row r="109" spans="1:12" x14ac:dyDescent="0.3">
      <c r="A109" t="s">
        <v>210</v>
      </c>
      <c r="B109" s="13">
        <v>957678000000</v>
      </c>
      <c r="C109" s="13">
        <v>858491000000</v>
      </c>
      <c r="D109" s="13">
        <v>864900000000</v>
      </c>
      <c r="E109" s="13">
        <v>942771000000</v>
      </c>
      <c r="F109" s="13">
        <v>1005730000000</v>
      </c>
      <c r="G109" s="13">
        <v>1005060000000</v>
      </c>
      <c r="H109" s="13">
        <v>1015970000000</v>
      </c>
      <c r="I109" s="13">
        <v>1100370000000</v>
      </c>
      <c r="J109" s="13">
        <v>1179940000000</v>
      </c>
      <c r="K109" s="13">
        <v>1240940000000</v>
      </c>
      <c r="L109" s="13">
        <v>1278440000000</v>
      </c>
    </row>
    <row r="110" spans="1:12" x14ac:dyDescent="0.3">
      <c r="A110" t="s">
        <v>211</v>
      </c>
      <c r="B110">
        <v>5920177689</v>
      </c>
      <c r="C110">
        <v>6566098382</v>
      </c>
      <c r="D110">
        <v>6690725118</v>
      </c>
      <c r="E110">
        <v>7000748788</v>
      </c>
      <c r="F110">
        <v>7708834951</v>
      </c>
      <c r="G110">
        <v>7085288006</v>
      </c>
      <c r="H110">
        <v>6846691871</v>
      </c>
      <c r="I110">
        <v>6979581725</v>
      </c>
      <c r="J110">
        <v>7491969313</v>
      </c>
      <c r="K110">
        <v>7315388052</v>
      </c>
    </row>
    <row r="111" spans="1:12" x14ac:dyDescent="0.3">
      <c r="A111" t="s">
        <v>212</v>
      </c>
      <c r="B111" s="13">
        <v>1675620000000</v>
      </c>
      <c r="C111" s="13">
        <v>1823050000000</v>
      </c>
      <c r="D111" s="13">
        <v>1827640000000</v>
      </c>
      <c r="E111" s="13">
        <v>1856720000000</v>
      </c>
      <c r="F111" s="13">
        <v>2039130000000</v>
      </c>
      <c r="G111" s="13">
        <v>2103590000000</v>
      </c>
      <c r="H111" s="13">
        <v>2294800000000</v>
      </c>
      <c r="I111" s="13">
        <v>2651470000000</v>
      </c>
      <c r="J111" s="13">
        <v>2701110000000</v>
      </c>
      <c r="K111" s="13">
        <v>2870500000000</v>
      </c>
      <c r="L111" s="13">
        <v>2660250000000</v>
      </c>
    </row>
    <row r="112" spans="1:12" x14ac:dyDescent="0.3">
      <c r="A112" t="s">
        <v>213</v>
      </c>
    </row>
    <row r="113" spans="1:12" x14ac:dyDescent="0.3">
      <c r="A113" t="s">
        <v>214</v>
      </c>
      <c r="B113" s="13">
        <v>221876000000</v>
      </c>
      <c r="C113" s="13">
        <v>238976000000</v>
      </c>
      <c r="D113" s="13">
        <v>225497000000</v>
      </c>
      <c r="E113" s="13">
        <v>238279000000</v>
      </c>
      <c r="F113" s="13">
        <v>258970000000</v>
      </c>
      <c r="G113" s="13">
        <v>291580000000</v>
      </c>
      <c r="H113" s="13">
        <v>298928000000</v>
      </c>
      <c r="I113" s="13">
        <v>335431000000</v>
      </c>
      <c r="J113" s="13">
        <v>385042000000</v>
      </c>
      <c r="K113" s="13">
        <v>399122000000</v>
      </c>
      <c r="L113" s="13">
        <v>425889000000</v>
      </c>
    </row>
    <row r="114" spans="1:12" x14ac:dyDescent="0.3">
      <c r="A114" t="s">
        <v>215</v>
      </c>
      <c r="B114" s="13">
        <v>486808000000</v>
      </c>
      <c r="C114" s="13">
        <v>580765000000</v>
      </c>
      <c r="D114" s="13">
        <v>598868000000</v>
      </c>
      <c r="E114" s="13">
        <v>460293000000</v>
      </c>
      <c r="F114" s="13">
        <v>432687000000</v>
      </c>
      <c r="G114" s="13">
        <v>384951000000</v>
      </c>
      <c r="H114" s="13">
        <v>417984000000</v>
      </c>
      <c r="I114" s="13">
        <v>445345000000</v>
      </c>
      <c r="J114" s="13">
        <v>294357000000</v>
      </c>
      <c r="K114" s="13">
        <v>258245000000</v>
      </c>
      <c r="L114" s="13">
        <v>203471000000</v>
      </c>
    </row>
    <row r="115" spans="1:12" x14ac:dyDescent="0.3">
      <c r="A115" t="s">
        <v>216</v>
      </c>
      <c r="B115" s="13">
        <v>138517000000</v>
      </c>
      <c r="C115" s="13">
        <v>185750000000</v>
      </c>
      <c r="D115" s="13">
        <v>218002000000</v>
      </c>
      <c r="E115" s="13">
        <v>234638000000</v>
      </c>
      <c r="F115" s="13">
        <v>228416000000</v>
      </c>
      <c r="G115" s="13">
        <v>166774000000</v>
      </c>
      <c r="H115" s="13">
        <v>166602000000</v>
      </c>
      <c r="I115" s="13">
        <v>187218000000</v>
      </c>
      <c r="J115" s="13">
        <v>227367000000</v>
      </c>
      <c r="K115" s="13">
        <v>235097000000</v>
      </c>
      <c r="L115" s="13">
        <v>166757000000</v>
      </c>
    </row>
    <row r="116" spans="1:12" x14ac:dyDescent="0.3">
      <c r="A116" t="s">
        <v>217</v>
      </c>
      <c r="B116">
        <v>13751161918</v>
      </c>
      <c r="C116">
        <v>15221622926</v>
      </c>
      <c r="D116">
        <v>14751508134</v>
      </c>
      <c r="E116">
        <v>16125060515</v>
      </c>
      <c r="F116">
        <v>17867662178</v>
      </c>
      <c r="G116">
        <v>17517210519</v>
      </c>
      <c r="H116">
        <v>20793168031</v>
      </c>
      <c r="I116">
        <v>24728285177</v>
      </c>
      <c r="J116">
        <v>26267063758</v>
      </c>
      <c r="K116">
        <v>24857740445</v>
      </c>
      <c r="L116">
        <v>21718075725</v>
      </c>
    </row>
    <row r="117" spans="1:12" x14ac:dyDescent="0.3">
      <c r="A117" t="s">
        <v>218</v>
      </c>
      <c r="B117" s="13">
        <v>234655000000</v>
      </c>
      <c r="C117" s="13">
        <v>262294000000</v>
      </c>
      <c r="D117" s="13">
        <v>258417000000</v>
      </c>
      <c r="E117" s="13">
        <v>294167000000</v>
      </c>
      <c r="F117" s="13">
        <v>310945000000</v>
      </c>
      <c r="G117" s="13">
        <v>300078000000</v>
      </c>
      <c r="H117" s="13">
        <v>319024000000</v>
      </c>
      <c r="I117" s="13">
        <v>355277000000</v>
      </c>
      <c r="J117" s="13">
        <v>373641000000</v>
      </c>
      <c r="K117" s="13">
        <v>397935000000</v>
      </c>
      <c r="L117" s="13">
        <v>407101000000</v>
      </c>
    </row>
    <row r="118" spans="1:12" x14ac:dyDescent="0.3">
      <c r="A118" t="s">
        <v>219</v>
      </c>
      <c r="B118" s="13">
        <v>2136100000000</v>
      </c>
      <c r="C118" s="13">
        <v>2294990000000</v>
      </c>
      <c r="D118" s="13">
        <v>2086960000000</v>
      </c>
      <c r="E118" s="13">
        <v>2141920000000</v>
      </c>
      <c r="F118" s="13">
        <v>2162010000000</v>
      </c>
      <c r="G118" s="13">
        <v>1836640000000</v>
      </c>
      <c r="H118" s="13">
        <v>1877070000000</v>
      </c>
      <c r="I118" s="13">
        <v>1961800000000</v>
      </c>
      <c r="J118" s="13">
        <v>2091930000000</v>
      </c>
      <c r="K118" s="13">
        <v>2009380000000</v>
      </c>
      <c r="L118" s="13">
        <v>1888710000000</v>
      </c>
    </row>
    <row r="119" spans="1:12" x14ac:dyDescent="0.3">
      <c r="A119" t="s">
        <v>220</v>
      </c>
      <c r="B119">
        <v>13220556883</v>
      </c>
      <c r="C119">
        <v>14444655300</v>
      </c>
      <c r="D119">
        <v>14807086889</v>
      </c>
      <c r="E119">
        <v>14264202737</v>
      </c>
      <c r="F119">
        <v>13899228824</v>
      </c>
      <c r="G119">
        <v>14188935948</v>
      </c>
      <c r="H119">
        <v>14077109397</v>
      </c>
      <c r="I119">
        <v>14808989993</v>
      </c>
      <c r="J119">
        <v>15730793853</v>
      </c>
      <c r="K119">
        <v>15830768550</v>
      </c>
      <c r="L119">
        <v>13812425037</v>
      </c>
    </row>
    <row r="120" spans="1:12" x14ac:dyDescent="0.3">
      <c r="A120" t="s">
        <v>221</v>
      </c>
      <c r="B120">
        <v>27133804225</v>
      </c>
      <c r="C120">
        <v>29524149155</v>
      </c>
      <c r="D120">
        <v>31634561690</v>
      </c>
      <c r="E120">
        <v>34454440141</v>
      </c>
      <c r="F120">
        <v>36847643521</v>
      </c>
      <c r="G120">
        <v>38587017887</v>
      </c>
      <c r="H120">
        <v>39892551127</v>
      </c>
      <c r="I120">
        <v>41408960845</v>
      </c>
      <c r="J120">
        <v>42932112676</v>
      </c>
      <c r="K120">
        <v>44502895915</v>
      </c>
      <c r="L120">
        <v>43697659296</v>
      </c>
    </row>
    <row r="121" spans="1:12" x14ac:dyDescent="0.3">
      <c r="A121" t="s">
        <v>222</v>
      </c>
      <c r="B121" s="13">
        <v>5759070000000</v>
      </c>
      <c r="C121" s="13">
        <v>6233150000000</v>
      </c>
      <c r="D121" s="13">
        <v>6272360000000</v>
      </c>
      <c r="E121" s="13">
        <v>5212330000000</v>
      </c>
      <c r="F121" s="13">
        <v>4896990000000</v>
      </c>
      <c r="G121" s="13">
        <v>4444930000000</v>
      </c>
      <c r="H121" s="13">
        <v>5003680000000</v>
      </c>
      <c r="I121" s="13">
        <v>4930840000000</v>
      </c>
      <c r="J121" s="13">
        <v>5036890000000</v>
      </c>
      <c r="K121" s="13">
        <v>5148780000000</v>
      </c>
      <c r="L121" s="13">
        <v>5057760000000</v>
      </c>
    </row>
    <row r="122" spans="1:12" x14ac:dyDescent="0.3">
      <c r="A122" t="s">
        <v>223</v>
      </c>
      <c r="B122" s="13">
        <v>148047000000</v>
      </c>
      <c r="C122" s="13">
        <v>192627000000</v>
      </c>
      <c r="D122" s="13">
        <v>207999000000</v>
      </c>
      <c r="E122" s="13">
        <v>236635000000</v>
      </c>
      <c r="F122" s="13">
        <v>221416000000</v>
      </c>
      <c r="G122" s="13">
        <v>184388000000</v>
      </c>
      <c r="H122" s="13">
        <v>137278000000</v>
      </c>
      <c r="I122" s="13">
        <v>166806000000</v>
      </c>
      <c r="J122" s="13">
        <v>179340000000</v>
      </c>
      <c r="K122" s="13">
        <v>181667000000</v>
      </c>
      <c r="L122" s="13">
        <v>171082000000</v>
      </c>
    </row>
    <row r="123" spans="1:12" x14ac:dyDescent="0.3">
      <c r="A123" t="s">
        <v>224</v>
      </c>
      <c r="B123">
        <v>45405587557</v>
      </c>
      <c r="C123">
        <v>46869457318</v>
      </c>
      <c r="D123">
        <v>56396706006</v>
      </c>
      <c r="E123">
        <v>61671425370</v>
      </c>
      <c r="F123">
        <v>68285768554</v>
      </c>
      <c r="G123">
        <v>70120413329</v>
      </c>
      <c r="H123">
        <v>74815121315</v>
      </c>
      <c r="I123">
        <v>82035800868</v>
      </c>
      <c r="J123">
        <v>92202956321</v>
      </c>
      <c r="K123" s="13">
        <v>100555000000</v>
      </c>
      <c r="L123" s="13">
        <v>101014000000</v>
      </c>
    </row>
    <row r="124" spans="1:12" x14ac:dyDescent="0.3">
      <c r="A124" t="s">
        <v>225</v>
      </c>
      <c r="B124">
        <v>4794357795</v>
      </c>
      <c r="C124">
        <v>6197766119</v>
      </c>
      <c r="D124">
        <v>6605139933</v>
      </c>
      <c r="E124">
        <v>7335027592</v>
      </c>
      <c r="F124">
        <v>7468096567</v>
      </c>
      <c r="G124">
        <v>6678178340</v>
      </c>
      <c r="H124">
        <v>6813092066</v>
      </c>
      <c r="I124">
        <v>7702934800</v>
      </c>
      <c r="J124">
        <v>8271108638</v>
      </c>
      <c r="K124">
        <v>8871026074</v>
      </c>
      <c r="L124">
        <v>7735976273</v>
      </c>
    </row>
    <row r="125" spans="1:12" x14ac:dyDescent="0.3">
      <c r="A125" t="s">
        <v>226</v>
      </c>
      <c r="B125">
        <v>11242275199</v>
      </c>
      <c r="C125">
        <v>12829541141</v>
      </c>
      <c r="D125">
        <v>14054443213</v>
      </c>
      <c r="E125">
        <v>15227991395</v>
      </c>
      <c r="F125">
        <v>16702610842</v>
      </c>
      <c r="G125">
        <v>18049954289</v>
      </c>
      <c r="H125">
        <v>20016747754</v>
      </c>
      <c r="I125">
        <v>22177200512</v>
      </c>
      <c r="J125">
        <v>24571753583</v>
      </c>
      <c r="K125">
        <v>27089389787</v>
      </c>
      <c r="L125">
        <v>25808561551</v>
      </c>
    </row>
    <row r="126" spans="1:12" x14ac:dyDescent="0.3">
      <c r="A126" t="s">
        <v>227</v>
      </c>
      <c r="B126">
        <v>156120439.30000001</v>
      </c>
      <c r="C126">
        <v>181705153.59999999</v>
      </c>
      <c r="D126">
        <v>190243432.80000001</v>
      </c>
      <c r="E126">
        <v>185114059.59999999</v>
      </c>
      <c r="F126">
        <v>179703165.40000001</v>
      </c>
      <c r="G126">
        <v>171117816.69999999</v>
      </c>
      <c r="H126">
        <v>178328984.09999999</v>
      </c>
      <c r="I126">
        <v>187276124.80000001</v>
      </c>
      <c r="J126">
        <v>200157020.59999999</v>
      </c>
      <c r="K126">
        <v>188391770.59999999</v>
      </c>
      <c r="L126">
        <v>197508774.30000001</v>
      </c>
    </row>
    <row r="127" spans="1:12" x14ac:dyDescent="0.3">
      <c r="A127" t="s">
        <v>228</v>
      </c>
      <c r="B127">
        <v>760170370.39999998</v>
      </c>
      <c r="C127">
        <v>817759259.29999995</v>
      </c>
      <c r="D127">
        <v>800414814.79999995</v>
      </c>
      <c r="E127">
        <v>839770370.39999998</v>
      </c>
      <c r="F127">
        <v>916566666.70000005</v>
      </c>
      <c r="G127">
        <v>923155555.60000002</v>
      </c>
      <c r="H127">
        <v>1008888889</v>
      </c>
      <c r="I127">
        <v>1060740741</v>
      </c>
      <c r="J127">
        <v>1078518519</v>
      </c>
      <c r="K127">
        <v>1164814815</v>
      </c>
      <c r="L127">
        <v>980740740.70000005</v>
      </c>
    </row>
    <row r="128" spans="1:12" x14ac:dyDescent="0.3">
      <c r="A128" t="s">
        <v>229</v>
      </c>
      <c r="B128" s="13">
        <v>1144070000000</v>
      </c>
      <c r="C128" s="13">
        <v>1253220000000</v>
      </c>
      <c r="D128" s="13">
        <v>1278430000000</v>
      </c>
      <c r="E128" s="13">
        <v>1370800000000</v>
      </c>
      <c r="F128" s="13">
        <v>1484320000000</v>
      </c>
      <c r="G128" s="13">
        <v>1465770000000</v>
      </c>
      <c r="H128" s="13">
        <v>1500110000000</v>
      </c>
      <c r="I128" s="13">
        <v>1623900000000</v>
      </c>
      <c r="J128" s="13">
        <v>1724850000000</v>
      </c>
      <c r="K128" s="13">
        <v>1651420000000</v>
      </c>
      <c r="L128" s="13">
        <v>1637900000000</v>
      </c>
    </row>
    <row r="129" spans="1:12" x14ac:dyDescent="0.3">
      <c r="A129" t="s">
        <v>230</v>
      </c>
      <c r="B129" s="13">
        <v>115419000000</v>
      </c>
      <c r="C129" s="13">
        <v>154068000000</v>
      </c>
      <c r="D129" s="13">
        <v>174070000000</v>
      </c>
      <c r="E129" s="13">
        <v>174161000000</v>
      </c>
      <c r="F129" s="13">
        <v>162631000000</v>
      </c>
      <c r="G129" s="13">
        <v>114567000000</v>
      </c>
      <c r="H129" s="13">
        <v>109420000000</v>
      </c>
      <c r="I129" s="13">
        <v>120707000000</v>
      </c>
      <c r="J129" s="13">
        <v>138182000000</v>
      </c>
      <c r="K129" s="13">
        <v>136197000000</v>
      </c>
      <c r="L129" s="13">
        <v>105960000000</v>
      </c>
    </row>
    <row r="130" spans="1:12" x14ac:dyDescent="0.3">
      <c r="A130" t="s">
        <v>231</v>
      </c>
      <c r="B130" s="13">
        <v>4547390000000</v>
      </c>
      <c r="C130" s="13">
        <v>5310060000000</v>
      </c>
      <c r="D130" s="13">
        <v>5288240000000</v>
      </c>
      <c r="E130" s="13">
        <v>5431530000000</v>
      </c>
      <c r="F130" s="13">
        <v>5460420000000</v>
      </c>
      <c r="G130" s="13">
        <v>4652920000000</v>
      </c>
      <c r="H130" s="13">
        <v>4527260000000</v>
      </c>
      <c r="I130" s="13">
        <v>5047190000000</v>
      </c>
      <c r="J130" s="13">
        <v>4905600000000</v>
      </c>
      <c r="K130" s="13">
        <v>4849400000000</v>
      </c>
      <c r="L130" s="13">
        <v>4035270000000</v>
      </c>
    </row>
    <row r="131" spans="1:12" x14ac:dyDescent="0.3">
      <c r="A131" t="s">
        <v>232</v>
      </c>
      <c r="B131">
        <v>7131773633</v>
      </c>
      <c r="C131">
        <v>8750107402</v>
      </c>
      <c r="D131">
        <v>10192848926</v>
      </c>
      <c r="E131">
        <v>11983252611</v>
      </c>
      <c r="F131">
        <v>13279248479</v>
      </c>
      <c r="G131">
        <v>14426381187</v>
      </c>
      <c r="H131">
        <v>15912495369</v>
      </c>
      <c r="I131">
        <v>17071162084</v>
      </c>
      <c r="J131">
        <v>18141651381</v>
      </c>
      <c r="K131">
        <v>18897252233</v>
      </c>
      <c r="L131">
        <v>19132635712</v>
      </c>
    </row>
    <row r="132" spans="1:12" x14ac:dyDescent="0.3">
      <c r="A132" t="s">
        <v>233</v>
      </c>
      <c r="B132">
        <v>38443907042</v>
      </c>
      <c r="C132">
        <v>39927125961</v>
      </c>
      <c r="D132">
        <v>44035991893</v>
      </c>
      <c r="E132">
        <v>46909335551</v>
      </c>
      <c r="F132">
        <v>48133414840</v>
      </c>
      <c r="G132">
        <v>50065946086</v>
      </c>
      <c r="H132">
        <v>51389318291</v>
      </c>
      <c r="I132">
        <v>53324800959</v>
      </c>
      <c r="J132">
        <v>55276157552</v>
      </c>
      <c r="K132">
        <v>51953744507</v>
      </c>
      <c r="L132">
        <v>31735217785</v>
      </c>
    </row>
    <row r="133" spans="1:12" x14ac:dyDescent="0.3">
      <c r="A133" t="s">
        <v>234</v>
      </c>
      <c r="B133">
        <v>1998000000</v>
      </c>
      <c r="C133">
        <v>2398000000</v>
      </c>
      <c r="D133">
        <v>2791614000</v>
      </c>
      <c r="E133">
        <v>3177198100</v>
      </c>
      <c r="F133">
        <v>3225652000</v>
      </c>
      <c r="G133">
        <v>3227075700</v>
      </c>
      <c r="H133">
        <v>3398419600</v>
      </c>
      <c r="I133">
        <v>3390703400</v>
      </c>
      <c r="J133">
        <v>3422754800</v>
      </c>
      <c r="K133">
        <v>3319596500</v>
      </c>
      <c r="L133">
        <v>3201187800</v>
      </c>
    </row>
    <row r="134" spans="1:12" x14ac:dyDescent="0.3">
      <c r="A134" t="s">
        <v>235</v>
      </c>
      <c r="B134">
        <v>74773444901</v>
      </c>
      <c r="C134">
        <v>34699395524</v>
      </c>
      <c r="D134">
        <v>81873662519</v>
      </c>
      <c r="E134">
        <v>65502870174</v>
      </c>
      <c r="F134">
        <v>41142722414</v>
      </c>
      <c r="G134">
        <v>27842131480</v>
      </c>
      <c r="H134">
        <v>26197143268</v>
      </c>
      <c r="I134">
        <v>37883243650</v>
      </c>
      <c r="J134">
        <v>52607888718</v>
      </c>
      <c r="K134">
        <v>52091152228</v>
      </c>
      <c r="L134">
        <v>25418916029</v>
      </c>
    </row>
    <row r="135" spans="1:12" x14ac:dyDescent="0.3">
      <c r="A135" t="s">
        <v>236</v>
      </c>
      <c r="B135">
        <v>1486758037</v>
      </c>
      <c r="C135">
        <v>1576988407</v>
      </c>
      <c r="D135">
        <v>1605146778</v>
      </c>
      <c r="E135">
        <v>1664816741</v>
      </c>
      <c r="F135">
        <v>1755130815</v>
      </c>
      <c r="G135">
        <v>1808079889</v>
      </c>
      <c r="H135">
        <v>1865513444</v>
      </c>
      <c r="I135">
        <v>1996771444</v>
      </c>
      <c r="J135">
        <v>2065127259</v>
      </c>
      <c r="K135">
        <v>2118791556</v>
      </c>
      <c r="L135">
        <v>1616772741</v>
      </c>
    </row>
    <row r="136" spans="1:12" x14ac:dyDescent="0.3">
      <c r="A136" t="s">
        <v>237</v>
      </c>
      <c r="B136" s="13">
        <v>5353330000000</v>
      </c>
      <c r="C136" s="13">
        <v>6086930000000</v>
      </c>
      <c r="D136" s="13">
        <v>6150390000000</v>
      </c>
      <c r="E136" s="13">
        <v>6303270000000</v>
      </c>
      <c r="F136" s="13">
        <v>6426940000000</v>
      </c>
      <c r="G136" s="13">
        <v>5370990000000</v>
      </c>
      <c r="H136" s="13">
        <v>5249210000000</v>
      </c>
      <c r="I136" s="13">
        <v>5830530000000</v>
      </c>
      <c r="J136" s="13">
        <v>5703880000000</v>
      </c>
      <c r="K136" s="13">
        <v>5627260000000</v>
      </c>
      <c r="L136" s="13">
        <v>4725520000000</v>
      </c>
    </row>
    <row r="137" spans="1:12" x14ac:dyDescent="0.3">
      <c r="A137" t="s">
        <v>238</v>
      </c>
      <c r="B137" s="13">
        <v>673060000000</v>
      </c>
      <c r="C137" s="13">
        <v>775487000000</v>
      </c>
      <c r="D137" s="13">
        <v>814940000000</v>
      </c>
      <c r="E137" s="13">
        <v>893130000000</v>
      </c>
      <c r="F137" s="13">
        <v>962577000000</v>
      </c>
      <c r="G137" s="13">
        <v>945449000000</v>
      </c>
      <c r="H137" s="13">
        <v>935520000000</v>
      </c>
      <c r="I137" s="13">
        <v>1024560000000</v>
      </c>
      <c r="J137" s="13">
        <v>1062300000000</v>
      </c>
      <c r="K137" s="13">
        <v>1106430000000</v>
      </c>
      <c r="L137" s="13">
        <v>1113400000000</v>
      </c>
    </row>
    <row r="138" spans="1:12" x14ac:dyDescent="0.3">
      <c r="A138" t="s">
        <v>239</v>
      </c>
      <c r="B138" s="13">
        <v>578209000000</v>
      </c>
      <c r="C138" s="13">
        <v>403962000000</v>
      </c>
      <c r="D138" s="13">
        <v>384448000000</v>
      </c>
      <c r="E138" s="13">
        <v>395478000000</v>
      </c>
      <c r="F138" s="13">
        <v>423854000000</v>
      </c>
      <c r="G138" s="13">
        <v>418166000000</v>
      </c>
      <c r="H138" s="13">
        <v>387204000000</v>
      </c>
      <c r="I138" s="13">
        <v>409138000000</v>
      </c>
      <c r="J138" s="13">
        <v>425615000000</v>
      </c>
      <c r="K138" s="13">
        <v>448440000000</v>
      </c>
      <c r="L138" s="13">
        <v>459730000000</v>
      </c>
    </row>
    <row r="139" spans="1:12" x14ac:dyDescent="0.3">
      <c r="A139" t="s">
        <v>240</v>
      </c>
      <c r="B139">
        <v>5082366478</v>
      </c>
      <c r="C139">
        <v>5739977477</v>
      </c>
      <c r="D139">
        <v>5456009385</v>
      </c>
      <c r="E139">
        <v>6391735894</v>
      </c>
      <c r="F139">
        <v>6657170923</v>
      </c>
      <c r="G139">
        <v>6268391521</v>
      </c>
      <c r="H139">
        <v>6237264055</v>
      </c>
      <c r="I139">
        <v>6474256119</v>
      </c>
      <c r="J139">
        <v>6839145107</v>
      </c>
      <c r="K139">
        <v>6684443550</v>
      </c>
    </row>
    <row r="140" spans="1:12" x14ac:dyDescent="0.3">
      <c r="A140" t="s">
        <v>241</v>
      </c>
      <c r="B140">
        <v>56725749222</v>
      </c>
      <c r="C140">
        <v>65292753005</v>
      </c>
      <c r="D140">
        <v>68434409315</v>
      </c>
      <c r="E140">
        <v>74317806538</v>
      </c>
      <c r="F140">
        <v>79356449841</v>
      </c>
      <c r="G140">
        <v>80604080689</v>
      </c>
      <c r="H140">
        <v>82401038710</v>
      </c>
      <c r="I140">
        <v>87428128124</v>
      </c>
      <c r="J140">
        <v>87963042341</v>
      </c>
      <c r="K140">
        <v>83990946939</v>
      </c>
      <c r="L140">
        <v>80676681934</v>
      </c>
    </row>
    <row r="141" spans="1:12" x14ac:dyDescent="0.3">
      <c r="A141" t="s">
        <v>242</v>
      </c>
      <c r="B141" s="13">
        <v>5200810000000</v>
      </c>
      <c r="C141" s="13">
        <v>5935840000000</v>
      </c>
      <c r="D141" s="13">
        <v>6230150000000</v>
      </c>
      <c r="E141" s="13">
        <v>6343690000000</v>
      </c>
      <c r="F141" s="13">
        <v>6596910000000</v>
      </c>
      <c r="G141" s="13">
        <v>6458590000000</v>
      </c>
      <c r="H141" s="13">
        <v>6737460000000</v>
      </c>
      <c r="I141" s="13">
        <v>7246520000000</v>
      </c>
      <c r="J141" s="13">
        <v>7346920000000</v>
      </c>
      <c r="K141" s="13">
        <v>7735770000000</v>
      </c>
      <c r="L141" s="13">
        <v>7384770000000</v>
      </c>
    </row>
    <row r="142" spans="1:12" x14ac:dyDescent="0.3">
      <c r="A142" t="s">
        <v>243</v>
      </c>
      <c r="B142" s="13">
        <v>20604900000000</v>
      </c>
      <c r="C142" s="13">
        <v>24227100000000</v>
      </c>
      <c r="D142" s="13">
        <v>25771500000000</v>
      </c>
      <c r="E142" s="13">
        <v>27317500000000</v>
      </c>
      <c r="F142" s="13">
        <v>28239000000000</v>
      </c>
      <c r="G142" s="13">
        <v>26797200000000</v>
      </c>
      <c r="H142" s="13">
        <v>26945300000000</v>
      </c>
      <c r="I142" s="13">
        <v>29595900000000</v>
      </c>
      <c r="J142" s="13">
        <v>31412400000000</v>
      </c>
      <c r="K142" s="13">
        <v>32220200000000</v>
      </c>
      <c r="L142" s="13">
        <v>30993200000000</v>
      </c>
    </row>
    <row r="143" spans="1:12" x14ac:dyDescent="0.3">
      <c r="A143" t="s">
        <v>244</v>
      </c>
      <c r="B143">
        <v>2234731974</v>
      </c>
      <c r="C143">
        <v>2579421686</v>
      </c>
      <c r="D143">
        <v>2477702253</v>
      </c>
      <c r="E143">
        <v>2367113170</v>
      </c>
      <c r="F143">
        <v>2441053176</v>
      </c>
      <c r="G143">
        <v>2359759799</v>
      </c>
      <c r="H143">
        <v>2114323794</v>
      </c>
      <c r="I143">
        <v>2306843529</v>
      </c>
      <c r="J143">
        <v>2514146888</v>
      </c>
      <c r="K143">
        <v>2366213069</v>
      </c>
      <c r="L143">
        <v>1875227642</v>
      </c>
    </row>
    <row r="144" spans="1:12" x14ac:dyDescent="0.3">
      <c r="A144" t="s">
        <v>245</v>
      </c>
      <c r="B144" s="13">
        <v>13510500000000</v>
      </c>
      <c r="C144" s="13">
        <v>16462600000000</v>
      </c>
      <c r="D144" s="13">
        <v>17609800000000</v>
      </c>
      <c r="E144" s="13">
        <v>18979100000000</v>
      </c>
      <c r="F144" s="13">
        <v>19702300000000</v>
      </c>
      <c r="G144" s="13">
        <v>18473200000000</v>
      </c>
      <c r="H144" s="13">
        <v>18520500000000</v>
      </c>
      <c r="I144" s="13">
        <v>20552500000000</v>
      </c>
      <c r="J144" s="13">
        <v>22532200000000</v>
      </c>
      <c r="K144" s="13">
        <v>22958600000000</v>
      </c>
      <c r="L144" s="13">
        <v>22433400000000</v>
      </c>
    </row>
    <row r="145" spans="1:12" x14ac:dyDescent="0.3">
      <c r="A145" t="s">
        <v>246</v>
      </c>
      <c r="B145">
        <v>37128694028</v>
      </c>
      <c r="C145">
        <v>43535051482</v>
      </c>
      <c r="D145">
        <v>42927454291</v>
      </c>
      <c r="E145">
        <v>46523420074</v>
      </c>
      <c r="F145">
        <v>48533659592</v>
      </c>
      <c r="G145">
        <v>41435533340</v>
      </c>
      <c r="H145">
        <v>43047309306</v>
      </c>
      <c r="I145">
        <v>47758736932</v>
      </c>
      <c r="J145">
        <v>53750911866</v>
      </c>
      <c r="K145">
        <v>54697379017</v>
      </c>
      <c r="L145">
        <v>56546957475</v>
      </c>
    </row>
    <row r="146" spans="1:12" x14ac:dyDescent="0.3">
      <c r="A146" t="s">
        <v>247</v>
      </c>
      <c r="B146">
        <v>56213985987</v>
      </c>
      <c r="C146">
        <v>61696281326</v>
      </c>
      <c r="D146">
        <v>59776383527</v>
      </c>
      <c r="E146">
        <v>65203276467</v>
      </c>
      <c r="F146">
        <v>68804811898</v>
      </c>
      <c r="G146">
        <v>60071584216</v>
      </c>
      <c r="H146">
        <v>62216885436</v>
      </c>
      <c r="I146">
        <v>65712180343</v>
      </c>
      <c r="J146">
        <v>71285019397</v>
      </c>
      <c r="K146">
        <v>70195715496</v>
      </c>
      <c r="L146">
        <v>73353132794</v>
      </c>
    </row>
    <row r="147" spans="1:12" x14ac:dyDescent="0.3">
      <c r="A147" t="s">
        <v>248</v>
      </c>
      <c r="B147">
        <v>23956163077</v>
      </c>
      <c r="C147">
        <v>27474380566</v>
      </c>
      <c r="D147">
        <v>28169902669</v>
      </c>
      <c r="E147">
        <v>30204783462</v>
      </c>
      <c r="F147">
        <v>31386896487</v>
      </c>
      <c r="G147">
        <v>27263090547</v>
      </c>
      <c r="H147">
        <v>28083597512</v>
      </c>
      <c r="I147">
        <v>30483806018</v>
      </c>
      <c r="J147">
        <v>34429023435</v>
      </c>
      <c r="K147">
        <v>34308783825</v>
      </c>
      <c r="L147">
        <v>33707320816</v>
      </c>
    </row>
    <row r="148" spans="1:12" x14ac:dyDescent="0.3">
      <c r="A148" t="s">
        <v>249</v>
      </c>
      <c r="B148">
        <v>28241858489</v>
      </c>
      <c r="C148">
        <v>36845925519</v>
      </c>
      <c r="D148">
        <v>43189526778</v>
      </c>
      <c r="E148">
        <v>51536304808</v>
      </c>
      <c r="F148">
        <v>54903031138</v>
      </c>
      <c r="G148">
        <v>45047964934</v>
      </c>
      <c r="H148">
        <v>45070605746</v>
      </c>
      <c r="I148">
        <v>50440941939</v>
      </c>
      <c r="J148">
        <v>55284360483</v>
      </c>
      <c r="K148">
        <v>55204758070</v>
      </c>
      <c r="L148">
        <v>25586111076</v>
      </c>
    </row>
    <row r="149" spans="1:12" x14ac:dyDescent="0.3">
      <c r="A149" t="s">
        <v>250</v>
      </c>
    </row>
    <row r="150" spans="1:12" x14ac:dyDescent="0.3">
      <c r="A150" t="s">
        <v>251</v>
      </c>
      <c r="B150">
        <v>93216746662</v>
      </c>
      <c r="C150" s="13">
        <v>101370000000</v>
      </c>
      <c r="D150">
        <v>98266306615</v>
      </c>
      <c r="E150" s="13">
        <v>106826000000</v>
      </c>
      <c r="F150" s="13">
        <v>110081000000</v>
      </c>
      <c r="G150" s="13">
        <v>101180000000</v>
      </c>
      <c r="H150" s="13">
        <v>103312000000</v>
      </c>
      <c r="I150" s="13">
        <v>109683000000</v>
      </c>
      <c r="J150" s="13">
        <v>118096000000</v>
      </c>
      <c r="K150" s="13">
        <v>119870000000</v>
      </c>
      <c r="L150" s="13">
        <v>114725000000</v>
      </c>
    </row>
    <row r="151" spans="1:12" x14ac:dyDescent="0.3">
      <c r="A151" t="s">
        <v>252</v>
      </c>
      <c r="B151">
        <v>5367625613</v>
      </c>
      <c r="C151">
        <v>6088808463</v>
      </c>
      <c r="D151">
        <v>5743029680</v>
      </c>
      <c r="E151">
        <v>6555983530</v>
      </c>
      <c r="F151">
        <v>7069616049</v>
      </c>
      <c r="G151">
        <v>6261622101</v>
      </c>
      <c r="H151">
        <v>6472990923</v>
      </c>
      <c r="I151">
        <v>6431314957</v>
      </c>
      <c r="J151">
        <v>7194024563</v>
      </c>
      <c r="K151">
        <v>7383745662</v>
      </c>
      <c r="L151">
        <v>6816219303</v>
      </c>
    </row>
    <row r="152" spans="1:12" x14ac:dyDescent="0.3">
      <c r="A152" t="s">
        <v>253</v>
      </c>
      <c r="B152">
        <v>6974960345</v>
      </c>
      <c r="C152">
        <v>8414360656</v>
      </c>
      <c r="D152">
        <v>8709165249</v>
      </c>
      <c r="E152">
        <v>9496684701</v>
      </c>
      <c r="F152">
        <v>9510219299</v>
      </c>
      <c r="G152">
        <v>7745231660</v>
      </c>
      <c r="H152">
        <v>8071480541</v>
      </c>
      <c r="I152">
        <v>9669759987</v>
      </c>
      <c r="J152">
        <v>11456728401</v>
      </c>
      <c r="K152">
        <v>11970233940</v>
      </c>
      <c r="L152">
        <v>11915547263</v>
      </c>
    </row>
    <row r="153" spans="1:12" x14ac:dyDescent="0.3">
      <c r="A153" t="s">
        <v>254</v>
      </c>
      <c r="B153">
        <v>9982711338</v>
      </c>
      <c r="C153">
        <v>11551819618</v>
      </c>
      <c r="D153">
        <v>11578974888</v>
      </c>
      <c r="E153">
        <v>12423555269</v>
      </c>
      <c r="F153">
        <v>12522957228</v>
      </c>
      <c r="G153">
        <v>11323020829</v>
      </c>
      <c r="H153">
        <v>11848613735</v>
      </c>
      <c r="I153">
        <v>13176313594</v>
      </c>
      <c r="J153">
        <v>13760033097</v>
      </c>
      <c r="K153">
        <v>14104664515</v>
      </c>
      <c r="L153">
        <v>13056079982</v>
      </c>
    </row>
    <row r="154" spans="1:12" x14ac:dyDescent="0.3">
      <c r="A154" t="s">
        <v>255</v>
      </c>
      <c r="B154">
        <v>2588176055</v>
      </c>
      <c r="C154">
        <v>2774351760</v>
      </c>
      <c r="D154">
        <v>2886170572</v>
      </c>
      <c r="E154">
        <v>3295011382</v>
      </c>
      <c r="F154">
        <v>3697351597</v>
      </c>
      <c r="G154">
        <v>4109424800</v>
      </c>
      <c r="H154">
        <v>4379136462</v>
      </c>
      <c r="I154">
        <v>4754175869</v>
      </c>
      <c r="J154">
        <v>5300962660</v>
      </c>
      <c r="K154">
        <v>5607762625</v>
      </c>
      <c r="L154">
        <v>3742769967</v>
      </c>
    </row>
    <row r="155" spans="1:12" x14ac:dyDescent="0.3">
      <c r="A155" t="s">
        <v>256</v>
      </c>
      <c r="B155" s="13">
        <v>2972460000000</v>
      </c>
      <c r="C155" s="13">
        <v>3287580000000</v>
      </c>
      <c r="D155" s="13">
        <v>3557450000000</v>
      </c>
      <c r="E155" s="13">
        <v>3508650000000</v>
      </c>
      <c r="F155" s="13">
        <v>3524660000000</v>
      </c>
      <c r="G155" s="13">
        <v>3095510000000</v>
      </c>
      <c r="H155" s="13">
        <v>3105140000000</v>
      </c>
      <c r="I155" s="13">
        <v>3225520000000</v>
      </c>
      <c r="J155" s="13">
        <v>3368280000000</v>
      </c>
      <c r="K155" s="13">
        <v>3406150000000</v>
      </c>
      <c r="L155" s="13">
        <v>3035580000000</v>
      </c>
    </row>
    <row r="156" spans="1:12" x14ac:dyDescent="0.3">
      <c r="A156" t="s">
        <v>257</v>
      </c>
      <c r="B156" s="13">
        <v>1057800000000</v>
      </c>
      <c r="C156" s="13">
        <v>1180490000000</v>
      </c>
      <c r="D156" s="13">
        <v>1201090000000</v>
      </c>
      <c r="E156" s="13">
        <v>1274440000000</v>
      </c>
      <c r="F156" s="13">
        <v>1315350000000</v>
      </c>
      <c r="G156" s="13">
        <v>1171870000000</v>
      </c>
      <c r="H156" s="13">
        <v>1078490000000</v>
      </c>
      <c r="I156" s="13">
        <v>1158910000000</v>
      </c>
      <c r="J156" s="13">
        <v>1222410000000</v>
      </c>
      <c r="K156" s="13">
        <v>1269430000000</v>
      </c>
      <c r="L156" s="13">
        <v>1073920000000</v>
      </c>
    </row>
    <row r="157" spans="1:12" x14ac:dyDescent="0.3">
      <c r="A157" t="s">
        <v>258</v>
      </c>
      <c r="B157">
        <v>160407100</v>
      </c>
      <c r="C157">
        <v>172188500</v>
      </c>
      <c r="D157">
        <v>180436300</v>
      </c>
      <c r="E157">
        <v>184840400</v>
      </c>
      <c r="F157">
        <v>182142800</v>
      </c>
      <c r="G157">
        <v>183814300</v>
      </c>
      <c r="H157">
        <v>201510900</v>
      </c>
      <c r="I157">
        <v>213204100</v>
      </c>
      <c r="J157">
        <v>221588900</v>
      </c>
      <c r="K157">
        <v>239462200</v>
      </c>
      <c r="L157">
        <v>244462400</v>
      </c>
    </row>
    <row r="158" spans="1:12" x14ac:dyDescent="0.3">
      <c r="A158" t="s">
        <v>259</v>
      </c>
      <c r="B158" s="13">
        <v>20041600000000</v>
      </c>
      <c r="C158" s="13">
        <v>23826000000000</v>
      </c>
      <c r="D158" s="13">
        <v>25387800000000</v>
      </c>
      <c r="E158" s="13">
        <v>26922100000000</v>
      </c>
      <c r="F158" s="13">
        <v>27815800000000</v>
      </c>
      <c r="G158" s="13">
        <v>26380400000000</v>
      </c>
      <c r="H158" s="13">
        <v>26558000000000</v>
      </c>
      <c r="I158" s="13">
        <v>29186000000000</v>
      </c>
      <c r="J158" s="13">
        <v>30985600000000</v>
      </c>
      <c r="K158" s="13">
        <v>31771100000000</v>
      </c>
      <c r="L158" s="13">
        <v>30535300000000</v>
      </c>
    </row>
    <row r="159" spans="1:12" x14ac:dyDescent="0.3">
      <c r="A159" t="s">
        <v>260</v>
      </c>
      <c r="B159">
        <v>9407168702</v>
      </c>
      <c r="C159">
        <v>10494632699</v>
      </c>
      <c r="D159">
        <v>9745251126</v>
      </c>
      <c r="E159">
        <v>10817712139</v>
      </c>
      <c r="F159">
        <v>11362272838</v>
      </c>
      <c r="G159">
        <v>10064515432</v>
      </c>
      <c r="H159">
        <v>10672471861</v>
      </c>
      <c r="I159">
        <v>11307058382</v>
      </c>
      <c r="J159">
        <v>12683070061</v>
      </c>
      <c r="K159">
        <v>12606338449</v>
      </c>
      <c r="L159">
        <v>12263710123</v>
      </c>
    </row>
    <row r="160" spans="1:12" x14ac:dyDescent="0.3">
      <c r="A160" t="s">
        <v>261</v>
      </c>
      <c r="B160">
        <v>10689167195</v>
      </c>
      <c r="C160">
        <v>12995113407</v>
      </c>
      <c r="D160">
        <v>12442036265</v>
      </c>
      <c r="E160">
        <v>13242691430</v>
      </c>
      <c r="F160">
        <v>14364937997</v>
      </c>
      <c r="G160">
        <v>13104764334</v>
      </c>
      <c r="H160">
        <v>14026048691</v>
      </c>
      <c r="I160">
        <v>15365714371</v>
      </c>
      <c r="J160">
        <v>17070866299</v>
      </c>
      <c r="K160">
        <v>17280251194</v>
      </c>
      <c r="L160">
        <v>17465392916</v>
      </c>
    </row>
    <row r="161" spans="1:12" x14ac:dyDescent="0.3">
      <c r="A161" t="s">
        <v>262</v>
      </c>
      <c r="B161">
        <v>9035932122</v>
      </c>
      <c r="C161">
        <v>9638916481</v>
      </c>
      <c r="D161">
        <v>9462238211</v>
      </c>
      <c r="E161">
        <v>10551661177</v>
      </c>
      <c r="F161">
        <v>11626281387</v>
      </c>
      <c r="G161">
        <v>11091434484</v>
      </c>
      <c r="H161">
        <v>11721521913</v>
      </c>
      <c r="I161">
        <v>13221298308</v>
      </c>
      <c r="J161">
        <v>14864712990</v>
      </c>
      <c r="K161">
        <v>15215714309</v>
      </c>
      <c r="L161">
        <v>14647384608</v>
      </c>
    </row>
    <row r="162" spans="1:12" x14ac:dyDescent="0.3">
      <c r="A162" t="s">
        <v>263</v>
      </c>
      <c r="B162">
        <v>37796052939</v>
      </c>
      <c r="C162">
        <v>54118601975</v>
      </c>
      <c r="D162">
        <v>58318677645</v>
      </c>
      <c r="E162">
        <v>60572254371</v>
      </c>
      <c r="F162">
        <v>63264891867</v>
      </c>
      <c r="G162">
        <v>63045306514</v>
      </c>
      <c r="H162">
        <v>60291738935</v>
      </c>
      <c r="I162">
        <v>61449391917</v>
      </c>
      <c r="J162">
        <v>67144726168</v>
      </c>
      <c r="K162">
        <v>68697761477</v>
      </c>
      <c r="L162">
        <v>79852046611</v>
      </c>
    </row>
    <row r="163" spans="1:12" x14ac:dyDescent="0.3">
      <c r="A163" t="s">
        <v>264</v>
      </c>
      <c r="B163" s="13">
        <v>1579520000000</v>
      </c>
      <c r="C163" s="13">
        <v>1565630000000</v>
      </c>
      <c r="D163" s="13">
        <v>1699940000000</v>
      </c>
      <c r="E163" s="13">
        <v>1571820000000</v>
      </c>
      <c r="F163" s="13">
        <v>1547660000000</v>
      </c>
      <c r="G163" s="13">
        <v>1385870000000</v>
      </c>
      <c r="H163" s="13">
        <v>1403900000000</v>
      </c>
      <c r="I163" s="13">
        <v>1384690000000</v>
      </c>
      <c r="J163" s="13">
        <v>1320220000000</v>
      </c>
      <c r="K163" s="13">
        <v>1343540000000</v>
      </c>
      <c r="L163" s="13">
        <v>1195750000000</v>
      </c>
    </row>
    <row r="164" spans="1:12" x14ac:dyDescent="0.3">
      <c r="A164" t="s">
        <v>265</v>
      </c>
      <c r="B164">
        <v>4143033276</v>
      </c>
      <c r="C164">
        <v>4544516982</v>
      </c>
      <c r="D164">
        <v>4087725813</v>
      </c>
      <c r="E164">
        <v>4464260489</v>
      </c>
      <c r="F164">
        <v>4587928884</v>
      </c>
      <c r="G164">
        <v>4052913386</v>
      </c>
      <c r="H164">
        <v>4374128319</v>
      </c>
      <c r="I164">
        <v>4844592067</v>
      </c>
      <c r="J164">
        <v>5504166667</v>
      </c>
      <c r="K164">
        <v>5542674317</v>
      </c>
      <c r="L164">
        <v>4769860741</v>
      </c>
    </row>
    <row r="165" spans="1:12" x14ac:dyDescent="0.3">
      <c r="A165" t="s">
        <v>266</v>
      </c>
      <c r="B165">
        <v>7189481824</v>
      </c>
      <c r="C165">
        <v>10409797649</v>
      </c>
      <c r="D165">
        <v>12292770631</v>
      </c>
      <c r="E165">
        <v>12582122604</v>
      </c>
      <c r="F165">
        <v>12226514722</v>
      </c>
      <c r="G165">
        <v>11619892396</v>
      </c>
      <c r="H165">
        <v>11181350461</v>
      </c>
      <c r="I165">
        <v>11480847745</v>
      </c>
      <c r="J165">
        <v>13178094459</v>
      </c>
      <c r="K165">
        <v>14206359007</v>
      </c>
      <c r="L165">
        <v>13312981595</v>
      </c>
    </row>
    <row r="166" spans="1:12" x14ac:dyDescent="0.3">
      <c r="A166" t="s">
        <v>267</v>
      </c>
      <c r="B166">
        <v>799000000</v>
      </c>
      <c r="C166">
        <v>729000000</v>
      </c>
      <c r="D166">
        <v>746000000</v>
      </c>
      <c r="E166">
        <v>772000000</v>
      </c>
      <c r="F166">
        <v>832000000</v>
      </c>
      <c r="G166">
        <v>910000000</v>
      </c>
      <c r="H166">
        <v>1230000000</v>
      </c>
      <c r="I166">
        <v>1560000000</v>
      </c>
      <c r="J166">
        <v>1302000000</v>
      </c>
      <c r="K166">
        <v>1182000000</v>
      </c>
    </row>
    <row r="167" spans="1:12" x14ac:dyDescent="0.3">
      <c r="A167" t="s">
        <v>268</v>
      </c>
      <c r="B167">
        <v>11104648673</v>
      </c>
      <c r="C167">
        <v>14381552433</v>
      </c>
      <c r="D167">
        <v>16350804543</v>
      </c>
      <c r="E167">
        <v>16974320551</v>
      </c>
      <c r="F167">
        <v>17716084108</v>
      </c>
      <c r="G167">
        <v>15950969019</v>
      </c>
      <c r="H167">
        <v>11936999283</v>
      </c>
      <c r="I167">
        <v>13219084261</v>
      </c>
      <c r="J167">
        <v>14845870051</v>
      </c>
      <c r="K167">
        <v>15384701798</v>
      </c>
      <c r="L167">
        <v>14019446610</v>
      </c>
    </row>
    <row r="168" spans="1:12" x14ac:dyDescent="0.3">
      <c r="A168" t="s">
        <v>269</v>
      </c>
      <c r="B168">
        <v>5628882266</v>
      </c>
      <c r="C168">
        <v>6764635687</v>
      </c>
      <c r="D168">
        <v>6728208836</v>
      </c>
      <c r="E168">
        <v>7223063170</v>
      </c>
      <c r="F168">
        <v>6592537782</v>
      </c>
      <c r="G168">
        <v>6166857629</v>
      </c>
      <c r="H168">
        <v>6398744505</v>
      </c>
      <c r="I168">
        <v>6799075419</v>
      </c>
      <c r="J168">
        <v>7354430040</v>
      </c>
      <c r="K168">
        <v>7889662452</v>
      </c>
      <c r="L168">
        <v>7913680231</v>
      </c>
    </row>
    <row r="169" spans="1:12" x14ac:dyDescent="0.3">
      <c r="A169" t="s">
        <v>270</v>
      </c>
      <c r="B169">
        <v>10003670690</v>
      </c>
      <c r="C169">
        <v>11518393367</v>
      </c>
      <c r="D169">
        <v>11668685524</v>
      </c>
      <c r="E169">
        <v>12129642296</v>
      </c>
      <c r="F169">
        <v>12803445934</v>
      </c>
      <c r="G169">
        <v>11692287066</v>
      </c>
      <c r="H169">
        <v>12232463656</v>
      </c>
      <c r="I169">
        <v>13259351418</v>
      </c>
      <c r="J169">
        <v>14181951059</v>
      </c>
      <c r="K169">
        <v>14045808843</v>
      </c>
      <c r="L169">
        <v>10920606198</v>
      </c>
    </row>
    <row r="170" spans="1:12" x14ac:dyDescent="0.3">
      <c r="A170" t="s">
        <v>271</v>
      </c>
      <c r="B170">
        <v>6959655571</v>
      </c>
      <c r="C170">
        <v>8004000737</v>
      </c>
      <c r="D170">
        <v>6028487929</v>
      </c>
      <c r="E170">
        <v>5518880769</v>
      </c>
      <c r="F170">
        <v>6047813437</v>
      </c>
      <c r="G170">
        <v>6373212641</v>
      </c>
      <c r="H170">
        <v>5433040160</v>
      </c>
      <c r="I170">
        <v>8943543677</v>
      </c>
      <c r="J170">
        <v>9880675786</v>
      </c>
      <c r="K170">
        <v>11025357838</v>
      </c>
      <c r="L170">
        <v>12182348213</v>
      </c>
    </row>
    <row r="171" spans="1:12" x14ac:dyDescent="0.3">
      <c r="A171" t="s">
        <v>272</v>
      </c>
      <c r="B171" s="13">
        <v>255017000000</v>
      </c>
      <c r="C171" s="13">
        <v>297952000000</v>
      </c>
      <c r="D171" s="13">
        <v>314443000000</v>
      </c>
      <c r="E171" s="13">
        <v>323277000000</v>
      </c>
      <c r="F171" s="13">
        <v>338062000000</v>
      </c>
      <c r="G171" s="13">
        <v>301355000000</v>
      </c>
      <c r="H171" s="13">
        <v>301255000000</v>
      </c>
      <c r="I171" s="13">
        <v>319112000000</v>
      </c>
      <c r="J171" s="13">
        <v>358792000000</v>
      </c>
      <c r="K171" s="13">
        <v>365276000000</v>
      </c>
      <c r="L171" s="13">
        <v>337006000000</v>
      </c>
    </row>
    <row r="172" spans="1:12" x14ac:dyDescent="0.3">
      <c r="A172" t="s">
        <v>273</v>
      </c>
      <c r="B172" s="13">
        <v>16616000000000</v>
      </c>
      <c r="C172" s="13">
        <v>17342200000000</v>
      </c>
      <c r="D172" s="13">
        <v>18031800000000</v>
      </c>
      <c r="E172" s="13">
        <v>18637900000000</v>
      </c>
      <c r="F172" s="13">
        <v>19339300000000</v>
      </c>
      <c r="G172" s="13">
        <v>19801500000000</v>
      </c>
      <c r="H172" s="13">
        <v>20280000000000</v>
      </c>
      <c r="I172" s="13">
        <v>21199400000000</v>
      </c>
      <c r="J172" s="13">
        <v>22344400000000</v>
      </c>
      <c r="K172" s="13">
        <v>23182700000000</v>
      </c>
      <c r="L172" s="13">
        <v>22605300000000</v>
      </c>
    </row>
    <row r="173" spans="1:12" x14ac:dyDescent="0.3">
      <c r="A173" t="s">
        <v>274</v>
      </c>
      <c r="B173">
        <v>11431334447</v>
      </c>
      <c r="C173">
        <v>12523402329</v>
      </c>
      <c r="D173">
        <v>13042007432</v>
      </c>
      <c r="E173">
        <v>12043276397</v>
      </c>
      <c r="F173">
        <v>12435416060</v>
      </c>
      <c r="G173">
        <v>11335179562</v>
      </c>
      <c r="H173">
        <v>10721994677</v>
      </c>
      <c r="I173">
        <v>12895153160</v>
      </c>
      <c r="J173">
        <v>13682062249</v>
      </c>
      <c r="K173">
        <v>12496781720</v>
      </c>
      <c r="L173">
        <v>10619194505</v>
      </c>
    </row>
    <row r="174" spans="1:12" x14ac:dyDescent="0.3">
      <c r="A174" t="s">
        <v>275</v>
      </c>
      <c r="B174">
        <v>9364350065</v>
      </c>
      <c r="C174">
        <v>10351448025</v>
      </c>
      <c r="D174">
        <v>9659151909</v>
      </c>
      <c r="E174">
        <v>10151382877</v>
      </c>
      <c r="F174">
        <v>10635035550</v>
      </c>
      <c r="G174">
        <v>8738203042</v>
      </c>
      <c r="H174">
        <v>8724568971</v>
      </c>
      <c r="I174">
        <v>9173670000</v>
      </c>
      <c r="J174">
        <v>9846920284</v>
      </c>
      <c r="K174">
        <v>9438127994</v>
      </c>
    </row>
    <row r="175" spans="1:12" x14ac:dyDescent="0.3">
      <c r="A175" t="s">
        <v>276</v>
      </c>
      <c r="B175">
        <v>7851191899</v>
      </c>
      <c r="C175">
        <v>8772951262</v>
      </c>
      <c r="D175">
        <v>9426913349</v>
      </c>
      <c r="E175">
        <v>10224897935</v>
      </c>
      <c r="F175">
        <v>10862944204</v>
      </c>
      <c r="G175">
        <v>9683867894</v>
      </c>
      <c r="H175">
        <v>10398862245</v>
      </c>
      <c r="I175">
        <v>11185102400</v>
      </c>
      <c r="J175">
        <v>12808660528</v>
      </c>
      <c r="K175">
        <v>12916455161</v>
      </c>
      <c r="L175">
        <v>13741378450</v>
      </c>
    </row>
    <row r="176" spans="1:12" x14ac:dyDescent="0.3">
      <c r="A176" t="s">
        <v>277</v>
      </c>
      <c r="B176" s="13">
        <v>361457000000</v>
      </c>
      <c r="C176" s="13">
        <v>404994000000</v>
      </c>
      <c r="D176" s="13">
        <v>455502000000</v>
      </c>
      <c r="E176" s="13">
        <v>508693000000</v>
      </c>
      <c r="F176" s="13">
        <v>546676000000</v>
      </c>
      <c r="G176" s="13">
        <v>486803000000</v>
      </c>
      <c r="H176" s="13">
        <v>404650000000</v>
      </c>
      <c r="I176" s="13">
        <v>375746000000</v>
      </c>
      <c r="J176" s="13">
        <v>397190000000</v>
      </c>
      <c r="K176" s="13">
        <v>448120000000</v>
      </c>
      <c r="L176" s="13">
        <v>432294000000</v>
      </c>
    </row>
    <row r="177" spans="1:12" x14ac:dyDescent="0.3">
      <c r="A177" t="s">
        <v>278</v>
      </c>
      <c r="B177">
        <v>8758592272</v>
      </c>
      <c r="C177">
        <v>9774262742</v>
      </c>
      <c r="D177">
        <v>10532006608</v>
      </c>
      <c r="E177">
        <v>10982979274</v>
      </c>
      <c r="F177">
        <v>11880434071</v>
      </c>
      <c r="G177">
        <v>12756706583</v>
      </c>
      <c r="H177">
        <v>13286083645</v>
      </c>
      <c r="I177">
        <v>13785876629</v>
      </c>
      <c r="J177">
        <v>13025239912</v>
      </c>
      <c r="K177">
        <v>12611218627</v>
      </c>
      <c r="L177">
        <v>12621505383</v>
      </c>
    </row>
    <row r="178" spans="1:12" x14ac:dyDescent="0.3">
      <c r="A178" t="s">
        <v>279</v>
      </c>
      <c r="B178" s="13">
        <v>847381000000</v>
      </c>
      <c r="C178" s="13">
        <v>905271000000</v>
      </c>
      <c r="D178" s="13">
        <v>838923000000</v>
      </c>
      <c r="E178" s="13">
        <v>877173000000</v>
      </c>
      <c r="F178" s="13">
        <v>892168000000</v>
      </c>
      <c r="G178" s="13">
        <v>765573000000</v>
      </c>
      <c r="H178" s="13">
        <v>784060000000</v>
      </c>
      <c r="I178" s="13">
        <v>833870000000</v>
      </c>
      <c r="J178" s="13">
        <v>914043000000</v>
      </c>
      <c r="K178" s="13">
        <v>910194000000</v>
      </c>
      <c r="L178" s="13">
        <v>913865000000</v>
      </c>
    </row>
    <row r="179" spans="1:12" x14ac:dyDescent="0.3">
      <c r="A179" t="s">
        <v>280</v>
      </c>
      <c r="B179" s="13">
        <v>428757000000</v>
      </c>
      <c r="C179" s="13">
        <v>498283000000</v>
      </c>
      <c r="D179" s="13">
        <v>509506000000</v>
      </c>
      <c r="E179" s="13">
        <v>522762000000</v>
      </c>
      <c r="F179" s="13">
        <v>498410000000</v>
      </c>
      <c r="G179" s="13">
        <v>385802000000</v>
      </c>
      <c r="H179" s="13">
        <v>368827000000</v>
      </c>
      <c r="I179" s="13">
        <v>398394000000</v>
      </c>
      <c r="J179" s="13">
        <v>437000000000</v>
      </c>
      <c r="K179" s="13">
        <v>404941000000</v>
      </c>
      <c r="L179" s="13">
        <v>362198000000</v>
      </c>
    </row>
    <row r="180" spans="1:12" x14ac:dyDescent="0.3">
      <c r="A180" t="s">
        <v>281</v>
      </c>
      <c r="B180">
        <v>16002656434</v>
      </c>
      <c r="C180">
        <v>21621710003</v>
      </c>
      <c r="D180">
        <v>21703106502</v>
      </c>
      <c r="E180">
        <v>22162208956</v>
      </c>
      <c r="F180">
        <v>22731602970</v>
      </c>
      <c r="G180">
        <v>24360795410</v>
      </c>
      <c r="H180">
        <v>24524098184</v>
      </c>
      <c r="I180">
        <v>28971589213</v>
      </c>
      <c r="J180">
        <v>33111525183</v>
      </c>
      <c r="K180">
        <v>34186180695</v>
      </c>
      <c r="L180">
        <v>33657175561</v>
      </c>
    </row>
    <row r="181" spans="1:12" x14ac:dyDescent="0.3">
      <c r="A181" t="s">
        <v>282</v>
      </c>
      <c r="B181">
        <v>47564520.390000001</v>
      </c>
      <c r="C181">
        <v>66055407.670000002</v>
      </c>
      <c r="D181">
        <v>96927201.480000004</v>
      </c>
      <c r="E181">
        <v>98491843.640000001</v>
      </c>
      <c r="F181">
        <v>104654365.2</v>
      </c>
      <c r="G181">
        <v>86529661.370000005</v>
      </c>
      <c r="H181">
        <v>99723394.959999993</v>
      </c>
      <c r="I181">
        <v>109359680.2</v>
      </c>
      <c r="J181">
        <v>124021393.7</v>
      </c>
      <c r="K181">
        <v>118724073.8</v>
      </c>
      <c r="L181">
        <v>114626625.59999999</v>
      </c>
    </row>
    <row r="182" spans="1:12" x14ac:dyDescent="0.3">
      <c r="A182" t="s">
        <v>283</v>
      </c>
      <c r="B182" s="13">
        <v>146518000000</v>
      </c>
      <c r="C182" s="13">
        <v>168291000000</v>
      </c>
      <c r="D182" s="13">
        <v>176207000000</v>
      </c>
      <c r="E182" s="13">
        <v>190907000000</v>
      </c>
      <c r="F182" s="13">
        <v>201313000000</v>
      </c>
      <c r="G182" s="13">
        <v>178064000000</v>
      </c>
      <c r="H182" s="13">
        <v>188943000000</v>
      </c>
      <c r="I182" s="13">
        <v>206951000000</v>
      </c>
      <c r="J182" s="13">
        <v>212226000000</v>
      </c>
      <c r="K182" s="13">
        <v>212891000000</v>
      </c>
      <c r="L182" s="13">
        <v>210701000000</v>
      </c>
    </row>
    <row r="183" spans="1:12" x14ac:dyDescent="0.3">
      <c r="A183" t="s">
        <v>284</v>
      </c>
      <c r="B183" s="13">
        <v>45201400000000</v>
      </c>
      <c r="C183" s="13">
        <v>48628500000000</v>
      </c>
      <c r="D183" s="13">
        <v>48579400000000</v>
      </c>
      <c r="E183" s="13">
        <v>49234400000000</v>
      </c>
      <c r="F183" s="13">
        <v>50281700000000</v>
      </c>
      <c r="G183" s="13">
        <v>47468600000000</v>
      </c>
      <c r="H183" s="13">
        <v>48406100000000</v>
      </c>
      <c r="I183" s="13">
        <v>50532800000000</v>
      </c>
      <c r="J183" s="13">
        <v>53475700000000</v>
      </c>
      <c r="K183" s="13">
        <v>53983100000000</v>
      </c>
      <c r="L183" s="13">
        <v>52392700000000</v>
      </c>
    </row>
    <row r="184" spans="1:12" x14ac:dyDescent="0.3">
      <c r="A184" t="s">
        <v>285</v>
      </c>
      <c r="B184">
        <v>64993498049</v>
      </c>
      <c r="C184">
        <v>77497529259</v>
      </c>
      <c r="D184">
        <v>87408842653</v>
      </c>
      <c r="E184">
        <v>89936020806</v>
      </c>
      <c r="F184">
        <v>92699089727</v>
      </c>
      <c r="G184">
        <v>78710793238</v>
      </c>
      <c r="H184">
        <v>75128738622</v>
      </c>
      <c r="I184">
        <v>80856697009</v>
      </c>
      <c r="J184">
        <v>91505851756</v>
      </c>
      <c r="K184">
        <v>88060858257</v>
      </c>
      <c r="L184">
        <v>73971391417</v>
      </c>
    </row>
    <row r="185" spans="1:12" x14ac:dyDescent="0.3">
      <c r="A185" t="s">
        <v>286</v>
      </c>
      <c r="B185" s="13">
        <v>322471000000</v>
      </c>
      <c r="C185" s="13">
        <v>396966000000</v>
      </c>
      <c r="D185" s="13">
        <v>414203000000</v>
      </c>
      <c r="E185" s="13">
        <v>432288000000</v>
      </c>
      <c r="F185" s="13">
        <v>446234000000</v>
      </c>
      <c r="G185" s="13">
        <v>369953000000</v>
      </c>
      <c r="H185" s="13">
        <v>365887000000</v>
      </c>
      <c r="I185" s="13">
        <v>398078000000</v>
      </c>
      <c r="J185" s="13">
        <v>441564000000</v>
      </c>
      <c r="K185" s="13">
        <v>432772000000</v>
      </c>
      <c r="L185" s="13">
        <v>375853000000</v>
      </c>
    </row>
    <row r="186" spans="1:12" x14ac:dyDescent="0.3">
      <c r="A186" t="s">
        <v>287</v>
      </c>
      <c r="B186" s="13">
        <v>177166000000</v>
      </c>
      <c r="C186" s="13">
        <v>213587000000</v>
      </c>
      <c r="D186" s="13">
        <v>224384000000</v>
      </c>
      <c r="E186" s="13">
        <v>231219000000</v>
      </c>
      <c r="F186" s="13">
        <v>244361000000</v>
      </c>
      <c r="G186" s="13">
        <v>270556000000</v>
      </c>
      <c r="H186" s="13">
        <v>278655000000</v>
      </c>
      <c r="I186" s="13">
        <v>304567000000</v>
      </c>
      <c r="J186" s="13">
        <v>314568000000</v>
      </c>
      <c r="K186" s="13">
        <v>279057000000</v>
      </c>
      <c r="L186" s="13">
        <v>262610000000</v>
      </c>
    </row>
    <row r="187" spans="1:12" x14ac:dyDescent="0.3">
      <c r="A187" t="s">
        <v>288</v>
      </c>
      <c r="B187">
        <v>29440287581</v>
      </c>
      <c r="C187">
        <v>34686224301</v>
      </c>
      <c r="D187">
        <v>40429734384</v>
      </c>
      <c r="E187">
        <v>45599994005</v>
      </c>
      <c r="F187">
        <v>49921464365</v>
      </c>
      <c r="G187">
        <v>54091713776</v>
      </c>
      <c r="H187">
        <v>57907695409</v>
      </c>
      <c r="I187">
        <v>62202725204</v>
      </c>
      <c r="J187">
        <v>64929409212</v>
      </c>
      <c r="K187">
        <v>66984427150</v>
      </c>
      <c r="L187">
        <v>53977036995</v>
      </c>
    </row>
    <row r="188" spans="1:12" x14ac:dyDescent="0.3">
      <c r="A188" t="s">
        <v>289</v>
      </c>
      <c r="B188" s="13">
        <v>147529000000</v>
      </c>
      <c r="C188" s="13">
        <v>171762000000</v>
      </c>
      <c r="D188" s="13">
        <v>192649000000</v>
      </c>
      <c r="E188" s="13">
        <v>201175000000</v>
      </c>
      <c r="F188" s="13">
        <v>200789000000</v>
      </c>
      <c r="G188" s="13">
        <v>189805000000</v>
      </c>
      <c r="H188" s="13">
        <v>191896000000</v>
      </c>
      <c r="I188" s="13">
        <v>211007000000</v>
      </c>
      <c r="J188" s="13">
        <v>222575000000</v>
      </c>
      <c r="K188" s="13">
        <v>228471000000</v>
      </c>
      <c r="L188" s="13">
        <v>202014000000</v>
      </c>
    </row>
    <row r="189" spans="1:12" x14ac:dyDescent="0.3">
      <c r="A189" t="s">
        <v>290</v>
      </c>
      <c r="B189" s="13">
        <v>208369000000</v>
      </c>
      <c r="C189" s="13">
        <v>234217000000</v>
      </c>
      <c r="D189" s="13">
        <v>261921000000</v>
      </c>
      <c r="E189" s="13">
        <v>283903000000</v>
      </c>
      <c r="F189" s="13">
        <v>297483000000</v>
      </c>
      <c r="G189" s="13">
        <v>306446000000</v>
      </c>
      <c r="H189" s="13">
        <v>318627000000</v>
      </c>
      <c r="I189" s="13">
        <v>328481000000</v>
      </c>
      <c r="J189" s="13">
        <v>346842000000</v>
      </c>
      <c r="K189" s="13">
        <v>376823000000</v>
      </c>
      <c r="L189" s="13">
        <v>361489000000</v>
      </c>
    </row>
    <row r="190" spans="1:12" x14ac:dyDescent="0.3">
      <c r="A190" t="s">
        <v>291</v>
      </c>
      <c r="B190">
        <v>185943000</v>
      </c>
      <c r="C190">
        <v>196911100</v>
      </c>
      <c r="D190">
        <v>212397800</v>
      </c>
      <c r="E190">
        <v>221117200</v>
      </c>
      <c r="F190">
        <v>241669800</v>
      </c>
      <c r="G190">
        <v>280457700</v>
      </c>
      <c r="H190">
        <v>298300000</v>
      </c>
      <c r="I190">
        <v>285300000</v>
      </c>
      <c r="J190">
        <v>284700000</v>
      </c>
      <c r="K190">
        <v>274200000</v>
      </c>
      <c r="L190">
        <v>257700000</v>
      </c>
    </row>
    <row r="191" spans="1:12" x14ac:dyDescent="0.3">
      <c r="A191" t="s">
        <v>292</v>
      </c>
      <c r="B191">
        <v>14250755231</v>
      </c>
      <c r="C191">
        <v>17984910502</v>
      </c>
      <c r="D191">
        <v>21295659244</v>
      </c>
      <c r="E191">
        <v>21261432791</v>
      </c>
      <c r="F191">
        <v>23210682538</v>
      </c>
      <c r="G191">
        <v>21723531173</v>
      </c>
      <c r="H191">
        <v>20759069103</v>
      </c>
      <c r="I191">
        <v>22742613554</v>
      </c>
      <c r="J191">
        <v>24109509853</v>
      </c>
      <c r="K191">
        <v>24751344552</v>
      </c>
      <c r="L191">
        <v>24668899683</v>
      </c>
    </row>
    <row r="192" spans="1:12" x14ac:dyDescent="0.3">
      <c r="A192" t="s">
        <v>293</v>
      </c>
      <c r="B192" s="13">
        <v>479834000000</v>
      </c>
      <c r="C192" s="13">
        <v>528301000000</v>
      </c>
      <c r="D192" s="13">
        <v>498524000000</v>
      </c>
      <c r="E192" s="13">
        <v>521016000000</v>
      </c>
      <c r="F192" s="13">
        <v>542477000000</v>
      </c>
      <c r="G192" s="13">
        <v>477812000000</v>
      </c>
      <c r="H192" s="13">
        <v>472630000000</v>
      </c>
      <c r="I192" s="13">
        <v>526509000000</v>
      </c>
      <c r="J192" s="13">
        <v>587412000000</v>
      </c>
      <c r="K192" s="13">
        <v>597281000000</v>
      </c>
      <c r="L192" s="13">
        <v>596624000000</v>
      </c>
    </row>
    <row r="193" spans="1:12" x14ac:dyDescent="0.3">
      <c r="A193" t="s">
        <v>294</v>
      </c>
      <c r="B193" s="13">
        <v>1037780000000</v>
      </c>
      <c r="C193" s="13">
        <v>1199640000000</v>
      </c>
      <c r="D193" s="13">
        <v>1306390000000</v>
      </c>
      <c r="E193" s="13">
        <v>1435830000000</v>
      </c>
      <c r="F193" s="13">
        <v>1511290000000</v>
      </c>
      <c r="G193" s="13">
        <v>1318250000000</v>
      </c>
      <c r="H193" s="13">
        <v>1205550000000</v>
      </c>
      <c r="I193" s="13">
        <v>1258670000000</v>
      </c>
      <c r="J193" s="13">
        <v>1344630000000</v>
      </c>
      <c r="K193" s="13">
        <v>1407740000000</v>
      </c>
      <c r="L193" s="13">
        <v>1293150000000</v>
      </c>
    </row>
    <row r="194" spans="1:12" x14ac:dyDescent="0.3">
      <c r="A194" t="s">
        <v>295</v>
      </c>
      <c r="B194">
        <v>98381300000</v>
      </c>
      <c r="C194" s="13">
        <v>100352000000</v>
      </c>
      <c r="D194" s="13">
        <v>101565000000</v>
      </c>
      <c r="E194" s="13">
        <v>102450000000</v>
      </c>
      <c r="F194" s="13">
        <v>102446000000</v>
      </c>
      <c r="G194" s="13">
        <v>103376000000</v>
      </c>
      <c r="H194" s="13">
        <v>104337000000</v>
      </c>
      <c r="I194" s="13">
        <v>103446000000</v>
      </c>
      <c r="J194" s="13">
        <v>100925000000</v>
      </c>
      <c r="K194" s="13">
        <v>104915000000</v>
      </c>
      <c r="L194" s="13">
        <v>103138000000</v>
      </c>
    </row>
    <row r="195" spans="1:12" x14ac:dyDescent="0.3">
      <c r="A195" t="s">
        <v>296</v>
      </c>
    </row>
    <row r="196" spans="1:12" x14ac:dyDescent="0.3">
      <c r="A196" t="s">
        <v>297</v>
      </c>
      <c r="B196" s="13">
        <v>238113000000</v>
      </c>
      <c r="C196" s="13">
        <v>245118000000</v>
      </c>
      <c r="D196" s="13">
        <v>216224000000</v>
      </c>
      <c r="E196" s="13">
        <v>226434000000</v>
      </c>
      <c r="F196" s="13">
        <v>229902000000</v>
      </c>
      <c r="G196" s="13">
        <v>199394000000</v>
      </c>
      <c r="H196" s="13">
        <v>206426000000</v>
      </c>
      <c r="I196" s="13">
        <v>221358000000</v>
      </c>
      <c r="J196" s="13">
        <v>242313000000</v>
      </c>
      <c r="K196" s="13">
        <v>239987000000</v>
      </c>
      <c r="L196" s="13">
        <v>228539000000</v>
      </c>
    </row>
    <row r="197" spans="1:12" x14ac:dyDescent="0.3">
      <c r="A197" t="s">
        <v>298</v>
      </c>
      <c r="B197">
        <v>27237782850</v>
      </c>
      <c r="C197">
        <v>33756238767</v>
      </c>
      <c r="D197">
        <v>33296438306</v>
      </c>
      <c r="E197">
        <v>38651334288</v>
      </c>
      <c r="F197">
        <v>40377987209</v>
      </c>
      <c r="G197">
        <v>36211372703</v>
      </c>
      <c r="H197">
        <v>36089550659</v>
      </c>
      <c r="I197">
        <v>38997129474</v>
      </c>
      <c r="J197">
        <v>40225448341</v>
      </c>
      <c r="K197">
        <v>37906944075</v>
      </c>
      <c r="L197">
        <v>35670301496</v>
      </c>
    </row>
    <row r="198" spans="1:12" x14ac:dyDescent="0.3">
      <c r="A198" t="s">
        <v>299</v>
      </c>
      <c r="B198">
        <v>9681500000</v>
      </c>
      <c r="C198">
        <v>11186100000</v>
      </c>
      <c r="D198">
        <v>12208400000</v>
      </c>
      <c r="E198">
        <v>13515500000</v>
      </c>
      <c r="F198">
        <v>13989700000</v>
      </c>
      <c r="G198">
        <v>13972400000</v>
      </c>
      <c r="H198">
        <v>15405400000</v>
      </c>
      <c r="I198">
        <v>16128000000</v>
      </c>
      <c r="J198">
        <v>16276600000</v>
      </c>
      <c r="K198">
        <v>17133500000</v>
      </c>
      <c r="L198">
        <v>15561300000</v>
      </c>
    </row>
    <row r="199" spans="1:12" x14ac:dyDescent="0.3">
      <c r="A199" t="s">
        <v>300</v>
      </c>
      <c r="B199">
        <v>6566818383</v>
      </c>
      <c r="C199">
        <v>7713181064</v>
      </c>
      <c r="D199">
        <v>8186804963</v>
      </c>
      <c r="E199">
        <v>8498136739</v>
      </c>
      <c r="F199">
        <v>9226234551</v>
      </c>
      <c r="G199">
        <v>9019345254</v>
      </c>
      <c r="H199">
        <v>9456355296</v>
      </c>
      <c r="I199">
        <v>10212037558</v>
      </c>
      <c r="J199">
        <v>10656209173</v>
      </c>
      <c r="K199">
        <v>10641343380</v>
      </c>
      <c r="L199">
        <v>9530487872</v>
      </c>
    </row>
    <row r="200" spans="1:12" x14ac:dyDescent="0.3">
      <c r="A200" t="s">
        <v>301</v>
      </c>
      <c r="B200" s="13">
        <v>42641900000000</v>
      </c>
      <c r="C200" s="13">
        <v>45804100000000</v>
      </c>
      <c r="D200" s="13">
        <v>45736100000000</v>
      </c>
      <c r="E200" s="13">
        <v>46194500000000</v>
      </c>
      <c r="F200" s="13">
        <v>47150100000000</v>
      </c>
      <c r="G200" s="13">
        <v>44644100000000</v>
      </c>
      <c r="H200" s="13">
        <v>45670900000000</v>
      </c>
      <c r="I200" s="13">
        <v>47622600000000</v>
      </c>
      <c r="J200" s="13">
        <v>50492100000000</v>
      </c>
      <c r="K200" s="13">
        <v>50983800000000</v>
      </c>
      <c r="L200" s="13">
        <v>49594500000000</v>
      </c>
    </row>
    <row r="201" spans="1:12" x14ac:dyDescent="0.3">
      <c r="A201" t="s">
        <v>302</v>
      </c>
    </row>
    <row r="202" spans="1:12" x14ac:dyDescent="0.3">
      <c r="A202" t="s">
        <v>303</v>
      </c>
      <c r="B202" s="13">
        <v>125122000000</v>
      </c>
      <c r="C202" s="13">
        <v>167775000000</v>
      </c>
      <c r="D202" s="13">
        <v>186834000000</v>
      </c>
      <c r="E202" s="13">
        <v>198728000000</v>
      </c>
      <c r="F202" s="13">
        <v>206225000000</v>
      </c>
      <c r="G202" s="13">
        <v>161740000000</v>
      </c>
      <c r="H202" s="13">
        <v>151732000000</v>
      </c>
      <c r="I202" s="13">
        <v>161099000000</v>
      </c>
      <c r="J202" s="13">
        <v>183335000000</v>
      </c>
      <c r="K202" s="13">
        <v>176371000000</v>
      </c>
      <c r="L202" s="13">
        <v>144411000000</v>
      </c>
    </row>
    <row r="203" spans="1:12" x14ac:dyDescent="0.3">
      <c r="A203" t="s">
        <v>304</v>
      </c>
      <c r="B203" s="13">
        <v>166309000000</v>
      </c>
      <c r="C203" s="13">
        <v>183327000000</v>
      </c>
      <c r="D203" s="13">
        <v>170636000000</v>
      </c>
      <c r="E203" s="13">
        <v>190801000000</v>
      </c>
      <c r="F203" s="13">
        <v>199959000000</v>
      </c>
      <c r="G203" s="13">
        <v>177729000000</v>
      </c>
      <c r="H203" s="13">
        <v>188129000000</v>
      </c>
      <c r="I203" s="13">
        <v>211695000000</v>
      </c>
      <c r="J203" s="13">
        <v>241457000000</v>
      </c>
      <c r="K203" s="13">
        <v>249882000000</v>
      </c>
      <c r="L203" s="13">
        <v>248716000000</v>
      </c>
    </row>
    <row r="204" spans="1:12" x14ac:dyDescent="0.3">
      <c r="A204" t="s">
        <v>305</v>
      </c>
      <c r="B204" s="13">
        <v>1524920000000</v>
      </c>
      <c r="C204" s="13">
        <v>2045930000000</v>
      </c>
      <c r="D204" s="13">
        <v>2208300000000</v>
      </c>
      <c r="E204" s="13">
        <v>2292470000000</v>
      </c>
      <c r="F204" s="13">
        <v>2059240000000</v>
      </c>
      <c r="G204" s="13">
        <v>1363480000000</v>
      </c>
      <c r="H204" s="13">
        <v>1276790000000</v>
      </c>
      <c r="I204" s="13">
        <v>1574200000000</v>
      </c>
      <c r="J204" s="13">
        <v>1657330000000</v>
      </c>
      <c r="K204" s="13">
        <v>1687450000000</v>
      </c>
      <c r="L204" s="13">
        <v>1483500000000</v>
      </c>
    </row>
    <row r="205" spans="1:12" x14ac:dyDescent="0.3">
      <c r="A205" t="s">
        <v>306</v>
      </c>
      <c r="B205">
        <v>6121234529</v>
      </c>
      <c r="C205">
        <v>6881038270</v>
      </c>
      <c r="D205">
        <v>7650300320</v>
      </c>
      <c r="E205">
        <v>7815599503</v>
      </c>
      <c r="F205">
        <v>8241332517</v>
      </c>
      <c r="G205">
        <v>8539048448</v>
      </c>
      <c r="H205">
        <v>8690485823</v>
      </c>
      <c r="I205">
        <v>9253098954</v>
      </c>
      <c r="J205">
        <v>9640280084</v>
      </c>
      <c r="K205">
        <v>10355974217</v>
      </c>
      <c r="L205">
        <v>10333991456</v>
      </c>
    </row>
    <row r="206" spans="1:12" x14ac:dyDescent="0.3">
      <c r="A206" t="s">
        <v>307</v>
      </c>
      <c r="B206" s="13">
        <v>2060780000000</v>
      </c>
      <c r="C206" s="13">
        <v>2274550000000</v>
      </c>
      <c r="D206" s="13">
        <v>2300090000000</v>
      </c>
      <c r="E206" s="13">
        <v>2359610000000</v>
      </c>
      <c r="F206" s="13">
        <v>2584560000000</v>
      </c>
      <c r="G206" s="13">
        <v>2699430000000</v>
      </c>
      <c r="H206" s="13">
        <v>2926450000000</v>
      </c>
      <c r="I206" s="13">
        <v>3348110000000</v>
      </c>
      <c r="J206" s="13">
        <v>3436590000000</v>
      </c>
      <c r="K206" s="13">
        <v>3597250000000</v>
      </c>
      <c r="L206" s="13">
        <v>3386420000000</v>
      </c>
    </row>
    <row r="207" spans="1:12" x14ac:dyDescent="0.3">
      <c r="A207" t="s">
        <v>308</v>
      </c>
      <c r="B207" s="13">
        <v>528207000000</v>
      </c>
      <c r="C207" s="13">
        <v>671239000000</v>
      </c>
      <c r="D207" s="13">
        <v>735975000000</v>
      </c>
      <c r="E207" s="13">
        <v>746647000000</v>
      </c>
      <c r="F207" s="13">
        <v>756350000000</v>
      </c>
      <c r="G207" s="13">
        <v>654270000000</v>
      </c>
      <c r="H207" s="13">
        <v>644936000000</v>
      </c>
      <c r="I207" s="13">
        <v>688586000000</v>
      </c>
      <c r="J207" s="13">
        <v>786522000000</v>
      </c>
      <c r="K207" s="13">
        <v>792967000000</v>
      </c>
      <c r="L207" s="13">
        <v>700118000000</v>
      </c>
    </row>
    <row r="208" spans="1:12" x14ac:dyDescent="0.3">
      <c r="A208" t="s">
        <v>309</v>
      </c>
      <c r="B208">
        <v>58962978034</v>
      </c>
      <c r="C208">
        <v>55018567211</v>
      </c>
      <c r="D208">
        <v>37632919967</v>
      </c>
      <c r="E208">
        <v>43024018082</v>
      </c>
      <c r="F208">
        <v>49516748618</v>
      </c>
      <c r="G208">
        <v>51726758677</v>
      </c>
      <c r="H208">
        <v>42630376000</v>
      </c>
      <c r="I208">
        <v>41283617976</v>
      </c>
      <c r="J208">
        <v>30964349685</v>
      </c>
      <c r="K208">
        <v>26155799325</v>
      </c>
      <c r="L208">
        <v>21329109522</v>
      </c>
    </row>
    <row r="209" spans="1:12" x14ac:dyDescent="0.3">
      <c r="A209" t="s">
        <v>310</v>
      </c>
      <c r="B209">
        <v>16121314671</v>
      </c>
      <c r="C209">
        <v>17814284622</v>
      </c>
      <c r="D209">
        <v>17660871726</v>
      </c>
      <c r="E209">
        <v>18918668644</v>
      </c>
      <c r="F209">
        <v>19797254643</v>
      </c>
      <c r="G209">
        <v>17774766636</v>
      </c>
      <c r="H209">
        <v>19040312815</v>
      </c>
      <c r="I209">
        <v>20996564752</v>
      </c>
      <c r="J209">
        <v>23116699808</v>
      </c>
      <c r="K209">
        <v>23306213742</v>
      </c>
      <c r="L209">
        <v>24644234595</v>
      </c>
    </row>
    <row r="210" spans="1:12" x14ac:dyDescent="0.3">
      <c r="A210" t="s">
        <v>311</v>
      </c>
      <c r="B210" s="13">
        <v>239809000000</v>
      </c>
      <c r="C210" s="13">
        <v>279351000000</v>
      </c>
      <c r="D210" s="13">
        <v>295087000000</v>
      </c>
      <c r="E210" s="13">
        <v>307576000000</v>
      </c>
      <c r="F210" s="13">
        <v>314851000000</v>
      </c>
      <c r="G210" s="13">
        <v>308004000000</v>
      </c>
      <c r="H210" s="13">
        <v>318764000000</v>
      </c>
      <c r="I210" s="13">
        <v>343338000000</v>
      </c>
      <c r="J210" s="13">
        <v>375982000000</v>
      </c>
      <c r="K210" s="13">
        <v>374386000000</v>
      </c>
      <c r="L210" s="13">
        <v>339998000000</v>
      </c>
    </row>
    <row r="211" spans="1:12" x14ac:dyDescent="0.3">
      <c r="A211" t="s">
        <v>312</v>
      </c>
      <c r="B211">
        <v>846797693.60000002</v>
      </c>
      <c r="C211">
        <v>1049952233</v>
      </c>
      <c r="D211">
        <v>1190994127</v>
      </c>
      <c r="E211">
        <v>1284698922</v>
      </c>
      <c r="F211">
        <v>1335538893</v>
      </c>
      <c r="G211">
        <v>1307061544</v>
      </c>
      <c r="H211">
        <v>1378551118</v>
      </c>
      <c r="I211">
        <v>1483758907</v>
      </c>
      <c r="J211">
        <v>1574599183</v>
      </c>
      <c r="K211">
        <v>1570093229</v>
      </c>
      <c r="L211">
        <v>1545888426</v>
      </c>
    </row>
    <row r="212" spans="1:12" x14ac:dyDescent="0.3">
      <c r="A212" t="s">
        <v>313</v>
      </c>
      <c r="B212">
        <v>2578026297</v>
      </c>
      <c r="C212">
        <v>2942546781</v>
      </c>
      <c r="D212">
        <v>3801862611</v>
      </c>
      <c r="E212">
        <v>4920343195</v>
      </c>
      <c r="F212">
        <v>5015157816</v>
      </c>
      <c r="G212">
        <v>4218723875</v>
      </c>
      <c r="H212">
        <v>3674794530</v>
      </c>
      <c r="I212">
        <v>3719369107</v>
      </c>
      <c r="J212">
        <v>4085114794</v>
      </c>
      <c r="K212">
        <v>4076578543</v>
      </c>
      <c r="L212">
        <v>4063289450</v>
      </c>
    </row>
    <row r="213" spans="1:12" x14ac:dyDescent="0.3">
      <c r="A213" t="s">
        <v>314</v>
      </c>
      <c r="B213">
        <v>18447920000</v>
      </c>
      <c r="C213">
        <v>20283780000</v>
      </c>
      <c r="D213">
        <v>21386150000</v>
      </c>
      <c r="E213">
        <v>21990960000</v>
      </c>
      <c r="F213">
        <v>22593470000</v>
      </c>
      <c r="G213">
        <v>23438240000</v>
      </c>
      <c r="H213">
        <v>24191430000</v>
      </c>
      <c r="I213">
        <v>24979190000</v>
      </c>
      <c r="J213">
        <v>26020850000</v>
      </c>
      <c r="K213">
        <v>26896660000</v>
      </c>
      <c r="L213">
        <v>24638720000</v>
      </c>
    </row>
    <row r="214" spans="1:12" x14ac:dyDescent="0.3">
      <c r="A214" t="s">
        <v>315</v>
      </c>
      <c r="B214">
        <v>1881214371</v>
      </c>
      <c r="C214">
        <v>1813752784</v>
      </c>
      <c r="D214">
        <v>1604779648</v>
      </c>
      <c r="E214">
        <v>1678841812</v>
      </c>
      <c r="F214">
        <v>1673973695</v>
      </c>
      <c r="G214">
        <v>1419394771</v>
      </c>
      <c r="H214">
        <v>1468377272</v>
      </c>
      <c r="I214">
        <v>1528630707</v>
      </c>
      <c r="J214">
        <v>1655300873</v>
      </c>
      <c r="K214">
        <v>1616369646</v>
      </c>
    </row>
    <row r="215" spans="1:12" x14ac:dyDescent="0.3">
      <c r="A215" t="s">
        <v>316</v>
      </c>
      <c r="E215">
        <v>4574495667</v>
      </c>
      <c r="F215">
        <v>5021956321</v>
      </c>
      <c r="G215">
        <v>5331761394</v>
      </c>
      <c r="H215">
        <v>5529873480</v>
      </c>
      <c r="I215">
        <v>5609000000</v>
      </c>
      <c r="J215">
        <v>5850677296</v>
      </c>
      <c r="K215">
        <v>6476674592</v>
      </c>
      <c r="L215">
        <v>6965285325</v>
      </c>
    </row>
    <row r="216" spans="1:12" x14ac:dyDescent="0.3">
      <c r="A216" t="s">
        <v>317</v>
      </c>
      <c r="B216">
        <v>41819468692</v>
      </c>
      <c r="C216">
        <v>49258136129</v>
      </c>
      <c r="D216">
        <v>43309252921</v>
      </c>
      <c r="E216">
        <v>48394239475</v>
      </c>
      <c r="F216">
        <v>47062206678</v>
      </c>
      <c r="G216">
        <v>39655958843</v>
      </c>
      <c r="H216">
        <v>40692643373</v>
      </c>
      <c r="I216">
        <v>44179055280</v>
      </c>
      <c r="J216">
        <v>50640650221</v>
      </c>
      <c r="K216">
        <v>51514222382</v>
      </c>
      <c r="L216">
        <v>53335016425</v>
      </c>
    </row>
    <row r="217" spans="1:12" x14ac:dyDescent="0.3">
      <c r="A217" t="s">
        <v>318</v>
      </c>
      <c r="B217" s="13">
        <v>1437690000000</v>
      </c>
      <c r="C217" s="13">
        <v>1612940000000</v>
      </c>
      <c r="D217" s="13">
        <v>1676820000000</v>
      </c>
      <c r="E217" s="13">
        <v>1783700000000</v>
      </c>
      <c r="F217" s="13">
        <v>1848430000000</v>
      </c>
      <c r="G217" s="13">
        <v>1679280000000</v>
      </c>
      <c r="H217" s="13">
        <v>1562470000000</v>
      </c>
      <c r="I217" s="13">
        <v>1667570000000</v>
      </c>
      <c r="J217" s="13">
        <v>1753000000000</v>
      </c>
      <c r="K217" s="13">
        <v>1802900000000</v>
      </c>
      <c r="L217" s="13">
        <v>1704320000000</v>
      </c>
    </row>
    <row r="218" spans="1:12" x14ac:dyDescent="0.3">
      <c r="A218" t="s">
        <v>319</v>
      </c>
      <c r="B218">
        <v>14602072411</v>
      </c>
      <c r="C218">
        <v>14907308933</v>
      </c>
      <c r="D218">
        <v>11931472169</v>
      </c>
      <c r="E218">
        <v>18426469017</v>
      </c>
      <c r="F218">
        <v>13962212847</v>
      </c>
      <c r="G218">
        <v>11997800760</v>
      </c>
    </row>
    <row r="219" spans="1:12" x14ac:dyDescent="0.3">
      <c r="A219" t="s">
        <v>320</v>
      </c>
      <c r="B219" s="13">
        <v>1438660000000</v>
      </c>
      <c r="C219" s="13">
        <v>1614000000000</v>
      </c>
      <c r="D219" s="13">
        <v>1677880000000</v>
      </c>
      <c r="E219" s="13">
        <v>1785030000000</v>
      </c>
      <c r="F219" s="13">
        <v>1849770000000</v>
      </c>
      <c r="G219" s="13">
        <v>1680660000000</v>
      </c>
      <c r="H219" s="13">
        <v>1563900000000</v>
      </c>
      <c r="I219" s="13">
        <v>1669100000000</v>
      </c>
      <c r="J219" s="13">
        <v>1754540000000</v>
      </c>
      <c r="K219" s="13">
        <v>1804480000000</v>
      </c>
      <c r="L219" s="13">
        <v>1705380000000</v>
      </c>
    </row>
    <row r="220" spans="1:12" x14ac:dyDescent="0.3">
      <c r="A220" t="s">
        <v>321</v>
      </c>
      <c r="B220" s="13">
        <v>393562000000</v>
      </c>
      <c r="C220" s="13">
        <v>474347000000</v>
      </c>
      <c r="D220" s="13">
        <v>494441000000</v>
      </c>
      <c r="E220" s="13">
        <v>514131000000</v>
      </c>
      <c r="F220" s="13">
        <v>529931000000</v>
      </c>
      <c r="G220" s="13">
        <v>452216000000</v>
      </c>
      <c r="H220" s="13">
        <v>444942000000</v>
      </c>
      <c r="I220" s="13">
        <v>479984000000</v>
      </c>
      <c r="J220" s="13">
        <v>527533000000</v>
      </c>
      <c r="K220" s="13">
        <v>519587000000</v>
      </c>
      <c r="L220" s="13">
        <v>451424000000</v>
      </c>
    </row>
    <row r="221" spans="1:12" x14ac:dyDescent="0.3">
      <c r="A221" t="s">
        <v>322</v>
      </c>
      <c r="B221">
        <v>196652514.30000001</v>
      </c>
      <c r="C221">
        <v>231489270.09999999</v>
      </c>
      <c r="D221">
        <v>250680845.69999999</v>
      </c>
      <c r="E221">
        <v>300554483.60000002</v>
      </c>
      <c r="F221">
        <v>346528329.19999999</v>
      </c>
      <c r="G221">
        <v>316066072.30000001</v>
      </c>
      <c r="H221">
        <v>345495615</v>
      </c>
      <c r="I221">
        <v>375614126.19999999</v>
      </c>
      <c r="J221">
        <v>412253809.69999999</v>
      </c>
      <c r="K221">
        <v>427425039.69999999</v>
      </c>
      <c r="L221">
        <v>472914469.89999998</v>
      </c>
    </row>
    <row r="222" spans="1:12" x14ac:dyDescent="0.3">
      <c r="A222" t="s">
        <v>323</v>
      </c>
      <c r="B222">
        <v>4368398048</v>
      </c>
      <c r="C222">
        <v>4422276622</v>
      </c>
      <c r="D222">
        <v>4980000000</v>
      </c>
      <c r="E222">
        <v>5145757576</v>
      </c>
      <c r="F222">
        <v>5240606061</v>
      </c>
      <c r="G222">
        <v>5126291451</v>
      </c>
      <c r="H222">
        <v>3317438911</v>
      </c>
      <c r="I222">
        <v>3591623596</v>
      </c>
      <c r="J222">
        <v>3996247906</v>
      </c>
      <c r="K222">
        <v>3984483762</v>
      </c>
      <c r="L222">
        <v>2884248048</v>
      </c>
    </row>
    <row r="223" spans="1:12" x14ac:dyDescent="0.3">
      <c r="A223" t="s">
        <v>324</v>
      </c>
      <c r="B223">
        <v>90801178162</v>
      </c>
      <c r="C223">
        <v>99492917849</v>
      </c>
      <c r="D223">
        <v>94253181330</v>
      </c>
      <c r="E223">
        <v>98569320343</v>
      </c>
      <c r="F223" s="13">
        <v>101089000000</v>
      </c>
      <c r="G223">
        <v>88636928905</v>
      </c>
      <c r="H223">
        <v>89674927723</v>
      </c>
      <c r="I223">
        <v>95393515078</v>
      </c>
      <c r="J223" s="13">
        <v>105613000000</v>
      </c>
      <c r="K223" s="13">
        <v>105284000000</v>
      </c>
      <c r="L223" s="13">
        <v>105173000000</v>
      </c>
    </row>
    <row r="224" spans="1:12" x14ac:dyDescent="0.3">
      <c r="A224" t="s">
        <v>325</v>
      </c>
      <c r="B224">
        <v>48208240226</v>
      </c>
      <c r="C224">
        <v>51583869785</v>
      </c>
      <c r="D224">
        <v>46577793184</v>
      </c>
      <c r="E224">
        <v>48415657265</v>
      </c>
      <c r="F224">
        <v>49997186439</v>
      </c>
      <c r="G224">
        <v>43107506024</v>
      </c>
      <c r="H224">
        <v>44766722791</v>
      </c>
      <c r="I224">
        <v>48589100043</v>
      </c>
      <c r="J224">
        <v>54163591695</v>
      </c>
      <c r="K224">
        <v>54178877606</v>
      </c>
      <c r="L224">
        <v>53589609581</v>
      </c>
    </row>
    <row r="225" spans="1:12" x14ac:dyDescent="0.3">
      <c r="A225" t="s">
        <v>326</v>
      </c>
      <c r="B225" s="13">
        <v>495813000000</v>
      </c>
      <c r="C225" s="13">
        <v>574094000000</v>
      </c>
      <c r="D225" s="13">
        <v>552484000000</v>
      </c>
      <c r="E225" s="13">
        <v>586842000000</v>
      </c>
      <c r="F225" s="13">
        <v>581964000000</v>
      </c>
      <c r="G225" s="13">
        <v>505104000000</v>
      </c>
      <c r="H225" s="13">
        <v>515655000000</v>
      </c>
      <c r="I225" s="13">
        <v>541019000000</v>
      </c>
      <c r="J225" s="13">
        <v>555455000000</v>
      </c>
      <c r="K225" s="13">
        <v>533880000000</v>
      </c>
      <c r="L225" s="13">
        <v>541220000000</v>
      </c>
    </row>
    <row r="226" spans="1:12" x14ac:dyDescent="0.3">
      <c r="A226" t="s">
        <v>327</v>
      </c>
      <c r="B226">
        <v>4438778424</v>
      </c>
      <c r="C226">
        <v>4820499924</v>
      </c>
      <c r="D226">
        <v>4886533033</v>
      </c>
      <c r="E226">
        <v>4597532030</v>
      </c>
      <c r="F226">
        <v>4422968340</v>
      </c>
      <c r="G226">
        <v>4063245671</v>
      </c>
      <c r="H226">
        <v>3816022047</v>
      </c>
      <c r="I226">
        <v>4402969226</v>
      </c>
      <c r="J226">
        <v>4665420239</v>
      </c>
      <c r="K226">
        <v>4495679481</v>
      </c>
      <c r="L226">
        <v>3972728948</v>
      </c>
    </row>
    <row r="227" spans="1:12" x14ac:dyDescent="0.3">
      <c r="A227" t="s">
        <v>328</v>
      </c>
      <c r="C227">
        <v>936089385.5</v>
      </c>
      <c r="D227">
        <v>985865921.79999995</v>
      </c>
      <c r="E227">
        <v>1022905028</v>
      </c>
      <c r="F227">
        <v>1245251397</v>
      </c>
      <c r="G227">
        <v>1253072626</v>
      </c>
      <c r="H227">
        <v>1263687151</v>
      </c>
      <c r="I227">
        <v>1191620112</v>
      </c>
      <c r="J227">
        <v>1185474860</v>
      </c>
    </row>
    <row r="228" spans="1:12" x14ac:dyDescent="0.3">
      <c r="A228" t="s">
        <v>329</v>
      </c>
      <c r="B228">
        <v>969936525.29999995</v>
      </c>
      <c r="C228">
        <v>1065826670</v>
      </c>
      <c r="D228">
        <v>1060226126</v>
      </c>
      <c r="E228">
        <v>1328157609</v>
      </c>
      <c r="F228">
        <v>1343007845</v>
      </c>
      <c r="G228">
        <v>1377495054</v>
      </c>
      <c r="H228">
        <v>1426651769</v>
      </c>
      <c r="I228">
        <v>1528242026</v>
      </c>
      <c r="J228">
        <v>1547690759</v>
      </c>
      <c r="K228">
        <v>1582841059</v>
      </c>
      <c r="L228">
        <v>1059886364</v>
      </c>
    </row>
    <row r="229" spans="1:12" x14ac:dyDescent="0.3">
      <c r="A229" t="s">
        <v>330</v>
      </c>
      <c r="B229" s="13">
        <v>252518000000</v>
      </c>
      <c r="C229">
        <v>64315437939</v>
      </c>
      <c r="D229">
        <v>42807315976</v>
      </c>
      <c r="E229">
        <v>20345458471</v>
      </c>
      <c r="F229">
        <v>21239000398</v>
      </c>
      <c r="G229">
        <v>16492072144</v>
      </c>
      <c r="H229">
        <v>12356980639</v>
      </c>
      <c r="I229">
        <v>16112991412</v>
      </c>
      <c r="J229">
        <v>21490335086</v>
      </c>
      <c r="K229">
        <v>22777882165</v>
      </c>
    </row>
    <row r="230" spans="1:12" x14ac:dyDescent="0.3">
      <c r="A230" t="s">
        <v>331</v>
      </c>
      <c r="B230">
        <v>686787810</v>
      </c>
      <c r="C230">
        <v>728789570</v>
      </c>
      <c r="D230">
        <v>727161000</v>
      </c>
      <c r="E230">
        <v>754238000</v>
      </c>
      <c r="F230">
        <v>841070000</v>
      </c>
      <c r="G230">
        <v>942070000</v>
      </c>
      <c r="H230">
        <v>1032452000</v>
      </c>
      <c r="I230">
        <v>1022365000</v>
      </c>
      <c r="J230">
        <v>1113178000</v>
      </c>
      <c r="K230">
        <v>1197415000</v>
      </c>
      <c r="L230">
        <v>924583000</v>
      </c>
    </row>
    <row r="231" spans="1:12" x14ac:dyDescent="0.3">
      <c r="A231" t="s">
        <v>332</v>
      </c>
      <c r="B231">
        <v>10668102735</v>
      </c>
      <c r="C231">
        <v>12172309523</v>
      </c>
      <c r="D231">
        <v>12367363678</v>
      </c>
      <c r="E231">
        <v>12953535496</v>
      </c>
      <c r="F231">
        <v>13940768066</v>
      </c>
      <c r="G231">
        <v>10950392220</v>
      </c>
      <c r="H231">
        <v>10097778354</v>
      </c>
      <c r="I231">
        <v>10000395242</v>
      </c>
      <c r="J231">
        <v>11239167048</v>
      </c>
      <c r="K231">
        <v>11314951343</v>
      </c>
      <c r="L231">
        <v>10829076802</v>
      </c>
    </row>
    <row r="232" spans="1:12" x14ac:dyDescent="0.3">
      <c r="A232" t="s">
        <v>333</v>
      </c>
      <c r="B232" s="13">
        <v>7847740000000</v>
      </c>
      <c r="C232" s="13">
        <v>9595850000000</v>
      </c>
      <c r="D232" s="13">
        <v>10705300000000</v>
      </c>
      <c r="E232" s="13">
        <v>11813200000000</v>
      </c>
      <c r="F232" s="13">
        <v>12734900000000</v>
      </c>
      <c r="G232" s="13">
        <v>13264200000000</v>
      </c>
      <c r="H232" s="13">
        <v>13542900000000</v>
      </c>
      <c r="I232" s="13">
        <v>14800500000000</v>
      </c>
      <c r="J232" s="13">
        <v>16553900000000</v>
      </c>
      <c r="K232" s="13">
        <v>17113600000000</v>
      </c>
      <c r="L232" s="13">
        <v>17426700000000</v>
      </c>
    </row>
    <row r="233" spans="1:12" x14ac:dyDescent="0.3">
      <c r="A233" t="s">
        <v>334</v>
      </c>
      <c r="B233" s="13">
        <v>3659630000000</v>
      </c>
      <c r="C233" s="13">
        <v>4444800000000</v>
      </c>
      <c r="D233" s="13">
        <v>4641050000000</v>
      </c>
      <c r="E233" s="13">
        <v>4920930000000</v>
      </c>
      <c r="F233" s="13">
        <v>4646590000000</v>
      </c>
      <c r="G233" s="13">
        <v>3627110000000</v>
      </c>
      <c r="H233" s="13">
        <v>3490780000000</v>
      </c>
      <c r="I233" s="13">
        <v>3912600000000</v>
      </c>
      <c r="J233" s="13">
        <v>4073650000000</v>
      </c>
      <c r="K233" s="13">
        <v>4153450000000</v>
      </c>
      <c r="L233" s="13">
        <v>3876730000000</v>
      </c>
    </row>
    <row r="234" spans="1:12" x14ac:dyDescent="0.3">
      <c r="A234" t="s">
        <v>335</v>
      </c>
      <c r="B234">
        <v>3429461495</v>
      </c>
      <c r="C234">
        <v>3872459250</v>
      </c>
      <c r="D234">
        <v>3873308389</v>
      </c>
      <c r="E234">
        <v>4321655656</v>
      </c>
      <c r="F234">
        <v>4574986537</v>
      </c>
      <c r="G234">
        <v>4180866177</v>
      </c>
      <c r="H234">
        <v>6031632168</v>
      </c>
      <c r="I234">
        <v>6395472574</v>
      </c>
      <c r="J234">
        <v>7112200725</v>
      </c>
      <c r="K234">
        <v>7220395248</v>
      </c>
      <c r="L234">
        <v>7574636979</v>
      </c>
    </row>
    <row r="235" spans="1:12" x14ac:dyDescent="0.3">
      <c r="A235" t="s">
        <v>336</v>
      </c>
      <c r="B235" s="13">
        <v>341105000000</v>
      </c>
      <c r="C235" s="13">
        <v>370819000000</v>
      </c>
      <c r="D235" s="13">
        <v>397558000000</v>
      </c>
      <c r="E235" s="13">
        <v>420333000000</v>
      </c>
      <c r="F235" s="13">
        <v>407339000000</v>
      </c>
      <c r="G235" s="13">
        <v>401296000000</v>
      </c>
      <c r="H235" s="13">
        <v>413366000000</v>
      </c>
      <c r="I235" s="13">
        <v>456357000000</v>
      </c>
      <c r="J235" s="13">
        <v>506611000000</v>
      </c>
      <c r="K235" s="13">
        <v>544264000000</v>
      </c>
      <c r="L235" s="13">
        <v>501644000000</v>
      </c>
    </row>
    <row r="236" spans="1:12" x14ac:dyDescent="0.3">
      <c r="A236" t="s">
        <v>337</v>
      </c>
      <c r="B236">
        <v>5642178580</v>
      </c>
      <c r="C236">
        <v>6522732203</v>
      </c>
      <c r="D236">
        <v>7633049792</v>
      </c>
      <c r="E236">
        <v>8448469838</v>
      </c>
      <c r="F236">
        <v>9112544556</v>
      </c>
      <c r="G236">
        <v>8271454301</v>
      </c>
      <c r="H236">
        <v>6992393787</v>
      </c>
      <c r="I236">
        <v>7536439875</v>
      </c>
      <c r="J236">
        <v>7765014424</v>
      </c>
      <c r="K236">
        <v>8300784857</v>
      </c>
      <c r="L236">
        <v>8194150302</v>
      </c>
    </row>
    <row r="237" spans="1:12" x14ac:dyDescent="0.3">
      <c r="A237" t="s">
        <v>338</v>
      </c>
      <c r="B237">
        <v>22583157895</v>
      </c>
      <c r="C237">
        <v>29233333333</v>
      </c>
      <c r="D237">
        <v>35164210526</v>
      </c>
      <c r="E237">
        <v>39197543860</v>
      </c>
      <c r="F237">
        <v>43524210526</v>
      </c>
      <c r="G237">
        <v>35799714286</v>
      </c>
      <c r="H237">
        <v>36169428571</v>
      </c>
      <c r="I237">
        <v>37926285714</v>
      </c>
      <c r="J237">
        <v>40765428571</v>
      </c>
      <c r="K237">
        <v>45231428571</v>
      </c>
    </row>
    <row r="238" spans="1:12" x14ac:dyDescent="0.3">
      <c r="A238" t="s">
        <v>339</v>
      </c>
      <c r="B238" s="13">
        <v>5159150000000</v>
      </c>
      <c r="C238" s="13">
        <v>5885160000000</v>
      </c>
      <c r="D238" s="13">
        <v>5942530000000</v>
      </c>
      <c r="E238" s="13">
        <v>6090590000000</v>
      </c>
      <c r="F238" s="13">
        <v>6209690000000</v>
      </c>
      <c r="G238" s="13">
        <v>5142580000000</v>
      </c>
      <c r="H238" s="13">
        <v>5014500000000</v>
      </c>
      <c r="I238" s="13">
        <v>5590910000000</v>
      </c>
      <c r="J238" s="13">
        <v>5462070000000</v>
      </c>
      <c r="K238" s="13">
        <v>5376510000000</v>
      </c>
      <c r="L238" s="13">
        <v>4478210000000</v>
      </c>
    </row>
    <row r="239" spans="1:12" x14ac:dyDescent="0.3">
      <c r="A239" t="s">
        <v>340</v>
      </c>
      <c r="B239">
        <v>881827800</v>
      </c>
      <c r="C239">
        <v>1042411500</v>
      </c>
      <c r="D239">
        <v>1160389500</v>
      </c>
      <c r="E239">
        <v>1395519600</v>
      </c>
      <c r="F239">
        <v>1447307100</v>
      </c>
      <c r="G239">
        <v>1594410900</v>
      </c>
      <c r="H239">
        <v>1650618500</v>
      </c>
      <c r="I239">
        <v>1615609700</v>
      </c>
      <c r="J239">
        <v>1583876200</v>
      </c>
      <c r="K239">
        <v>2047931700</v>
      </c>
      <c r="L239">
        <v>1902156800</v>
      </c>
    </row>
    <row r="240" spans="1:12" x14ac:dyDescent="0.3">
      <c r="A240" t="s">
        <v>341</v>
      </c>
      <c r="B240" s="13">
        <v>1569840000000</v>
      </c>
      <c r="C240" s="13">
        <v>1554440000000</v>
      </c>
      <c r="D240" s="13">
        <v>1687730000000</v>
      </c>
      <c r="E240" s="13">
        <v>1558300000000</v>
      </c>
      <c r="F240" s="13">
        <v>1533670000000</v>
      </c>
      <c r="G240" s="13">
        <v>1371890000000</v>
      </c>
      <c r="H240" s="13">
        <v>1388490000000</v>
      </c>
      <c r="I240" s="13">
        <v>1368560000000</v>
      </c>
      <c r="J240" s="13">
        <v>1303940000000</v>
      </c>
      <c r="K240" s="13">
        <v>1326400000000</v>
      </c>
      <c r="L240" s="13">
        <v>1180180000000</v>
      </c>
    </row>
    <row r="241" spans="1:12" x14ac:dyDescent="0.3">
      <c r="A241" t="s">
        <v>342</v>
      </c>
      <c r="B241">
        <v>366840012.39999998</v>
      </c>
      <c r="C241">
        <v>414523388.5</v>
      </c>
      <c r="D241">
        <v>470714083.39999998</v>
      </c>
      <c r="E241">
        <v>450643615.19999999</v>
      </c>
      <c r="F241">
        <v>439878828</v>
      </c>
      <c r="G241">
        <v>437006227.19999999</v>
      </c>
      <c r="H241">
        <v>420540178.60000002</v>
      </c>
      <c r="I241">
        <v>460379145</v>
      </c>
      <c r="J241">
        <v>489235527.39999998</v>
      </c>
      <c r="K241">
        <v>512350059.39999998</v>
      </c>
      <c r="L241">
        <v>488829964.10000002</v>
      </c>
    </row>
    <row r="242" spans="1:12" x14ac:dyDescent="0.3">
      <c r="A242" t="s">
        <v>343</v>
      </c>
      <c r="B242" s="13">
        <v>2060780000000</v>
      </c>
      <c r="C242" s="13">
        <v>2274550000000</v>
      </c>
      <c r="D242" s="13">
        <v>2300090000000</v>
      </c>
      <c r="E242" s="13">
        <v>2359610000000</v>
      </c>
      <c r="F242" s="13">
        <v>2584560000000</v>
      </c>
      <c r="G242" s="13">
        <v>2699430000000</v>
      </c>
      <c r="H242" s="13">
        <v>2926450000000</v>
      </c>
      <c r="I242" s="13">
        <v>3348110000000</v>
      </c>
      <c r="J242" s="13">
        <v>3436590000000</v>
      </c>
      <c r="K242" s="13">
        <v>3597250000000</v>
      </c>
      <c r="L242" s="13">
        <v>3386420000000</v>
      </c>
    </row>
    <row r="243" spans="1:12" x14ac:dyDescent="0.3">
      <c r="A243" t="s">
        <v>344</v>
      </c>
      <c r="B243" s="13">
        <v>1438660000000</v>
      </c>
      <c r="C243" s="13">
        <v>1614000000000</v>
      </c>
      <c r="D243" s="13">
        <v>1677880000000</v>
      </c>
      <c r="E243" s="13">
        <v>1785030000000</v>
      </c>
      <c r="F243" s="13">
        <v>1849770000000</v>
      </c>
      <c r="G243" s="13">
        <v>1680660000000</v>
      </c>
      <c r="H243" s="13">
        <v>1563900000000</v>
      </c>
      <c r="I243" s="13">
        <v>1669100000000</v>
      </c>
      <c r="J243" s="13">
        <v>1754540000000</v>
      </c>
      <c r="K243" s="13">
        <v>1804480000000</v>
      </c>
      <c r="L243" s="13">
        <v>1705380000000</v>
      </c>
    </row>
    <row r="244" spans="1:12" x14ac:dyDescent="0.3">
      <c r="A244" t="s">
        <v>345</v>
      </c>
      <c r="B244">
        <v>22157948396</v>
      </c>
      <c r="C244">
        <v>25433011405</v>
      </c>
      <c r="D244">
        <v>25763220107</v>
      </c>
      <c r="E244">
        <v>27268478565</v>
      </c>
      <c r="F244">
        <v>27615843098</v>
      </c>
      <c r="G244">
        <v>24959858249</v>
      </c>
      <c r="H244">
        <v>22386264807</v>
      </c>
      <c r="I244">
        <v>22385426654</v>
      </c>
      <c r="J244">
        <v>23679919655</v>
      </c>
      <c r="K244">
        <v>23208326548</v>
      </c>
      <c r="L244">
        <v>21588037505</v>
      </c>
    </row>
    <row r="245" spans="1:12" x14ac:dyDescent="0.3">
      <c r="A245" t="s">
        <v>346</v>
      </c>
      <c r="B245">
        <v>46206331261</v>
      </c>
      <c r="C245">
        <v>48122838145</v>
      </c>
      <c r="D245">
        <v>47311196335</v>
      </c>
      <c r="E245">
        <v>48683848564</v>
      </c>
      <c r="F245">
        <v>50271342086</v>
      </c>
      <c r="G245">
        <v>45780069047</v>
      </c>
      <c r="H245">
        <v>44360775649</v>
      </c>
      <c r="I245">
        <v>42163974956</v>
      </c>
      <c r="J245">
        <v>42570270107</v>
      </c>
      <c r="K245">
        <v>41804581484</v>
      </c>
      <c r="L245">
        <v>41620349986</v>
      </c>
    </row>
    <row r="246" spans="1:12" x14ac:dyDescent="0.3">
      <c r="A246" t="s">
        <v>347</v>
      </c>
      <c r="B246" s="13">
        <v>776993000000</v>
      </c>
      <c r="C246" s="13">
        <v>838763000000</v>
      </c>
      <c r="D246" s="13">
        <v>880556000000</v>
      </c>
      <c r="E246" s="13">
        <v>957783000000</v>
      </c>
      <c r="F246" s="13">
        <v>938953000000</v>
      </c>
      <c r="G246" s="13">
        <v>864317000000</v>
      </c>
      <c r="H246" s="13">
        <v>869693000000</v>
      </c>
      <c r="I246" s="13">
        <v>858996000000</v>
      </c>
      <c r="J246" s="13">
        <v>778472000000</v>
      </c>
      <c r="K246" s="13">
        <v>761004000000</v>
      </c>
      <c r="L246" s="13">
        <v>719955000000</v>
      </c>
    </row>
    <row r="247" spans="1:12" x14ac:dyDescent="0.3">
      <c r="A247" t="s">
        <v>348</v>
      </c>
      <c r="B247">
        <v>31823518.620000001</v>
      </c>
      <c r="C247">
        <v>38711810.210000001</v>
      </c>
      <c r="D247">
        <v>37671774.689999998</v>
      </c>
      <c r="E247">
        <v>37509075.109999999</v>
      </c>
      <c r="F247">
        <v>37290607.539999999</v>
      </c>
      <c r="G247">
        <v>35492074.219999999</v>
      </c>
      <c r="H247">
        <v>36547799.579999998</v>
      </c>
      <c r="I247">
        <v>40619251.990000002</v>
      </c>
      <c r="J247">
        <v>42588164.969999999</v>
      </c>
      <c r="K247">
        <v>47271463.329999998</v>
      </c>
      <c r="L247">
        <v>48855550.200000003</v>
      </c>
    </row>
    <row r="248" spans="1:12" x14ac:dyDescent="0.3">
      <c r="A248" t="s">
        <v>349</v>
      </c>
      <c r="B248">
        <v>32014249841</v>
      </c>
      <c r="C248">
        <v>34657139495</v>
      </c>
      <c r="D248">
        <v>39650530214</v>
      </c>
      <c r="E248">
        <v>45680532614</v>
      </c>
      <c r="F248">
        <v>49964788814</v>
      </c>
      <c r="G248">
        <v>47378599025</v>
      </c>
      <c r="H248">
        <v>49774021003</v>
      </c>
      <c r="I248">
        <v>53320625959</v>
      </c>
      <c r="J248">
        <v>57003713611</v>
      </c>
      <c r="K248">
        <v>61136873692</v>
      </c>
      <c r="L248">
        <v>62409709111</v>
      </c>
    </row>
    <row r="249" spans="1:12" x14ac:dyDescent="0.3">
      <c r="A249" t="s">
        <v>350</v>
      </c>
      <c r="B249">
        <v>26673441667</v>
      </c>
      <c r="C249">
        <v>27871725206</v>
      </c>
      <c r="D249">
        <v>27305915761</v>
      </c>
      <c r="E249">
        <v>28915786997</v>
      </c>
      <c r="F249">
        <v>32612397758</v>
      </c>
      <c r="G249">
        <v>32387183845</v>
      </c>
      <c r="H249">
        <v>29203988815</v>
      </c>
      <c r="I249">
        <v>30744473912</v>
      </c>
      <c r="J249">
        <v>32927025573</v>
      </c>
      <c r="K249">
        <v>35353060634</v>
      </c>
      <c r="L249">
        <v>37600368181</v>
      </c>
    </row>
    <row r="250" spans="1:12" x14ac:dyDescent="0.3">
      <c r="A250" t="s">
        <v>351</v>
      </c>
      <c r="B250" s="13">
        <v>141210000000</v>
      </c>
      <c r="C250" s="13">
        <v>169333000000</v>
      </c>
      <c r="D250" s="13">
        <v>182592000000</v>
      </c>
      <c r="E250" s="13">
        <v>190499000000</v>
      </c>
      <c r="F250" s="13">
        <v>133503000000</v>
      </c>
      <c r="G250">
        <v>91030959455</v>
      </c>
      <c r="H250">
        <v>93355993629</v>
      </c>
      <c r="I250" s="13">
        <v>112091000000</v>
      </c>
      <c r="J250" s="13">
        <v>130891000000</v>
      </c>
      <c r="K250" s="13">
        <v>153883000000</v>
      </c>
      <c r="L250" s="13">
        <v>155499000000</v>
      </c>
    </row>
    <row r="251" spans="1:12" x14ac:dyDescent="0.3">
      <c r="A251" t="s">
        <v>352</v>
      </c>
      <c r="B251" s="13">
        <v>14840800000000</v>
      </c>
      <c r="C251" s="13">
        <v>17890200000000</v>
      </c>
      <c r="D251" s="13">
        <v>19157600000000</v>
      </c>
      <c r="E251" s="13">
        <v>20578400000000</v>
      </c>
      <c r="F251" s="13">
        <v>21218900000000</v>
      </c>
      <c r="G251" s="13">
        <v>19921800000000</v>
      </c>
      <c r="H251" s="13">
        <v>19820600000000</v>
      </c>
      <c r="I251" s="13">
        <v>21939500000000</v>
      </c>
      <c r="J251" s="13">
        <v>23638700000000</v>
      </c>
      <c r="K251" s="13">
        <v>24035300000000</v>
      </c>
      <c r="L251" s="13">
        <v>23150700000000</v>
      </c>
    </row>
    <row r="252" spans="1:12" x14ac:dyDescent="0.3">
      <c r="A252" t="s">
        <v>353</v>
      </c>
      <c r="B252">
        <v>40284481652</v>
      </c>
      <c r="C252">
        <v>47962439304</v>
      </c>
      <c r="D252">
        <v>51264390116</v>
      </c>
      <c r="E252">
        <v>57531233351</v>
      </c>
      <c r="F252">
        <v>57236013086</v>
      </c>
      <c r="G252">
        <v>53274304222</v>
      </c>
      <c r="H252">
        <v>57236652490</v>
      </c>
      <c r="I252">
        <v>64233966861</v>
      </c>
      <c r="J252">
        <v>64515038268</v>
      </c>
      <c r="K252">
        <v>61231149881</v>
      </c>
      <c r="L252">
        <v>53628827440</v>
      </c>
    </row>
    <row r="253" spans="1:12" x14ac:dyDescent="0.3">
      <c r="A253" t="s">
        <v>354</v>
      </c>
      <c r="B253" s="13">
        <v>14992100000000</v>
      </c>
      <c r="C253" s="13">
        <v>15542600000000</v>
      </c>
      <c r="D253" s="13">
        <v>16197000000000</v>
      </c>
      <c r="E253" s="13">
        <v>16784800000000</v>
      </c>
      <c r="F253" s="13">
        <v>17527200000000</v>
      </c>
      <c r="G253" s="13">
        <v>18238300000000</v>
      </c>
      <c r="H253" s="13">
        <v>18745100000000</v>
      </c>
      <c r="I253" s="13">
        <v>19543000000000</v>
      </c>
      <c r="J253" s="13">
        <v>20611900000000</v>
      </c>
      <c r="K253" s="13">
        <v>21433200000000</v>
      </c>
      <c r="L253" s="13">
        <v>20953000000000</v>
      </c>
    </row>
    <row r="254" spans="1:12" x14ac:dyDescent="0.3">
      <c r="A254" t="s">
        <v>355</v>
      </c>
      <c r="B254">
        <v>49765676402</v>
      </c>
      <c r="C254">
        <v>60178909297</v>
      </c>
      <c r="D254">
        <v>67517349212</v>
      </c>
      <c r="E254">
        <v>73180036692</v>
      </c>
      <c r="F254">
        <v>80845384375</v>
      </c>
      <c r="G254">
        <v>86196265192</v>
      </c>
      <c r="H254">
        <v>86138288615</v>
      </c>
      <c r="I254">
        <v>62081323299</v>
      </c>
      <c r="J254">
        <v>52633143808</v>
      </c>
      <c r="K254">
        <v>59907674027</v>
      </c>
      <c r="L254">
        <v>59929951114</v>
      </c>
    </row>
    <row r="255" spans="1:12" x14ac:dyDescent="0.3">
      <c r="A255" t="s">
        <v>356</v>
      </c>
      <c r="B255">
        <v>681225925.89999998</v>
      </c>
      <c r="C255">
        <v>676129629.60000002</v>
      </c>
      <c r="D255">
        <v>692933333.29999995</v>
      </c>
      <c r="E255">
        <v>721207407.39999998</v>
      </c>
      <c r="F255">
        <v>727714814.79999995</v>
      </c>
      <c r="G255">
        <v>755400000</v>
      </c>
      <c r="H255">
        <v>774429629.60000002</v>
      </c>
      <c r="I255">
        <v>792177777.79999995</v>
      </c>
      <c r="J255">
        <v>811300000</v>
      </c>
      <c r="K255">
        <v>825040740.70000005</v>
      </c>
      <c r="L255">
        <v>807474074.10000002</v>
      </c>
    </row>
    <row r="256" spans="1:12" x14ac:dyDescent="0.3">
      <c r="A256" t="s">
        <v>357</v>
      </c>
      <c r="B256" s="13">
        <v>393192000000</v>
      </c>
      <c r="C256" s="13">
        <v>316482000000</v>
      </c>
      <c r="D256" s="13">
        <v>381286000000</v>
      </c>
      <c r="E256" s="13">
        <v>371005000000</v>
      </c>
      <c r="F256" s="13">
        <v>482359000000</v>
      </c>
    </row>
    <row r="257" spans="1:12" x14ac:dyDescent="0.3">
      <c r="A257" t="s">
        <v>358</v>
      </c>
    </row>
    <row r="258" spans="1:12" x14ac:dyDescent="0.3">
      <c r="A258" t="s">
        <v>359</v>
      </c>
      <c r="B258">
        <v>4324000000</v>
      </c>
      <c r="C258">
        <v>4223000000</v>
      </c>
      <c r="D258">
        <v>4089000000</v>
      </c>
      <c r="E258">
        <v>3738000000</v>
      </c>
      <c r="F258">
        <v>3565000000</v>
      </c>
      <c r="G258">
        <v>3663000000</v>
      </c>
      <c r="H258">
        <v>3798000000</v>
      </c>
      <c r="I258">
        <v>3794000000</v>
      </c>
      <c r="J258">
        <v>3900000000</v>
      </c>
      <c r="K258">
        <v>4068000000</v>
      </c>
    </row>
    <row r="259" spans="1:12" x14ac:dyDescent="0.3">
      <c r="A259" t="s">
        <v>360</v>
      </c>
      <c r="B259" s="13">
        <v>115932000000</v>
      </c>
      <c r="C259" s="13">
        <v>135539000000</v>
      </c>
      <c r="D259" s="13">
        <v>155820000000</v>
      </c>
      <c r="E259" s="13">
        <v>171222000000</v>
      </c>
      <c r="F259" s="13">
        <v>186205000000</v>
      </c>
      <c r="G259" s="13">
        <v>193241000000</v>
      </c>
      <c r="H259" s="13">
        <v>205276000000</v>
      </c>
      <c r="I259" s="13">
        <v>223780000000</v>
      </c>
      <c r="J259" s="13">
        <v>245214000000</v>
      </c>
      <c r="K259" s="13">
        <v>261921000000</v>
      </c>
      <c r="L259" s="13">
        <v>271158000000</v>
      </c>
    </row>
    <row r="260" spans="1:12" x14ac:dyDescent="0.3">
      <c r="A260" t="s">
        <v>361</v>
      </c>
      <c r="B260">
        <v>670713208.10000002</v>
      </c>
      <c r="C260">
        <v>770153304.20000005</v>
      </c>
      <c r="D260">
        <v>747839697.70000005</v>
      </c>
      <c r="E260">
        <v>758304466.20000005</v>
      </c>
      <c r="F260">
        <v>772315721.29999995</v>
      </c>
      <c r="G260">
        <v>730870581.70000005</v>
      </c>
      <c r="H260">
        <v>780889605.89999998</v>
      </c>
      <c r="I260">
        <v>880043553.70000005</v>
      </c>
      <c r="J260">
        <v>914727908.10000002</v>
      </c>
      <c r="K260">
        <v>934521604.60000002</v>
      </c>
      <c r="L260">
        <v>881547928.60000002</v>
      </c>
    </row>
    <row r="261" spans="1:12" x14ac:dyDescent="0.3">
      <c r="A261" t="s">
        <v>362</v>
      </c>
      <c r="B261" s="13">
        <v>66500500000000</v>
      </c>
      <c r="C261" s="13">
        <v>73671500000000</v>
      </c>
      <c r="D261" s="13">
        <v>75311600000000</v>
      </c>
      <c r="E261" s="13">
        <v>77443200000000</v>
      </c>
      <c r="F261" s="13">
        <v>79575500000000</v>
      </c>
      <c r="G261" s="13">
        <v>75117100000000</v>
      </c>
      <c r="H261" s="13">
        <v>76313200000000</v>
      </c>
      <c r="I261" s="13">
        <v>81224600000000</v>
      </c>
      <c r="J261" s="13">
        <v>86274300000000</v>
      </c>
      <c r="K261" s="13">
        <v>87568100000000</v>
      </c>
      <c r="L261" s="13">
        <v>84747000000000</v>
      </c>
    </row>
    <row r="262" spans="1:12" x14ac:dyDescent="0.3">
      <c r="A262" t="s">
        <v>363</v>
      </c>
      <c r="B262">
        <v>663155955</v>
      </c>
      <c r="C262">
        <v>737147951.10000002</v>
      </c>
      <c r="D262">
        <v>760319276</v>
      </c>
      <c r="E262">
        <v>770059551</v>
      </c>
      <c r="F262">
        <v>756805940.20000005</v>
      </c>
      <c r="G262">
        <v>787958585.89999998</v>
      </c>
      <c r="H262">
        <v>799493884.29999995</v>
      </c>
      <c r="I262">
        <v>832025574</v>
      </c>
      <c r="J262">
        <v>821286927.5</v>
      </c>
      <c r="K262">
        <v>852007112.70000005</v>
      </c>
      <c r="L262">
        <v>807100820.60000002</v>
      </c>
    </row>
    <row r="263" spans="1:12" x14ac:dyDescent="0.3">
      <c r="A263" t="s">
        <v>364</v>
      </c>
      <c r="B263">
        <v>5344014318</v>
      </c>
      <c r="C263">
        <v>6341737194</v>
      </c>
      <c r="D263">
        <v>6163785173</v>
      </c>
      <c r="E263">
        <v>6735731173</v>
      </c>
      <c r="F263">
        <v>7074657898</v>
      </c>
      <c r="G263">
        <v>6295820482</v>
      </c>
      <c r="H263">
        <v>6682832632</v>
      </c>
      <c r="I263">
        <v>7180813376</v>
      </c>
      <c r="J263">
        <v>7878508503</v>
      </c>
      <c r="K263">
        <v>7899879086</v>
      </c>
      <c r="L263">
        <v>7716925356</v>
      </c>
    </row>
    <row r="264" spans="1:12" x14ac:dyDescent="0.3">
      <c r="A264" t="s">
        <v>365</v>
      </c>
      <c r="B264">
        <v>30906749533</v>
      </c>
      <c r="C264">
        <v>32726417212</v>
      </c>
      <c r="D264">
        <v>35401341663</v>
      </c>
      <c r="E264">
        <v>40415235702</v>
      </c>
      <c r="F264">
        <v>43228585321</v>
      </c>
      <c r="G264">
        <v>42445102387</v>
      </c>
      <c r="H264">
        <v>31317365269</v>
      </c>
      <c r="I264">
        <v>26840128755</v>
      </c>
      <c r="J264">
        <v>21606140907</v>
      </c>
    </row>
    <row r="265" spans="1:12" x14ac:dyDescent="0.3">
      <c r="A265" t="s">
        <v>366</v>
      </c>
      <c r="B265" s="13">
        <v>417365000000</v>
      </c>
      <c r="C265" s="13">
        <v>458202000000</v>
      </c>
      <c r="D265" s="13">
        <v>434401000000</v>
      </c>
      <c r="E265" s="13">
        <v>400886000000</v>
      </c>
      <c r="F265" s="13">
        <v>381199000000</v>
      </c>
      <c r="G265" s="13">
        <v>346710000000</v>
      </c>
      <c r="H265" s="13">
        <v>323586000000</v>
      </c>
      <c r="I265" s="13">
        <v>381449000000</v>
      </c>
      <c r="J265" s="13">
        <v>404842000000</v>
      </c>
      <c r="K265" s="13">
        <v>387935000000</v>
      </c>
      <c r="L265" s="13">
        <v>335442000000</v>
      </c>
    </row>
    <row r="266" spans="1:12" x14ac:dyDescent="0.3">
      <c r="A266" t="s">
        <v>367</v>
      </c>
      <c r="B266">
        <v>20265559484</v>
      </c>
      <c r="C266">
        <v>23459515276</v>
      </c>
      <c r="D266">
        <v>25503060420</v>
      </c>
      <c r="E266">
        <v>28037239463</v>
      </c>
      <c r="F266">
        <v>27141023558</v>
      </c>
      <c r="G266">
        <v>21251216799</v>
      </c>
      <c r="H266">
        <v>20958412538</v>
      </c>
      <c r="I266">
        <v>25873601261</v>
      </c>
      <c r="J266">
        <v>26311590297</v>
      </c>
      <c r="K266">
        <v>23308667781</v>
      </c>
      <c r="L266">
        <v>18110631358</v>
      </c>
    </row>
    <row r="267" spans="1:12" x14ac:dyDescent="0.3">
      <c r="A267" t="s">
        <v>368</v>
      </c>
      <c r="B267">
        <v>12041655200</v>
      </c>
      <c r="C267">
        <v>14101920300</v>
      </c>
      <c r="D267">
        <v>17114849900</v>
      </c>
      <c r="E267">
        <v>19091020000</v>
      </c>
      <c r="F267">
        <v>19495519600</v>
      </c>
      <c r="G267">
        <v>19963120600</v>
      </c>
      <c r="H267">
        <v>20548678100</v>
      </c>
      <c r="I267">
        <v>17584890937</v>
      </c>
      <c r="J267">
        <v>18115543791</v>
      </c>
      <c r="K267">
        <v>19284289739</v>
      </c>
      <c r="L267">
        <v>18051170799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CB5F-135A-4BF8-B23C-770067BDCAB5}">
  <dimension ref="A1:N267"/>
  <sheetViews>
    <sheetView topLeftCell="B70" workbookViewId="0">
      <selection activeCell="A16" sqref="A16"/>
    </sheetView>
  </sheetViews>
  <sheetFormatPr defaultRowHeight="14.4" x14ac:dyDescent="0.3"/>
  <sheetData>
    <row r="1" spans="1:14" x14ac:dyDescent="0.3">
      <c r="A1" t="s">
        <v>102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N1" t="s">
        <v>102</v>
      </c>
    </row>
    <row r="2" spans="1:14" x14ac:dyDescent="0.3">
      <c r="A2" t="s">
        <v>103</v>
      </c>
      <c r="B2">
        <v>23513.527699999999</v>
      </c>
      <c r="C2">
        <v>24985.013920000001</v>
      </c>
      <c r="D2">
        <v>24712.493259999999</v>
      </c>
      <c r="E2">
        <v>26441.61994</v>
      </c>
      <c r="F2">
        <v>26893.01151</v>
      </c>
      <c r="G2">
        <v>28396.90842</v>
      </c>
      <c r="H2">
        <v>28452.170610000001</v>
      </c>
      <c r="I2">
        <v>29350.80502</v>
      </c>
      <c r="J2">
        <v>30253.27936</v>
      </c>
      <c r="N2" s="8" t="s">
        <v>63</v>
      </c>
    </row>
    <row r="3" spans="1:14" x14ac:dyDescent="0.3">
      <c r="A3" t="s">
        <v>104</v>
      </c>
      <c r="B3">
        <v>1634.448253</v>
      </c>
      <c r="C3">
        <v>1770.73623</v>
      </c>
      <c r="D3">
        <v>1736.1665599999999</v>
      </c>
      <c r="E3">
        <v>1713.8992989999999</v>
      </c>
      <c r="F3">
        <v>1703.5962979999999</v>
      </c>
      <c r="G3">
        <v>1549.0379399999999</v>
      </c>
      <c r="H3">
        <v>1431.7787229999999</v>
      </c>
      <c r="I3">
        <v>1573.063386</v>
      </c>
      <c r="J3">
        <v>1574.978648</v>
      </c>
      <c r="K3">
        <v>1530.0591770000001</v>
      </c>
      <c r="L3">
        <v>1359.6182240000001</v>
      </c>
      <c r="N3" s="8" t="s">
        <v>1</v>
      </c>
    </row>
    <row r="4" spans="1:14" x14ac:dyDescent="0.3">
      <c r="A4" t="s">
        <v>105</v>
      </c>
      <c r="B4">
        <v>543.30652620000001</v>
      </c>
      <c r="C4">
        <v>591.19003020000002</v>
      </c>
      <c r="D4">
        <v>638.84585159999995</v>
      </c>
      <c r="E4">
        <v>624.31545449999999</v>
      </c>
      <c r="F4">
        <v>614.22334239999998</v>
      </c>
      <c r="G4">
        <v>556.00722089999999</v>
      </c>
      <c r="H4">
        <v>512.01277809999999</v>
      </c>
      <c r="I4">
        <v>516.6798622</v>
      </c>
      <c r="J4">
        <v>485.66841870000002</v>
      </c>
      <c r="K4">
        <v>494.17934989999998</v>
      </c>
      <c r="L4">
        <v>516.74787079999999</v>
      </c>
      <c r="N4" s="8" t="s">
        <v>64</v>
      </c>
    </row>
    <row r="5" spans="1:14" x14ac:dyDescent="0.3">
      <c r="A5" t="s">
        <v>106</v>
      </c>
      <c r="B5">
        <v>1687.5519790000001</v>
      </c>
      <c r="C5">
        <v>1862.3082669999999</v>
      </c>
      <c r="D5">
        <v>1965.118485</v>
      </c>
      <c r="E5">
        <v>2157.4811490000002</v>
      </c>
      <c r="F5">
        <v>2212.8531349999998</v>
      </c>
      <c r="G5">
        <v>1894.310195</v>
      </c>
      <c r="H5">
        <v>1673.835527</v>
      </c>
      <c r="I5">
        <v>1613.473553</v>
      </c>
      <c r="J5">
        <v>1704.1396030000001</v>
      </c>
      <c r="K5">
        <v>1777.918672</v>
      </c>
      <c r="L5">
        <v>1710.073363</v>
      </c>
      <c r="N5" s="8" t="s">
        <v>2</v>
      </c>
    </row>
    <row r="6" spans="1:14" x14ac:dyDescent="0.3">
      <c r="A6" t="s">
        <v>107</v>
      </c>
      <c r="B6">
        <v>3587.8836449999999</v>
      </c>
      <c r="C6">
        <v>4615.4682190000003</v>
      </c>
      <c r="D6">
        <v>5100.0970269999998</v>
      </c>
      <c r="E6">
        <v>5254.8811260000002</v>
      </c>
      <c r="F6">
        <v>5408.4116999999997</v>
      </c>
      <c r="G6">
        <v>4166.9798330000003</v>
      </c>
      <c r="H6">
        <v>3506.073128</v>
      </c>
      <c r="I6">
        <v>4095.8100570000001</v>
      </c>
      <c r="J6">
        <v>3289.6439949999999</v>
      </c>
      <c r="K6">
        <v>2809.626088</v>
      </c>
      <c r="L6">
        <v>1776.166868</v>
      </c>
      <c r="N6" s="8" t="s">
        <v>65</v>
      </c>
    </row>
    <row r="7" spans="1:14" x14ac:dyDescent="0.3">
      <c r="A7" t="s">
        <v>108</v>
      </c>
      <c r="B7">
        <v>4094.3483860000001</v>
      </c>
      <c r="C7">
        <v>4437.1426119999996</v>
      </c>
      <c r="D7">
        <v>4247.6300469999996</v>
      </c>
      <c r="E7">
        <v>4413.0620049999998</v>
      </c>
      <c r="F7">
        <v>4578.6332080000002</v>
      </c>
      <c r="G7">
        <v>3952.8025379999999</v>
      </c>
      <c r="H7">
        <v>4124.0553900000004</v>
      </c>
      <c r="I7">
        <v>4531.0193740000004</v>
      </c>
      <c r="J7">
        <v>5287.6636939999999</v>
      </c>
      <c r="K7">
        <v>5395.6595319999997</v>
      </c>
      <c r="L7">
        <v>5246.0963460000003</v>
      </c>
      <c r="N7" s="8" t="s">
        <v>3</v>
      </c>
    </row>
    <row r="8" spans="1:14" x14ac:dyDescent="0.3">
      <c r="A8" t="s">
        <v>109</v>
      </c>
      <c r="B8">
        <v>40850.248140000003</v>
      </c>
      <c r="C8">
        <v>43334.811410000002</v>
      </c>
      <c r="D8">
        <v>38686.461259999996</v>
      </c>
      <c r="E8">
        <v>39540.72481</v>
      </c>
      <c r="F8">
        <v>41303.929369999998</v>
      </c>
      <c r="G8">
        <v>35770.776700000002</v>
      </c>
      <c r="H8">
        <v>37475.635060000001</v>
      </c>
      <c r="I8">
        <v>38964.904479999997</v>
      </c>
      <c r="J8">
        <v>41791.969839999998</v>
      </c>
      <c r="K8">
        <v>40897.330869999998</v>
      </c>
      <c r="N8" s="8" t="s">
        <v>4</v>
      </c>
    </row>
    <row r="9" spans="1:14" x14ac:dyDescent="0.3">
      <c r="A9" t="s">
        <v>110</v>
      </c>
      <c r="B9">
        <v>6512.5415579999999</v>
      </c>
      <c r="C9">
        <v>6888.9794160000001</v>
      </c>
      <c r="D9">
        <v>7378.23189</v>
      </c>
      <c r="E9">
        <v>7373.2016780000004</v>
      </c>
      <c r="F9">
        <v>7300.0302190000002</v>
      </c>
      <c r="G9">
        <v>6220.7166360000001</v>
      </c>
      <c r="H9">
        <v>5969.6165929999997</v>
      </c>
      <c r="I9">
        <v>5987.3419569999996</v>
      </c>
      <c r="J9">
        <v>6504.1484929999997</v>
      </c>
      <c r="K9">
        <v>6489.043216</v>
      </c>
      <c r="L9">
        <v>5612.6865699999998</v>
      </c>
      <c r="N9" s="8" t="s">
        <v>66</v>
      </c>
    </row>
    <row r="10" spans="1:14" x14ac:dyDescent="0.3">
      <c r="A10" t="s">
        <v>111</v>
      </c>
      <c r="B10">
        <v>33893.263870000002</v>
      </c>
      <c r="C10">
        <v>39194.67224</v>
      </c>
      <c r="D10">
        <v>40976.490749999997</v>
      </c>
      <c r="E10">
        <v>42412.639499999997</v>
      </c>
      <c r="F10">
        <v>43751.805650000002</v>
      </c>
      <c r="G10">
        <v>38663.400500000003</v>
      </c>
      <c r="H10">
        <v>38141.867129999999</v>
      </c>
      <c r="I10">
        <v>40644.791190000004</v>
      </c>
      <c r="J10">
        <v>43839.324489999999</v>
      </c>
      <c r="K10">
        <v>42701.443050000002</v>
      </c>
      <c r="L10">
        <v>36284.555240000002</v>
      </c>
      <c r="N10" s="8" t="s">
        <v>5</v>
      </c>
    </row>
    <row r="11" spans="1:14" x14ac:dyDescent="0.3">
      <c r="A11" t="s">
        <v>112</v>
      </c>
      <c r="B11">
        <v>10385.96443</v>
      </c>
      <c r="C11">
        <v>12848.8642</v>
      </c>
      <c r="D11">
        <v>13082.66433</v>
      </c>
      <c r="E11">
        <v>13080.254730000001</v>
      </c>
      <c r="F11">
        <v>12334.79825</v>
      </c>
      <c r="G11">
        <v>13789.06042</v>
      </c>
      <c r="H11">
        <v>12790.242469999999</v>
      </c>
      <c r="I11">
        <v>14613.04182</v>
      </c>
      <c r="J11">
        <v>11795.159390000001</v>
      </c>
      <c r="K11">
        <v>10056.637940000001</v>
      </c>
      <c r="L11">
        <v>8579.0177729999996</v>
      </c>
      <c r="N11" s="8" t="s">
        <v>67</v>
      </c>
    </row>
    <row r="12" spans="1:14" x14ac:dyDescent="0.3">
      <c r="A12" t="s">
        <v>113</v>
      </c>
      <c r="B12">
        <v>3218.378299</v>
      </c>
      <c r="C12">
        <v>3525.807198</v>
      </c>
      <c r="D12">
        <v>3681.8446909999998</v>
      </c>
      <c r="E12">
        <v>3838.1738799999998</v>
      </c>
      <c r="F12">
        <v>3986.231624</v>
      </c>
      <c r="G12">
        <v>3607.289299</v>
      </c>
      <c r="H12">
        <v>3591.8280519999998</v>
      </c>
      <c r="I12">
        <v>3914.5278539999999</v>
      </c>
      <c r="J12">
        <v>4220.5403210000004</v>
      </c>
      <c r="K12">
        <v>4604.6463240000003</v>
      </c>
      <c r="L12">
        <v>4266.0180739999996</v>
      </c>
      <c r="N12" s="8" t="s">
        <v>6</v>
      </c>
    </row>
    <row r="13" spans="1:14" x14ac:dyDescent="0.3">
      <c r="A13" t="s">
        <v>114</v>
      </c>
      <c r="B13">
        <v>10216.81763</v>
      </c>
      <c r="C13">
        <v>10223.298360000001</v>
      </c>
      <c r="D13">
        <v>11496.524100000001</v>
      </c>
      <c r="E13">
        <v>11450.724200000001</v>
      </c>
      <c r="F13">
        <v>11525.15639</v>
      </c>
      <c r="G13">
        <v>12059.63516</v>
      </c>
      <c r="H13">
        <v>12038.2497</v>
      </c>
      <c r="I13">
        <v>11003.829760000001</v>
      </c>
      <c r="J13">
        <v>11521.609780000001</v>
      </c>
      <c r="K13">
        <v>11715.360140000001</v>
      </c>
      <c r="L13">
        <v>12844.90099</v>
      </c>
      <c r="N13" s="8" t="s">
        <v>68</v>
      </c>
    </row>
    <row r="14" spans="1:14" x14ac:dyDescent="0.3">
      <c r="A14" t="s">
        <v>115</v>
      </c>
      <c r="B14">
        <v>13048.960580000001</v>
      </c>
      <c r="C14">
        <v>12746.633470000001</v>
      </c>
      <c r="D14">
        <v>13272.73494</v>
      </c>
      <c r="E14">
        <v>12910.590630000001</v>
      </c>
      <c r="F14">
        <v>13501.58092</v>
      </c>
      <c r="G14">
        <v>14285.32978</v>
      </c>
      <c r="H14">
        <v>15198.742969999999</v>
      </c>
      <c r="I14">
        <v>15383.5764</v>
      </c>
      <c r="J14">
        <v>16679.591659999998</v>
      </c>
      <c r="K14">
        <v>17376.649679999999</v>
      </c>
      <c r="L14">
        <v>13992.744479999999</v>
      </c>
      <c r="N14" s="8" t="s">
        <v>7</v>
      </c>
    </row>
    <row r="15" spans="1:14" x14ac:dyDescent="0.3">
      <c r="A15" t="s">
        <v>116</v>
      </c>
      <c r="B15">
        <v>52087.972289999998</v>
      </c>
      <c r="C15">
        <v>62574.145700000001</v>
      </c>
      <c r="D15">
        <v>68027.841709999993</v>
      </c>
      <c r="E15">
        <v>68156.627919999999</v>
      </c>
      <c r="F15">
        <v>62511.690589999998</v>
      </c>
      <c r="G15">
        <v>56707.022080000002</v>
      </c>
      <c r="H15">
        <v>49881.763709999999</v>
      </c>
      <c r="I15">
        <v>53934.250180000003</v>
      </c>
      <c r="J15">
        <v>57180.779399999999</v>
      </c>
      <c r="K15">
        <v>54875.285960000001</v>
      </c>
      <c r="L15">
        <v>51680.31652</v>
      </c>
      <c r="N15" s="8" t="s">
        <v>8</v>
      </c>
    </row>
    <row r="16" spans="1:14" x14ac:dyDescent="0.3">
      <c r="A16" t="s">
        <v>117</v>
      </c>
      <c r="B16">
        <v>46903.761590000002</v>
      </c>
      <c r="C16">
        <v>51442.276250000003</v>
      </c>
      <c r="D16">
        <v>48564.91734</v>
      </c>
      <c r="E16">
        <v>50731.127249999998</v>
      </c>
      <c r="F16">
        <v>51786.37717</v>
      </c>
      <c r="G16">
        <v>44195.817589999999</v>
      </c>
      <c r="H16">
        <v>45307.58786</v>
      </c>
      <c r="I16">
        <v>47429.158459999999</v>
      </c>
      <c r="J16">
        <v>51486.575499999999</v>
      </c>
      <c r="K16">
        <v>50114.401109999999</v>
      </c>
      <c r="L16">
        <v>48588.659379999997</v>
      </c>
      <c r="N16" s="8" t="s">
        <v>69</v>
      </c>
    </row>
    <row r="17" spans="1:14" x14ac:dyDescent="0.3">
      <c r="A17" t="s">
        <v>118</v>
      </c>
      <c r="B17">
        <v>5843.5337680000002</v>
      </c>
      <c r="C17">
        <v>7189.691229</v>
      </c>
      <c r="D17">
        <v>7496.2946480000001</v>
      </c>
      <c r="E17">
        <v>7875.7569530000001</v>
      </c>
      <c r="F17">
        <v>7891.3131469999998</v>
      </c>
      <c r="G17">
        <v>5500.3103819999997</v>
      </c>
      <c r="H17">
        <v>3880.7387309999999</v>
      </c>
      <c r="I17">
        <v>4147.0897160000004</v>
      </c>
      <c r="J17">
        <v>4739.8417099999997</v>
      </c>
      <c r="K17">
        <v>4805.7537179999999</v>
      </c>
      <c r="L17">
        <v>4221.4074780000001</v>
      </c>
      <c r="N17" s="8" t="s">
        <v>9</v>
      </c>
    </row>
    <row r="18" spans="1:14" x14ac:dyDescent="0.3">
      <c r="A18" t="s">
        <v>119</v>
      </c>
      <c r="B18">
        <v>234.23553889999999</v>
      </c>
      <c r="C18">
        <v>249.5779794</v>
      </c>
      <c r="D18">
        <v>252.35887070000001</v>
      </c>
      <c r="E18">
        <v>256.97565259999999</v>
      </c>
      <c r="F18">
        <v>274.85783620000001</v>
      </c>
      <c r="G18">
        <v>305.54965249999998</v>
      </c>
      <c r="H18">
        <v>260.56522080000002</v>
      </c>
      <c r="I18">
        <v>253.8263541</v>
      </c>
      <c r="J18">
        <v>238.783467</v>
      </c>
      <c r="K18">
        <v>228.2135892</v>
      </c>
      <c r="L18">
        <v>238.9907259</v>
      </c>
      <c r="N18" s="8" t="s">
        <v>70</v>
      </c>
    </row>
    <row r="19" spans="1:14" x14ac:dyDescent="0.3">
      <c r="A19" t="s">
        <v>120</v>
      </c>
      <c r="B19">
        <v>44184.946349999998</v>
      </c>
      <c r="C19">
        <v>47410.566930000001</v>
      </c>
      <c r="D19">
        <v>44670.560680000002</v>
      </c>
      <c r="E19">
        <v>46757.951860000001</v>
      </c>
      <c r="F19">
        <v>47764.071510000002</v>
      </c>
      <c r="G19">
        <v>41008.296719999998</v>
      </c>
      <c r="H19">
        <v>42012.622719999999</v>
      </c>
      <c r="I19">
        <v>44198.482389999997</v>
      </c>
      <c r="J19">
        <v>47542.769520000002</v>
      </c>
      <c r="K19">
        <v>46591.491609999997</v>
      </c>
      <c r="L19">
        <v>45205.335939999997</v>
      </c>
      <c r="N19" s="8" t="s">
        <v>10</v>
      </c>
    </row>
    <row r="20" spans="1:14" x14ac:dyDescent="0.3">
      <c r="A20" t="s">
        <v>121</v>
      </c>
      <c r="B20">
        <v>1036.5345150000001</v>
      </c>
      <c r="C20">
        <v>1130.2732510000001</v>
      </c>
      <c r="D20">
        <v>1145.1401049999999</v>
      </c>
      <c r="E20">
        <v>1251.2097670000001</v>
      </c>
      <c r="F20">
        <v>1291.410185</v>
      </c>
      <c r="G20">
        <v>1076.7966980000001</v>
      </c>
      <c r="H20">
        <v>1087.287331</v>
      </c>
      <c r="I20">
        <v>1136.5938719999999</v>
      </c>
      <c r="J20">
        <v>1241.825298</v>
      </c>
      <c r="K20">
        <v>1219.515506</v>
      </c>
      <c r="L20">
        <v>1291.040972</v>
      </c>
      <c r="N20" s="8" t="s">
        <v>71</v>
      </c>
    </row>
    <row r="21" spans="1:14" x14ac:dyDescent="0.3">
      <c r="A21" t="s">
        <v>122</v>
      </c>
      <c r="B21">
        <v>647.83609550000006</v>
      </c>
      <c r="C21">
        <v>751.17277039999999</v>
      </c>
      <c r="D21">
        <v>758.00042699999995</v>
      </c>
      <c r="E21">
        <v>787.46943829999998</v>
      </c>
      <c r="F21">
        <v>792.84623739999995</v>
      </c>
      <c r="G21">
        <v>653.32726809999997</v>
      </c>
      <c r="H21">
        <v>688.25069629999996</v>
      </c>
      <c r="I21">
        <v>734.99626799999999</v>
      </c>
      <c r="J21">
        <v>804.50053779999996</v>
      </c>
      <c r="K21">
        <v>796.11520680000001</v>
      </c>
      <c r="L21">
        <v>857.93272969999998</v>
      </c>
      <c r="N21" s="8" t="s">
        <v>11</v>
      </c>
    </row>
    <row r="22" spans="1:14" x14ac:dyDescent="0.3">
      <c r="A22" t="s">
        <v>123</v>
      </c>
      <c r="B22">
        <v>781.15357770000003</v>
      </c>
      <c r="C22">
        <v>861.76216220000003</v>
      </c>
      <c r="D22">
        <v>883.1171296</v>
      </c>
      <c r="E22">
        <v>981.8608514</v>
      </c>
      <c r="F22">
        <v>1118.8738080000001</v>
      </c>
      <c r="G22">
        <v>1248.4533100000001</v>
      </c>
      <c r="H22">
        <v>1401.564635</v>
      </c>
      <c r="I22">
        <v>1563.7678189999999</v>
      </c>
      <c r="J22">
        <v>1698.132081</v>
      </c>
      <c r="K22">
        <v>1855.740094</v>
      </c>
      <c r="L22">
        <v>1961.6137490000001</v>
      </c>
      <c r="N22" s="8" t="s">
        <v>12</v>
      </c>
    </row>
    <row r="23" spans="1:14" x14ac:dyDescent="0.3">
      <c r="A23" t="s">
        <v>124</v>
      </c>
      <c r="B23">
        <v>6853.0028540000003</v>
      </c>
      <c r="C23">
        <v>7849.1652830000003</v>
      </c>
      <c r="D23">
        <v>7432.4787660000002</v>
      </c>
      <c r="E23">
        <v>7681.93462</v>
      </c>
      <c r="F23">
        <v>7901.7858759999999</v>
      </c>
      <c r="G23">
        <v>7074.6810230000001</v>
      </c>
      <c r="H23">
        <v>7569.4788150000004</v>
      </c>
      <c r="I23">
        <v>8366.2932209999999</v>
      </c>
      <c r="J23">
        <v>9446.7007720000001</v>
      </c>
      <c r="K23">
        <v>9879.2685330000004</v>
      </c>
      <c r="L23">
        <v>10079.203380000001</v>
      </c>
      <c r="N23" s="8" t="s">
        <v>13</v>
      </c>
    </row>
    <row r="24" spans="1:14" x14ac:dyDescent="0.3">
      <c r="A24" t="s">
        <v>125</v>
      </c>
      <c r="B24">
        <v>20722.070489999998</v>
      </c>
      <c r="C24">
        <v>22514.202720000001</v>
      </c>
      <c r="D24">
        <v>23654.369589999998</v>
      </c>
      <c r="E24">
        <v>24744.29696</v>
      </c>
      <c r="F24">
        <v>24989.437529999999</v>
      </c>
      <c r="G24">
        <v>22634.085650000001</v>
      </c>
      <c r="H24">
        <v>22608.452560000002</v>
      </c>
      <c r="I24">
        <v>23742.93734</v>
      </c>
      <c r="J24">
        <v>24085.955989999999</v>
      </c>
      <c r="K24">
        <v>23551.930090000002</v>
      </c>
      <c r="L24">
        <v>20409.952799999999</v>
      </c>
      <c r="N24" s="8" t="s">
        <v>14</v>
      </c>
    </row>
    <row r="25" spans="1:14" x14ac:dyDescent="0.3">
      <c r="A25" t="s">
        <v>126</v>
      </c>
      <c r="B25">
        <v>28443.888480000001</v>
      </c>
      <c r="C25">
        <v>28005.912400000001</v>
      </c>
      <c r="D25">
        <v>29485.864219999999</v>
      </c>
      <c r="E25">
        <v>28583.023300000001</v>
      </c>
      <c r="F25">
        <v>30065.160199999998</v>
      </c>
      <c r="G25">
        <v>31776.05559</v>
      </c>
      <c r="H25">
        <v>31732.919140000002</v>
      </c>
      <c r="I25">
        <v>32376.509170000001</v>
      </c>
      <c r="J25">
        <v>33290.028140000002</v>
      </c>
      <c r="K25">
        <v>33799.417690000002</v>
      </c>
      <c r="L25">
        <v>25194.025140000002</v>
      </c>
      <c r="N25" s="8" t="s">
        <v>15</v>
      </c>
    </row>
    <row r="26" spans="1:14" x14ac:dyDescent="0.3">
      <c r="A26" t="s">
        <v>127</v>
      </c>
      <c r="B26">
        <v>4635.5101949999998</v>
      </c>
      <c r="C26">
        <v>5092.5547230000002</v>
      </c>
      <c r="D26">
        <v>4777.066914</v>
      </c>
      <c r="E26">
        <v>5129.6635340000003</v>
      </c>
      <c r="F26">
        <v>5330.3550750000004</v>
      </c>
      <c r="G26">
        <v>4729.6899590000003</v>
      </c>
      <c r="H26">
        <v>4994.9715509999996</v>
      </c>
      <c r="I26">
        <v>5394.2689440000004</v>
      </c>
      <c r="J26">
        <v>6070.3490810000003</v>
      </c>
      <c r="K26">
        <v>6119.7623450000001</v>
      </c>
      <c r="L26">
        <v>6079.7382850000004</v>
      </c>
      <c r="N26" s="8" t="s">
        <v>72</v>
      </c>
    </row>
    <row r="27" spans="1:14" x14ac:dyDescent="0.3">
      <c r="A27" t="s">
        <v>128</v>
      </c>
      <c r="B27">
        <v>6033.6862389999997</v>
      </c>
      <c r="C27">
        <v>6527.1738690000002</v>
      </c>
      <c r="D27">
        <v>6953.1325150000002</v>
      </c>
      <c r="E27">
        <v>7998.125239</v>
      </c>
      <c r="F27">
        <v>8341.3996790000001</v>
      </c>
      <c r="G27">
        <v>5967.0522039999996</v>
      </c>
      <c r="H27">
        <v>5039.6818860000003</v>
      </c>
      <c r="I27">
        <v>5785.6706729999996</v>
      </c>
      <c r="J27">
        <v>6360.062473</v>
      </c>
      <c r="K27">
        <v>6837.7178260000001</v>
      </c>
      <c r="L27">
        <v>6424.1521759999996</v>
      </c>
      <c r="N27" s="8" t="s">
        <v>16</v>
      </c>
    </row>
    <row r="28" spans="1:14" x14ac:dyDescent="0.3">
      <c r="A28" t="s">
        <v>129</v>
      </c>
      <c r="B28">
        <v>4270.7800850000003</v>
      </c>
      <c r="C28">
        <v>4423.4968419999996</v>
      </c>
      <c r="D28">
        <v>4505.6005930000001</v>
      </c>
      <c r="E28">
        <v>4568.6412280000004</v>
      </c>
      <c r="F28">
        <v>4718.4365809999999</v>
      </c>
      <c r="G28">
        <v>4770.2326560000001</v>
      </c>
      <c r="H28">
        <v>4856.9732489999997</v>
      </c>
      <c r="I28">
        <v>4945.8576990000001</v>
      </c>
      <c r="J28">
        <v>5001.422157</v>
      </c>
      <c r="K28">
        <v>5078.8099439999996</v>
      </c>
      <c r="L28">
        <v>4115.1770079999997</v>
      </c>
      <c r="N28" s="8" t="s">
        <v>17</v>
      </c>
    </row>
    <row r="29" spans="1:14" x14ac:dyDescent="0.3">
      <c r="A29" t="s">
        <v>130</v>
      </c>
      <c r="B29">
        <v>101875.2841</v>
      </c>
      <c r="C29">
        <v>97774.162070000006</v>
      </c>
      <c r="D29">
        <v>98431.865179999993</v>
      </c>
      <c r="E29">
        <v>99471.638900000005</v>
      </c>
      <c r="F29">
        <v>98467.683990000005</v>
      </c>
      <c r="G29">
        <v>102005.6256</v>
      </c>
      <c r="H29">
        <v>106885.87850000001</v>
      </c>
      <c r="I29">
        <v>111820.5815</v>
      </c>
      <c r="J29">
        <v>113023.1856</v>
      </c>
      <c r="K29">
        <v>117098.4463</v>
      </c>
      <c r="L29">
        <v>107079.4798</v>
      </c>
      <c r="N29" s="8" t="s">
        <v>73</v>
      </c>
    </row>
    <row r="30" spans="1:14" x14ac:dyDescent="0.3">
      <c r="A30" t="s">
        <v>131</v>
      </c>
      <c r="B30">
        <v>1955.460182</v>
      </c>
      <c r="C30">
        <v>2346.3378440000001</v>
      </c>
      <c r="D30">
        <v>2609.8805619999998</v>
      </c>
      <c r="E30">
        <v>2908.20037</v>
      </c>
      <c r="F30">
        <v>3081.878823</v>
      </c>
      <c r="G30">
        <v>3035.9716549999998</v>
      </c>
      <c r="H30">
        <v>3076.6564400000002</v>
      </c>
      <c r="I30">
        <v>3351.1243439999998</v>
      </c>
      <c r="J30">
        <v>3548.59078</v>
      </c>
      <c r="K30">
        <v>3552.068143</v>
      </c>
      <c r="L30">
        <v>3133.0998030000001</v>
      </c>
      <c r="N30" s="8" t="s">
        <v>18</v>
      </c>
    </row>
    <row r="31" spans="1:14" x14ac:dyDescent="0.3">
      <c r="A31" t="s">
        <v>132</v>
      </c>
      <c r="B31">
        <v>11286.071540000001</v>
      </c>
      <c r="C31">
        <v>13245.38737</v>
      </c>
      <c r="D31">
        <v>12370.223249999999</v>
      </c>
      <c r="E31">
        <v>12300.386710000001</v>
      </c>
      <c r="F31">
        <v>12112.83496</v>
      </c>
      <c r="G31">
        <v>8813.9898059999996</v>
      </c>
      <c r="H31">
        <v>8710.0632900000001</v>
      </c>
      <c r="I31">
        <v>9928.6758969999992</v>
      </c>
      <c r="J31">
        <v>9151.3817319999998</v>
      </c>
      <c r="K31">
        <v>8897.5529659999993</v>
      </c>
      <c r="L31">
        <v>6796.8445419999998</v>
      </c>
      <c r="N31" s="8" t="s">
        <v>19</v>
      </c>
    </row>
    <row r="32" spans="1:14" x14ac:dyDescent="0.3">
      <c r="A32" t="s">
        <v>133</v>
      </c>
      <c r="B32">
        <v>16056.37098</v>
      </c>
      <c r="C32">
        <v>16458.353210000001</v>
      </c>
      <c r="D32">
        <v>16249.67395</v>
      </c>
      <c r="E32">
        <v>16451.279310000002</v>
      </c>
      <c r="F32">
        <v>16489.072240000001</v>
      </c>
      <c r="G32">
        <v>16524.8995</v>
      </c>
      <c r="H32">
        <v>16900.048289999999</v>
      </c>
      <c r="I32">
        <v>17391.66891</v>
      </c>
      <c r="J32">
        <v>17745.255369999999</v>
      </c>
      <c r="K32">
        <v>18148.49785</v>
      </c>
      <c r="L32">
        <v>15373.8547</v>
      </c>
      <c r="N32" s="8" t="s">
        <v>74</v>
      </c>
    </row>
    <row r="33" spans="1:14" x14ac:dyDescent="0.3">
      <c r="A33" t="s">
        <v>134</v>
      </c>
      <c r="B33">
        <v>35270.642140000004</v>
      </c>
      <c r="C33">
        <v>47055.960639999998</v>
      </c>
      <c r="D33">
        <v>47739.557690000001</v>
      </c>
      <c r="E33">
        <v>44740.859420000001</v>
      </c>
      <c r="F33">
        <v>41725.86752</v>
      </c>
      <c r="G33">
        <v>31164.036250000001</v>
      </c>
      <c r="H33">
        <v>27158.405650000001</v>
      </c>
      <c r="I33">
        <v>28571.60829</v>
      </c>
      <c r="J33">
        <v>31628.476259999999</v>
      </c>
      <c r="K33">
        <v>31085.961930000001</v>
      </c>
      <c r="L33">
        <v>27442.953829999999</v>
      </c>
      <c r="N33" s="8" t="s">
        <v>75</v>
      </c>
    </row>
    <row r="34" spans="1:14" x14ac:dyDescent="0.3">
      <c r="A34" t="s">
        <v>135</v>
      </c>
      <c r="B34">
        <v>2258.1864350000001</v>
      </c>
      <c r="C34">
        <v>2563.2612239999999</v>
      </c>
      <c r="D34">
        <v>2538.9495189999998</v>
      </c>
      <c r="E34">
        <v>2472.724753</v>
      </c>
      <c r="F34">
        <v>2652.2256539999998</v>
      </c>
      <c r="G34">
        <v>2752.6301720000001</v>
      </c>
      <c r="H34">
        <v>2930.5749230000001</v>
      </c>
      <c r="I34">
        <v>3286.5967439999999</v>
      </c>
      <c r="J34">
        <v>3243.477437</v>
      </c>
      <c r="K34">
        <v>3322.8633289999998</v>
      </c>
      <c r="L34">
        <v>3000.7793270000002</v>
      </c>
      <c r="N34" s="8" t="s">
        <v>20</v>
      </c>
    </row>
    <row r="35" spans="1:14" x14ac:dyDescent="0.3">
      <c r="A35" t="s">
        <v>136</v>
      </c>
      <c r="B35">
        <v>6434.8124850000004</v>
      </c>
      <c r="C35">
        <v>7617.3100409999997</v>
      </c>
      <c r="D35">
        <v>7050.573472</v>
      </c>
      <c r="E35">
        <v>7224.9127369999997</v>
      </c>
      <c r="F35">
        <v>7495.2208659999997</v>
      </c>
      <c r="G35">
        <v>6402.910183</v>
      </c>
      <c r="H35">
        <v>6982.9174919999996</v>
      </c>
      <c r="I35">
        <v>7296.0921420000004</v>
      </c>
      <c r="J35">
        <v>7503.8785879999996</v>
      </c>
      <c r="K35">
        <v>7203.0642209999996</v>
      </c>
      <c r="L35">
        <v>6404.8999320000003</v>
      </c>
      <c r="N35" s="8" t="s">
        <v>21</v>
      </c>
    </row>
    <row r="36" spans="1:14" x14ac:dyDescent="0.3">
      <c r="A36" t="s">
        <v>137</v>
      </c>
      <c r="B36">
        <v>488.42173580000002</v>
      </c>
      <c r="C36">
        <v>551.74972190000005</v>
      </c>
      <c r="D36">
        <v>565.80120710000006</v>
      </c>
      <c r="E36">
        <v>380.29791110000002</v>
      </c>
      <c r="F36">
        <v>424.44913170000001</v>
      </c>
      <c r="G36">
        <v>377.42291770000003</v>
      </c>
      <c r="H36">
        <v>402.19164510000002</v>
      </c>
      <c r="I36">
        <v>450.9006579</v>
      </c>
      <c r="J36">
        <v>475.9538139</v>
      </c>
      <c r="K36">
        <v>467.9080323</v>
      </c>
      <c r="L36">
        <v>492.79587120000002</v>
      </c>
      <c r="N36" s="8" t="s">
        <v>22</v>
      </c>
    </row>
    <row r="37" spans="1:14" x14ac:dyDescent="0.3">
      <c r="A37" t="s">
        <v>138</v>
      </c>
      <c r="B37">
        <v>47562.083429999999</v>
      </c>
      <c r="C37">
        <v>52223.696109999997</v>
      </c>
      <c r="D37">
        <v>52669.089959999998</v>
      </c>
      <c r="E37">
        <v>52635.174959999997</v>
      </c>
      <c r="F37">
        <v>50955.998319999999</v>
      </c>
      <c r="G37">
        <v>43596.135540000003</v>
      </c>
      <c r="H37">
        <v>42315.603710000003</v>
      </c>
      <c r="I37">
        <v>45129.429300000003</v>
      </c>
      <c r="J37">
        <v>46548.63841</v>
      </c>
      <c r="K37">
        <v>46328.671840000003</v>
      </c>
      <c r="L37">
        <v>43258.263870000002</v>
      </c>
      <c r="N37" s="8" t="s">
        <v>23</v>
      </c>
    </row>
    <row r="38" spans="1:14" x14ac:dyDescent="0.3">
      <c r="A38" t="s">
        <v>139</v>
      </c>
      <c r="B38">
        <v>12623.560390000001</v>
      </c>
      <c r="C38">
        <v>13912.670529999999</v>
      </c>
      <c r="D38">
        <v>13020.74382</v>
      </c>
      <c r="E38">
        <v>13718.183999999999</v>
      </c>
      <c r="F38">
        <v>14164.07445</v>
      </c>
      <c r="G38">
        <v>12522.66106</v>
      </c>
      <c r="H38">
        <v>12831.40994</v>
      </c>
      <c r="I38">
        <v>14254.7381</v>
      </c>
      <c r="J38">
        <v>16047.279699999999</v>
      </c>
      <c r="K38">
        <v>16346.561809999999</v>
      </c>
      <c r="L38">
        <v>16180.967919999999</v>
      </c>
      <c r="N38" s="8" t="s">
        <v>24</v>
      </c>
    </row>
    <row r="39" spans="1:14" ht="18" x14ac:dyDescent="0.3">
      <c r="A39" t="s">
        <v>140</v>
      </c>
      <c r="B39">
        <v>77117.126010000007</v>
      </c>
      <c r="C39">
        <v>91254.034759999995</v>
      </c>
      <c r="D39">
        <v>86547.670889999994</v>
      </c>
      <c r="E39">
        <v>88109.486749999996</v>
      </c>
      <c r="F39">
        <v>89684.707580000002</v>
      </c>
      <c r="G39">
        <v>84776.142170000006</v>
      </c>
      <c r="H39">
        <v>83073.280079999997</v>
      </c>
      <c r="I39">
        <v>83352.088650000005</v>
      </c>
      <c r="J39">
        <v>86388.404949999996</v>
      </c>
      <c r="K39">
        <v>85334.519459999996</v>
      </c>
      <c r="L39">
        <v>87100.414820000005</v>
      </c>
      <c r="N39" s="8" t="s">
        <v>76</v>
      </c>
    </row>
    <row r="40" spans="1:14" x14ac:dyDescent="0.3">
      <c r="A40" t="s">
        <v>141</v>
      </c>
      <c r="N40" s="8" t="s">
        <v>25</v>
      </c>
    </row>
    <row r="41" spans="1:14" x14ac:dyDescent="0.3">
      <c r="A41" t="s">
        <v>142</v>
      </c>
      <c r="B41">
        <v>12808.038339999999</v>
      </c>
      <c r="C41">
        <v>14637.23344</v>
      </c>
      <c r="D41">
        <v>15351.54074</v>
      </c>
      <c r="E41">
        <v>15842.93648</v>
      </c>
      <c r="F41">
        <v>14670.98891</v>
      </c>
      <c r="G41">
        <v>13574.169239999999</v>
      </c>
      <c r="H41">
        <v>13753.59215</v>
      </c>
      <c r="I41">
        <v>14998.817059999999</v>
      </c>
      <c r="J41">
        <v>15888.14436</v>
      </c>
      <c r="K41">
        <v>14741.714400000001</v>
      </c>
      <c r="L41">
        <v>13231.70421</v>
      </c>
      <c r="N41" s="8" t="s">
        <v>77</v>
      </c>
    </row>
    <row r="42" spans="1:14" x14ac:dyDescent="0.3">
      <c r="A42" t="s">
        <v>143</v>
      </c>
      <c r="B42">
        <v>4550.4531079999997</v>
      </c>
      <c r="C42">
        <v>5614.3521350000001</v>
      </c>
      <c r="D42">
        <v>6300.6151179999997</v>
      </c>
      <c r="E42">
        <v>7020.3384850000002</v>
      </c>
      <c r="F42">
        <v>7636.1166009999997</v>
      </c>
      <c r="G42">
        <v>8016.4314350000004</v>
      </c>
      <c r="H42">
        <v>8094.3633669999999</v>
      </c>
      <c r="I42">
        <v>8816.9869049999998</v>
      </c>
      <c r="J42">
        <v>9905.3420040000001</v>
      </c>
      <c r="K42">
        <v>10143.838170000001</v>
      </c>
      <c r="L42">
        <v>10434.77519</v>
      </c>
      <c r="N42" s="8" t="s">
        <v>26</v>
      </c>
    </row>
    <row r="43" spans="1:14" x14ac:dyDescent="0.3">
      <c r="A43" t="s">
        <v>144</v>
      </c>
      <c r="B43">
        <v>1701.475702</v>
      </c>
      <c r="C43">
        <v>1744.938897</v>
      </c>
      <c r="D43">
        <v>1684.7815860000001</v>
      </c>
      <c r="E43">
        <v>1935.9468449999999</v>
      </c>
      <c r="F43">
        <v>2156.6458830000001</v>
      </c>
      <c r="G43">
        <v>1972.5456830000001</v>
      </c>
      <c r="H43">
        <v>2013.3814480000001</v>
      </c>
      <c r="I43">
        <v>2111.0265570000001</v>
      </c>
      <c r="J43">
        <v>2314.0509579999998</v>
      </c>
      <c r="K43">
        <v>2276.332394</v>
      </c>
      <c r="L43">
        <v>2325.7237049999999</v>
      </c>
      <c r="N43" s="8" t="s">
        <v>78</v>
      </c>
    </row>
    <row r="44" spans="1:14" x14ac:dyDescent="0.3">
      <c r="A44" t="s">
        <v>145</v>
      </c>
      <c r="B44">
        <v>1352.302275</v>
      </c>
      <c r="C44">
        <v>1465.145788</v>
      </c>
      <c r="D44">
        <v>1403.522915</v>
      </c>
      <c r="E44">
        <v>1527.7512569999999</v>
      </c>
      <c r="F44">
        <v>1604.214035</v>
      </c>
      <c r="G44">
        <v>1382.5097900000001</v>
      </c>
      <c r="H44">
        <v>1413.2559570000001</v>
      </c>
      <c r="I44">
        <v>1469.4475</v>
      </c>
      <c r="J44">
        <v>1585.240534</v>
      </c>
      <c r="K44">
        <v>1533.0956880000001</v>
      </c>
      <c r="L44">
        <v>1537.130218</v>
      </c>
      <c r="N44" s="8" t="s">
        <v>27</v>
      </c>
    </row>
    <row r="45" spans="1:14" x14ac:dyDescent="0.3">
      <c r="A45" t="s">
        <v>146</v>
      </c>
      <c r="B45">
        <v>334.02157770000002</v>
      </c>
      <c r="C45">
        <v>387.08247699999998</v>
      </c>
      <c r="D45">
        <v>424.6003738</v>
      </c>
      <c r="E45">
        <v>457.96374750000001</v>
      </c>
      <c r="F45">
        <v>486.78709509999999</v>
      </c>
      <c r="G45">
        <v>497.31703909999999</v>
      </c>
      <c r="H45">
        <v>471.31882250000001</v>
      </c>
      <c r="I45">
        <v>467.07423169999998</v>
      </c>
      <c r="J45">
        <v>560.80735819999995</v>
      </c>
      <c r="K45">
        <v>580.71687059999999</v>
      </c>
      <c r="L45">
        <v>543.95039250000002</v>
      </c>
      <c r="N45" s="8" t="s">
        <v>79</v>
      </c>
    </row>
    <row r="46" spans="1:14" x14ac:dyDescent="0.3">
      <c r="A46" t="s">
        <v>147</v>
      </c>
      <c r="B46">
        <v>3073.5577840000001</v>
      </c>
      <c r="C46">
        <v>3557.5561699999998</v>
      </c>
      <c r="D46">
        <v>3923.0935089999998</v>
      </c>
      <c r="E46">
        <v>3883.7468480000002</v>
      </c>
      <c r="F46">
        <v>3776.4855680000001</v>
      </c>
      <c r="G46">
        <v>2447.5393079999999</v>
      </c>
      <c r="H46">
        <v>2050.9934149999999</v>
      </c>
      <c r="I46">
        <v>2169.9915040000001</v>
      </c>
      <c r="J46">
        <v>2606.615331</v>
      </c>
      <c r="K46">
        <v>2369.7294940000002</v>
      </c>
      <c r="L46">
        <v>1846.1312969999999</v>
      </c>
      <c r="N46" s="8" t="s">
        <v>80</v>
      </c>
    </row>
    <row r="47" spans="1:14" x14ac:dyDescent="0.3">
      <c r="A47" t="s">
        <v>148</v>
      </c>
      <c r="B47">
        <v>6336.7094740000002</v>
      </c>
      <c r="C47">
        <v>7335.1669339999999</v>
      </c>
      <c r="D47">
        <v>8050.2553719999996</v>
      </c>
      <c r="E47">
        <v>8218.3478439999999</v>
      </c>
      <c r="F47">
        <v>8114.3439209999997</v>
      </c>
      <c r="G47">
        <v>6175.8760300000004</v>
      </c>
      <c r="H47">
        <v>5870.7779570000002</v>
      </c>
      <c r="I47">
        <v>6376.7067159999997</v>
      </c>
      <c r="J47">
        <v>6729.5833320000002</v>
      </c>
      <c r="K47">
        <v>6424.9794920000004</v>
      </c>
      <c r="L47">
        <v>5334.5560420000002</v>
      </c>
      <c r="N47" s="8" t="s">
        <v>28</v>
      </c>
    </row>
    <row r="48" spans="1:14" x14ac:dyDescent="0.3">
      <c r="A48" t="s">
        <v>149</v>
      </c>
      <c r="B48">
        <v>1316.491213</v>
      </c>
      <c r="C48">
        <v>1447.945144</v>
      </c>
      <c r="D48">
        <v>1403.3602519999999</v>
      </c>
      <c r="E48">
        <v>1505.3372919999999</v>
      </c>
      <c r="F48">
        <v>1513.830379</v>
      </c>
      <c r="G48">
        <v>1242.5856080000001</v>
      </c>
      <c r="H48">
        <v>1273.0509520000001</v>
      </c>
      <c r="I48">
        <v>1323.8148430000001</v>
      </c>
      <c r="J48">
        <v>1428.290463</v>
      </c>
      <c r="K48">
        <v>1401.542312</v>
      </c>
      <c r="L48">
        <v>1420.6617470000001</v>
      </c>
      <c r="N48" s="8" t="s">
        <v>29</v>
      </c>
    </row>
    <row r="49" spans="1:14" x14ac:dyDescent="0.3">
      <c r="A49" t="s">
        <v>150</v>
      </c>
      <c r="B49">
        <v>3378.323433</v>
      </c>
      <c r="C49">
        <v>3740.3741030000001</v>
      </c>
      <c r="D49">
        <v>3447.4830999999999</v>
      </c>
      <c r="E49">
        <v>3616.03557</v>
      </c>
      <c r="F49">
        <v>3588.6255839999999</v>
      </c>
      <c r="G49">
        <v>3043.0313820000001</v>
      </c>
      <c r="H49">
        <v>3130.9987529999999</v>
      </c>
      <c r="I49">
        <v>3289.9022030000001</v>
      </c>
      <c r="J49">
        <v>3616.4645369999998</v>
      </c>
      <c r="K49">
        <v>3603.7752409999998</v>
      </c>
      <c r="L49">
        <v>3064.2723879999999</v>
      </c>
      <c r="N49" s="8" t="s">
        <v>81</v>
      </c>
    </row>
    <row r="50" spans="1:14" x14ac:dyDescent="0.3">
      <c r="A50" t="s">
        <v>151</v>
      </c>
      <c r="B50">
        <v>8227.1274940000003</v>
      </c>
      <c r="C50">
        <v>9229.8345169999993</v>
      </c>
      <c r="D50">
        <v>10075.00462</v>
      </c>
      <c r="E50">
        <v>10744.09102</v>
      </c>
      <c r="F50">
        <v>10847.169669999999</v>
      </c>
      <c r="G50">
        <v>11642.778050000001</v>
      </c>
      <c r="H50">
        <v>12011.222750000001</v>
      </c>
      <c r="I50">
        <v>12225.574490000001</v>
      </c>
      <c r="J50">
        <v>12485.4239</v>
      </c>
      <c r="K50">
        <v>12693.827960000001</v>
      </c>
      <c r="L50">
        <v>12140.854149999999</v>
      </c>
      <c r="N50" s="8" t="s">
        <v>30</v>
      </c>
    </row>
    <row r="51" spans="1:14" x14ac:dyDescent="0.3">
      <c r="A51" t="s">
        <v>152</v>
      </c>
      <c r="B51">
        <v>9253.2139889999999</v>
      </c>
      <c r="C51">
        <v>9920.9101050000008</v>
      </c>
      <c r="D51">
        <v>10187.301390000001</v>
      </c>
      <c r="E51">
        <v>10296.52759</v>
      </c>
      <c r="F51">
        <v>10381.47553</v>
      </c>
      <c r="G51">
        <v>10141.41539</v>
      </c>
      <c r="H51">
        <v>9574.2214860000004</v>
      </c>
      <c r="I51">
        <v>9800.965886</v>
      </c>
      <c r="J51">
        <v>10234.21118</v>
      </c>
      <c r="K51">
        <v>10291.80732</v>
      </c>
      <c r="L51">
        <v>8873.5219290000005</v>
      </c>
      <c r="N51" s="8" t="s">
        <v>31</v>
      </c>
    </row>
    <row r="52" spans="1:14" x14ac:dyDescent="0.3">
      <c r="A52" t="s">
        <v>153</v>
      </c>
      <c r="B52">
        <v>5730.3542639999996</v>
      </c>
      <c r="C52">
        <v>6139.7187830000003</v>
      </c>
      <c r="D52">
        <v>6497.3147639999997</v>
      </c>
      <c r="E52">
        <v>6837.7116800000003</v>
      </c>
      <c r="F52">
        <v>7133.3376790000002</v>
      </c>
      <c r="G52">
        <v>7694.0146370000002</v>
      </c>
      <c r="H52">
        <v>8060.7965979999999</v>
      </c>
      <c r="I52">
        <v>8541.2136859999991</v>
      </c>
      <c r="J52">
        <v>8824.1940080000004</v>
      </c>
      <c r="K52">
        <v>9125.8786789999995</v>
      </c>
      <c r="L52">
        <v>9477.8528729999998</v>
      </c>
      <c r="N52" s="8" t="s">
        <v>32</v>
      </c>
    </row>
    <row r="53" spans="1:14" x14ac:dyDescent="0.3">
      <c r="A53" t="s">
        <v>154</v>
      </c>
      <c r="C53">
        <v>20146.386409999999</v>
      </c>
      <c r="D53">
        <v>20587.397359999999</v>
      </c>
      <c r="E53">
        <v>20462.717949999998</v>
      </c>
      <c r="F53">
        <v>20258.009689999999</v>
      </c>
      <c r="G53">
        <v>19951.3279</v>
      </c>
      <c r="H53">
        <v>19555.365849999998</v>
      </c>
      <c r="I53">
        <v>19457.53152</v>
      </c>
      <c r="J53">
        <v>19630.893489999999</v>
      </c>
      <c r="K53">
        <v>19701.270380000002</v>
      </c>
      <c r="L53">
        <v>16752.965260000001</v>
      </c>
    </row>
    <row r="54" spans="1:14" x14ac:dyDescent="0.3">
      <c r="A54" t="s">
        <v>155</v>
      </c>
      <c r="B54">
        <v>73351.756770000007</v>
      </c>
      <c r="C54">
        <v>72329.661330000003</v>
      </c>
      <c r="D54">
        <v>72777.148490000007</v>
      </c>
      <c r="E54">
        <v>73514.668680000002</v>
      </c>
      <c r="F54">
        <v>74990.433220000006</v>
      </c>
      <c r="G54">
        <v>76284.193929999994</v>
      </c>
      <c r="H54">
        <v>78471.628729999997</v>
      </c>
      <c r="I54">
        <v>81513.163020000007</v>
      </c>
      <c r="J54">
        <v>86059.739220000003</v>
      </c>
      <c r="K54">
        <v>91392.642590000003</v>
      </c>
      <c r="L54">
        <v>85082.526859999998</v>
      </c>
    </row>
    <row r="55" spans="1:14" x14ac:dyDescent="0.3">
      <c r="A55" t="s">
        <v>156</v>
      </c>
      <c r="B55">
        <v>31023.638330000002</v>
      </c>
      <c r="C55">
        <v>32396.385740000002</v>
      </c>
      <c r="D55">
        <v>28912.156940000001</v>
      </c>
      <c r="E55">
        <v>27729.1927</v>
      </c>
      <c r="F55">
        <v>27163.332969999999</v>
      </c>
      <c r="G55">
        <v>23408.33668</v>
      </c>
      <c r="H55">
        <v>24605.920829999999</v>
      </c>
      <c r="I55">
        <v>26608.875090000001</v>
      </c>
      <c r="J55">
        <v>29334.110929999999</v>
      </c>
      <c r="K55">
        <v>29206.076720000001</v>
      </c>
      <c r="L55">
        <v>27527.845310000001</v>
      </c>
    </row>
    <row r="56" spans="1:14" x14ac:dyDescent="0.3">
      <c r="A56" t="s">
        <v>157</v>
      </c>
      <c r="B56">
        <v>19960.068490000001</v>
      </c>
      <c r="C56">
        <v>21871.266080000001</v>
      </c>
      <c r="D56">
        <v>19870.801210000001</v>
      </c>
      <c r="E56">
        <v>20133.169140000002</v>
      </c>
      <c r="F56">
        <v>19890.919910000001</v>
      </c>
      <c r="G56">
        <v>17829.69832</v>
      </c>
      <c r="H56">
        <v>18575.232029999999</v>
      </c>
      <c r="I56">
        <v>20636.199949999998</v>
      </c>
      <c r="J56">
        <v>23419.73561</v>
      </c>
      <c r="K56">
        <v>23660.148809999999</v>
      </c>
      <c r="L56">
        <v>22933.499589999999</v>
      </c>
    </row>
    <row r="57" spans="1:14" x14ac:dyDescent="0.3">
      <c r="A57" t="s">
        <v>158</v>
      </c>
      <c r="B57">
        <v>41572.455950000003</v>
      </c>
      <c r="C57">
        <v>46705.895799999998</v>
      </c>
      <c r="D57">
        <v>43855.854469999998</v>
      </c>
      <c r="E57">
        <v>46298.922919999997</v>
      </c>
      <c r="F57">
        <v>48023.869980000003</v>
      </c>
      <c r="G57">
        <v>41103.256439999997</v>
      </c>
      <c r="H57">
        <v>42136.120790000001</v>
      </c>
      <c r="I57">
        <v>44652.589169999999</v>
      </c>
      <c r="J57">
        <v>47973.607620000002</v>
      </c>
      <c r="K57">
        <v>46794.899290000001</v>
      </c>
      <c r="L57">
        <v>46252.689299999998</v>
      </c>
    </row>
    <row r="58" spans="1:14" x14ac:dyDescent="0.3">
      <c r="A58" t="s">
        <v>159</v>
      </c>
      <c r="B58">
        <v>1343.2751249999999</v>
      </c>
      <c r="C58">
        <v>1451.5480809999999</v>
      </c>
      <c r="D58">
        <v>1559.2406510000001</v>
      </c>
      <c r="E58">
        <v>2312.7209480000001</v>
      </c>
      <c r="F58">
        <v>2464.2949050000002</v>
      </c>
      <c r="G58">
        <v>2658.9492449999998</v>
      </c>
      <c r="H58">
        <v>2802.1662040000001</v>
      </c>
      <c r="I58">
        <v>2914.358197</v>
      </c>
      <c r="J58">
        <v>3141.861711</v>
      </c>
      <c r="K58">
        <v>3414.9161779999999</v>
      </c>
      <c r="L58">
        <v>3425.4841759999999</v>
      </c>
    </row>
    <row r="59" spans="1:14" x14ac:dyDescent="0.3">
      <c r="A59" t="s">
        <v>160</v>
      </c>
      <c r="B59">
        <v>6967.364955</v>
      </c>
      <c r="C59">
        <v>7065.4603719999996</v>
      </c>
      <c r="D59">
        <v>6849.4559330000002</v>
      </c>
      <c r="E59">
        <v>7016.3800709999996</v>
      </c>
      <c r="F59">
        <v>7317.4861430000001</v>
      </c>
      <c r="G59">
        <v>7597.2888940000003</v>
      </c>
      <c r="H59">
        <v>8080.9686229999998</v>
      </c>
      <c r="I59">
        <v>7274.5177309999999</v>
      </c>
      <c r="J59">
        <v>7687.4629629999999</v>
      </c>
      <c r="K59">
        <v>8516.2800389999993</v>
      </c>
      <c r="L59">
        <v>7003.8590210000002</v>
      </c>
    </row>
    <row r="60" spans="1:14" x14ac:dyDescent="0.3">
      <c r="A60" t="s">
        <v>161</v>
      </c>
      <c r="B60">
        <v>58041.398439999997</v>
      </c>
      <c r="C60">
        <v>61753.647129999998</v>
      </c>
      <c r="D60">
        <v>58507.508049999997</v>
      </c>
      <c r="E60">
        <v>61191.193700000003</v>
      </c>
      <c r="F60">
        <v>62548.984729999996</v>
      </c>
      <c r="G60">
        <v>53254.856370000001</v>
      </c>
      <c r="H60">
        <v>54663.998370000001</v>
      </c>
      <c r="I60">
        <v>57610.098180000001</v>
      </c>
      <c r="J60">
        <v>61591.928870000003</v>
      </c>
      <c r="K60">
        <v>59775.735099999998</v>
      </c>
      <c r="L60">
        <v>61063.316429999999</v>
      </c>
    </row>
    <row r="61" spans="1:14" x14ac:dyDescent="0.3">
      <c r="A61" t="s">
        <v>162</v>
      </c>
      <c r="B61">
        <v>5555.392014</v>
      </c>
      <c r="C61">
        <v>5913.426649</v>
      </c>
      <c r="D61">
        <v>6110.3665760000004</v>
      </c>
      <c r="E61">
        <v>6238.1323670000002</v>
      </c>
      <c r="F61">
        <v>6608.8255010000003</v>
      </c>
      <c r="G61">
        <v>6921.5205939999996</v>
      </c>
      <c r="H61">
        <v>7280.8836099999999</v>
      </c>
      <c r="I61">
        <v>7609.3532750000004</v>
      </c>
      <c r="J61">
        <v>8050.6440759999996</v>
      </c>
      <c r="K61">
        <v>8282.1171310000009</v>
      </c>
      <c r="L61">
        <v>7268.1969099999997</v>
      </c>
    </row>
    <row r="62" spans="1:14" x14ac:dyDescent="0.3">
      <c r="A62" t="s">
        <v>163</v>
      </c>
      <c r="B62">
        <v>4480.7863180000004</v>
      </c>
      <c r="C62">
        <v>5455.6794030000001</v>
      </c>
      <c r="D62">
        <v>5592.2201150000001</v>
      </c>
      <c r="E62">
        <v>5499.5873309999997</v>
      </c>
      <c r="F62">
        <v>5493.0566950000002</v>
      </c>
      <c r="G62">
        <v>4177.8895419999999</v>
      </c>
      <c r="H62">
        <v>3946.4524470000001</v>
      </c>
      <c r="I62">
        <v>4109.6982170000001</v>
      </c>
      <c r="J62">
        <v>4142.0185579999998</v>
      </c>
      <c r="K62">
        <v>3989.6682759999999</v>
      </c>
      <c r="L62">
        <v>3306.8582080000001</v>
      </c>
    </row>
    <row r="63" spans="1:14" x14ac:dyDescent="0.3">
      <c r="A63" t="s">
        <v>164</v>
      </c>
      <c r="B63">
        <v>3997.0104719999999</v>
      </c>
      <c r="C63">
        <v>4850.3283659999997</v>
      </c>
      <c r="D63">
        <v>5365.237177</v>
      </c>
      <c r="E63">
        <v>5870.7913580000004</v>
      </c>
      <c r="F63">
        <v>6277.7334929999997</v>
      </c>
      <c r="G63">
        <v>6488.6669680000005</v>
      </c>
      <c r="H63">
        <v>6575.5141199999998</v>
      </c>
      <c r="I63">
        <v>7131.6313490000002</v>
      </c>
      <c r="J63">
        <v>7924.2343010000004</v>
      </c>
      <c r="K63">
        <v>8145.3454369999999</v>
      </c>
      <c r="L63">
        <v>8254.6708710000003</v>
      </c>
    </row>
    <row r="64" spans="1:14" x14ac:dyDescent="0.3">
      <c r="A64" t="s">
        <v>165</v>
      </c>
      <c r="B64">
        <v>3026.3079090000001</v>
      </c>
      <c r="C64">
        <v>3270.2438860000002</v>
      </c>
      <c r="D64">
        <v>3371.7592810000001</v>
      </c>
      <c r="E64">
        <v>3375.2466989999998</v>
      </c>
      <c r="F64">
        <v>3443.0187219999998</v>
      </c>
      <c r="G64">
        <v>3229.2990110000001</v>
      </c>
      <c r="H64">
        <v>3257.3919150000002</v>
      </c>
      <c r="I64">
        <v>3473.462861</v>
      </c>
      <c r="J64">
        <v>3452.3785849999999</v>
      </c>
      <c r="K64">
        <v>3503.4397330000002</v>
      </c>
      <c r="L64">
        <v>3201.6542610000001</v>
      </c>
    </row>
    <row r="65" spans="1:12" x14ac:dyDescent="0.3">
      <c r="A65" t="s">
        <v>166</v>
      </c>
      <c r="B65">
        <v>7717.8111699999999</v>
      </c>
      <c r="C65">
        <v>8886.9519089999994</v>
      </c>
      <c r="D65">
        <v>9432.5131500000007</v>
      </c>
      <c r="E65">
        <v>9463.4869729999991</v>
      </c>
      <c r="F65">
        <v>9686.8835049999998</v>
      </c>
      <c r="G65">
        <v>9579.4743710000002</v>
      </c>
      <c r="H65">
        <v>9845.9141749999999</v>
      </c>
      <c r="I65">
        <v>10442.8595</v>
      </c>
      <c r="J65">
        <v>11297.706050000001</v>
      </c>
      <c r="K65">
        <v>11477.761049999999</v>
      </c>
      <c r="L65">
        <v>11477.49173</v>
      </c>
    </row>
    <row r="66" spans="1:12" x14ac:dyDescent="0.3">
      <c r="A66" t="s">
        <v>167</v>
      </c>
      <c r="B66">
        <v>7836.4335119999996</v>
      </c>
      <c r="C66">
        <v>9626.4385550000006</v>
      </c>
      <c r="D66">
        <v>10149.01298</v>
      </c>
      <c r="E66">
        <v>10717.66036</v>
      </c>
      <c r="F66">
        <v>9927.5582770000001</v>
      </c>
      <c r="G66">
        <v>7557.4996950000004</v>
      </c>
      <c r="H66">
        <v>7189.2864600000003</v>
      </c>
      <c r="I66">
        <v>8026.7733170000001</v>
      </c>
      <c r="J66">
        <v>8213.3600659999993</v>
      </c>
      <c r="K66">
        <v>8343.5504309999997</v>
      </c>
      <c r="L66">
        <v>7668.9956400000001</v>
      </c>
    </row>
    <row r="67" spans="1:12" x14ac:dyDescent="0.3">
      <c r="A67" t="s">
        <v>168</v>
      </c>
      <c r="B67">
        <v>23680.225480000001</v>
      </c>
      <c r="C67">
        <v>26191.557980000001</v>
      </c>
      <c r="D67">
        <v>25132.477299999999</v>
      </c>
      <c r="E67">
        <v>26147.64356</v>
      </c>
      <c r="F67">
        <v>26388.161510000002</v>
      </c>
      <c r="G67">
        <v>22624.865109999999</v>
      </c>
      <c r="H67">
        <v>22455.071840000001</v>
      </c>
      <c r="I67">
        <v>23704.238010000001</v>
      </c>
      <c r="J67">
        <v>25297.60068</v>
      </c>
      <c r="K67">
        <v>24906.402290000002</v>
      </c>
      <c r="L67">
        <v>23963.336340000002</v>
      </c>
    </row>
    <row r="68" spans="1:12" x14ac:dyDescent="0.3">
      <c r="A68" t="s">
        <v>169</v>
      </c>
      <c r="B68">
        <v>4633.5912840000001</v>
      </c>
      <c r="C68">
        <v>5200.5551079999996</v>
      </c>
      <c r="D68">
        <v>5682.0461079999995</v>
      </c>
      <c r="E68">
        <v>6056.3312130000004</v>
      </c>
      <c r="F68">
        <v>6377.0939289999997</v>
      </c>
      <c r="G68">
        <v>6124.4908869999999</v>
      </c>
      <c r="H68">
        <v>6060.0929619999997</v>
      </c>
      <c r="I68">
        <v>6213.5031269999999</v>
      </c>
      <c r="J68">
        <v>6295.9346619999997</v>
      </c>
      <c r="K68">
        <v>6222.5246530000004</v>
      </c>
      <c r="L68">
        <v>5600.389615</v>
      </c>
    </row>
    <row r="69" spans="1:12" x14ac:dyDescent="0.3">
      <c r="A69" t="s">
        <v>170</v>
      </c>
      <c r="B69">
        <v>2645.9687589999999</v>
      </c>
      <c r="C69">
        <v>2791.8107660000001</v>
      </c>
      <c r="D69">
        <v>3229.6856299999999</v>
      </c>
      <c r="E69">
        <v>3262.6575859999998</v>
      </c>
      <c r="F69">
        <v>3379.5579859999998</v>
      </c>
      <c r="G69">
        <v>3562.9326580000002</v>
      </c>
      <c r="H69">
        <v>3519.8732399999999</v>
      </c>
      <c r="I69">
        <v>2444.290387</v>
      </c>
      <c r="J69">
        <v>2537.1251849999999</v>
      </c>
      <c r="K69">
        <v>3019.092283</v>
      </c>
      <c r="L69">
        <v>3569.2068410000002</v>
      </c>
    </row>
    <row r="70" spans="1:12" x14ac:dyDescent="0.3">
      <c r="A70" t="s">
        <v>171</v>
      </c>
      <c r="B70">
        <v>37605.900240000003</v>
      </c>
      <c r="C70">
        <v>40657.600140000002</v>
      </c>
      <c r="D70">
        <v>37595.877090000002</v>
      </c>
      <c r="E70">
        <v>39120.333339999997</v>
      </c>
      <c r="F70">
        <v>39912.442320000002</v>
      </c>
      <c r="G70">
        <v>34388.283779999998</v>
      </c>
      <c r="H70">
        <v>35163.628779999999</v>
      </c>
      <c r="I70">
        <v>37153.650329999997</v>
      </c>
      <c r="J70">
        <v>40057.690750000002</v>
      </c>
      <c r="K70">
        <v>39188.490790000003</v>
      </c>
      <c r="L70">
        <v>37994.547960000004</v>
      </c>
    </row>
    <row r="71" spans="1:12" x14ac:dyDescent="0.3">
      <c r="A71" t="s">
        <v>172</v>
      </c>
      <c r="B71">
        <v>501.35531700000001</v>
      </c>
      <c r="C71">
        <v>642.50825880000002</v>
      </c>
    </row>
    <row r="72" spans="1:12" x14ac:dyDescent="0.3">
      <c r="A72" t="s">
        <v>173</v>
      </c>
      <c r="B72">
        <v>30532.480510000001</v>
      </c>
      <c r="C72">
        <v>31677.900310000001</v>
      </c>
      <c r="D72">
        <v>28322.809249999998</v>
      </c>
      <c r="E72">
        <v>29067.80946</v>
      </c>
      <c r="F72">
        <v>29500.789430000001</v>
      </c>
      <c r="G72">
        <v>25742.368829999999</v>
      </c>
      <c r="H72">
        <v>26523.34822</v>
      </c>
      <c r="I72">
        <v>28170.167860000001</v>
      </c>
      <c r="J72">
        <v>30364.57994</v>
      </c>
      <c r="K72">
        <v>29554.490519999999</v>
      </c>
      <c r="L72">
        <v>27056.421750000001</v>
      </c>
    </row>
    <row r="73" spans="1:12" x14ac:dyDescent="0.3">
      <c r="A73" t="s">
        <v>174</v>
      </c>
      <c r="B73">
        <v>14663.044610000001</v>
      </c>
      <c r="C73">
        <v>17487.804779999999</v>
      </c>
      <c r="D73">
        <v>17403.205330000001</v>
      </c>
      <c r="E73">
        <v>19056.001919999999</v>
      </c>
      <c r="F73">
        <v>20261.066729999999</v>
      </c>
      <c r="G73">
        <v>17402.037609999999</v>
      </c>
      <c r="H73">
        <v>18295.342929999999</v>
      </c>
      <c r="I73">
        <v>20437.765380000001</v>
      </c>
      <c r="J73">
        <v>23063.563819999999</v>
      </c>
      <c r="K73">
        <v>23397.878260000001</v>
      </c>
      <c r="L73">
        <v>23054.358489999999</v>
      </c>
    </row>
    <row r="74" spans="1:12" x14ac:dyDescent="0.3">
      <c r="A74" t="s">
        <v>175</v>
      </c>
      <c r="B74">
        <v>341.55412269999999</v>
      </c>
      <c r="C74">
        <v>354.4795719</v>
      </c>
      <c r="D74">
        <v>467.07787180000003</v>
      </c>
      <c r="E74">
        <v>499.53153020000002</v>
      </c>
      <c r="F74">
        <v>566.92640289999997</v>
      </c>
      <c r="G74">
        <v>640.54192309999996</v>
      </c>
      <c r="H74">
        <v>717.12486980000006</v>
      </c>
      <c r="I74">
        <v>768.52301539999996</v>
      </c>
      <c r="J74">
        <v>771.52486629999999</v>
      </c>
      <c r="K74">
        <v>855.76088519999996</v>
      </c>
      <c r="L74">
        <v>936.34046109999997</v>
      </c>
    </row>
    <row r="75" spans="1:12" x14ac:dyDescent="0.3">
      <c r="A75" t="s">
        <v>176</v>
      </c>
      <c r="B75">
        <v>32970.715470000003</v>
      </c>
      <c r="C75">
        <v>35756.329030000001</v>
      </c>
      <c r="D75">
        <v>33158.892140000004</v>
      </c>
      <c r="E75">
        <v>34578.051930000001</v>
      </c>
      <c r="F75">
        <v>35286.117380000003</v>
      </c>
      <c r="G75">
        <v>30485.02881</v>
      </c>
      <c r="H75">
        <v>31186.630109999998</v>
      </c>
      <c r="I75">
        <v>33093.772380000002</v>
      </c>
      <c r="J75">
        <v>35752.225380000003</v>
      </c>
      <c r="K75">
        <v>35083.707620000001</v>
      </c>
      <c r="L75">
        <v>34173.487260000002</v>
      </c>
    </row>
    <row r="76" spans="1:12" x14ac:dyDescent="0.3">
      <c r="A76" t="s">
        <v>177</v>
      </c>
      <c r="B76">
        <v>2296.7098590000001</v>
      </c>
      <c r="C76">
        <v>2042.1292229999999</v>
      </c>
      <c r="D76">
        <v>2249.296816</v>
      </c>
      <c r="E76">
        <v>2281.1409269999999</v>
      </c>
      <c r="F76">
        <v>2414.4182070000002</v>
      </c>
      <c r="G76">
        <v>1878.7134080000001</v>
      </c>
      <c r="H76">
        <v>1656.7359710000001</v>
      </c>
      <c r="I76">
        <v>1657.340925</v>
      </c>
      <c r="J76">
        <v>1770.2310580000001</v>
      </c>
      <c r="K76">
        <v>1828.6493379999999</v>
      </c>
      <c r="L76">
        <v>1622.1912380000001</v>
      </c>
    </row>
    <row r="77" spans="1:12" x14ac:dyDescent="0.3">
      <c r="A77" t="s">
        <v>178</v>
      </c>
      <c r="B77">
        <v>46505.303180000003</v>
      </c>
      <c r="C77">
        <v>51148.931640000003</v>
      </c>
      <c r="D77">
        <v>47708.061280000002</v>
      </c>
      <c r="E77">
        <v>49892.223360000004</v>
      </c>
      <c r="F77">
        <v>50327.240290000002</v>
      </c>
      <c r="G77">
        <v>42801.90812</v>
      </c>
      <c r="H77">
        <v>43814.026510000003</v>
      </c>
      <c r="I77">
        <v>46412.136480000001</v>
      </c>
      <c r="J77">
        <v>49988.91085</v>
      </c>
      <c r="K77">
        <v>48628.641759999999</v>
      </c>
      <c r="L77">
        <v>48755.355009999999</v>
      </c>
    </row>
    <row r="78" spans="1:12" x14ac:dyDescent="0.3">
      <c r="A78" t="s">
        <v>179</v>
      </c>
      <c r="B78">
        <v>3652.5359330000001</v>
      </c>
      <c r="C78">
        <v>4371.4473850000004</v>
      </c>
      <c r="D78">
        <v>4591.5770149999998</v>
      </c>
      <c r="E78">
        <v>4840.7272700000003</v>
      </c>
      <c r="F78">
        <v>5605.6091479999995</v>
      </c>
      <c r="G78">
        <v>5390.714207</v>
      </c>
      <c r="H78">
        <v>5651.2727210000003</v>
      </c>
      <c r="I78">
        <v>6101.0238900000004</v>
      </c>
      <c r="J78">
        <v>6317.4137199999996</v>
      </c>
      <c r="K78">
        <v>6175.8906530000004</v>
      </c>
      <c r="L78">
        <v>5057.6319130000002</v>
      </c>
    </row>
    <row r="79" spans="1:12" x14ac:dyDescent="0.3">
      <c r="A79" t="s">
        <v>180</v>
      </c>
      <c r="B79">
        <v>40677.985139999997</v>
      </c>
      <c r="C79">
        <v>43848.106050000002</v>
      </c>
      <c r="D79">
        <v>40872.362459999997</v>
      </c>
      <c r="E79">
        <v>42605.044379999999</v>
      </c>
      <c r="F79">
        <v>43068.548719999999</v>
      </c>
      <c r="G79">
        <v>36652.922310000002</v>
      </c>
      <c r="H79">
        <v>37062.53357</v>
      </c>
      <c r="I79">
        <v>38781.049489999998</v>
      </c>
      <c r="J79">
        <v>41592.795899999997</v>
      </c>
      <c r="K79">
        <v>40578.644289999997</v>
      </c>
      <c r="L79">
        <v>39037.122629999998</v>
      </c>
    </row>
    <row r="80" spans="1:12" x14ac:dyDescent="0.3">
      <c r="A80" t="s">
        <v>181</v>
      </c>
      <c r="B80">
        <v>48541.401189999997</v>
      </c>
      <c r="C80">
        <v>52092.60338</v>
      </c>
      <c r="D80">
        <v>49459.717230000002</v>
      </c>
      <c r="E80">
        <v>54843.319289999999</v>
      </c>
      <c r="F80">
        <v>59433.834569999999</v>
      </c>
      <c r="G80">
        <v>52400.297279999999</v>
      </c>
      <c r="H80">
        <v>56854.102650000001</v>
      </c>
      <c r="I80">
        <v>59993.090629999999</v>
      </c>
      <c r="J80">
        <v>62918.146189999999</v>
      </c>
      <c r="K80">
        <v>64225.264900000002</v>
      </c>
    </row>
    <row r="81" spans="1:12" x14ac:dyDescent="0.3">
      <c r="A81" t="s">
        <v>182</v>
      </c>
      <c r="B81">
        <v>2885.305492</v>
      </c>
      <c r="C81">
        <v>3009.2568249999999</v>
      </c>
      <c r="D81">
        <v>3131.3867150000001</v>
      </c>
      <c r="E81">
        <v>2994.7923940000001</v>
      </c>
      <c r="F81">
        <v>2971.5126019999998</v>
      </c>
      <c r="G81">
        <v>2906.6170120000002</v>
      </c>
      <c r="H81">
        <v>3014.7003580000001</v>
      </c>
      <c r="I81">
        <v>3289.6421169999999</v>
      </c>
      <c r="J81">
        <v>3568.2910160000001</v>
      </c>
      <c r="K81">
        <v>3585.3924489999999</v>
      </c>
      <c r="L81">
        <v>3565.2932940000001</v>
      </c>
    </row>
    <row r="82" spans="1:12" x14ac:dyDescent="0.3">
      <c r="A82" t="s">
        <v>183</v>
      </c>
      <c r="B82">
        <v>8849.3226080000004</v>
      </c>
      <c r="C82">
        <v>10809.684950000001</v>
      </c>
      <c r="D82">
        <v>9813.5057469999992</v>
      </c>
      <c r="E82">
        <v>9683.5816200000008</v>
      </c>
      <c r="F82">
        <v>9663.4241099999999</v>
      </c>
      <c r="G82">
        <v>7384.7007039999999</v>
      </c>
      <c r="H82">
        <v>6984.4197119999999</v>
      </c>
      <c r="I82">
        <v>7230.4349119999997</v>
      </c>
      <c r="J82">
        <v>7959.007267</v>
      </c>
      <c r="K82">
        <v>7766.9965540000003</v>
      </c>
      <c r="L82">
        <v>6881.7151919999997</v>
      </c>
    </row>
    <row r="83" spans="1:12" x14ac:dyDescent="0.3">
      <c r="A83" t="s">
        <v>184</v>
      </c>
      <c r="B83">
        <v>39688.614970000002</v>
      </c>
      <c r="C83">
        <v>42284.884489999997</v>
      </c>
      <c r="D83">
        <v>42686.800049999998</v>
      </c>
      <c r="E83">
        <v>43713.814120000003</v>
      </c>
      <c r="F83">
        <v>47787.241300000002</v>
      </c>
      <c r="G83">
        <v>45404.567770000001</v>
      </c>
      <c r="H83">
        <v>41499.555699999997</v>
      </c>
      <c r="I83">
        <v>40857.755579999997</v>
      </c>
      <c r="J83">
        <v>43646.951970000002</v>
      </c>
      <c r="K83">
        <v>43070.498359999998</v>
      </c>
      <c r="L83">
        <v>41059.168810000003</v>
      </c>
    </row>
    <row r="84" spans="1:12" x14ac:dyDescent="0.3">
      <c r="A84" t="s">
        <v>185</v>
      </c>
      <c r="B84">
        <v>3233.2959430000001</v>
      </c>
      <c r="C84">
        <v>4021.7433059999998</v>
      </c>
      <c r="D84">
        <v>4421.8182420000003</v>
      </c>
      <c r="E84">
        <v>4623.7457249999998</v>
      </c>
      <c r="F84">
        <v>4739.1883379999999</v>
      </c>
      <c r="G84">
        <v>4014.1859439999998</v>
      </c>
      <c r="H84">
        <v>4062.1698879999999</v>
      </c>
      <c r="I84">
        <v>4357.0009360000004</v>
      </c>
      <c r="J84">
        <v>4722.7877829999998</v>
      </c>
      <c r="K84">
        <v>4697.9836519999999</v>
      </c>
      <c r="L84">
        <v>4256.7011860000002</v>
      </c>
    </row>
    <row r="85" spans="1:12" x14ac:dyDescent="0.3">
      <c r="A85" t="s">
        <v>186</v>
      </c>
      <c r="B85">
        <v>1299.3452119999999</v>
      </c>
      <c r="C85">
        <v>1549.4627190000001</v>
      </c>
      <c r="D85">
        <v>1587.5609320000001</v>
      </c>
      <c r="E85">
        <v>2361.0903239999998</v>
      </c>
      <c r="F85">
        <v>2012.2642470000001</v>
      </c>
      <c r="G85">
        <v>1774.0747710000001</v>
      </c>
      <c r="H85">
        <v>1971.9569349999999</v>
      </c>
      <c r="I85">
        <v>2074.2907329999998</v>
      </c>
      <c r="J85">
        <v>2260.8605670000002</v>
      </c>
      <c r="K85">
        <v>2246.6255780000001</v>
      </c>
      <c r="L85">
        <v>2205.529016</v>
      </c>
    </row>
    <row r="86" spans="1:12" x14ac:dyDescent="0.3">
      <c r="A86" t="s">
        <v>187</v>
      </c>
    </row>
    <row r="87" spans="1:12" x14ac:dyDescent="0.3">
      <c r="A87" t="s">
        <v>188</v>
      </c>
      <c r="B87">
        <v>672.42493039999999</v>
      </c>
      <c r="C87">
        <v>651.1361134</v>
      </c>
      <c r="D87">
        <v>717.0505359</v>
      </c>
      <c r="E87">
        <v>769.00316669999995</v>
      </c>
      <c r="F87">
        <v>787.23856439999997</v>
      </c>
      <c r="G87">
        <v>769.25547540000002</v>
      </c>
      <c r="H87">
        <v>732.29151190000005</v>
      </c>
      <c r="I87">
        <v>855.57527059999995</v>
      </c>
      <c r="J87">
        <v>955.11128110000004</v>
      </c>
      <c r="K87">
        <v>1058.143368</v>
      </c>
      <c r="L87">
        <v>1194.037865</v>
      </c>
    </row>
    <row r="88" spans="1:12" x14ac:dyDescent="0.3">
      <c r="A88" t="s">
        <v>189</v>
      </c>
      <c r="B88">
        <v>860.63643390000004</v>
      </c>
      <c r="C88">
        <v>762.76311769999995</v>
      </c>
      <c r="D88">
        <v>742.77762859999996</v>
      </c>
      <c r="E88">
        <v>700.51604220000002</v>
      </c>
      <c r="F88">
        <v>607.42990469999995</v>
      </c>
      <c r="G88">
        <v>660.72357120000004</v>
      </c>
      <c r="H88">
        <v>690.78049320000002</v>
      </c>
      <c r="I88">
        <v>679.75507170000003</v>
      </c>
      <c r="J88">
        <v>732.72072730000002</v>
      </c>
      <c r="K88">
        <v>772.04591419999997</v>
      </c>
      <c r="L88">
        <v>773.00207009999997</v>
      </c>
    </row>
    <row r="89" spans="1:12" x14ac:dyDescent="0.3">
      <c r="A89" t="s">
        <v>190</v>
      </c>
      <c r="B89">
        <v>558.17466809999996</v>
      </c>
      <c r="C89">
        <v>703.66056730000003</v>
      </c>
      <c r="D89">
        <v>616.37566400000003</v>
      </c>
      <c r="E89">
        <v>634.66203910000002</v>
      </c>
      <c r="F89">
        <v>623.31309139999996</v>
      </c>
      <c r="G89">
        <v>603.3993815</v>
      </c>
      <c r="H89">
        <v>661.45783870000002</v>
      </c>
      <c r="I89">
        <v>738.54994490000001</v>
      </c>
      <c r="J89">
        <v>802.76738509999996</v>
      </c>
      <c r="K89">
        <v>749.45374700000002</v>
      </c>
      <c r="L89">
        <v>727.52017169999999</v>
      </c>
    </row>
    <row r="90" spans="1:12" x14ac:dyDescent="0.3">
      <c r="A90" t="s">
        <v>191</v>
      </c>
      <c r="B90">
        <v>17288.8426</v>
      </c>
      <c r="C90">
        <v>21641.693899999998</v>
      </c>
      <c r="D90">
        <v>21711.151590000001</v>
      </c>
      <c r="E90">
        <v>20390.737270000001</v>
      </c>
      <c r="F90">
        <v>19394.08066</v>
      </c>
      <c r="G90">
        <v>11283.39805</v>
      </c>
      <c r="H90">
        <v>9250.3164930000003</v>
      </c>
      <c r="I90">
        <v>9667.8578010000001</v>
      </c>
      <c r="J90">
        <v>10005.61679</v>
      </c>
      <c r="K90">
        <v>8419.9333360000001</v>
      </c>
      <c r="L90">
        <v>7143.2387049999998</v>
      </c>
    </row>
    <row r="91" spans="1:12" x14ac:dyDescent="0.3">
      <c r="A91" t="s">
        <v>192</v>
      </c>
      <c r="B91">
        <v>26716.648829999998</v>
      </c>
      <c r="C91">
        <v>25483.882559999998</v>
      </c>
      <c r="D91">
        <v>21912.99829</v>
      </c>
      <c r="E91">
        <v>21787.787759999999</v>
      </c>
      <c r="F91">
        <v>21616.710009999999</v>
      </c>
      <c r="G91">
        <v>18083.877909999999</v>
      </c>
      <c r="H91">
        <v>17923.966810000002</v>
      </c>
      <c r="I91">
        <v>18582.089339999999</v>
      </c>
      <c r="J91">
        <v>19756.990460000001</v>
      </c>
      <c r="K91">
        <v>19133.75776</v>
      </c>
      <c r="L91">
        <v>17647.232690000001</v>
      </c>
    </row>
    <row r="92" spans="1:12" x14ac:dyDescent="0.3">
      <c r="A92" t="s">
        <v>193</v>
      </c>
      <c r="B92">
        <v>7258.166561</v>
      </c>
      <c r="C92">
        <v>7291.7416700000003</v>
      </c>
      <c r="D92">
        <v>7444.0890749999999</v>
      </c>
      <c r="E92">
        <v>7789.6323549999997</v>
      </c>
      <c r="F92">
        <v>8370.0404720000006</v>
      </c>
      <c r="G92">
        <v>9096.5386519999993</v>
      </c>
      <c r="H92">
        <v>9628.2591690000008</v>
      </c>
      <c r="I92">
        <v>10152.83281</v>
      </c>
      <c r="J92">
        <v>10466.88221</v>
      </c>
      <c r="K92">
        <v>10827.435289999999</v>
      </c>
      <c r="L92">
        <v>9261.5518759999995</v>
      </c>
    </row>
    <row r="93" spans="1:12" x14ac:dyDescent="0.3">
      <c r="A93" t="s">
        <v>194</v>
      </c>
      <c r="B93">
        <v>43988.332490000001</v>
      </c>
      <c r="C93">
        <v>47186.981469999999</v>
      </c>
      <c r="D93">
        <v>45936.765950000001</v>
      </c>
      <c r="E93">
        <v>47535.589950000001</v>
      </c>
      <c r="F93">
        <v>50484.92757</v>
      </c>
      <c r="G93">
        <v>44536.401310000001</v>
      </c>
      <c r="H93">
        <v>48181.874190000002</v>
      </c>
      <c r="I93">
        <v>50766.599419999999</v>
      </c>
      <c r="J93">
        <v>54270.822310000003</v>
      </c>
      <c r="K93">
        <v>53041.303310000003</v>
      </c>
    </row>
    <row r="94" spans="1:12" x14ac:dyDescent="0.3">
      <c r="A94" t="s">
        <v>195</v>
      </c>
      <c r="B94">
        <v>2852.5473270000002</v>
      </c>
      <c r="C94">
        <v>3228.0457409999999</v>
      </c>
      <c r="D94">
        <v>3355.0369190000001</v>
      </c>
      <c r="E94">
        <v>3522.7737059999999</v>
      </c>
      <c r="F94">
        <v>3779.6423359999999</v>
      </c>
      <c r="G94">
        <v>3994.6369129999998</v>
      </c>
      <c r="H94">
        <v>4173.3016660000003</v>
      </c>
      <c r="I94">
        <v>4454.0481499999996</v>
      </c>
      <c r="J94">
        <v>4478.4246460000004</v>
      </c>
      <c r="K94">
        <v>4638.634943</v>
      </c>
      <c r="L94">
        <v>4603.3396169999996</v>
      </c>
    </row>
    <row r="95" spans="1:12" x14ac:dyDescent="0.3">
      <c r="A95" t="s">
        <v>196</v>
      </c>
      <c r="B95">
        <v>31040.084299999999</v>
      </c>
      <c r="C95">
        <v>31210.470290000001</v>
      </c>
      <c r="D95">
        <v>32908.306770000003</v>
      </c>
      <c r="E95">
        <v>33656.453569999998</v>
      </c>
      <c r="F95">
        <v>34843.205569999998</v>
      </c>
      <c r="G95">
        <v>35829.250359999998</v>
      </c>
      <c r="H95">
        <v>36214.00692</v>
      </c>
      <c r="I95">
        <v>36601.919880000001</v>
      </c>
      <c r="J95">
        <v>36556.674910000002</v>
      </c>
      <c r="K95">
        <v>38040.586990000003</v>
      </c>
      <c r="L95">
        <v>34624.340129999997</v>
      </c>
    </row>
    <row r="96" spans="1:12" x14ac:dyDescent="0.3">
      <c r="A96" t="s">
        <v>197</v>
      </c>
      <c r="B96">
        <v>4580.698762</v>
      </c>
      <c r="C96">
        <v>4908.5664479999996</v>
      </c>
      <c r="D96">
        <v>5378.8108780000002</v>
      </c>
      <c r="E96">
        <v>5489.1407259999996</v>
      </c>
      <c r="F96">
        <v>5407.1473660000001</v>
      </c>
      <c r="G96">
        <v>5576.8258519999999</v>
      </c>
      <c r="H96">
        <v>5811.3979239999999</v>
      </c>
      <c r="I96">
        <v>6124.9536699999999</v>
      </c>
      <c r="J96">
        <v>6145.8192769999996</v>
      </c>
      <c r="K96">
        <v>6609.5112799999997</v>
      </c>
      <c r="L96">
        <v>6955.9392170000001</v>
      </c>
    </row>
    <row r="97" spans="1:12" x14ac:dyDescent="0.3">
      <c r="A97" t="s">
        <v>198</v>
      </c>
      <c r="B97">
        <v>39422.566989999999</v>
      </c>
      <c r="C97">
        <v>42364.089139999996</v>
      </c>
      <c r="D97">
        <v>42142.996769999998</v>
      </c>
      <c r="E97">
        <v>42403.843820000002</v>
      </c>
      <c r="F97">
        <v>43081.2192</v>
      </c>
      <c r="G97">
        <v>40478.267359999998</v>
      </c>
      <c r="H97">
        <v>41119.299270000003</v>
      </c>
      <c r="I97">
        <v>42780.591249999998</v>
      </c>
      <c r="J97">
        <v>45246.899689999998</v>
      </c>
      <c r="K97">
        <v>45459.90382</v>
      </c>
      <c r="L97">
        <v>43934.548699999999</v>
      </c>
    </row>
    <row r="98" spans="1:12" x14ac:dyDescent="0.3">
      <c r="A98" t="s">
        <v>199</v>
      </c>
      <c r="B98">
        <v>32549.998230000001</v>
      </c>
      <c r="C98">
        <v>35142.487930000003</v>
      </c>
      <c r="D98">
        <v>36730.876700000001</v>
      </c>
      <c r="E98">
        <v>38403.777710000002</v>
      </c>
      <c r="F98">
        <v>40315.285559999997</v>
      </c>
      <c r="G98">
        <v>42431.888279999999</v>
      </c>
      <c r="H98">
        <v>43731.106820000001</v>
      </c>
      <c r="I98">
        <v>46165.856509999998</v>
      </c>
      <c r="J98">
        <v>48542.68187</v>
      </c>
      <c r="K98">
        <v>48354.47337</v>
      </c>
      <c r="L98">
        <v>46323.863440000001</v>
      </c>
    </row>
    <row r="99" spans="1:12" x14ac:dyDescent="0.3">
      <c r="A99" t="s">
        <v>200</v>
      </c>
      <c r="B99">
        <v>1891.1585889999999</v>
      </c>
      <c r="C99">
        <v>2073.9043700000002</v>
      </c>
      <c r="D99">
        <v>2129.5214390000001</v>
      </c>
      <c r="E99">
        <v>2088.0972059999999</v>
      </c>
      <c r="F99">
        <v>2190.653139</v>
      </c>
      <c r="G99">
        <v>2286.2030370000002</v>
      </c>
      <c r="H99">
        <v>2326.297278</v>
      </c>
      <c r="I99">
        <v>2436.671636</v>
      </c>
      <c r="J99">
        <v>2492.8689680000002</v>
      </c>
      <c r="K99">
        <v>2556.4568909999998</v>
      </c>
      <c r="L99">
        <v>2389.0124310000001</v>
      </c>
    </row>
    <row r="100" spans="1:12" x14ac:dyDescent="0.3">
      <c r="A100" t="s">
        <v>201</v>
      </c>
      <c r="B100">
        <v>808.89111349999996</v>
      </c>
      <c r="C100">
        <v>871.56561750000003</v>
      </c>
      <c r="D100">
        <v>877.22978109999997</v>
      </c>
      <c r="E100">
        <v>957.30262990000006</v>
      </c>
      <c r="F100">
        <v>984.87183960000004</v>
      </c>
      <c r="G100">
        <v>919.24726429999998</v>
      </c>
      <c r="H100">
        <v>905.34377110000003</v>
      </c>
      <c r="I100">
        <v>948.73899830000005</v>
      </c>
      <c r="J100">
        <v>984.86052380000001</v>
      </c>
      <c r="K100">
        <v>985.18628379999996</v>
      </c>
      <c r="L100">
        <v>968.6904998</v>
      </c>
    </row>
    <row r="101" spans="1:12" x14ac:dyDescent="0.3">
      <c r="A101" t="s">
        <v>202</v>
      </c>
      <c r="B101">
        <v>14067.52312</v>
      </c>
      <c r="C101">
        <v>14757.180340000001</v>
      </c>
      <c r="D101">
        <v>13401.65662</v>
      </c>
      <c r="E101">
        <v>13837.73164</v>
      </c>
      <c r="F101">
        <v>13762.372859999999</v>
      </c>
      <c r="G101">
        <v>11933.37738</v>
      </c>
      <c r="H101">
        <v>12527.73986</v>
      </c>
      <c r="I101">
        <v>13629.28959</v>
      </c>
      <c r="J101">
        <v>15227.560100000001</v>
      </c>
      <c r="K101">
        <v>15311.766900000001</v>
      </c>
      <c r="L101">
        <v>14132.486559999999</v>
      </c>
    </row>
    <row r="102" spans="1:12" x14ac:dyDescent="0.3">
      <c r="A102" t="s">
        <v>203</v>
      </c>
      <c r="B102">
        <v>1191.9726639999999</v>
      </c>
      <c r="C102">
        <v>1287.9546499999999</v>
      </c>
      <c r="D102">
        <v>1337.3359459999999</v>
      </c>
      <c r="E102">
        <v>1432.837618</v>
      </c>
      <c r="F102">
        <v>1435.1364699999999</v>
      </c>
      <c r="G102">
        <v>1386.8541909999999</v>
      </c>
      <c r="H102">
        <v>1290.380508</v>
      </c>
      <c r="I102">
        <v>1369.0637340000001</v>
      </c>
      <c r="J102">
        <v>1479.3458270000001</v>
      </c>
      <c r="K102">
        <v>1312.770636</v>
      </c>
      <c r="L102">
        <v>1272.367992</v>
      </c>
    </row>
    <row r="103" spans="1:12" x14ac:dyDescent="0.3">
      <c r="A103" t="s">
        <v>204</v>
      </c>
      <c r="B103">
        <v>13223.083000000001</v>
      </c>
      <c r="C103">
        <v>14240.2575</v>
      </c>
      <c r="D103">
        <v>12989.18028</v>
      </c>
      <c r="E103">
        <v>13719.95054</v>
      </c>
      <c r="F103">
        <v>14298.83367</v>
      </c>
      <c r="G103">
        <v>12720.712020000001</v>
      </c>
      <c r="H103">
        <v>13107.377909999999</v>
      </c>
      <c r="I103">
        <v>14623.69665</v>
      </c>
      <c r="J103">
        <v>16427.372759999998</v>
      </c>
      <c r="K103">
        <v>16735.659780000002</v>
      </c>
      <c r="L103">
        <v>15980.10823</v>
      </c>
    </row>
    <row r="104" spans="1:12" x14ac:dyDescent="0.3">
      <c r="A104" t="s">
        <v>205</v>
      </c>
      <c r="B104">
        <v>4533.330688</v>
      </c>
      <c r="C104">
        <v>5298.859254</v>
      </c>
      <c r="D104">
        <v>5574.1137230000004</v>
      </c>
      <c r="E104">
        <v>5827.1016289999998</v>
      </c>
      <c r="F104">
        <v>5963.1506010000003</v>
      </c>
      <c r="G104">
        <v>5534.6785659999996</v>
      </c>
      <c r="H104">
        <v>5526.6538849999997</v>
      </c>
      <c r="I104">
        <v>6042.9814930000002</v>
      </c>
      <c r="J104">
        <v>6366.5626730000004</v>
      </c>
      <c r="K104">
        <v>6461.3345449999997</v>
      </c>
      <c r="L104">
        <v>6149.4628860000003</v>
      </c>
    </row>
    <row r="105" spans="1:12" x14ac:dyDescent="0.3">
      <c r="A105" t="s">
        <v>206</v>
      </c>
      <c r="B105">
        <v>3752.443033</v>
      </c>
      <c r="C105">
        <v>4322.6390700000002</v>
      </c>
      <c r="D105">
        <v>4532.1691929999997</v>
      </c>
      <c r="E105">
        <v>4733.5634749999999</v>
      </c>
      <c r="F105">
        <v>4841.1219099999998</v>
      </c>
      <c r="G105">
        <v>4494.1643750000003</v>
      </c>
      <c r="H105">
        <v>4461.2465300000003</v>
      </c>
      <c r="I105">
        <v>4840.4653319999998</v>
      </c>
      <c r="J105">
        <v>5080.8757489999998</v>
      </c>
      <c r="K105">
        <v>5144.3453380000001</v>
      </c>
      <c r="L105">
        <v>4891.1476270000003</v>
      </c>
    </row>
    <row r="106" spans="1:12" x14ac:dyDescent="0.3">
      <c r="A106" t="s">
        <v>207</v>
      </c>
      <c r="B106">
        <v>1220.8250829999999</v>
      </c>
      <c r="C106">
        <v>1197.321062</v>
      </c>
      <c r="D106">
        <v>1235.8922170000001</v>
      </c>
      <c r="E106">
        <v>1315.0194530000001</v>
      </c>
      <c r="F106">
        <v>1375.9443510000001</v>
      </c>
      <c r="G106">
        <v>1320.3670910000001</v>
      </c>
      <c r="H106">
        <v>1253.714436</v>
      </c>
      <c r="I106">
        <v>1268.0899529999999</v>
      </c>
      <c r="J106">
        <v>1313.77412</v>
      </c>
      <c r="K106">
        <v>1340.3634589999999</v>
      </c>
      <c r="L106">
        <v>1310.6728169999999</v>
      </c>
    </row>
    <row r="107" spans="1:12" x14ac:dyDescent="0.3">
      <c r="A107" t="s">
        <v>208</v>
      </c>
      <c r="B107">
        <v>1556.516042</v>
      </c>
      <c r="C107">
        <v>1742.4651819999999</v>
      </c>
      <c r="D107">
        <v>1882.605861</v>
      </c>
      <c r="E107">
        <v>1997.3686049999999</v>
      </c>
      <c r="F107">
        <v>2093.6584720000001</v>
      </c>
      <c r="G107">
        <v>1972.0770869999999</v>
      </c>
      <c r="H107">
        <v>1795.2124510000001</v>
      </c>
      <c r="I107">
        <v>1723.164886</v>
      </c>
      <c r="J107">
        <v>1759.496365</v>
      </c>
      <c r="K107">
        <v>1777.8510690000001</v>
      </c>
      <c r="L107">
        <v>1674.9178710000001</v>
      </c>
    </row>
    <row r="108" spans="1:12" x14ac:dyDescent="0.3">
      <c r="A108" t="s">
        <v>209</v>
      </c>
      <c r="B108">
        <v>3122.3626730000001</v>
      </c>
      <c r="C108">
        <v>3643.047176</v>
      </c>
      <c r="D108">
        <v>3694.35934</v>
      </c>
      <c r="E108">
        <v>3623.9272409999999</v>
      </c>
      <c r="F108">
        <v>3491.637491</v>
      </c>
      <c r="G108">
        <v>3331.695115</v>
      </c>
      <c r="H108">
        <v>3562.8163340000001</v>
      </c>
      <c r="I108">
        <v>3837.5780239999999</v>
      </c>
      <c r="J108">
        <v>3893.8595780000001</v>
      </c>
      <c r="K108">
        <v>4135.2015309999997</v>
      </c>
      <c r="L108">
        <v>3869.5884270000001</v>
      </c>
    </row>
    <row r="109" spans="1:12" x14ac:dyDescent="0.3">
      <c r="A109" t="s">
        <v>210</v>
      </c>
      <c r="B109">
        <v>1053.2068830000001</v>
      </c>
      <c r="C109">
        <v>923.49973069999999</v>
      </c>
      <c r="D109">
        <v>910.29996819999997</v>
      </c>
      <c r="E109">
        <v>970.94169780000004</v>
      </c>
      <c r="F109">
        <v>1013.4902070000001</v>
      </c>
      <c r="G109">
        <v>990.84573939999996</v>
      </c>
      <c r="H109">
        <v>979.68754479999996</v>
      </c>
      <c r="I109">
        <v>1037.6895870000001</v>
      </c>
      <c r="J109">
        <v>1088.0724740000001</v>
      </c>
      <c r="K109">
        <v>1118.853957</v>
      </c>
      <c r="L109">
        <v>1126.929433</v>
      </c>
    </row>
    <row r="110" spans="1:12" x14ac:dyDescent="0.3">
      <c r="A110" t="s">
        <v>211</v>
      </c>
      <c r="B110">
        <v>69767.343359999999</v>
      </c>
      <c r="C110">
        <v>77349.22524</v>
      </c>
      <c r="D110">
        <v>79148.332250000007</v>
      </c>
      <c r="E110">
        <v>83357.132679999995</v>
      </c>
      <c r="F110">
        <v>92334.646309999996</v>
      </c>
      <c r="G110">
        <v>85126.97047</v>
      </c>
      <c r="H110">
        <v>82197.126770000003</v>
      </c>
      <c r="I110">
        <v>83477.834289999999</v>
      </c>
      <c r="J110">
        <v>89112.667719999998</v>
      </c>
      <c r="K110">
        <v>86481.552590000007</v>
      </c>
    </row>
    <row r="111" spans="1:12" x14ac:dyDescent="0.3">
      <c r="A111" t="s">
        <v>212</v>
      </c>
      <c r="B111">
        <v>1357.563727</v>
      </c>
      <c r="C111">
        <v>1458.1040660000001</v>
      </c>
      <c r="D111">
        <v>1443.882435</v>
      </c>
      <c r="E111">
        <v>1449.610451</v>
      </c>
      <c r="F111">
        <v>1573.885642</v>
      </c>
      <c r="G111">
        <v>1605.6054449999999</v>
      </c>
      <c r="H111">
        <v>1732.5542419999999</v>
      </c>
      <c r="I111">
        <v>1980.6670200000001</v>
      </c>
      <c r="J111">
        <v>1996.9150870000001</v>
      </c>
      <c r="K111">
        <v>2100.7514609999998</v>
      </c>
      <c r="L111">
        <v>1927.707823</v>
      </c>
    </row>
    <row r="112" spans="1:12" x14ac:dyDescent="0.3">
      <c r="A112" t="s">
        <v>213</v>
      </c>
    </row>
    <row r="113" spans="1:12" x14ac:dyDescent="0.3">
      <c r="A113" t="s">
        <v>214</v>
      </c>
      <c r="B113">
        <v>48655.366159999998</v>
      </c>
      <c r="C113">
        <v>52177.112679999998</v>
      </c>
      <c r="D113">
        <v>49026.023070000003</v>
      </c>
      <c r="E113">
        <v>51533.034570000003</v>
      </c>
      <c r="F113">
        <v>55599.8508</v>
      </c>
      <c r="G113">
        <v>62012.484929999999</v>
      </c>
      <c r="H113">
        <v>62861.63912</v>
      </c>
      <c r="I113">
        <v>69774.028969999999</v>
      </c>
      <c r="J113">
        <v>79107.604990000007</v>
      </c>
      <c r="K113">
        <v>80886.615739999994</v>
      </c>
      <c r="L113">
        <v>85422.542870000005</v>
      </c>
    </row>
    <row r="114" spans="1:12" x14ac:dyDescent="0.3">
      <c r="A114" t="s">
        <v>215</v>
      </c>
      <c r="B114">
        <v>6599.660938</v>
      </c>
      <c r="C114">
        <v>7781.4058009999999</v>
      </c>
      <c r="D114">
        <v>7927.844908</v>
      </c>
      <c r="E114">
        <v>6018.3229000000001</v>
      </c>
      <c r="F114">
        <v>5585.5256040000004</v>
      </c>
      <c r="G114">
        <v>4904.3273150000005</v>
      </c>
      <c r="H114">
        <v>5253.4265599999999</v>
      </c>
      <c r="I114">
        <v>5520.3147820000004</v>
      </c>
      <c r="J114">
        <v>3598.4834540000002</v>
      </c>
      <c r="K114">
        <v>3114.6227530000001</v>
      </c>
      <c r="L114">
        <v>2422.4806570000001</v>
      </c>
    </row>
    <row r="115" spans="1:12" x14ac:dyDescent="0.3">
      <c r="A115" t="s">
        <v>216</v>
      </c>
      <c r="B115">
        <v>4657.2802689999999</v>
      </c>
      <c r="C115">
        <v>6045.4945669999997</v>
      </c>
      <c r="D115">
        <v>6836.0739949999997</v>
      </c>
      <c r="E115">
        <v>7076.5522650000003</v>
      </c>
      <c r="F115">
        <v>6637.6843749999998</v>
      </c>
      <c r="G115">
        <v>4688.3180169999996</v>
      </c>
      <c r="H115">
        <v>4550.6586379999999</v>
      </c>
      <c r="I115">
        <v>4985.4528790000004</v>
      </c>
      <c r="J115">
        <v>5915.8508540000003</v>
      </c>
      <c r="K115">
        <v>5980.6269179999999</v>
      </c>
      <c r="L115">
        <v>4145.8629360000004</v>
      </c>
    </row>
    <row r="116" spans="1:12" x14ac:dyDescent="0.3">
      <c r="A116" t="s">
        <v>217</v>
      </c>
      <c r="B116">
        <v>43237.072950000002</v>
      </c>
      <c r="C116">
        <v>47714.592230000002</v>
      </c>
      <c r="D116">
        <v>45995.547879999998</v>
      </c>
      <c r="E116">
        <v>49804.983</v>
      </c>
      <c r="F116">
        <v>54576.744809999997</v>
      </c>
      <c r="G116">
        <v>52951.681510000002</v>
      </c>
      <c r="H116">
        <v>61987.926359999998</v>
      </c>
      <c r="I116">
        <v>72010.14903</v>
      </c>
      <c r="J116">
        <v>74469.804059999995</v>
      </c>
      <c r="K116">
        <v>68941.462230000005</v>
      </c>
      <c r="L116">
        <v>59264.034090000001</v>
      </c>
    </row>
    <row r="117" spans="1:12" x14ac:dyDescent="0.3">
      <c r="A117" t="s">
        <v>218</v>
      </c>
      <c r="B117">
        <v>30780.023819999999</v>
      </c>
      <c r="C117">
        <v>33775.512000000002</v>
      </c>
      <c r="D117">
        <v>32667.60687</v>
      </c>
      <c r="E117">
        <v>36499.456109999999</v>
      </c>
      <c r="F117">
        <v>37847.649940000003</v>
      </c>
      <c r="G117">
        <v>35808.436430000002</v>
      </c>
      <c r="H117">
        <v>37330.2618</v>
      </c>
      <c r="I117">
        <v>40774.129610000004</v>
      </c>
      <c r="J117">
        <v>42063.453130000002</v>
      </c>
      <c r="K117">
        <v>43951.247730000003</v>
      </c>
      <c r="L117">
        <v>44177.571219999998</v>
      </c>
    </row>
    <row r="118" spans="1:12" x14ac:dyDescent="0.3">
      <c r="A118" t="s">
        <v>219</v>
      </c>
      <c r="B118">
        <v>36035.644999999997</v>
      </c>
      <c r="C118">
        <v>38649.639479999998</v>
      </c>
      <c r="D118">
        <v>35051.521269999997</v>
      </c>
      <c r="E118">
        <v>35560.081409999999</v>
      </c>
      <c r="F118">
        <v>35565.721380000003</v>
      </c>
      <c r="G118">
        <v>30242.386139999999</v>
      </c>
      <c r="H118">
        <v>30960.731510000001</v>
      </c>
      <c r="I118">
        <v>32406.72032</v>
      </c>
      <c r="J118">
        <v>34622.169670000003</v>
      </c>
      <c r="K118">
        <v>33641.633750000001</v>
      </c>
      <c r="L118">
        <v>31769.96587</v>
      </c>
    </row>
    <row r="119" spans="1:12" x14ac:dyDescent="0.3">
      <c r="A119" t="s">
        <v>220</v>
      </c>
      <c r="B119">
        <v>4704.0477600000004</v>
      </c>
      <c r="C119">
        <v>5111.4659869999996</v>
      </c>
      <c r="D119">
        <v>5209.8592639999997</v>
      </c>
      <c r="E119">
        <v>4989.7340889999996</v>
      </c>
      <c r="F119">
        <v>4834.284009</v>
      </c>
      <c r="G119">
        <v>4907.9274150000001</v>
      </c>
      <c r="H119">
        <v>4843.7498999999998</v>
      </c>
      <c r="I119">
        <v>5070.0995030000004</v>
      </c>
      <c r="J119">
        <v>5359.9937890000001</v>
      </c>
      <c r="K119">
        <v>5369.4983709999997</v>
      </c>
      <c r="L119">
        <v>4664.5302419999998</v>
      </c>
    </row>
    <row r="120" spans="1:12" x14ac:dyDescent="0.3">
      <c r="A120" t="s">
        <v>221</v>
      </c>
      <c r="B120">
        <v>3736.645462</v>
      </c>
      <c r="C120">
        <v>3852.8900250000002</v>
      </c>
      <c r="D120">
        <v>3910.3468939999998</v>
      </c>
      <c r="E120">
        <v>4044.4268689999999</v>
      </c>
      <c r="F120">
        <v>4131.4473500000004</v>
      </c>
      <c r="G120">
        <v>4164.1087690000004</v>
      </c>
      <c r="H120">
        <v>4175.3566019999998</v>
      </c>
      <c r="I120">
        <v>4231.5182800000002</v>
      </c>
      <c r="J120">
        <v>4308.1510740000003</v>
      </c>
      <c r="K120">
        <v>4405.4871089999997</v>
      </c>
      <c r="L120">
        <v>4282.7658250000004</v>
      </c>
    </row>
    <row r="121" spans="1:12" x14ac:dyDescent="0.3">
      <c r="A121" t="s">
        <v>222</v>
      </c>
      <c r="B121">
        <v>44968.156230000001</v>
      </c>
      <c r="C121">
        <v>48760.078950000003</v>
      </c>
      <c r="D121">
        <v>49145.280429999999</v>
      </c>
      <c r="E121">
        <v>40898.647900000004</v>
      </c>
      <c r="F121">
        <v>38475.395250000001</v>
      </c>
      <c r="G121">
        <v>34960.639380000001</v>
      </c>
      <c r="H121">
        <v>39400.73936</v>
      </c>
      <c r="I121">
        <v>38891.08627</v>
      </c>
      <c r="J121">
        <v>39808.168559999998</v>
      </c>
      <c r="K121">
        <v>40777.608699999997</v>
      </c>
      <c r="L121">
        <v>40193.252439999997</v>
      </c>
    </row>
    <row r="122" spans="1:12" x14ac:dyDescent="0.3">
      <c r="A122" t="s">
        <v>223</v>
      </c>
      <c r="B122">
        <v>9070.4882529999995</v>
      </c>
      <c r="C122">
        <v>11634.001200000001</v>
      </c>
      <c r="D122">
        <v>12386.699269999999</v>
      </c>
      <c r="E122">
        <v>13890.63096</v>
      </c>
      <c r="F122">
        <v>12807.260689999999</v>
      </c>
      <c r="G122">
        <v>10510.77189</v>
      </c>
      <c r="H122">
        <v>7714.8418439999996</v>
      </c>
      <c r="I122">
        <v>9247.5813309999994</v>
      </c>
      <c r="J122">
        <v>9812.6263710000003</v>
      </c>
      <c r="K122">
        <v>9812.595808</v>
      </c>
      <c r="L122">
        <v>9122.2334300000002</v>
      </c>
    </row>
    <row r="123" spans="1:12" x14ac:dyDescent="0.3">
      <c r="A123" t="s">
        <v>224</v>
      </c>
      <c r="B123">
        <v>1080.296184</v>
      </c>
      <c r="C123">
        <v>1085.4871519999999</v>
      </c>
      <c r="D123">
        <v>1271.8153830000001</v>
      </c>
      <c r="E123">
        <v>1354.820833</v>
      </c>
      <c r="F123">
        <v>1462.2200519999999</v>
      </c>
      <c r="G123">
        <v>1464.554009</v>
      </c>
      <c r="H123">
        <v>1525.2351920000001</v>
      </c>
      <c r="I123">
        <v>1633.4912159999999</v>
      </c>
      <c r="J123">
        <v>1794.091175</v>
      </c>
      <c r="K123">
        <v>1912.6478669999999</v>
      </c>
      <c r="L123">
        <v>1878.5807030000001</v>
      </c>
    </row>
    <row r="124" spans="1:12" x14ac:dyDescent="0.3">
      <c r="A124" t="s">
        <v>225</v>
      </c>
      <c r="B124">
        <v>880.03777509999998</v>
      </c>
      <c r="C124">
        <v>1123.8831680000001</v>
      </c>
      <c r="D124">
        <v>1177.974735</v>
      </c>
      <c r="E124">
        <v>1282.4371619999999</v>
      </c>
      <c r="F124">
        <v>1279.769783</v>
      </c>
      <c r="G124">
        <v>1121.0828349999999</v>
      </c>
      <c r="H124">
        <v>1120.6665129999999</v>
      </c>
      <c r="I124">
        <v>1242.7696430000001</v>
      </c>
      <c r="J124">
        <v>1308.140165</v>
      </c>
      <c r="K124">
        <v>1374.032105</v>
      </c>
      <c r="L124">
        <v>1175.6981519999999</v>
      </c>
    </row>
    <row r="125" spans="1:12" x14ac:dyDescent="0.3">
      <c r="A125" t="s">
        <v>226</v>
      </c>
      <c r="B125">
        <v>785.50266710000005</v>
      </c>
      <c r="C125">
        <v>882.27561400000002</v>
      </c>
      <c r="D125">
        <v>950.88034600000003</v>
      </c>
      <c r="E125">
        <v>1013.420536</v>
      </c>
      <c r="F125">
        <v>1093.4959759999999</v>
      </c>
      <c r="G125">
        <v>1162.9049950000001</v>
      </c>
      <c r="H125">
        <v>1269.5914990000001</v>
      </c>
      <c r="I125">
        <v>1385.2600660000001</v>
      </c>
      <c r="J125">
        <v>1512.1269890000001</v>
      </c>
      <c r="K125">
        <v>1643.1213889999999</v>
      </c>
      <c r="L125">
        <v>1543.6692579999999</v>
      </c>
    </row>
    <row r="126" spans="1:12" x14ac:dyDescent="0.3">
      <c r="A126" t="s">
        <v>227</v>
      </c>
      <c r="B126">
        <v>1516.76323</v>
      </c>
      <c r="C126">
        <v>1734.9038390000001</v>
      </c>
      <c r="D126">
        <v>1788.6914389999999</v>
      </c>
      <c r="E126">
        <v>1715.8143210000001</v>
      </c>
      <c r="F126">
        <v>1642.820129</v>
      </c>
      <c r="G126">
        <v>1542.6164650000001</v>
      </c>
      <c r="H126">
        <v>1584.7380149999999</v>
      </c>
      <c r="I126">
        <v>1640.571205</v>
      </c>
      <c r="J126">
        <v>1727.8450009999999</v>
      </c>
      <c r="K126">
        <v>1601.8618690000001</v>
      </c>
      <c r="L126">
        <v>1653.540297</v>
      </c>
    </row>
    <row r="127" spans="1:12" x14ac:dyDescent="0.3">
      <c r="A127" t="s">
        <v>228</v>
      </c>
      <c r="B127">
        <v>15510.19915</v>
      </c>
      <c r="C127">
        <v>16539.76901</v>
      </c>
      <c r="D127">
        <v>16046.486940000001</v>
      </c>
      <c r="E127">
        <v>16685.94759</v>
      </c>
      <c r="F127">
        <v>18051.179029999999</v>
      </c>
      <c r="G127">
        <v>18028.973429999998</v>
      </c>
      <c r="H127">
        <v>19541.127830000001</v>
      </c>
      <c r="I127">
        <v>20384.747879999999</v>
      </c>
      <c r="J127">
        <v>20567.499110000001</v>
      </c>
      <c r="K127">
        <v>22046.689910000001</v>
      </c>
      <c r="L127">
        <v>18437.748920000002</v>
      </c>
    </row>
    <row r="128" spans="1:12" x14ac:dyDescent="0.3">
      <c r="A128" t="s">
        <v>229</v>
      </c>
      <c r="B128">
        <v>23087.225640000001</v>
      </c>
      <c r="C128">
        <v>25096.263879999999</v>
      </c>
      <c r="D128">
        <v>25466.76052</v>
      </c>
      <c r="E128">
        <v>27182.73431</v>
      </c>
      <c r="F128">
        <v>29249.575219999999</v>
      </c>
      <c r="G128">
        <v>28732.231080000001</v>
      </c>
      <c r="H128">
        <v>29288.870439999999</v>
      </c>
      <c r="I128">
        <v>31616.843400000002</v>
      </c>
      <c r="J128">
        <v>33436.923060000001</v>
      </c>
      <c r="K128">
        <v>31902.4169</v>
      </c>
      <c r="L128">
        <v>31597.504649999999</v>
      </c>
    </row>
    <row r="129" spans="1:12" x14ac:dyDescent="0.3">
      <c r="A129" t="s">
        <v>230</v>
      </c>
      <c r="B129">
        <v>38577.49828</v>
      </c>
      <c r="C129">
        <v>48631.7834</v>
      </c>
      <c r="D129">
        <v>51979.120690000003</v>
      </c>
      <c r="E129">
        <v>49388.053379999998</v>
      </c>
      <c r="F129">
        <v>44062.340909999999</v>
      </c>
      <c r="G129">
        <v>29869.552749999999</v>
      </c>
      <c r="H129">
        <v>27653.157620000002</v>
      </c>
      <c r="I129">
        <v>29759.46747</v>
      </c>
      <c r="J129">
        <v>33399.060440000001</v>
      </c>
      <c r="K129">
        <v>32373.251120000001</v>
      </c>
      <c r="L129">
        <v>24811.76971</v>
      </c>
    </row>
    <row r="130" spans="1:12" x14ac:dyDescent="0.3">
      <c r="A130" t="s">
        <v>231</v>
      </c>
      <c r="B130">
        <v>8504.5756569999994</v>
      </c>
      <c r="C130">
        <v>9820.7210790000008</v>
      </c>
      <c r="D130">
        <v>9674.2311559999998</v>
      </c>
      <c r="E130">
        <v>9829.893489</v>
      </c>
      <c r="F130">
        <v>9776.3465429999997</v>
      </c>
      <c r="G130">
        <v>8240.8145010000007</v>
      </c>
      <c r="H130">
        <v>7930.9019150000004</v>
      </c>
      <c r="I130">
        <v>8744.9951720000008</v>
      </c>
      <c r="J130">
        <v>8408.1746980000007</v>
      </c>
      <c r="K130">
        <v>8226.2363239999995</v>
      </c>
      <c r="L130">
        <v>6779.1997170000004</v>
      </c>
    </row>
    <row r="131" spans="1:12" x14ac:dyDescent="0.3">
      <c r="A131" t="s">
        <v>232</v>
      </c>
      <c r="B131">
        <v>1141.2357030000001</v>
      </c>
      <c r="C131">
        <v>1378.4984919999999</v>
      </c>
      <c r="D131">
        <v>1581.62871</v>
      </c>
      <c r="E131">
        <v>1831.9369160000001</v>
      </c>
      <c r="F131">
        <v>1999.9582029999999</v>
      </c>
      <c r="G131">
        <v>2140.0443230000001</v>
      </c>
      <c r="H131">
        <v>2324.4009169999999</v>
      </c>
      <c r="I131">
        <v>2455.2115589999999</v>
      </c>
      <c r="J131">
        <v>2569.0938919999999</v>
      </c>
      <c r="K131">
        <v>2635.8000149999998</v>
      </c>
      <c r="L131">
        <v>2629.7145829999999</v>
      </c>
    </row>
    <row r="132" spans="1:12" x14ac:dyDescent="0.3">
      <c r="A132" t="s">
        <v>233</v>
      </c>
      <c r="B132">
        <v>7761.6414889999996</v>
      </c>
      <c r="C132">
        <v>7675.3089399999999</v>
      </c>
      <c r="D132">
        <v>7952.1512659999999</v>
      </c>
      <c r="E132">
        <v>7933.2333200000003</v>
      </c>
      <c r="F132">
        <v>7687.7593360000001</v>
      </c>
      <c r="G132">
        <v>7663.9202320000004</v>
      </c>
      <c r="H132">
        <v>7653.7336299999997</v>
      </c>
      <c r="I132">
        <v>7819.6046699999997</v>
      </c>
      <c r="J132">
        <v>8058.4443369999999</v>
      </c>
      <c r="K132">
        <v>7578.1723679999996</v>
      </c>
      <c r="L132">
        <v>4649.547646</v>
      </c>
    </row>
    <row r="133" spans="1:12" x14ac:dyDescent="0.3">
      <c r="A133" t="s">
        <v>234</v>
      </c>
      <c r="B133">
        <v>513.44556669999997</v>
      </c>
      <c r="C133">
        <v>596.89663529999996</v>
      </c>
      <c r="D133">
        <v>675.01019180000003</v>
      </c>
      <c r="E133">
        <v>747.86866010000006</v>
      </c>
      <c r="F133">
        <v>739.91193499999997</v>
      </c>
      <c r="G133">
        <v>721.58105049999995</v>
      </c>
      <c r="H133">
        <v>740.91490599999997</v>
      </c>
      <c r="I133">
        <v>721.08504400000004</v>
      </c>
      <c r="J133">
        <v>710.26599839999994</v>
      </c>
      <c r="K133">
        <v>672.34049919999995</v>
      </c>
      <c r="L133">
        <v>632.93638559999999</v>
      </c>
    </row>
    <row r="134" spans="1:12" x14ac:dyDescent="0.3">
      <c r="A134" t="s">
        <v>235</v>
      </c>
      <c r="B134">
        <v>12064.77291</v>
      </c>
      <c r="C134">
        <v>5554.180053</v>
      </c>
      <c r="D134">
        <v>13025.27932</v>
      </c>
      <c r="E134">
        <v>10363.804249999999</v>
      </c>
      <c r="F134">
        <v>6466.9082369999996</v>
      </c>
      <c r="G134">
        <v>4337.9191389999996</v>
      </c>
      <c r="H134">
        <v>4035.1968019999999</v>
      </c>
      <c r="I134">
        <v>5756.6993249999996</v>
      </c>
      <c r="J134">
        <v>7877.1246099999998</v>
      </c>
      <c r="K134">
        <v>7685.9481320000004</v>
      </c>
      <c r="L134">
        <v>3699.2947650000001</v>
      </c>
    </row>
    <row r="135" spans="1:12" x14ac:dyDescent="0.3">
      <c r="A135" t="s">
        <v>236</v>
      </c>
      <c r="B135">
        <v>8540.0709800000004</v>
      </c>
      <c r="C135">
        <v>8983.7437329999993</v>
      </c>
      <c r="D135">
        <v>9086.3879550000001</v>
      </c>
      <c r="E135">
        <v>9378.9850470000001</v>
      </c>
      <c r="F135">
        <v>9843.3085339999998</v>
      </c>
      <c r="G135">
        <v>10093.61802</v>
      </c>
      <c r="H135">
        <v>10362.35166</v>
      </c>
      <c r="I135">
        <v>11034.629849999999</v>
      </c>
      <c r="J135">
        <v>11353.71521</v>
      </c>
      <c r="K135">
        <v>11591.080480000001</v>
      </c>
      <c r="L135">
        <v>8804.5610479999996</v>
      </c>
    </row>
    <row r="136" spans="1:12" x14ac:dyDescent="0.3">
      <c r="A136" t="s">
        <v>237</v>
      </c>
      <c r="B136">
        <v>9074.4725089999993</v>
      </c>
      <c r="C136">
        <v>10203.753129999999</v>
      </c>
      <c r="D136">
        <v>10198.047989999999</v>
      </c>
      <c r="E136">
        <v>10340.076069999999</v>
      </c>
      <c r="F136">
        <v>10433.36483</v>
      </c>
      <c r="G136">
        <v>8630.8556900000003</v>
      </c>
      <c r="H136">
        <v>8352.0562229999996</v>
      </c>
      <c r="I136">
        <v>9188.2100300000002</v>
      </c>
      <c r="J136">
        <v>8905.5779860000002</v>
      </c>
      <c r="K136">
        <v>8705.1053150000007</v>
      </c>
      <c r="L136">
        <v>7243.6717769999996</v>
      </c>
    </row>
    <row r="137" spans="1:12" x14ac:dyDescent="0.3">
      <c r="A137" t="s">
        <v>238</v>
      </c>
      <c r="B137">
        <v>804.73121849999995</v>
      </c>
      <c r="C137">
        <v>905.70115529999998</v>
      </c>
      <c r="D137">
        <v>929.64139179999995</v>
      </c>
      <c r="E137">
        <v>995.08993080000005</v>
      </c>
      <c r="F137">
        <v>1047.4647749999999</v>
      </c>
      <c r="G137">
        <v>1004.877618</v>
      </c>
      <c r="H137">
        <v>971.22060429999999</v>
      </c>
      <c r="I137">
        <v>1039.0059409999999</v>
      </c>
      <c r="J137">
        <v>1052.4096850000001</v>
      </c>
      <c r="K137">
        <v>1070.989965</v>
      </c>
      <c r="L137">
        <v>1053.224833</v>
      </c>
    </row>
    <row r="138" spans="1:12" x14ac:dyDescent="0.3">
      <c r="A138" t="s">
        <v>239</v>
      </c>
      <c r="B138">
        <v>1125.394877</v>
      </c>
      <c r="C138">
        <v>765.851899</v>
      </c>
      <c r="D138">
        <v>710.35431459999995</v>
      </c>
      <c r="E138">
        <v>712.42309390000003</v>
      </c>
      <c r="F138">
        <v>744.4299767</v>
      </c>
      <c r="G138">
        <v>715.93374010000002</v>
      </c>
      <c r="H138">
        <v>646.10463609999999</v>
      </c>
      <c r="I138">
        <v>665.30245409999998</v>
      </c>
      <c r="J138">
        <v>674.35060309999994</v>
      </c>
      <c r="K138">
        <v>692.17528119999997</v>
      </c>
      <c r="L138">
        <v>691.16833280000003</v>
      </c>
    </row>
    <row r="139" spans="1:12" x14ac:dyDescent="0.3">
      <c r="A139" t="s">
        <v>240</v>
      </c>
      <c r="B139">
        <v>141192.53469999999</v>
      </c>
      <c r="C139">
        <v>158130.45749999999</v>
      </c>
      <c r="D139">
        <v>149010.2249</v>
      </c>
      <c r="E139">
        <v>173030.2083</v>
      </c>
      <c r="F139">
        <v>178864.85190000001</v>
      </c>
      <c r="G139">
        <v>167313.26629999999</v>
      </c>
      <c r="H139">
        <v>165642.38630000001</v>
      </c>
      <c r="I139">
        <v>171253.96429999999</v>
      </c>
      <c r="J139">
        <v>180366.71520000001</v>
      </c>
      <c r="K139">
        <v>175813.8756</v>
      </c>
    </row>
    <row r="140" spans="1:12" x14ac:dyDescent="0.3">
      <c r="A140" t="s">
        <v>241</v>
      </c>
      <c r="B140">
        <v>2799.6487379999999</v>
      </c>
      <c r="C140">
        <v>3200.861132</v>
      </c>
      <c r="D140">
        <v>3350.5218759999998</v>
      </c>
      <c r="E140">
        <v>3610.2893629999999</v>
      </c>
      <c r="F140">
        <v>3819.25353</v>
      </c>
      <c r="G140">
        <v>3843.7806719999999</v>
      </c>
      <c r="H140">
        <v>3886.291502</v>
      </c>
      <c r="I140">
        <v>4077.0438410000002</v>
      </c>
      <c r="J140">
        <v>4059.2082300000002</v>
      </c>
      <c r="K140">
        <v>3852.2656029999998</v>
      </c>
      <c r="L140">
        <v>3680.6734769999998</v>
      </c>
    </row>
    <row r="141" spans="1:12" x14ac:dyDescent="0.3">
      <c r="A141" t="s">
        <v>242</v>
      </c>
      <c r="B141">
        <v>1806.5425479999999</v>
      </c>
      <c r="C141">
        <v>2030.2758349999999</v>
      </c>
      <c r="D141">
        <v>2098.9344160000001</v>
      </c>
      <c r="E141">
        <v>2105.3101539999998</v>
      </c>
      <c r="F141">
        <v>2157.0879890000001</v>
      </c>
      <c r="G141">
        <v>2081.0185350000002</v>
      </c>
      <c r="H141">
        <v>2139.5395330000001</v>
      </c>
      <c r="I141">
        <v>2268.4241670000001</v>
      </c>
      <c r="J141">
        <v>2267.546848</v>
      </c>
      <c r="K141">
        <v>2354.5787249999998</v>
      </c>
      <c r="L141">
        <v>2217.2226730000002</v>
      </c>
    </row>
    <row r="142" spans="1:12" x14ac:dyDescent="0.3">
      <c r="A142" t="s">
        <v>243</v>
      </c>
      <c r="B142">
        <v>3590.1990510000001</v>
      </c>
      <c r="C142">
        <v>4166.144593</v>
      </c>
      <c r="D142">
        <v>4372.9302289999996</v>
      </c>
      <c r="E142">
        <v>4573.9890210000003</v>
      </c>
      <c r="F142">
        <v>4666.5415400000002</v>
      </c>
      <c r="G142">
        <v>4371.2867489999999</v>
      </c>
      <c r="H142">
        <v>4339.3479509999997</v>
      </c>
      <c r="I142">
        <v>4705.5964059999997</v>
      </c>
      <c r="J142">
        <v>4933.137291</v>
      </c>
      <c r="K142">
        <v>4999.9852760000003</v>
      </c>
      <c r="L142">
        <v>4754.8429379999998</v>
      </c>
    </row>
    <row r="143" spans="1:12" x14ac:dyDescent="0.3">
      <c r="A143" t="s">
        <v>244</v>
      </c>
      <c r="B143">
        <v>1119.8436409999999</v>
      </c>
      <c r="C143">
        <v>1287.269536</v>
      </c>
      <c r="D143">
        <v>1229.6362320000001</v>
      </c>
      <c r="E143">
        <v>1166.911756</v>
      </c>
      <c r="F143">
        <v>1194.5756269999999</v>
      </c>
      <c r="G143">
        <v>1146.0646879999999</v>
      </c>
      <c r="H143">
        <v>1018.931093</v>
      </c>
      <c r="I143">
        <v>1102.9444100000001</v>
      </c>
      <c r="J143">
        <v>1192.48432</v>
      </c>
      <c r="K143">
        <v>1113.3721399999999</v>
      </c>
      <c r="L143">
        <v>875.353433</v>
      </c>
    </row>
    <row r="144" spans="1:12" x14ac:dyDescent="0.3">
      <c r="A144" t="s">
        <v>245</v>
      </c>
      <c r="B144">
        <v>6195.1789049999998</v>
      </c>
      <c r="C144">
        <v>7501.0097210000004</v>
      </c>
      <c r="D144">
        <v>7966.7723690000003</v>
      </c>
      <c r="E144">
        <v>8525.57071</v>
      </c>
      <c r="F144">
        <v>8790.0162970000001</v>
      </c>
      <c r="G144">
        <v>8188.3336289999997</v>
      </c>
      <c r="H144">
        <v>8156.9230900000002</v>
      </c>
      <c r="I144">
        <v>8993.1530770000008</v>
      </c>
      <c r="J144">
        <v>9805.6857510000009</v>
      </c>
      <c r="K144">
        <v>9945.1726120000003</v>
      </c>
      <c r="L144">
        <v>9683.4940939999997</v>
      </c>
    </row>
    <row r="145" spans="1:12" x14ac:dyDescent="0.3">
      <c r="A145" t="s">
        <v>246</v>
      </c>
      <c r="B145">
        <v>11987.50841</v>
      </c>
      <c r="C145">
        <v>14376.94786</v>
      </c>
      <c r="D145">
        <v>14367.709419999999</v>
      </c>
      <c r="E145">
        <v>15729.652470000001</v>
      </c>
      <c r="F145">
        <v>16551.018199999999</v>
      </c>
      <c r="G145">
        <v>14263.96458</v>
      </c>
      <c r="H145">
        <v>15008.313239999999</v>
      </c>
      <c r="I145">
        <v>16885.40739</v>
      </c>
      <c r="J145">
        <v>19186.181280000001</v>
      </c>
      <c r="K145">
        <v>19575.768479999999</v>
      </c>
      <c r="L145">
        <v>20232.302039999999</v>
      </c>
    </row>
    <row r="146" spans="1:12" x14ac:dyDescent="0.3">
      <c r="A146" t="s">
        <v>247</v>
      </c>
      <c r="B146">
        <v>110885.9914</v>
      </c>
      <c r="C146">
        <v>119025.0572</v>
      </c>
      <c r="D146">
        <v>112584.67630000001</v>
      </c>
      <c r="E146">
        <v>120000.1407</v>
      </c>
      <c r="F146">
        <v>123678.70209999999</v>
      </c>
      <c r="G146">
        <v>105462.0126</v>
      </c>
      <c r="H146">
        <v>106899.2935</v>
      </c>
      <c r="I146">
        <v>110193.2138</v>
      </c>
      <c r="J146">
        <v>117254.7404</v>
      </c>
      <c r="K146">
        <v>113218.7133</v>
      </c>
      <c r="L146">
        <v>116356.158</v>
      </c>
    </row>
    <row r="147" spans="1:12" x14ac:dyDescent="0.3">
      <c r="A147" t="s">
        <v>248</v>
      </c>
      <c r="B147">
        <v>11420.994000000001</v>
      </c>
      <c r="C147">
        <v>13338.962240000001</v>
      </c>
      <c r="D147">
        <v>13847.337939999999</v>
      </c>
      <c r="E147">
        <v>15007.49186</v>
      </c>
      <c r="F147">
        <v>15742.39134</v>
      </c>
      <c r="G147">
        <v>13786.4568</v>
      </c>
      <c r="H147">
        <v>14331.75159</v>
      </c>
      <c r="I147">
        <v>15695.11515</v>
      </c>
      <c r="J147">
        <v>17865.03109</v>
      </c>
      <c r="K147">
        <v>17926.84159</v>
      </c>
      <c r="L147">
        <v>17736.50375</v>
      </c>
    </row>
    <row r="148" spans="1:12" x14ac:dyDescent="0.3">
      <c r="A148" t="s">
        <v>249</v>
      </c>
      <c r="B148">
        <v>52473.190990000003</v>
      </c>
      <c r="C148">
        <v>66891.281969999996</v>
      </c>
      <c r="D148">
        <v>76572.151790000004</v>
      </c>
      <c r="E148">
        <v>89260.757100000003</v>
      </c>
      <c r="F148">
        <v>93022.875140000004</v>
      </c>
      <c r="G148">
        <v>74818.948130000004</v>
      </c>
      <c r="H148">
        <v>73545.758239999996</v>
      </c>
      <c r="I148">
        <v>81019.473769999997</v>
      </c>
      <c r="J148">
        <v>87526.079989999998</v>
      </c>
      <c r="K148">
        <v>86197.365690000006</v>
      </c>
      <c r="L148">
        <v>39403.135909999997</v>
      </c>
    </row>
    <row r="149" spans="1:12" x14ac:dyDescent="0.3">
      <c r="A149" t="s">
        <v>250</v>
      </c>
    </row>
    <row r="150" spans="1:12" x14ac:dyDescent="0.3">
      <c r="A150" t="s">
        <v>251</v>
      </c>
      <c r="B150">
        <v>2839.9261200000001</v>
      </c>
      <c r="C150">
        <v>3046.947854</v>
      </c>
      <c r="D150">
        <v>2912.6582749999998</v>
      </c>
      <c r="E150">
        <v>3121.680081</v>
      </c>
      <c r="F150">
        <v>3171.699192</v>
      </c>
      <c r="G150">
        <v>2875.2579850000002</v>
      </c>
      <c r="H150">
        <v>2896.7221960000002</v>
      </c>
      <c r="I150">
        <v>3035.4544329999999</v>
      </c>
      <c r="J150">
        <v>3226.982794</v>
      </c>
      <c r="K150">
        <v>3235.0006600000002</v>
      </c>
      <c r="L150">
        <v>3058.6916890000002</v>
      </c>
    </row>
    <row r="151" spans="1:12" x14ac:dyDescent="0.3">
      <c r="A151" t="s">
        <v>252</v>
      </c>
      <c r="B151">
        <v>150737.89249999999</v>
      </c>
      <c r="C151">
        <v>169016.1961</v>
      </c>
      <c r="D151">
        <v>157520.2194</v>
      </c>
      <c r="E151">
        <v>177673.74540000001</v>
      </c>
      <c r="F151">
        <v>189432.37</v>
      </c>
      <c r="G151">
        <v>165989.50510000001</v>
      </c>
      <c r="H151">
        <v>170028.6557</v>
      </c>
      <c r="I151">
        <v>167517.05970000001</v>
      </c>
      <c r="J151">
        <v>185978.60930000001</v>
      </c>
      <c r="K151">
        <v>189487.1471</v>
      </c>
      <c r="L151">
        <v>173688.1894</v>
      </c>
    </row>
    <row r="152" spans="1:12" x14ac:dyDescent="0.3">
      <c r="A152" t="s">
        <v>253</v>
      </c>
      <c r="B152">
        <v>2437.529978</v>
      </c>
      <c r="C152">
        <v>2942.2559489999999</v>
      </c>
      <c r="D152">
        <v>3045.7398739999999</v>
      </c>
      <c r="E152">
        <v>3322.0384359999998</v>
      </c>
      <c r="F152">
        <v>3328.801449</v>
      </c>
      <c r="G152">
        <v>2732.4571129999999</v>
      </c>
      <c r="H152">
        <v>2880.4392809999999</v>
      </c>
      <c r="I152">
        <v>3509.6934500000002</v>
      </c>
      <c r="J152">
        <v>4230.3630370000001</v>
      </c>
      <c r="K152">
        <v>4491.6888269999999</v>
      </c>
      <c r="L152">
        <v>4547.0597209999996</v>
      </c>
    </row>
    <row r="153" spans="1:12" x14ac:dyDescent="0.3">
      <c r="A153" t="s">
        <v>254</v>
      </c>
      <c r="B153">
        <v>471.9592116</v>
      </c>
      <c r="C153">
        <v>531.2654321</v>
      </c>
      <c r="D153">
        <v>518.15281270000003</v>
      </c>
      <c r="E153">
        <v>541.06594370000005</v>
      </c>
      <c r="F153">
        <v>530.86103890000004</v>
      </c>
      <c r="G153">
        <v>467.23543160000003</v>
      </c>
      <c r="H153">
        <v>475.95555680000001</v>
      </c>
      <c r="I153">
        <v>515.29332339999996</v>
      </c>
      <c r="J153">
        <v>523.94597139999996</v>
      </c>
      <c r="K153">
        <v>522.98952429999997</v>
      </c>
      <c r="L153">
        <v>471.49149629999999</v>
      </c>
    </row>
    <row r="154" spans="1:12" x14ac:dyDescent="0.3">
      <c r="A154" t="s">
        <v>255</v>
      </c>
      <c r="B154">
        <v>7076.7398210000001</v>
      </c>
      <c r="C154">
        <v>7291.4659670000001</v>
      </c>
      <c r="D154">
        <v>7265.7233990000004</v>
      </c>
      <c r="E154">
        <v>7928.4764429999996</v>
      </c>
      <c r="F154">
        <v>8499.3071479999999</v>
      </c>
      <c r="G154">
        <v>9033.4102700000003</v>
      </c>
      <c r="H154">
        <v>9209.4435639999992</v>
      </c>
      <c r="I154">
        <v>9577.3469459999997</v>
      </c>
      <c r="J154">
        <v>10279.07998</v>
      </c>
      <c r="K154">
        <v>10561.613509999999</v>
      </c>
      <c r="L154">
        <v>6924.1057449999998</v>
      </c>
    </row>
    <row r="155" spans="1:12" x14ac:dyDescent="0.3">
      <c r="A155" t="s">
        <v>256</v>
      </c>
      <c r="B155">
        <v>7702.3067350000001</v>
      </c>
      <c r="C155">
        <v>8345.3350219999993</v>
      </c>
      <c r="D155">
        <v>8850.0642480000006</v>
      </c>
      <c r="E155">
        <v>8558.3451879999993</v>
      </c>
      <c r="F155">
        <v>8433.7223770000001</v>
      </c>
      <c r="G155">
        <v>7269.4959159999999</v>
      </c>
      <c r="H155">
        <v>7161.0331370000004</v>
      </c>
      <c r="I155">
        <v>7309.1427199999998</v>
      </c>
      <c r="J155">
        <v>7502.1767879999998</v>
      </c>
      <c r="K155">
        <v>7458.0227359999999</v>
      </c>
      <c r="L155">
        <v>6534.5609439999998</v>
      </c>
    </row>
    <row r="156" spans="1:12" x14ac:dyDescent="0.3">
      <c r="A156" t="s">
        <v>257</v>
      </c>
      <c r="B156">
        <v>9271.3983960000005</v>
      </c>
      <c r="C156">
        <v>10203.4213</v>
      </c>
      <c r="D156">
        <v>10241.72783</v>
      </c>
      <c r="E156">
        <v>10725.183590000001</v>
      </c>
      <c r="F156">
        <v>10928.916010000001</v>
      </c>
      <c r="G156">
        <v>9616.6455580000002</v>
      </c>
      <c r="H156">
        <v>8744.5155589999995</v>
      </c>
      <c r="I156">
        <v>9287.8495870000006</v>
      </c>
      <c r="J156">
        <v>9686.9849269999995</v>
      </c>
      <c r="K156">
        <v>9950.4500800000005</v>
      </c>
      <c r="L156">
        <v>8329.2713129999993</v>
      </c>
    </row>
    <row r="157" spans="1:12" x14ac:dyDescent="0.3">
      <c r="A157" t="s">
        <v>258</v>
      </c>
      <c r="B157">
        <v>2846.0655419999998</v>
      </c>
      <c r="C157">
        <v>3046.2900709999999</v>
      </c>
      <c r="D157">
        <v>3181.6246999999998</v>
      </c>
      <c r="E157">
        <v>3246.6302500000002</v>
      </c>
      <c r="F157">
        <v>3185.2613540000002</v>
      </c>
      <c r="G157">
        <v>3199.8868459999999</v>
      </c>
      <c r="H157">
        <v>3490.9983889999999</v>
      </c>
      <c r="I157">
        <v>3672.576783</v>
      </c>
      <c r="J157">
        <v>3793.5509830000001</v>
      </c>
      <c r="K157">
        <v>4073.1098299999999</v>
      </c>
      <c r="L157">
        <v>4129.8509979999999</v>
      </c>
    </row>
    <row r="158" spans="1:12" x14ac:dyDescent="0.3">
      <c r="A158" t="s">
        <v>259</v>
      </c>
      <c r="B158">
        <v>3835.3977880000002</v>
      </c>
      <c r="C158">
        <v>4505.8750689999997</v>
      </c>
      <c r="D158">
        <v>4743.4042380000001</v>
      </c>
      <c r="E158">
        <v>4969.7013630000001</v>
      </c>
      <c r="F158">
        <v>5074.0198559999999</v>
      </c>
      <c r="G158">
        <v>4756.4774580000003</v>
      </c>
      <c r="H158">
        <v>4733.851353</v>
      </c>
      <c r="I158">
        <v>5143.3224739999996</v>
      </c>
      <c r="J158">
        <v>5401.5034939999996</v>
      </c>
      <c r="K158">
        <v>5481.3737579999997</v>
      </c>
      <c r="L158">
        <v>5216.9709089999997</v>
      </c>
    </row>
    <row r="159" spans="1:12" x14ac:dyDescent="0.3">
      <c r="A159" t="s">
        <v>260</v>
      </c>
      <c r="B159">
        <v>4577.6887550000001</v>
      </c>
      <c r="C159">
        <v>5098.0975829999998</v>
      </c>
      <c r="D159">
        <v>4728.3081419999999</v>
      </c>
      <c r="E159">
        <v>5241.0583450000004</v>
      </c>
      <c r="F159">
        <v>5495.7350489999999</v>
      </c>
      <c r="G159">
        <v>4861.5539710000003</v>
      </c>
      <c r="H159">
        <v>5149.5890740000004</v>
      </c>
      <c r="I159">
        <v>5450.4928810000001</v>
      </c>
      <c r="J159">
        <v>6108.740108</v>
      </c>
      <c r="K159">
        <v>6070.388054</v>
      </c>
      <c r="L159">
        <v>5917.2625749999997</v>
      </c>
    </row>
    <row r="160" spans="1:12" x14ac:dyDescent="0.3">
      <c r="A160" t="s">
        <v>261</v>
      </c>
      <c r="B160">
        <v>710.27424940000003</v>
      </c>
      <c r="C160">
        <v>837.60582099999999</v>
      </c>
      <c r="D160">
        <v>778.62526949999994</v>
      </c>
      <c r="E160">
        <v>805.03397959999995</v>
      </c>
      <c r="F160">
        <v>848.279043</v>
      </c>
      <c r="G160">
        <v>751.47288660000004</v>
      </c>
      <c r="H160">
        <v>780.72356950000005</v>
      </c>
      <c r="I160">
        <v>830.02151530000003</v>
      </c>
      <c r="J160">
        <v>894.8047765</v>
      </c>
      <c r="K160">
        <v>879.0431873</v>
      </c>
      <c r="L160">
        <v>862.4530188</v>
      </c>
    </row>
    <row r="161" spans="1:12" x14ac:dyDescent="0.3">
      <c r="A161" t="s">
        <v>262</v>
      </c>
      <c r="B161">
        <v>21799.17426</v>
      </c>
      <c r="C161">
        <v>23155.554789999998</v>
      </c>
      <c r="D161">
        <v>22527.636760000001</v>
      </c>
      <c r="E161">
        <v>24771.076580000001</v>
      </c>
      <c r="F161">
        <v>26754.26845</v>
      </c>
      <c r="G161">
        <v>24921.60368</v>
      </c>
      <c r="H161">
        <v>25741.446059999998</v>
      </c>
      <c r="I161">
        <v>28250.697769999999</v>
      </c>
      <c r="J161">
        <v>30672.292239999999</v>
      </c>
      <c r="K161">
        <v>30186.195960000001</v>
      </c>
      <c r="L161">
        <v>28423.200199999999</v>
      </c>
    </row>
    <row r="162" spans="1:12" x14ac:dyDescent="0.3">
      <c r="A162" t="s">
        <v>263</v>
      </c>
      <c r="B162">
        <v>746.94536000000005</v>
      </c>
      <c r="C162">
        <v>1061.344429</v>
      </c>
      <c r="D162">
        <v>1134.302224</v>
      </c>
      <c r="E162">
        <v>1168.1654000000001</v>
      </c>
      <c r="F162">
        <v>1210.097636</v>
      </c>
      <c r="G162">
        <v>1196.7433570000001</v>
      </c>
      <c r="H162">
        <v>1136.6106649999999</v>
      </c>
      <c r="I162">
        <v>1151.114462</v>
      </c>
      <c r="J162">
        <v>1250.173691</v>
      </c>
      <c r="K162">
        <v>1271.1115749999999</v>
      </c>
      <c r="L162">
        <v>1467.6042809999999</v>
      </c>
    </row>
    <row r="163" spans="1:12" x14ac:dyDescent="0.3">
      <c r="A163" t="s">
        <v>264</v>
      </c>
      <c r="B163">
        <v>4746.483655</v>
      </c>
      <c r="C163">
        <v>4620.9209739999997</v>
      </c>
      <c r="D163">
        <v>4927.3819039999998</v>
      </c>
      <c r="E163">
        <v>4474.4037109999999</v>
      </c>
      <c r="F163">
        <v>4327.5372969999999</v>
      </c>
      <c r="G163">
        <v>3807.5806029999999</v>
      </c>
      <c r="H163">
        <v>3791.3026220000002</v>
      </c>
      <c r="I163">
        <v>3676.9313430000002</v>
      </c>
      <c r="J163">
        <v>3447.4441849999998</v>
      </c>
      <c r="K163">
        <v>3449.7656259999999</v>
      </c>
      <c r="L163">
        <v>3018.4336549999998</v>
      </c>
    </row>
    <row r="164" spans="1:12" x14ac:dyDescent="0.3">
      <c r="A164" t="s">
        <v>265</v>
      </c>
      <c r="B164">
        <v>6688.4823999999999</v>
      </c>
      <c r="C164">
        <v>7328.9322519999996</v>
      </c>
      <c r="D164">
        <v>6586.7212790000003</v>
      </c>
      <c r="E164">
        <v>7186.429787</v>
      </c>
      <c r="F164">
        <v>7378.3452889999999</v>
      </c>
      <c r="G164">
        <v>6514.2726949999997</v>
      </c>
      <c r="H164">
        <v>7028.9365770000004</v>
      </c>
      <c r="I164">
        <v>7784.0652899999995</v>
      </c>
      <c r="J164">
        <v>8845.9142190000002</v>
      </c>
      <c r="K164">
        <v>8910.650834</v>
      </c>
      <c r="L164">
        <v>7677.1522260000002</v>
      </c>
    </row>
    <row r="165" spans="1:12" x14ac:dyDescent="0.3">
      <c r="A165" t="s">
        <v>266</v>
      </c>
      <c r="B165">
        <v>2643.2870830000002</v>
      </c>
      <c r="C165">
        <v>3757.565415</v>
      </c>
      <c r="D165">
        <v>4351.8884609999996</v>
      </c>
      <c r="E165">
        <v>4366.0895369999998</v>
      </c>
      <c r="F165">
        <v>4158.521471</v>
      </c>
      <c r="G165">
        <v>3875.3216750000001</v>
      </c>
      <c r="H165">
        <v>3658.3903</v>
      </c>
      <c r="I165">
        <v>3687.100003</v>
      </c>
      <c r="J165">
        <v>4156.8469699999996</v>
      </c>
      <c r="K165">
        <v>4404.8458300000002</v>
      </c>
      <c r="L165">
        <v>4060.9505180000001</v>
      </c>
    </row>
    <row r="166" spans="1:12" x14ac:dyDescent="0.3">
      <c r="A166" t="s">
        <v>267</v>
      </c>
      <c r="B166">
        <v>14804.246730000001</v>
      </c>
      <c r="C166">
        <v>13496.75078</v>
      </c>
      <c r="D166">
        <v>13736.971970000001</v>
      </c>
      <c r="E166">
        <v>14091.19118</v>
      </c>
      <c r="F166">
        <v>15044.9359</v>
      </c>
      <c r="G166">
        <v>16314.38355</v>
      </c>
      <c r="H166">
        <v>21891.184789999999</v>
      </c>
      <c r="I166">
        <v>27584.74351</v>
      </c>
      <c r="J166">
        <v>22886.674050000001</v>
      </c>
      <c r="K166">
        <v>20659.640289999999</v>
      </c>
    </row>
    <row r="167" spans="1:12" x14ac:dyDescent="0.3">
      <c r="A167" t="s">
        <v>268</v>
      </c>
      <c r="B167">
        <v>471.90434329999999</v>
      </c>
      <c r="C167">
        <v>594.58614709999995</v>
      </c>
      <c r="D167">
        <v>657.64467649999995</v>
      </c>
      <c r="E167">
        <v>664.07751040000005</v>
      </c>
      <c r="F167">
        <v>673.96921199999997</v>
      </c>
      <c r="G167">
        <v>589.85905000000002</v>
      </c>
      <c r="H167">
        <v>428.92667290000003</v>
      </c>
      <c r="I167">
        <v>461.41509409999998</v>
      </c>
      <c r="J167">
        <v>503.31792519999999</v>
      </c>
      <c r="K167">
        <v>506.64163910000002</v>
      </c>
      <c r="L167">
        <v>448.5442807</v>
      </c>
    </row>
    <row r="168" spans="1:12" x14ac:dyDescent="0.3">
      <c r="A168" t="s">
        <v>269</v>
      </c>
      <c r="B168">
        <v>1610.921603</v>
      </c>
      <c r="C168">
        <v>1879.7724720000001</v>
      </c>
      <c r="D168">
        <v>1815.2189390000001</v>
      </c>
      <c r="E168">
        <v>1892.0940000000001</v>
      </c>
      <c r="F168">
        <v>1677.109019</v>
      </c>
      <c r="G168">
        <v>1524.0717529999999</v>
      </c>
      <c r="H168">
        <v>1536.8548880000001</v>
      </c>
      <c r="I168">
        <v>1587.611263</v>
      </c>
      <c r="J168">
        <v>1670.2041650000001</v>
      </c>
      <c r="K168">
        <v>1743.302901</v>
      </c>
      <c r="L168">
        <v>1701.9911629999999</v>
      </c>
    </row>
    <row r="169" spans="1:12" x14ac:dyDescent="0.3">
      <c r="A169" t="s">
        <v>270</v>
      </c>
      <c r="B169">
        <v>8000.376432</v>
      </c>
      <c r="C169">
        <v>9197.0269719999997</v>
      </c>
      <c r="D169">
        <v>9291.2276189999993</v>
      </c>
      <c r="E169">
        <v>9637.0026500000004</v>
      </c>
      <c r="F169">
        <v>10153.93822</v>
      </c>
      <c r="G169">
        <v>9260.4473030000008</v>
      </c>
      <c r="H169">
        <v>9681.6185669999995</v>
      </c>
      <c r="I169">
        <v>10484.908359999999</v>
      </c>
      <c r="J169">
        <v>11208.34382</v>
      </c>
      <c r="K169">
        <v>11097.16898</v>
      </c>
      <c r="L169">
        <v>8627.8431569999993</v>
      </c>
    </row>
    <row r="170" spans="1:12" x14ac:dyDescent="0.3">
      <c r="A170" t="s">
        <v>271</v>
      </c>
      <c r="B170">
        <v>478.66868849999997</v>
      </c>
      <c r="C170">
        <v>534.95105020000005</v>
      </c>
      <c r="D170">
        <v>391.56170520000001</v>
      </c>
      <c r="E170">
        <v>348.42987369999997</v>
      </c>
      <c r="F170">
        <v>371.26952169999998</v>
      </c>
      <c r="G170">
        <v>380.5969877</v>
      </c>
      <c r="H170">
        <v>315.77798710000002</v>
      </c>
      <c r="I170">
        <v>506.13729439999997</v>
      </c>
      <c r="J170">
        <v>544.59343539999998</v>
      </c>
      <c r="K170">
        <v>591.84638959999995</v>
      </c>
      <c r="L170">
        <v>636.82053680000001</v>
      </c>
    </row>
    <row r="171" spans="1:12" x14ac:dyDescent="0.3">
      <c r="A171" t="s">
        <v>272</v>
      </c>
      <c r="B171">
        <v>9040.5684949999995</v>
      </c>
      <c r="C171">
        <v>10399.370209999999</v>
      </c>
      <c r="D171">
        <v>10817.431710000001</v>
      </c>
      <c r="E171">
        <v>10970.104300000001</v>
      </c>
      <c r="F171">
        <v>11319.06194</v>
      </c>
      <c r="G171">
        <v>9955.2427220000009</v>
      </c>
      <c r="H171">
        <v>9817.7870899999998</v>
      </c>
      <c r="I171">
        <v>10259.30481</v>
      </c>
      <c r="J171">
        <v>11380.08209</v>
      </c>
      <c r="K171">
        <v>11432.823</v>
      </c>
      <c r="L171">
        <v>10412.348980000001</v>
      </c>
    </row>
    <row r="172" spans="1:12" x14ac:dyDescent="0.3">
      <c r="A172" t="s">
        <v>273</v>
      </c>
      <c r="B172">
        <v>48387.210930000001</v>
      </c>
      <c r="C172">
        <v>50123.853580000003</v>
      </c>
      <c r="D172">
        <v>51717.78701</v>
      </c>
      <c r="E172">
        <v>53068.032550000004</v>
      </c>
      <c r="F172">
        <v>54648.019339999999</v>
      </c>
      <c r="G172">
        <v>55542.966070000002</v>
      </c>
      <c r="H172">
        <v>56451.517500000002</v>
      </c>
      <c r="I172">
        <v>58605.35385</v>
      </c>
      <c r="J172">
        <v>61391.285620000002</v>
      </c>
      <c r="K172">
        <v>63341.62427</v>
      </c>
      <c r="L172">
        <v>61161.153539999999</v>
      </c>
    </row>
    <row r="173" spans="1:12" x14ac:dyDescent="0.3">
      <c r="A173" t="s">
        <v>274</v>
      </c>
      <c r="B173">
        <v>5394.9967120000001</v>
      </c>
      <c r="C173">
        <v>5806.7482460000001</v>
      </c>
      <c r="D173">
        <v>5942.2927399999999</v>
      </c>
      <c r="E173">
        <v>5392.0949380000002</v>
      </c>
      <c r="F173">
        <v>5469.9013999999997</v>
      </c>
      <c r="G173">
        <v>4896.6152599999996</v>
      </c>
      <c r="H173">
        <v>4546.986688</v>
      </c>
      <c r="I173">
        <v>5367.1146740000004</v>
      </c>
      <c r="J173">
        <v>5588.3928640000004</v>
      </c>
      <c r="K173">
        <v>5009.6859039999999</v>
      </c>
      <c r="L173">
        <v>4179.2780659999999</v>
      </c>
    </row>
    <row r="174" spans="1:12" x14ac:dyDescent="0.3">
      <c r="A174" t="s">
        <v>275</v>
      </c>
      <c r="B174">
        <v>37494.89516</v>
      </c>
      <c r="C174">
        <v>40697.65294</v>
      </c>
      <c r="D174">
        <v>37294.022810000002</v>
      </c>
      <c r="E174">
        <v>38503.253850000001</v>
      </c>
      <c r="F174">
        <v>39675.566310000002</v>
      </c>
      <c r="G174">
        <v>32520.294160000001</v>
      </c>
      <c r="H174">
        <v>32391.197219999998</v>
      </c>
      <c r="I174">
        <v>33976.555549999997</v>
      </c>
      <c r="J174">
        <v>36382.487659999999</v>
      </c>
      <c r="K174">
        <v>34788.529280000002</v>
      </c>
    </row>
    <row r="175" spans="1:12" x14ac:dyDescent="0.3">
      <c r="A175" t="s">
        <v>276</v>
      </c>
      <c r="B175">
        <v>476.86953219999998</v>
      </c>
      <c r="C175">
        <v>512.59533499999998</v>
      </c>
      <c r="D175">
        <v>529.74445809999997</v>
      </c>
      <c r="E175">
        <v>552.56913899999995</v>
      </c>
      <c r="F175">
        <v>564.5967488</v>
      </c>
      <c r="G175">
        <v>484.15313739999999</v>
      </c>
      <c r="H175">
        <v>500.21491129999998</v>
      </c>
      <c r="I175">
        <v>517.7715723</v>
      </c>
      <c r="J175">
        <v>570.72392200000002</v>
      </c>
      <c r="K175">
        <v>554.09938929999998</v>
      </c>
      <c r="L175">
        <v>567.66989230000001</v>
      </c>
    </row>
    <row r="176" spans="1:12" x14ac:dyDescent="0.3">
      <c r="A176" t="s">
        <v>277</v>
      </c>
      <c r="B176">
        <v>2280.4373369999998</v>
      </c>
      <c r="C176">
        <v>2487.5980169999998</v>
      </c>
      <c r="D176">
        <v>2723.8221910000002</v>
      </c>
      <c r="E176">
        <v>2961.549422</v>
      </c>
      <c r="F176">
        <v>3098.9857910000001</v>
      </c>
      <c r="G176">
        <v>2687.4800559999999</v>
      </c>
      <c r="H176">
        <v>2176.0027719999998</v>
      </c>
      <c r="I176">
        <v>1968.565398</v>
      </c>
      <c r="J176">
        <v>2027.7785490000001</v>
      </c>
      <c r="K176">
        <v>2229.8586519999999</v>
      </c>
      <c r="L176">
        <v>2097.0924730000002</v>
      </c>
    </row>
    <row r="177" spans="1:12" x14ac:dyDescent="0.3">
      <c r="A177" t="s">
        <v>278</v>
      </c>
      <c r="B177">
        <v>1503.8641909999999</v>
      </c>
      <c r="C177">
        <v>1655.802946</v>
      </c>
      <c r="D177">
        <v>1760.4603079999999</v>
      </c>
      <c r="E177">
        <v>1811.6368030000001</v>
      </c>
      <c r="F177">
        <v>1934.0629220000001</v>
      </c>
      <c r="G177">
        <v>2049.851666</v>
      </c>
      <c r="H177">
        <v>2107.5740599999999</v>
      </c>
      <c r="I177">
        <v>2159.1567140000002</v>
      </c>
      <c r="J177">
        <v>2014.5751889999999</v>
      </c>
      <c r="K177">
        <v>1926.6996939999999</v>
      </c>
      <c r="L177">
        <v>1905.261152</v>
      </c>
    </row>
    <row r="178" spans="1:12" x14ac:dyDescent="0.3">
      <c r="A178" t="s">
        <v>279</v>
      </c>
      <c r="B178">
        <v>50999.74512</v>
      </c>
      <c r="C178">
        <v>54230.312899999997</v>
      </c>
      <c r="D178">
        <v>50070.141600000003</v>
      </c>
      <c r="E178">
        <v>52198.897559999998</v>
      </c>
      <c r="F178">
        <v>52900.537420000001</v>
      </c>
      <c r="G178">
        <v>45193.40322</v>
      </c>
      <c r="H178">
        <v>46039.105929999998</v>
      </c>
      <c r="I178">
        <v>48675.22234</v>
      </c>
      <c r="J178">
        <v>53044.532440000003</v>
      </c>
      <c r="K178">
        <v>52476.273249999998</v>
      </c>
      <c r="L178">
        <v>52396.032209999998</v>
      </c>
    </row>
    <row r="179" spans="1:12" x14ac:dyDescent="0.3">
      <c r="A179" t="s">
        <v>280</v>
      </c>
      <c r="B179">
        <v>87693.790070000003</v>
      </c>
      <c r="C179">
        <v>100600.5624</v>
      </c>
      <c r="D179">
        <v>101524.1419</v>
      </c>
      <c r="E179">
        <v>102913.45080000001</v>
      </c>
      <c r="F179">
        <v>97019.182750000007</v>
      </c>
      <c r="G179">
        <v>74355.51586</v>
      </c>
      <c r="H179">
        <v>70460.560530000002</v>
      </c>
      <c r="I179">
        <v>75496.754060000007</v>
      </c>
      <c r="J179">
        <v>82267.80932</v>
      </c>
      <c r="K179">
        <v>75719.752900000007</v>
      </c>
      <c r="L179">
        <v>67329.677790000002</v>
      </c>
    </row>
    <row r="180" spans="1:12" x14ac:dyDescent="0.3">
      <c r="A180" t="s">
        <v>281</v>
      </c>
      <c r="B180">
        <v>592.40120709999997</v>
      </c>
      <c r="C180">
        <v>799.58337689999996</v>
      </c>
      <c r="D180">
        <v>804.14160730000003</v>
      </c>
      <c r="E180">
        <v>823.35987460000001</v>
      </c>
      <c r="F180">
        <v>844.85312480000005</v>
      </c>
      <c r="G180">
        <v>901.74960769999996</v>
      </c>
      <c r="H180">
        <v>899.52358100000004</v>
      </c>
      <c r="I180">
        <v>1048.453755</v>
      </c>
      <c r="J180">
        <v>1178.525932</v>
      </c>
      <c r="K180">
        <v>1194.956876</v>
      </c>
      <c r="L180">
        <v>1155.1428539999999</v>
      </c>
    </row>
    <row r="181" spans="1:12" x14ac:dyDescent="0.3">
      <c r="A181" t="s">
        <v>282</v>
      </c>
      <c r="B181">
        <v>4752.1750819999997</v>
      </c>
      <c r="C181">
        <v>6560.2748700000002</v>
      </c>
      <c r="D181">
        <v>9562.6678659999998</v>
      </c>
      <c r="E181">
        <v>9648.4956550000006</v>
      </c>
      <c r="F181">
        <v>10171.480729999999</v>
      </c>
      <c r="G181">
        <v>8341.0122780000002</v>
      </c>
      <c r="H181">
        <v>9521.0421009999991</v>
      </c>
      <c r="I181">
        <v>10339.385480000001</v>
      </c>
      <c r="J181">
        <v>11614.665080000001</v>
      </c>
      <c r="K181">
        <v>11029.73558</v>
      </c>
      <c r="L181">
        <v>10580.268190000001</v>
      </c>
    </row>
    <row r="182" spans="1:12" x14ac:dyDescent="0.3">
      <c r="A182" t="s">
        <v>283</v>
      </c>
      <c r="B182">
        <v>33676.774120000002</v>
      </c>
      <c r="C182">
        <v>38387.627079999998</v>
      </c>
      <c r="D182">
        <v>39973.38076</v>
      </c>
      <c r="E182">
        <v>42976.649590000001</v>
      </c>
      <c r="F182">
        <v>44572.89875</v>
      </c>
      <c r="G182">
        <v>38630.726589999998</v>
      </c>
      <c r="H182">
        <v>40080.49411</v>
      </c>
      <c r="I182">
        <v>42992.895270000001</v>
      </c>
      <c r="J182">
        <v>43306.07</v>
      </c>
      <c r="K182">
        <v>42755.216260000001</v>
      </c>
      <c r="L182">
        <v>41441.466670000002</v>
      </c>
    </row>
    <row r="183" spans="1:12" x14ac:dyDescent="0.3">
      <c r="A183" t="s">
        <v>284</v>
      </c>
      <c r="B183">
        <v>34982.572039999999</v>
      </c>
      <c r="C183">
        <v>37443.340170000003</v>
      </c>
      <c r="D183">
        <v>37174.076820000002</v>
      </c>
      <c r="E183">
        <v>37434.19068</v>
      </c>
      <c r="F183">
        <v>37976.15077</v>
      </c>
      <c r="G183">
        <v>35616.018770000002</v>
      </c>
      <c r="H183">
        <v>36078.125469999999</v>
      </c>
      <c r="I183">
        <v>37430.394610000003</v>
      </c>
      <c r="J183">
        <v>39378.375690000001</v>
      </c>
      <c r="K183">
        <v>39550.782760000002</v>
      </c>
      <c r="L183">
        <v>38168.063719999998</v>
      </c>
    </row>
    <row r="184" spans="1:12" x14ac:dyDescent="0.3">
      <c r="A184" t="s">
        <v>285</v>
      </c>
      <c r="B184">
        <v>21369.35297</v>
      </c>
      <c r="C184">
        <v>23837.310939999999</v>
      </c>
      <c r="D184">
        <v>24988.012589999998</v>
      </c>
      <c r="E184">
        <v>23888.62658</v>
      </c>
      <c r="F184">
        <v>23017.933980000002</v>
      </c>
      <c r="G184">
        <v>18444.927</v>
      </c>
      <c r="H184">
        <v>16772.73921</v>
      </c>
      <c r="I184">
        <v>17329.185460000001</v>
      </c>
      <c r="J184">
        <v>18947.3665</v>
      </c>
      <c r="K184">
        <v>17700.70349</v>
      </c>
      <c r="L184">
        <v>14485.386119999999</v>
      </c>
    </row>
    <row r="185" spans="1:12" x14ac:dyDescent="0.3">
      <c r="A185" t="s">
        <v>286</v>
      </c>
      <c r="B185">
        <v>12378.486070000001</v>
      </c>
      <c r="C185">
        <v>14896.658670000001</v>
      </c>
      <c r="D185">
        <v>15212.765219999999</v>
      </c>
      <c r="E185">
        <v>15552.950769999999</v>
      </c>
      <c r="F185">
        <v>15732.167890000001</v>
      </c>
      <c r="G185">
        <v>12779.53685</v>
      </c>
      <c r="H185">
        <v>12384.95054</v>
      </c>
      <c r="I185">
        <v>13203.724560000001</v>
      </c>
      <c r="J185">
        <v>14354.93074</v>
      </c>
      <c r="K185">
        <v>13799.605610000001</v>
      </c>
      <c r="L185">
        <v>11771.209199999999</v>
      </c>
    </row>
    <row r="186" spans="1:12" x14ac:dyDescent="0.3">
      <c r="A186" t="s">
        <v>287</v>
      </c>
      <c r="B186">
        <v>987.40971200000001</v>
      </c>
      <c r="C186">
        <v>1164.9788229999999</v>
      </c>
      <c r="D186">
        <v>1198.1176370000001</v>
      </c>
      <c r="E186">
        <v>1208.9177099999999</v>
      </c>
      <c r="F186">
        <v>1251.1757190000001</v>
      </c>
      <c r="G186">
        <v>1356.667831</v>
      </c>
      <c r="H186">
        <v>1368.4269609999999</v>
      </c>
      <c r="I186">
        <v>1464.926195</v>
      </c>
      <c r="J186">
        <v>1482.2130669999999</v>
      </c>
      <c r="K186">
        <v>1288.556325</v>
      </c>
      <c r="L186">
        <v>1188.8597569999999</v>
      </c>
    </row>
    <row r="187" spans="1:12" x14ac:dyDescent="0.3">
      <c r="A187" t="s">
        <v>288</v>
      </c>
      <c r="B187">
        <v>8082.0161749999997</v>
      </c>
      <c r="C187">
        <v>9358.2681300000004</v>
      </c>
      <c r="D187">
        <v>10722.261469999999</v>
      </c>
      <c r="E187">
        <v>11889.095069999999</v>
      </c>
      <c r="F187">
        <v>12796.07403</v>
      </c>
      <c r="G187">
        <v>13630.30114</v>
      </c>
      <c r="H187">
        <v>14343.98026</v>
      </c>
      <c r="I187">
        <v>15146.408509999999</v>
      </c>
      <c r="J187">
        <v>15544.99908</v>
      </c>
      <c r="K187">
        <v>15774.254940000001</v>
      </c>
      <c r="L187">
        <v>12509.835290000001</v>
      </c>
    </row>
    <row r="188" spans="1:12" x14ac:dyDescent="0.3">
      <c r="A188" t="s">
        <v>289</v>
      </c>
      <c r="B188">
        <v>5082.3537059999999</v>
      </c>
      <c r="C188">
        <v>5869.3238819999997</v>
      </c>
      <c r="D188">
        <v>6528.971775</v>
      </c>
      <c r="E188">
        <v>6756.7529960000002</v>
      </c>
      <c r="F188">
        <v>6672.8773730000003</v>
      </c>
      <c r="G188">
        <v>6229.1006740000003</v>
      </c>
      <c r="H188">
        <v>6204.9964570000002</v>
      </c>
      <c r="I188">
        <v>6710.5076019999997</v>
      </c>
      <c r="J188">
        <v>6957.7934109999997</v>
      </c>
      <c r="K188">
        <v>7027.6122070000001</v>
      </c>
      <c r="L188">
        <v>6126.8745399999998</v>
      </c>
    </row>
    <row r="189" spans="1:12" x14ac:dyDescent="0.3">
      <c r="A189" t="s">
        <v>290</v>
      </c>
      <c r="B189">
        <v>2217.4721530000002</v>
      </c>
      <c r="C189">
        <v>2450.735694</v>
      </c>
      <c r="D189">
        <v>2694.3051089999999</v>
      </c>
      <c r="E189">
        <v>2871.429701</v>
      </c>
      <c r="F189">
        <v>2959.6454349999999</v>
      </c>
      <c r="G189">
        <v>3001.0431819999999</v>
      </c>
      <c r="H189">
        <v>3073.6546859999999</v>
      </c>
      <c r="I189">
        <v>3123.2456419999999</v>
      </c>
      <c r="J189">
        <v>3252.1102740000001</v>
      </c>
      <c r="K189">
        <v>3485.3408439999998</v>
      </c>
      <c r="L189">
        <v>3298.8295859999998</v>
      </c>
    </row>
    <row r="190" spans="1:12" x14ac:dyDescent="0.3">
      <c r="A190" t="s">
        <v>291</v>
      </c>
      <c r="B190">
        <v>10356.633620000001</v>
      </c>
      <c r="C190">
        <v>11094.83322</v>
      </c>
      <c r="D190">
        <v>12044.10547</v>
      </c>
      <c r="E190">
        <v>12561.336139999999</v>
      </c>
      <c r="F190">
        <v>13711.761699999999</v>
      </c>
      <c r="G190">
        <v>15876.461929999999</v>
      </c>
      <c r="H190">
        <v>16835.986000000001</v>
      </c>
      <c r="I190">
        <v>16019.989890000001</v>
      </c>
      <c r="J190">
        <v>15895.259899999999</v>
      </c>
      <c r="K190">
        <v>15232.487080000001</v>
      </c>
      <c r="L190">
        <v>14243.86469</v>
      </c>
    </row>
    <row r="191" spans="1:12" x14ac:dyDescent="0.3">
      <c r="A191" t="s">
        <v>292</v>
      </c>
      <c r="B191">
        <v>1949.351185</v>
      </c>
      <c r="C191">
        <v>2406.9109669999998</v>
      </c>
      <c r="D191">
        <v>2790.6763030000002</v>
      </c>
      <c r="E191">
        <v>2729.888751</v>
      </c>
      <c r="F191">
        <v>2920.7829860000002</v>
      </c>
      <c r="G191">
        <v>2679.346579</v>
      </c>
      <c r="H191">
        <v>2509.629637</v>
      </c>
      <c r="I191">
        <v>2695.2490090000001</v>
      </c>
      <c r="J191">
        <v>2801.3713929999999</v>
      </c>
      <c r="K191">
        <v>2820.3063969999998</v>
      </c>
      <c r="L191">
        <v>2757.2175299999999</v>
      </c>
    </row>
    <row r="192" spans="1:12" x14ac:dyDescent="0.3">
      <c r="A192" t="s">
        <v>293</v>
      </c>
      <c r="B192">
        <v>12613.011</v>
      </c>
      <c r="C192">
        <v>13879.56099</v>
      </c>
      <c r="D192">
        <v>13097.270850000001</v>
      </c>
      <c r="E192">
        <v>13696.4663</v>
      </c>
      <c r="F192">
        <v>14271.305850000001</v>
      </c>
      <c r="G192">
        <v>12578.49547</v>
      </c>
      <c r="H192">
        <v>12447.43959</v>
      </c>
      <c r="I192">
        <v>13864.681759999999</v>
      </c>
      <c r="J192">
        <v>15468.48222</v>
      </c>
      <c r="K192">
        <v>15732.20313</v>
      </c>
      <c r="L192">
        <v>15742.453729999999</v>
      </c>
    </row>
    <row r="193" spans="1:12" x14ac:dyDescent="0.3">
      <c r="A193" t="s">
        <v>294</v>
      </c>
      <c r="B193">
        <v>1417.9810749999999</v>
      </c>
      <c r="C193">
        <v>1592.4595859999999</v>
      </c>
      <c r="D193">
        <v>1684.41887</v>
      </c>
      <c r="E193">
        <v>1798.1698899999999</v>
      </c>
      <c r="F193">
        <v>1838.7078819999999</v>
      </c>
      <c r="G193">
        <v>1558.6606870000001</v>
      </c>
      <c r="H193">
        <v>1385.7849180000001</v>
      </c>
      <c r="I193">
        <v>1407.096929</v>
      </c>
      <c r="J193">
        <v>1462.3741809999999</v>
      </c>
      <c r="K193">
        <v>1489.8223230000001</v>
      </c>
      <c r="L193">
        <v>1332.049211</v>
      </c>
    </row>
    <row r="194" spans="1:12" x14ac:dyDescent="0.3">
      <c r="A194" t="s">
        <v>295</v>
      </c>
      <c r="B194">
        <v>26435.748790000001</v>
      </c>
      <c r="C194">
        <v>27278.88305</v>
      </c>
      <c r="D194">
        <v>27944.73389</v>
      </c>
      <c r="E194">
        <v>28513.16574</v>
      </c>
      <c r="F194">
        <v>28981.457330000001</v>
      </c>
      <c r="G194">
        <v>29763.488300000001</v>
      </c>
      <c r="H194">
        <v>30627.163400000001</v>
      </c>
      <c r="I194">
        <v>31108.760569999999</v>
      </c>
      <c r="J194">
        <v>31604.701509999999</v>
      </c>
      <c r="K194">
        <v>32850.548609999998</v>
      </c>
      <c r="L194">
        <v>31429.866119999999</v>
      </c>
    </row>
    <row r="195" spans="1:12" x14ac:dyDescent="0.3">
      <c r="A195" t="s">
        <v>296</v>
      </c>
    </row>
    <row r="196" spans="1:12" x14ac:dyDescent="0.3">
      <c r="A196" t="s">
        <v>297</v>
      </c>
      <c r="B196">
        <v>22520.642309999999</v>
      </c>
      <c r="C196">
        <v>23217.2955</v>
      </c>
      <c r="D196">
        <v>20563.713599999999</v>
      </c>
      <c r="E196">
        <v>21653.19598</v>
      </c>
      <c r="F196">
        <v>22103.700970000002</v>
      </c>
      <c r="G196">
        <v>19250.106540000001</v>
      </c>
      <c r="H196">
        <v>19991.97249</v>
      </c>
      <c r="I196">
        <v>21490.42986</v>
      </c>
      <c r="J196">
        <v>23562.554520000002</v>
      </c>
      <c r="K196">
        <v>23330.817289999999</v>
      </c>
      <c r="L196">
        <v>22194.56611</v>
      </c>
    </row>
    <row r="197" spans="1:12" x14ac:dyDescent="0.3">
      <c r="A197" t="s">
        <v>298</v>
      </c>
      <c r="B197">
        <v>4359.4284150000003</v>
      </c>
      <c r="C197">
        <v>5329.3874370000003</v>
      </c>
      <c r="D197">
        <v>5185.1415489999999</v>
      </c>
      <c r="E197">
        <v>5936.9759590000003</v>
      </c>
      <c r="F197">
        <v>6118.3181100000002</v>
      </c>
      <c r="G197">
        <v>5413.7760209999997</v>
      </c>
      <c r="H197">
        <v>5324.6090679999998</v>
      </c>
      <c r="I197">
        <v>5678.8699720000004</v>
      </c>
      <c r="J197">
        <v>5782.7845500000003</v>
      </c>
      <c r="K197">
        <v>5380.9633219999996</v>
      </c>
      <c r="L197">
        <v>5001.07276</v>
      </c>
    </row>
    <row r="198" spans="1:12" x14ac:dyDescent="0.3">
      <c r="A198" t="s">
        <v>299</v>
      </c>
      <c r="B198">
        <v>2557.0756240000001</v>
      </c>
      <c r="C198">
        <v>2880.7984369999999</v>
      </c>
      <c r="D198">
        <v>3067.4387270000002</v>
      </c>
      <c r="E198">
        <v>3315.2975390000001</v>
      </c>
      <c r="F198">
        <v>3352.1125950000001</v>
      </c>
      <c r="G198">
        <v>3272.1543240000001</v>
      </c>
      <c r="H198">
        <v>3527.613824</v>
      </c>
      <c r="I198">
        <v>3620.3604869999999</v>
      </c>
      <c r="J198">
        <v>3562.3309429999999</v>
      </c>
      <c r="K198">
        <v>3656.8582710000001</v>
      </c>
      <c r="L198">
        <v>3239.7311079999999</v>
      </c>
    </row>
    <row r="199" spans="1:12" x14ac:dyDescent="0.3">
      <c r="A199" t="s">
        <v>300</v>
      </c>
      <c r="B199">
        <v>2965.3608920000001</v>
      </c>
      <c r="C199">
        <v>3440.6073419999998</v>
      </c>
      <c r="D199">
        <v>3608.8224359999999</v>
      </c>
      <c r="E199">
        <v>3702.1659100000002</v>
      </c>
      <c r="F199">
        <v>3970.735635</v>
      </c>
      <c r="G199">
        <v>3832.1845520000002</v>
      </c>
      <c r="H199">
        <v>3963.6923729999999</v>
      </c>
      <c r="I199">
        <v>4220.2565610000001</v>
      </c>
      <c r="J199">
        <v>4340.0207440000004</v>
      </c>
      <c r="K199">
        <v>4270.4110639999999</v>
      </c>
      <c r="L199">
        <v>3768.543357</v>
      </c>
    </row>
    <row r="200" spans="1:12" x14ac:dyDescent="0.3">
      <c r="A200" t="s">
        <v>301</v>
      </c>
      <c r="B200">
        <v>39671.866670000003</v>
      </c>
      <c r="C200">
        <v>42496.540869999997</v>
      </c>
      <c r="D200">
        <v>42256.072780000002</v>
      </c>
      <c r="E200">
        <v>42493.01109</v>
      </c>
      <c r="F200">
        <v>43175.319450000003</v>
      </c>
      <c r="G200">
        <v>40698.460160000002</v>
      </c>
      <c r="H200">
        <v>41449.846960000003</v>
      </c>
      <c r="I200">
        <v>43060.586259999996</v>
      </c>
      <c r="J200">
        <v>45499.456169999998</v>
      </c>
      <c r="K200">
        <v>45816.808340000003</v>
      </c>
      <c r="L200">
        <v>44400.308539999998</v>
      </c>
    </row>
    <row r="201" spans="1:12" x14ac:dyDescent="0.3">
      <c r="A201" t="s">
        <v>302</v>
      </c>
    </row>
    <row r="202" spans="1:12" x14ac:dyDescent="0.3">
      <c r="A202" t="s">
        <v>303</v>
      </c>
      <c r="B202">
        <v>67403.087679999997</v>
      </c>
      <c r="C202">
        <v>82409.941649999993</v>
      </c>
      <c r="D202">
        <v>85075.986539999998</v>
      </c>
      <c r="E202">
        <v>85050.684340000007</v>
      </c>
      <c r="F202">
        <v>83858.340460000007</v>
      </c>
      <c r="G202">
        <v>63039.112630000003</v>
      </c>
      <c r="H202">
        <v>57162.968009999997</v>
      </c>
      <c r="I202">
        <v>59124.867270000002</v>
      </c>
      <c r="J202">
        <v>65907.948439999993</v>
      </c>
      <c r="K202">
        <v>62276.428690000001</v>
      </c>
      <c r="L202">
        <v>50124.38594</v>
      </c>
    </row>
    <row r="203" spans="1:12" x14ac:dyDescent="0.3">
      <c r="A203" t="s">
        <v>304</v>
      </c>
      <c r="B203">
        <v>8214.0768929999995</v>
      </c>
      <c r="C203">
        <v>9099.2175389999993</v>
      </c>
      <c r="D203">
        <v>8507.1047749999998</v>
      </c>
      <c r="E203">
        <v>9547.8521509999991</v>
      </c>
      <c r="F203">
        <v>10043.677449999999</v>
      </c>
      <c r="G203">
        <v>8969.148921</v>
      </c>
      <c r="H203">
        <v>9548.5874029999995</v>
      </c>
      <c r="I203">
        <v>10807.009169999999</v>
      </c>
      <c r="J203">
        <v>12398.98198</v>
      </c>
      <c r="K203">
        <v>12899.34611</v>
      </c>
      <c r="L203">
        <v>12915.243049999999</v>
      </c>
    </row>
    <row r="204" spans="1:12" x14ac:dyDescent="0.3">
      <c r="A204" t="s">
        <v>305</v>
      </c>
      <c r="B204">
        <v>10674.995779999999</v>
      </c>
      <c r="C204">
        <v>14311.08432</v>
      </c>
      <c r="D204">
        <v>15420.874540000001</v>
      </c>
      <c r="E204">
        <v>15974.644630000001</v>
      </c>
      <c r="F204">
        <v>14095.648740000001</v>
      </c>
      <c r="G204">
        <v>9313.0136249999996</v>
      </c>
      <c r="H204">
        <v>8704.8984130000008</v>
      </c>
      <c r="I204">
        <v>10720.33266</v>
      </c>
      <c r="J204">
        <v>11287.35528</v>
      </c>
      <c r="K204">
        <v>11497.64925</v>
      </c>
      <c r="L204">
        <v>10126.72179</v>
      </c>
    </row>
    <row r="205" spans="1:12" x14ac:dyDescent="0.3">
      <c r="A205" t="s">
        <v>306</v>
      </c>
      <c r="B205">
        <v>609.724917</v>
      </c>
      <c r="C205">
        <v>668.49467219999997</v>
      </c>
      <c r="D205">
        <v>725.16977029999998</v>
      </c>
      <c r="E205">
        <v>722.89432850000003</v>
      </c>
      <c r="F205">
        <v>743.55903799999999</v>
      </c>
      <c r="G205">
        <v>751.07739260000005</v>
      </c>
      <c r="H205">
        <v>744.76074879999999</v>
      </c>
      <c r="I205">
        <v>772.3169891</v>
      </c>
      <c r="J205">
        <v>783.63716280000006</v>
      </c>
      <c r="K205">
        <v>820.14928859999998</v>
      </c>
      <c r="L205">
        <v>797.85552070000006</v>
      </c>
    </row>
    <row r="206" spans="1:12" x14ac:dyDescent="0.3">
      <c r="A206" t="s">
        <v>307</v>
      </c>
      <c r="B206">
        <v>1257.4995080000001</v>
      </c>
      <c r="C206">
        <v>1368.9451019999999</v>
      </c>
      <c r="D206">
        <v>1366.0594249999999</v>
      </c>
      <c r="E206">
        <v>1383.3169089999999</v>
      </c>
      <c r="F206">
        <v>1496.0149960000001</v>
      </c>
      <c r="G206">
        <v>1543.048131</v>
      </c>
      <c r="H206">
        <v>1652.2518009999999</v>
      </c>
      <c r="I206">
        <v>1867.443968</v>
      </c>
      <c r="J206">
        <v>1894.0088840000001</v>
      </c>
      <c r="K206">
        <v>1959.5258449999999</v>
      </c>
      <c r="L206">
        <v>1823.712912</v>
      </c>
    </row>
    <row r="207" spans="1:12" x14ac:dyDescent="0.3">
      <c r="A207" t="s">
        <v>308</v>
      </c>
      <c r="B207">
        <v>19262.547600000002</v>
      </c>
      <c r="C207">
        <v>23745.880580000001</v>
      </c>
      <c r="D207">
        <v>25243.601999999999</v>
      </c>
      <c r="E207">
        <v>24845.124660000001</v>
      </c>
      <c r="F207">
        <v>24464.21256</v>
      </c>
      <c r="G207">
        <v>20627.926930000001</v>
      </c>
      <c r="H207">
        <v>19878.76384</v>
      </c>
      <c r="I207">
        <v>20802.46631</v>
      </c>
      <c r="J207">
        <v>23337.01755</v>
      </c>
      <c r="K207">
        <v>23139.797979999999</v>
      </c>
      <c r="L207">
        <v>20110.316190000001</v>
      </c>
    </row>
    <row r="208" spans="1:12" x14ac:dyDescent="0.3">
      <c r="A208" t="s">
        <v>309</v>
      </c>
      <c r="B208">
        <v>1338.443724</v>
      </c>
      <c r="C208">
        <v>1366.410905</v>
      </c>
      <c r="D208">
        <v>1039.7620509999999</v>
      </c>
      <c r="E208">
        <v>1160.5355520000001</v>
      </c>
      <c r="F208">
        <v>1303.8389549999999</v>
      </c>
      <c r="G208">
        <v>1329.6359620000001</v>
      </c>
      <c r="H208">
        <v>1069.8399569999999</v>
      </c>
      <c r="I208">
        <v>1011.521216</v>
      </c>
      <c r="J208">
        <v>740.74676699999998</v>
      </c>
      <c r="K208">
        <v>610.92786149999995</v>
      </c>
      <c r="L208">
        <v>486.4188163</v>
      </c>
    </row>
    <row r="209" spans="1:12" x14ac:dyDescent="0.3">
      <c r="A209" t="s">
        <v>310</v>
      </c>
      <c r="B209">
        <v>1271.5832809999999</v>
      </c>
      <c r="C209">
        <v>1366.7745010000001</v>
      </c>
      <c r="D209">
        <v>1317.779802</v>
      </c>
      <c r="E209">
        <v>1372.6657789999999</v>
      </c>
      <c r="F209">
        <v>1396.6573390000001</v>
      </c>
      <c r="G209">
        <v>1219.249415</v>
      </c>
      <c r="H209">
        <v>1269.903294</v>
      </c>
      <c r="I209">
        <v>1361.7019720000001</v>
      </c>
      <c r="J209">
        <v>1458.0690930000001</v>
      </c>
      <c r="K209">
        <v>1430.1482590000001</v>
      </c>
      <c r="L209">
        <v>1471.830962</v>
      </c>
    </row>
    <row r="210" spans="1:12" x14ac:dyDescent="0.3">
      <c r="A210" t="s">
        <v>311</v>
      </c>
      <c r="B210">
        <v>47236.960229999997</v>
      </c>
      <c r="C210">
        <v>53890.42873</v>
      </c>
      <c r="D210">
        <v>55546.488539999998</v>
      </c>
      <c r="E210">
        <v>56967.425790000001</v>
      </c>
      <c r="F210">
        <v>57562.530789999997</v>
      </c>
      <c r="G210">
        <v>55646.618750000001</v>
      </c>
      <c r="H210">
        <v>56848.175389999997</v>
      </c>
      <c r="I210">
        <v>61176.456359999996</v>
      </c>
      <c r="J210">
        <v>66679.046489999993</v>
      </c>
      <c r="K210">
        <v>65640.707949999996</v>
      </c>
      <c r="L210">
        <v>59797.752180000003</v>
      </c>
    </row>
    <row r="211" spans="1:12" x14ac:dyDescent="0.3">
      <c r="A211" t="s">
        <v>312</v>
      </c>
      <c r="B211">
        <v>1604.2058300000001</v>
      </c>
      <c r="C211">
        <v>1938.8911869999999</v>
      </c>
      <c r="D211">
        <v>2141.8215220000002</v>
      </c>
      <c r="E211">
        <v>2248.6149350000001</v>
      </c>
      <c r="F211">
        <v>2274.887866</v>
      </c>
      <c r="G211">
        <v>2167.1199280000001</v>
      </c>
      <c r="H211">
        <v>2225.4868419999998</v>
      </c>
      <c r="I211">
        <v>2332.844216</v>
      </c>
      <c r="J211">
        <v>2411.8629259999998</v>
      </c>
      <c r="K211">
        <v>2344.048976</v>
      </c>
      <c r="L211">
        <v>2250.6011640000002</v>
      </c>
    </row>
    <row r="212" spans="1:12" x14ac:dyDescent="0.3">
      <c r="A212" t="s">
        <v>313</v>
      </c>
      <c r="B212">
        <v>401.83487609999997</v>
      </c>
      <c r="C212">
        <v>448.33766209999999</v>
      </c>
      <c r="D212">
        <v>566.37823509999998</v>
      </c>
      <c r="E212">
        <v>716.83582690000003</v>
      </c>
      <c r="F212">
        <v>714.69979569999998</v>
      </c>
      <c r="G212">
        <v>588.2288628</v>
      </c>
      <c r="H212">
        <v>501.4151655</v>
      </c>
      <c r="I212">
        <v>496.68229489999999</v>
      </c>
      <c r="J212">
        <v>533.99153330000001</v>
      </c>
      <c r="K212">
        <v>521.75483670000006</v>
      </c>
      <c r="L212">
        <v>509.37659400000001</v>
      </c>
    </row>
    <row r="213" spans="1:12" x14ac:dyDescent="0.3">
      <c r="A213" t="s">
        <v>314</v>
      </c>
      <c r="B213">
        <v>2983.2288060000001</v>
      </c>
      <c r="C213">
        <v>3266.0109779999998</v>
      </c>
      <c r="D213">
        <v>3428.4093320000002</v>
      </c>
      <c r="E213">
        <v>3509.5265359999999</v>
      </c>
      <c r="F213">
        <v>3589.0428849999998</v>
      </c>
      <c r="G213">
        <v>3705.5797040000002</v>
      </c>
      <c r="H213">
        <v>3805.9956860000002</v>
      </c>
      <c r="I213">
        <v>3910.2544029999999</v>
      </c>
      <c r="J213">
        <v>4052.6247750000002</v>
      </c>
      <c r="K213">
        <v>4167.730939</v>
      </c>
      <c r="L213">
        <v>3798.6365209999999</v>
      </c>
    </row>
    <row r="214" spans="1:12" x14ac:dyDescent="0.3">
      <c r="A214" t="s">
        <v>315</v>
      </c>
      <c r="B214">
        <v>60254.776299999998</v>
      </c>
      <c r="C214">
        <v>57297.513310000002</v>
      </c>
      <c r="D214">
        <v>49988.463629999998</v>
      </c>
      <c r="E214">
        <v>51570.983950000002</v>
      </c>
      <c r="F214">
        <v>50817.330820000003</v>
      </c>
      <c r="G214">
        <v>42662.902650000004</v>
      </c>
      <c r="H214">
        <v>43828.232459999999</v>
      </c>
      <c r="I214">
        <v>45399.029060000001</v>
      </c>
      <c r="J214">
        <v>48996.592250000002</v>
      </c>
      <c r="K214">
        <v>47731.20854</v>
      </c>
    </row>
    <row r="215" spans="1:12" x14ac:dyDescent="0.3">
      <c r="A215" t="s">
        <v>316</v>
      </c>
      <c r="E215">
        <v>350.16816180000001</v>
      </c>
      <c r="F215">
        <v>374.11478069999998</v>
      </c>
      <c r="G215">
        <v>386.437817</v>
      </c>
      <c r="H215">
        <v>389.82206150000002</v>
      </c>
      <c r="I215">
        <v>384.46340140000001</v>
      </c>
      <c r="J215">
        <v>389.83139549999999</v>
      </c>
      <c r="K215">
        <v>419.3948077</v>
      </c>
      <c r="L215">
        <v>438.2551656</v>
      </c>
    </row>
    <row r="216" spans="1:12" x14ac:dyDescent="0.3">
      <c r="A216" t="s">
        <v>317</v>
      </c>
      <c r="B216">
        <v>5735.4228569999996</v>
      </c>
      <c r="C216">
        <v>6809.1598039999999</v>
      </c>
      <c r="D216">
        <v>6015.9452279999996</v>
      </c>
      <c r="E216">
        <v>6755.0736749999996</v>
      </c>
      <c r="F216">
        <v>6600.0568089999997</v>
      </c>
      <c r="G216">
        <v>5588.9807280000005</v>
      </c>
      <c r="H216">
        <v>5765.2007620000004</v>
      </c>
      <c r="I216">
        <v>6292.5436289999998</v>
      </c>
      <c r="J216">
        <v>7252.4018580000002</v>
      </c>
      <c r="K216">
        <v>7417.203649</v>
      </c>
      <c r="L216">
        <v>7730.6917460000004</v>
      </c>
    </row>
    <row r="217" spans="1:12" x14ac:dyDescent="0.3">
      <c r="A217" t="s">
        <v>318</v>
      </c>
      <c r="B217">
        <v>1654.5412899999999</v>
      </c>
      <c r="C217">
        <v>1806.283367</v>
      </c>
      <c r="D217">
        <v>1827.326654</v>
      </c>
      <c r="E217">
        <v>1891.6196829999999</v>
      </c>
      <c r="F217">
        <v>1907.8270769999999</v>
      </c>
      <c r="G217">
        <v>1687.1017979999999</v>
      </c>
      <c r="H217">
        <v>1528.1855350000001</v>
      </c>
      <c r="I217">
        <v>1588.059704</v>
      </c>
      <c r="J217">
        <v>1625.8209710000001</v>
      </c>
      <c r="K217">
        <v>1628.8411269999999</v>
      </c>
      <c r="L217">
        <v>1500.349997</v>
      </c>
    </row>
    <row r="218" spans="1:12" x14ac:dyDescent="0.3">
      <c r="A218" t="s">
        <v>319</v>
      </c>
      <c r="B218">
        <v>1535.7068919999999</v>
      </c>
      <c r="C218">
        <v>1516.404378</v>
      </c>
      <c r="D218">
        <v>1179.7397109999999</v>
      </c>
      <c r="E218">
        <v>1779.4703649999999</v>
      </c>
      <c r="F218">
        <v>1322.8203639999999</v>
      </c>
      <c r="G218">
        <v>1119.651437</v>
      </c>
    </row>
    <row r="219" spans="1:12" x14ac:dyDescent="0.3">
      <c r="A219" t="s">
        <v>320</v>
      </c>
      <c r="B219">
        <v>1655.4861989999999</v>
      </c>
      <c r="C219">
        <v>1807.2995920000001</v>
      </c>
      <c r="D219">
        <v>1828.3055770000001</v>
      </c>
      <c r="E219">
        <v>1892.847636</v>
      </c>
      <c r="F219">
        <v>1909.033228</v>
      </c>
      <c r="G219">
        <v>1688.3272509999999</v>
      </c>
      <c r="H219">
        <v>1529.4392559999999</v>
      </c>
      <c r="I219">
        <v>1589.370013</v>
      </c>
      <c r="J219">
        <v>1627.1103599999999</v>
      </c>
      <c r="K219">
        <v>1630.1273779999999</v>
      </c>
      <c r="L219">
        <v>1501.1529210000001</v>
      </c>
    </row>
    <row r="220" spans="1:12" x14ac:dyDescent="0.3">
      <c r="A220" t="s">
        <v>321</v>
      </c>
      <c r="B220">
        <v>11168.490830000001</v>
      </c>
      <c r="C220">
        <v>13208.54429</v>
      </c>
      <c r="D220">
        <v>13520.941779999999</v>
      </c>
      <c r="E220">
        <v>13815.77778</v>
      </c>
      <c r="F220">
        <v>13996.596170000001</v>
      </c>
      <c r="G220">
        <v>11738.35138</v>
      </c>
      <c r="H220">
        <v>11351.14257</v>
      </c>
      <c r="I220">
        <v>12034.601430000001</v>
      </c>
      <c r="J220">
        <v>13001.52564</v>
      </c>
      <c r="K220">
        <v>12594.69002</v>
      </c>
      <c r="L220">
        <v>10773.544029999999</v>
      </c>
    </row>
    <row r="221" spans="1:12" x14ac:dyDescent="0.3">
      <c r="A221" t="s">
        <v>322</v>
      </c>
      <c r="B221">
        <v>1090.260763</v>
      </c>
      <c r="C221">
        <v>1254.541598</v>
      </c>
      <c r="D221">
        <v>1330.6201140000001</v>
      </c>
      <c r="E221">
        <v>1564.768548</v>
      </c>
      <c r="F221">
        <v>1770.467688</v>
      </c>
      <c r="G221">
        <v>1584.7756569999999</v>
      </c>
      <c r="H221">
        <v>1700.0979970000001</v>
      </c>
      <c r="I221">
        <v>1813.8074340000001</v>
      </c>
      <c r="J221">
        <v>1953.5132570000001</v>
      </c>
      <c r="K221">
        <v>1987.579702</v>
      </c>
      <c r="L221">
        <v>2157.8404460000002</v>
      </c>
    </row>
    <row r="222" spans="1:12" x14ac:dyDescent="0.3">
      <c r="A222" t="s">
        <v>323</v>
      </c>
      <c r="B222">
        <v>8255.8748720000003</v>
      </c>
      <c r="C222">
        <v>8263.2038030000003</v>
      </c>
      <c r="D222">
        <v>9200.9747860000007</v>
      </c>
      <c r="E222">
        <v>9402.1644190000006</v>
      </c>
      <c r="F222">
        <v>9471.9220010000008</v>
      </c>
      <c r="G222">
        <v>9168.2371569999996</v>
      </c>
      <c r="H222">
        <v>5872.7894290000004</v>
      </c>
      <c r="I222">
        <v>6295.5605619999997</v>
      </c>
      <c r="J222">
        <v>6938.0869810000004</v>
      </c>
      <c r="K222">
        <v>6853.6934110000002</v>
      </c>
      <c r="L222">
        <v>4916.6056660000004</v>
      </c>
    </row>
    <row r="223" spans="1:12" x14ac:dyDescent="0.3">
      <c r="A223" t="s">
        <v>324</v>
      </c>
      <c r="B223">
        <v>16841.767739999999</v>
      </c>
      <c r="C223">
        <v>18430.129799999999</v>
      </c>
      <c r="D223">
        <v>17429.829750000001</v>
      </c>
      <c r="E223">
        <v>18208.417590000001</v>
      </c>
      <c r="F223">
        <v>18655.790110000002</v>
      </c>
      <c r="G223">
        <v>16342.216259999999</v>
      </c>
      <c r="H223">
        <v>16512.292990000002</v>
      </c>
      <c r="I223">
        <v>17538.048579999999</v>
      </c>
      <c r="J223">
        <v>19389.98216</v>
      </c>
      <c r="K223">
        <v>19303.54566</v>
      </c>
      <c r="L223">
        <v>19266.513569999999</v>
      </c>
    </row>
    <row r="224" spans="1:12" x14ac:dyDescent="0.3">
      <c r="A224" t="s">
        <v>325</v>
      </c>
      <c r="B224">
        <v>23532.48085</v>
      </c>
      <c r="C224">
        <v>25128.015039999998</v>
      </c>
      <c r="D224">
        <v>22641.805120000001</v>
      </c>
      <c r="E224">
        <v>23503.282490000001</v>
      </c>
      <c r="F224">
        <v>24247.173320000002</v>
      </c>
      <c r="G224">
        <v>20890.166430000001</v>
      </c>
      <c r="H224">
        <v>21678.359469999999</v>
      </c>
      <c r="I224">
        <v>23514.025460000001</v>
      </c>
      <c r="J224">
        <v>26116.856360000002</v>
      </c>
      <c r="K224">
        <v>25942.95477</v>
      </c>
      <c r="L224">
        <v>25489.500230000001</v>
      </c>
    </row>
    <row r="225" spans="1:12" x14ac:dyDescent="0.3">
      <c r="A225" t="s">
        <v>326</v>
      </c>
      <c r="B225">
        <v>52869.044289999998</v>
      </c>
      <c r="C225">
        <v>60755.759550000002</v>
      </c>
      <c r="D225">
        <v>58037.821320000003</v>
      </c>
      <c r="E225">
        <v>61126.943200000002</v>
      </c>
      <c r="F225">
        <v>60020.360460000004</v>
      </c>
      <c r="G225">
        <v>51545.483610000003</v>
      </c>
      <c r="H225">
        <v>51965.157149999999</v>
      </c>
      <c r="I225">
        <v>53791.508730000001</v>
      </c>
      <c r="J225">
        <v>54589.060389999999</v>
      </c>
      <c r="K225">
        <v>51939.42974</v>
      </c>
      <c r="L225">
        <v>52274.408790000001</v>
      </c>
    </row>
    <row r="226" spans="1:12" x14ac:dyDescent="0.3">
      <c r="A226" t="s">
        <v>327</v>
      </c>
      <c r="B226">
        <v>4168.4894029999996</v>
      </c>
      <c r="C226">
        <v>4496.6133609999997</v>
      </c>
      <c r="D226">
        <v>4527.5650390000001</v>
      </c>
      <c r="E226">
        <v>4230.1712660000003</v>
      </c>
      <c r="F226">
        <v>4039.159341</v>
      </c>
      <c r="G226">
        <v>3680.3494730000002</v>
      </c>
      <c r="H226">
        <v>3425.5319570000001</v>
      </c>
      <c r="I226">
        <v>3914.4184839999998</v>
      </c>
      <c r="J226">
        <v>4105.8936830000002</v>
      </c>
      <c r="K226">
        <v>3915.6434669999999</v>
      </c>
      <c r="L226">
        <v>3424.2822120000001</v>
      </c>
    </row>
    <row r="227" spans="1:12" x14ac:dyDescent="0.3">
      <c r="A227" t="s">
        <v>328</v>
      </c>
      <c r="C227">
        <v>27997.289830000002</v>
      </c>
      <c r="D227">
        <v>28460.332620000001</v>
      </c>
      <c r="E227">
        <v>27942.880539999998</v>
      </c>
      <c r="F227">
        <v>33043.68838</v>
      </c>
      <c r="G227">
        <v>32274.89055</v>
      </c>
      <c r="H227">
        <v>31616.681700000001</v>
      </c>
      <c r="I227">
        <v>29369.056830000001</v>
      </c>
      <c r="J227">
        <v>28988.25921</v>
      </c>
    </row>
    <row r="228" spans="1:12" x14ac:dyDescent="0.3">
      <c r="A228" t="s">
        <v>329</v>
      </c>
      <c r="B228">
        <v>10804.68447</v>
      </c>
      <c r="C228">
        <v>12189.095160000001</v>
      </c>
      <c r="D228">
        <v>12006.68296</v>
      </c>
      <c r="E228">
        <v>14765.67398</v>
      </c>
      <c r="F228">
        <v>14700.334339999999</v>
      </c>
      <c r="G228">
        <v>14745.34146</v>
      </c>
      <c r="H228">
        <v>15068.620349999999</v>
      </c>
      <c r="I228">
        <v>15945.264929999999</v>
      </c>
      <c r="J228">
        <v>15994.81986</v>
      </c>
      <c r="K228">
        <v>16213.48076</v>
      </c>
      <c r="L228">
        <v>10764.42042</v>
      </c>
    </row>
    <row r="229" spans="1:12" x14ac:dyDescent="0.3">
      <c r="A229" t="s">
        <v>330</v>
      </c>
      <c r="B229">
        <v>11820.60778</v>
      </c>
      <c r="C229">
        <v>3050.754453</v>
      </c>
      <c r="D229">
        <v>2094.408097</v>
      </c>
      <c r="E229">
        <v>1039.1753100000001</v>
      </c>
      <c r="F229">
        <v>1135.1252440000001</v>
      </c>
      <c r="G229">
        <v>916.35803309999994</v>
      </c>
      <c r="H229">
        <v>707.50526669999999</v>
      </c>
      <c r="I229">
        <v>942.51891590000002</v>
      </c>
      <c r="J229">
        <v>1268.2358489999999</v>
      </c>
      <c r="K229">
        <v>1334.3705930000001</v>
      </c>
    </row>
    <row r="230" spans="1:12" x14ac:dyDescent="0.3">
      <c r="A230" t="s">
        <v>331</v>
      </c>
      <c r="B230">
        <v>21029.695940000001</v>
      </c>
      <c r="C230">
        <v>21839.009020000001</v>
      </c>
      <c r="D230">
        <v>21345.025979999999</v>
      </c>
      <c r="E230">
        <v>21715.313969999999</v>
      </c>
      <c r="F230">
        <v>23778.519130000001</v>
      </c>
      <c r="G230">
        <v>26183.885040000001</v>
      </c>
      <c r="H230">
        <v>28241.479289999999</v>
      </c>
      <c r="I230">
        <v>27545.128789999999</v>
      </c>
      <c r="J230">
        <v>29553.136699999999</v>
      </c>
      <c r="K230">
        <v>31350.86663</v>
      </c>
      <c r="L230">
        <v>23879.926650000001</v>
      </c>
    </row>
    <row r="231" spans="1:12" x14ac:dyDescent="0.3">
      <c r="A231" t="s">
        <v>332</v>
      </c>
      <c r="B231">
        <v>892.56886970000005</v>
      </c>
      <c r="C231">
        <v>984.73613049999994</v>
      </c>
      <c r="D231">
        <v>967.35294880000004</v>
      </c>
      <c r="E231">
        <v>979.8117426</v>
      </c>
      <c r="F231">
        <v>1020.287979</v>
      </c>
      <c r="G231">
        <v>776.01975230000005</v>
      </c>
      <c r="H231">
        <v>693.44976740000004</v>
      </c>
      <c r="I231">
        <v>665.94888490000005</v>
      </c>
      <c r="J231">
        <v>726.15100710000002</v>
      </c>
      <c r="K231">
        <v>709.54004320000001</v>
      </c>
      <c r="L231">
        <v>659.27004499999998</v>
      </c>
    </row>
    <row r="232" spans="1:12" x14ac:dyDescent="0.3">
      <c r="A232" t="s">
        <v>333</v>
      </c>
      <c r="B232">
        <v>4042.3562499999998</v>
      </c>
      <c r="C232">
        <v>4905.2523090000004</v>
      </c>
      <c r="D232">
        <v>5425.7665930000003</v>
      </c>
      <c r="E232">
        <v>5936.8057650000001</v>
      </c>
      <c r="F232">
        <v>6348.1097550000004</v>
      </c>
      <c r="G232">
        <v>6561.191006</v>
      </c>
      <c r="H232">
        <v>6648.8124479999997</v>
      </c>
      <c r="I232">
        <v>7210.9169940000002</v>
      </c>
      <c r="J232">
        <v>8012.1497099999997</v>
      </c>
      <c r="K232">
        <v>8235.5836770000005</v>
      </c>
      <c r="L232">
        <v>8346.03881</v>
      </c>
    </row>
    <row r="233" spans="1:12" x14ac:dyDescent="0.3">
      <c r="A233" t="s">
        <v>334</v>
      </c>
      <c r="B233">
        <v>8309.8220430000001</v>
      </c>
      <c r="C233">
        <v>10041.797409999999</v>
      </c>
      <c r="D233">
        <v>10432.47127</v>
      </c>
      <c r="E233">
        <v>11000.65566</v>
      </c>
      <c r="F233">
        <v>10330.791929999999</v>
      </c>
      <c r="G233">
        <v>8019.8938459999999</v>
      </c>
      <c r="H233">
        <v>7677.4004690000002</v>
      </c>
      <c r="I233">
        <v>8562.5074000000004</v>
      </c>
      <c r="J233">
        <v>8876.1539639999992</v>
      </c>
      <c r="K233">
        <v>9013.7956489999997</v>
      </c>
      <c r="L233">
        <v>8388.7895700000008</v>
      </c>
    </row>
    <row r="234" spans="1:12" x14ac:dyDescent="0.3">
      <c r="A234" t="s">
        <v>335</v>
      </c>
      <c r="B234">
        <v>534.04478259999996</v>
      </c>
      <c r="C234">
        <v>587.09749280000005</v>
      </c>
      <c r="D234">
        <v>571.80672389999995</v>
      </c>
      <c r="E234">
        <v>621.39885360000005</v>
      </c>
      <c r="F234">
        <v>640.93421960000001</v>
      </c>
      <c r="G234">
        <v>570.90996719999998</v>
      </c>
      <c r="H234">
        <v>803.15189339999995</v>
      </c>
      <c r="I234">
        <v>830.74527669999998</v>
      </c>
      <c r="J234">
        <v>901.52301690000002</v>
      </c>
      <c r="K234">
        <v>893.35245410000005</v>
      </c>
      <c r="L234">
        <v>914.95079250000003</v>
      </c>
    </row>
    <row r="235" spans="1:12" x14ac:dyDescent="0.3">
      <c r="A235" t="s">
        <v>336</v>
      </c>
      <c r="B235">
        <v>5076.3398719999996</v>
      </c>
      <c r="C235">
        <v>5492.1215000000002</v>
      </c>
      <c r="D235">
        <v>5860.5814710000004</v>
      </c>
      <c r="E235">
        <v>6168.261356</v>
      </c>
      <c r="F235">
        <v>5951.8834870000001</v>
      </c>
      <c r="G235">
        <v>5840.0530669999998</v>
      </c>
      <c r="H235">
        <v>5993.3055160000004</v>
      </c>
      <c r="I235">
        <v>6593.8183520000002</v>
      </c>
      <c r="J235">
        <v>7296.8796080000002</v>
      </c>
      <c r="K235">
        <v>7817.0096709999998</v>
      </c>
      <c r="L235">
        <v>7186.874092</v>
      </c>
    </row>
    <row r="236" spans="1:12" x14ac:dyDescent="0.3">
      <c r="A236" t="s">
        <v>337</v>
      </c>
      <c r="B236">
        <v>749.55241230000001</v>
      </c>
      <c r="C236">
        <v>847.38243209999996</v>
      </c>
      <c r="D236">
        <v>969.29610390000005</v>
      </c>
      <c r="E236">
        <v>1048.225602</v>
      </c>
      <c r="F236">
        <v>1104.172358</v>
      </c>
      <c r="G236">
        <v>978.40498119999995</v>
      </c>
      <c r="H236">
        <v>807.10258610000005</v>
      </c>
      <c r="I236">
        <v>848.67237990000001</v>
      </c>
      <c r="J236">
        <v>853.21887340000001</v>
      </c>
      <c r="K236">
        <v>890.54440239999997</v>
      </c>
      <c r="L236">
        <v>859.13796109999998</v>
      </c>
    </row>
    <row r="237" spans="1:12" x14ac:dyDescent="0.3">
      <c r="A237" t="s">
        <v>338</v>
      </c>
      <c r="B237">
        <v>4439.2021279999999</v>
      </c>
      <c r="C237">
        <v>5649.9621059999999</v>
      </c>
      <c r="D237">
        <v>6675.1780550000003</v>
      </c>
      <c r="E237">
        <v>7304.2857709999998</v>
      </c>
      <c r="F237">
        <v>7962.244925</v>
      </c>
      <c r="G237">
        <v>6432.6853250000004</v>
      </c>
      <c r="H237">
        <v>6387.6825749999998</v>
      </c>
      <c r="I237">
        <v>6587.0926040000004</v>
      </c>
      <c r="J237">
        <v>6967.375043</v>
      </c>
      <c r="K237">
        <v>7612.0351799999999</v>
      </c>
    </row>
    <row r="238" spans="1:12" x14ac:dyDescent="0.3">
      <c r="A238" t="s">
        <v>339</v>
      </c>
      <c r="B238">
        <v>8991.1818960000001</v>
      </c>
      <c r="C238">
        <v>10139.33346</v>
      </c>
      <c r="D238">
        <v>10123.57509</v>
      </c>
      <c r="E238">
        <v>10262.03865</v>
      </c>
      <c r="F238">
        <v>10350.59367</v>
      </c>
      <c r="G238">
        <v>8482.3012209999997</v>
      </c>
      <c r="H238">
        <v>8186.7881349999998</v>
      </c>
      <c r="I238">
        <v>9037.2215489999999</v>
      </c>
      <c r="J238">
        <v>8743.5278830000007</v>
      </c>
      <c r="K238">
        <v>8525.4218610000007</v>
      </c>
      <c r="L238">
        <v>7035.7530749999996</v>
      </c>
    </row>
    <row r="239" spans="1:12" x14ac:dyDescent="0.3">
      <c r="A239" t="s">
        <v>340</v>
      </c>
      <c r="B239">
        <v>806.41434930000003</v>
      </c>
      <c r="C239">
        <v>936.44859559999998</v>
      </c>
      <c r="D239">
        <v>1024.1725080000001</v>
      </c>
      <c r="E239">
        <v>1210.0356549999999</v>
      </c>
      <c r="F239">
        <v>1232.4503360000001</v>
      </c>
      <c r="G239">
        <v>1332.7918560000001</v>
      </c>
      <c r="H239">
        <v>1353.754934</v>
      </c>
      <c r="I239">
        <v>1299.494635</v>
      </c>
      <c r="J239">
        <v>1249.1383510000001</v>
      </c>
      <c r="K239">
        <v>1583.7135760000001</v>
      </c>
      <c r="L239">
        <v>1442.730738</v>
      </c>
    </row>
    <row r="240" spans="1:12" x14ac:dyDescent="0.3">
      <c r="A240" t="s">
        <v>341</v>
      </c>
      <c r="B240">
        <v>4771.6801930000001</v>
      </c>
      <c r="C240">
        <v>4641.094951</v>
      </c>
      <c r="D240">
        <v>4949.0891469999997</v>
      </c>
      <c r="E240">
        <v>4488.0130170000002</v>
      </c>
      <c r="F240">
        <v>4339.0545169999996</v>
      </c>
      <c r="G240">
        <v>3813.93669</v>
      </c>
      <c r="H240">
        <v>3794.449568</v>
      </c>
      <c r="I240">
        <v>3677.6085520000001</v>
      </c>
      <c r="J240">
        <v>3446.0569049999999</v>
      </c>
      <c r="K240">
        <v>3447.2438910000001</v>
      </c>
      <c r="L240">
        <v>3015.7035510000001</v>
      </c>
    </row>
    <row r="241" spans="1:12" x14ac:dyDescent="0.3">
      <c r="A241" t="s">
        <v>342</v>
      </c>
      <c r="B241">
        <v>3527.952342</v>
      </c>
      <c r="C241">
        <v>4002.8137710000001</v>
      </c>
      <c r="D241">
        <v>4581.7832449999996</v>
      </c>
      <c r="E241">
        <v>4428.1465209999997</v>
      </c>
      <c r="F241">
        <v>4354.2443599999997</v>
      </c>
      <c r="G241">
        <v>4336.239603</v>
      </c>
      <c r="H241">
        <v>4157.8772490000001</v>
      </c>
      <c r="I241">
        <v>4513.4325310000004</v>
      </c>
      <c r="J241">
        <v>4740.700272</v>
      </c>
      <c r="K241">
        <v>4903.012138</v>
      </c>
      <c r="L241">
        <v>4624.8234490000004</v>
      </c>
    </row>
    <row r="242" spans="1:12" x14ac:dyDescent="0.3">
      <c r="A242" t="s">
        <v>343</v>
      </c>
      <c r="B242">
        <v>1257.4995080000001</v>
      </c>
      <c r="C242">
        <v>1368.9451019999999</v>
      </c>
      <c r="D242">
        <v>1366.0594249999999</v>
      </c>
      <c r="E242">
        <v>1383.3169089999999</v>
      </c>
      <c r="F242">
        <v>1496.0149960000001</v>
      </c>
      <c r="G242">
        <v>1543.048131</v>
      </c>
      <c r="H242">
        <v>1652.2518009999999</v>
      </c>
      <c r="I242">
        <v>1867.443968</v>
      </c>
      <c r="J242">
        <v>1894.0088840000001</v>
      </c>
      <c r="K242">
        <v>1959.5258449999999</v>
      </c>
      <c r="L242">
        <v>1823.712912</v>
      </c>
    </row>
    <row r="243" spans="1:12" x14ac:dyDescent="0.3">
      <c r="A243" t="s">
        <v>344</v>
      </c>
      <c r="B243">
        <v>1655.4861989999999</v>
      </c>
      <c r="C243">
        <v>1807.2995920000001</v>
      </c>
      <c r="D243">
        <v>1828.3055770000001</v>
      </c>
      <c r="E243">
        <v>1892.847636</v>
      </c>
      <c r="F243">
        <v>1909.033228</v>
      </c>
      <c r="G243">
        <v>1688.3272509999999</v>
      </c>
      <c r="H243">
        <v>1529.4392559999999</v>
      </c>
      <c r="I243">
        <v>1589.370013</v>
      </c>
      <c r="J243">
        <v>1627.1103599999999</v>
      </c>
      <c r="K243">
        <v>1630.1273779999999</v>
      </c>
      <c r="L243">
        <v>1501.1529210000001</v>
      </c>
    </row>
    <row r="244" spans="1:12" x14ac:dyDescent="0.3">
      <c r="A244" t="s">
        <v>345</v>
      </c>
      <c r="B244">
        <v>16683.393059999999</v>
      </c>
      <c r="C244">
        <v>19034.120709999999</v>
      </c>
      <c r="D244">
        <v>19157.459770000001</v>
      </c>
      <c r="E244">
        <v>20143.545409999999</v>
      </c>
      <c r="F244">
        <v>20270.93377</v>
      </c>
      <c r="G244">
        <v>18214.460620000002</v>
      </c>
      <c r="H244">
        <v>16250.62869</v>
      </c>
      <c r="I244">
        <v>16173.74005</v>
      </c>
      <c r="J244">
        <v>17037.862359999999</v>
      </c>
      <c r="K244">
        <v>16637.162939999998</v>
      </c>
      <c r="L244">
        <v>15425.635109999999</v>
      </c>
    </row>
    <row r="245" spans="1:12" x14ac:dyDescent="0.3">
      <c r="A245" t="s">
        <v>346</v>
      </c>
      <c r="B245">
        <v>4344.64192</v>
      </c>
      <c r="C245">
        <v>4479.930327</v>
      </c>
      <c r="D245">
        <v>4361.6877359999999</v>
      </c>
      <c r="E245">
        <v>4444.816511</v>
      </c>
      <c r="F245">
        <v>4544.0166319999998</v>
      </c>
      <c r="G245">
        <v>4094.8362870000001</v>
      </c>
      <c r="H245">
        <v>3924.3633460000001</v>
      </c>
      <c r="I245">
        <v>3687.7774610000001</v>
      </c>
      <c r="J245">
        <v>3680.892597</v>
      </c>
      <c r="K245">
        <v>3574.6540239999999</v>
      </c>
      <c r="L245">
        <v>3521.5919479999998</v>
      </c>
    </row>
    <row r="246" spans="1:12" x14ac:dyDescent="0.3">
      <c r="A246" t="s">
        <v>347</v>
      </c>
      <c r="B246">
        <v>10742.77498</v>
      </c>
      <c r="C246">
        <v>11420.55546</v>
      </c>
      <c r="D246">
        <v>11795.633459999999</v>
      </c>
      <c r="E246">
        <v>12614.78161</v>
      </c>
      <c r="F246">
        <v>12157.99043</v>
      </c>
      <c r="G246">
        <v>11006.27952</v>
      </c>
      <c r="H246">
        <v>10894.60338</v>
      </c>
      <c r="I246">
        <v>10589.667719999999</v>
      </c>
      <c r="J246">
        <v>9454.3484430000008</v>
      </c>
      <c r="K246">
        <v>9121.5151669999996</v>
      </c>
      <c r="L246">
        <v>8536.4333200000001</v>
      </c>
    </row>
    <row r="247" spans="1:12" x14ac:dyDescent="0.3">
      <c r="A247" t="s">
        <v>348</v>
      </c>
      <c r="B247">
        <v>3024.7617740000001</v>
      </c>
      <c r="C247">
        <v>3643.1216079999999</v>
      </c>
      <c r="D247">
        <v>3506.3081440000001</v>
      </c>
      <c r="E247">
        <v>3457.3762660000002</v>
      </c>
      <c r="F247">
        <v>3398.3967499999999</v>
      </c>
      <c r="G247">
        <v>3197.7722520000002</v>
      </c>
      <c r="H247">
        <v>3253.8995359999999</v>
      </c>
      <c r="I247">
        <v>3574.0652879999998</v>
      </c>
      <c r="J247">
        <v>3701.7092550000002</v>
      </c>
      <c r="K247">
        <v>4055.89561</v>
      </c>
      <c r="L247">
        <v>4143.1097529999997</v>
      </c>
    </row>
    <row r="248" spans="1:12" x14ac:dyDescent="0.3">
      <c r="A248" t="s">
        <v>349</v>
      </c>
      <c r="B248">
        <v>743.40366389999997</v>
      </c>
      <c r="C248">
        <v>781.43389569999999</v>
      </c>
      <c r="D248">
        <v>867.8574989</v>
      </c>
      <c r="E248">
        <v>970.39960140000005</v>
      </c>
      <c r="F248">
        <v>1030.077648</v>
      </c>
      <c r="G248">
        <v>947.9333517</v>
      </c>
      <c r="H248">
        <v>966.50301660000002</v>
      </c>
      <c r="I248">
        <v>1004.9065880000001</v>
      </c>
      <c r="J248">
        <v>1042.8387560000001</v>
      </c>
      <c r="K248">
        <v>1085.8848599999999</v>
      </c>
      <c r="L248">
        <v>1076.4697060000001</v>
      </c>
    </row>
    <row r="249" spans="1:12" x14ac:dyDescent="0.3">
      <c r="A249" t="s">
        <v>350</v>
      </c>
      <c r="B249">
        <v>822.53937250000001</v>
      </c>
      <c r="C249">
        <v>832.56907820000004</v>
      </c>
      <c r="D249">
        <v>790.13145059999999</v>
      </c>
      <c r="E249">
        <v>810.09039499999994</v>
      </c>
      <c r="F249">
        <v>883.52874450000002</v>
      </c>
      <c r="G249">
        <v>847.26762889999998</v>
      </c>
      <c r="H249">
        <v>736.55984739999997</v>
      </c>
      <c r="I249">
        <v>746.83075289999999</v>
      </c>
      <c r="J249">
        <v>770.60078429999999</v>
      </c>
      <c r="K249">
        <v>798.58573409999997</v>
      </c>
      <c r="L249">
        <v>822.02768149999997</v>
      </c>
    </row>
    <row r="250" spans="1:12" x14ac:dyDescent="0.3">
      <c r="A250" t="s">
        <v>351</v>
      </c>
      <c r="B250">
        <v>3078.4299820000001</v>
      </c>
      <c r="C250">
        <v>3704.8249730000002</v>
      </c>
      <c r="D250">
        <v>4004.804396</v>
      </c>
      <c r="E250">
        <v>4187.7398450000001</v>
      </c>
      <c r="F250">
        <v>3104.6432060000002</v>
      </c>
      <c r="G250">
        <v>2124.662319</v>
      </c>
      <c r="H250">
        <v>2187.7305099999999</v>
      </c>
      <c r="I250">
        <v>2638.326055</v>
      </c>
      <c r="J250">
        <v>3096.5616970000001</v>
      </c>
      <c r="K250">
        <v>3661.4562040000001</v>
      </c>
      <c r="L250">
        <v>3724.9384369999998</v>
      </c>
    </row>
    <row r="251" spans="1:12" x14ac:dyDescent="0.3">
      <c r="A251" t="s">
        <v>352</v>
      </c>
      <c r="B251">
        <v>6324.49586</v>
      </c>
      <c r="C251">
        <v>7567.4209950000004</v>
      </c>
      <c r="D251">
        <v>8035.9811179999997</v>
      </c>
      <c r="E251">
        <v>8559.85124</v>
      </c>
      <c r="F251">
        <v>8754.5374570000004</v>
      </c>
      <c r="G251">
        <v>8155.8818019999999</v>
      </c>
      <c r="H251">
        <v>8053.1678840000004</v>
      </c>
      <c r="I251">
        <v>8846.4763860000003</v>
      </c>
      <c r="J251">
        <v>9468.9329830000006</v>
      </c>
      <c r="K251">
        <v>9572.8727870000002</v>
      </c>
      <c r="L251">
        <v>9177.8918269999995</v>
      </c>
    </row>
    <row r="252" spans="1:12" x14ac:dyDescent="0.3">
      <c r="A252" t="s">
        <v>353</v>
      </c>
      <c r="B252">
        <v>11992.02377</v>
      </c>
      <c r="C252">
        <v>14236.715</v>
      </c>
      <c r="D252">
        <v>15171.580169999999</v>
      </c>
      <c r="E252">
        <v>16973.68924</v>
      </c>
      <c r="F252">
        <v>16831.948189999999</v>
      </c>
      <c r="G252">
        <v>15613.74597</v>
      </c>
      <c r="H252">
        <v>16715.633470000001</v>
      </c>
      <c r="I252">
        <v>18690.893840000001</v>
      </c>
      <c r="J252">
        <v>18703.860290000001</v>
      </c>
      <c r="K252">
        <v>17688.015009999999</v>
      </c>
      <c r="L252">
        <v>15438.41167</v>
      </c>
    </row>
    <row r="253" spans="1:12" x14ac:dyDescent="0.3">
      <c r="A253" t="s">
        <v>354</v>
      </c>
      <c r="B253">
        <v>48466.657599999999</v>
      </c>
      <c r="C253">
        <v>49882.558129999998</v>
      </c>
      <c r="D253">
        <v>51602.931049999999</v>
      </c>
      <c r="E253">
        <v>53106.536769999999</v>
      </c>
      <c r="F253">
        <v>55049.98833</v>
      </c>
      <c r="G253">
        <v>56863.371500000001</v>
      </c>
      <c r="H253">
        <v>58021.400500000003</v>
      </c>
      <c r="I253">
        <v>60109.655729999999</v>
      </c>
      <c r="J253">
        <v>63064.418409999998</v>
      </c>
      <c r="K253">
        <v>65279.529029999998</v>
      </c>
      <c r="L253">
        <v>63206.521079999999</v>
      </c>
    </row>
    <row r="254" spans="1:12" x14ac:dyDescent="0.3">
      <c r="A254" t="s">
        <v>355</v>
      </c>
      <c r="B254">
        <v>1742.349256</v>
      </c>
      <c r="C254">
        <v>2051.1295150000001</v>
      </c>
      <c r="D254">
        <v>2267.6232749999999</v>
      </c>
      <c r="E254">
        <v>2419.718703</v>
      </c>
      <c r="F254">
        <v>2628.460008</v>
      </c>
      <c r="G254">
        <v>2753.9710719999998</v>
      </c>
      <c r="H254">
        <v>2704.6771880000001</v>
      </c>
      <c r="I254">
        <v>1916.7646420000001</v>
      </c>
      <c r="J254">
        <v>1597.0683369999999</v>
      </c>
      <c r="K254">
        <v>1784.009816</v>
      </c>
      <c r="L254">
        <v>1750.6971129999999</v>
      </c>
    </row>
    <row r="255" spans="1:12" x14ac:dyDescent="0.3">
      <c r="A255" t="s">
        <v>356</v>
      </c>
      <c r="B255">
        <v>6292.4988540000004</v>
      </c>
      <c r="C255">
        <v>6242.2529619999996</v>
      </c>
      <c r="D255">
        <v>6390.3106319999997</v>
      </c>
      <c r="E255">
        <v>6639.4848970000003</v>
      </c>
      <c r="F255">
        <v>6684.377547</v>
      </c>
      <c r="G255">
        <v>6921.7024789999996</v>
      </c>
      <c r="H255">
        <v>7074.5487649999995</v>
      </c>
      <c r="I255">
        <v>7213.0258569999996</v>
      </c>
      <c r="J255">
        <v>7361.4009619999997</v>
      </c>
      <c r="K255">
        <v>7460.153362</v>
      </c>
      <c r="L255">
        <v>7278.0162970000001</v>
      </c>
    </row>
    <row r="256" spans="1:12" x14ac:dyDescent="0.3">
      <c r="A256" t="s">
        <v>357</v>
      </c>
      <c r="B256">
        <v>13825.357120000001</v>
      </c>
      <c r="C256">
        <v>10955.53801</v>
      </c>
      <c r="D256">
        <v>12986.222690000001</v>
      </c>
      <c r="E256">
        <v>12457.768599999999</v>
      </c>
      <c r="F256">
        <v>16055.64532</v>
      </c>
    </row>
    <row r="257" spans="1:12" x14ac:dyDescent="0.3">
      <c r="A257" t="s">
        <v>358</v>
      </c>
    </row>
    <row r="258" spans="1:12" x14ac:dyDescent="0.3">
      <c r="A258" t="s">
        <v>359</v>
      </c>
      <c r="B258">
        <v>39905.128420000001</v>
      </c>
      <c r="C258">
        <v>38997.137320000002</v>
      </c>
      <c r="D258">
        <v>37795.319259999997</v>
      </c>
      <c r="E258">
        <v>34597.976690000003</v>
      </c>
      <c r="F258">
        <v>33045.364379999999</v>
      </c>
      <c r="G258">
        <v>34007.352939999997</v>
      </c>
      <c r="H258">
        <v>35324.974889999998</v>
      </c>
      <c r="I258">
        <v>35365.069300000003</v>
      </c>
      <c r="J258">
        <v>36448.257490000004</v>
      </c>
      <c r="K258">
        <v>38136.665760000004</v>
      </c>
    </row>
    <row r="259" spans="1:12" x14ac:dyDescent="0.3">
      <c r="A259" t="s">
        <v>360</v>
      </c>
      <c r="B259">
        <v>1317.8906460000001</v>
      </c>
      <c r="C259">
        <v>1525.119025</v>
      </c>
      <c r="D259">
        <v>1735.152116</v>
      </c>
      <c r="E259">
        <v>1886.6901700000001</v>
      </c>
      <c r="F259">
        <v>2030.2784469999999</v>
      </c>
      <c r="G259">
        <v>2085.101349</v>
      </c>
      <c r="H259">
        <v>2192.1744819999999</v>
      </c>
      <c r="I259">
        <v>2365.5216150000001</v>
      </c>
      <c r="J259">
        <v>2566.4474869999999</v>
      </c>
      <c r="K259">
        <v>2715.2759799999999</v>
      </c>
      <c r="L259">
        <v>2785.7241610000001</v>
      </c>
    </row>
    <row r="260" spans="1:12" x14ac:dyDescent="0.3">
      <c r="A260" t="s">
        <v>361</v>
      </c>
      <c r="B260">
        <v>2839.40634</v>
      </c>
      <c r="C260">
        <v>3173.8220219999998</v>
      </c>
      <c r="D260">
        <v>2997.2934319999999</v>
      </c>
      <c r="E260">
        <v>2954.7745110000001</v>
      </c>
      <c r="F260">
        <v>2926.6799599999999</v>
      </c>
      <c r="G260">
        <v>2695.6661859999999</v>
      </c>
      <c r="H260">
        <v>2805.6653200000001</v>
      </c>
      <c r="I260">
        <v>3082.4750829999998</v>
      </c>
      <c r="J260">
        <v>3125.4049989999999</v>
      </c>
      <c r="K260">
        <v>3116.297759</v>
      </c>
      <c r="L260">
        <v>2870.0893000000001</v>
      </c>
    </row>
    <row r="261" spans="1:12" x14ac:dyDescent="0.3">
      <c r="A261" t="s">
        <v>362</v>
      </c>
      <c r="B261">
        <v>9607.3235679999998</v>
      </c>
      <c r="C261">
        <v>10518.843349999999</v>
      </c>
      <c r="D261">
        <v>10623.33988</v>
      </c>
      <c r="E261">
        <v>10792.72853</v>
      </c>
      <c r="F261">
        <v>10958.0291</v>
      </c>
      <c r="G261">
        <v>10223.24793</v>
      </c>
      <c r="H261">
        <v>10266.023300000001</v>
      </c>
      <c r="I261">
        <v>10802.32186</v>
      </c>
      <c r="J261">
        <v>11348.248610000001</v>
      </c>
      <c r="K261">
        <v>11396.98847</v>
      </c>
      <c r="L261">
        <v>10916.080830000001</v>
      </c>
    </row>
    <row r="262" spans="1:12" x14ac:dyDescent="0.3">
      <c r="A262" t="s">
        <v>363</v>
      </c>
      <c r="B262">
        <v>3566.4283599999999</v>
      </c>
      <c r="C262">
        <v>3932.1058469999998</v>
      </c>
      <c r="D262">
        <v>4020.959844</v>
      </c>
      <c r="E262">
        <v>4037.8138290000002</v>
      </c>
      <c r="F262">
        <v>3937.1862460000002</v>
      </c>
      <c r="G262">
        <v>4071.9269589999999</v>
      </c>
      <c r="H262">
        <v>4109.6632280000003</v>
      </c>
      <c r="I262">
        <v>4258.9787669999996</v>
      </c>
      <c r="J262">
        <v>4187.5047290000002</v>
      </c>
      <c r="K262">
        <v>4322.8684569999996</v>
      </c>
      <c r="L262">
        <v>4067.8434590000002</v>
      </c>
    </row>
    <row r="263" spans="1:12" x14ac:dyDescent="0.3">
      <c r="A263" t="s">
        <v>364</v>
      </c>
      <c r="B263">
        <v>3009.559334</v>
      </c>
      <c r="C263">
        <v>3540.8917889999998</v>
      </c>
      <c r="D263">
        <v>3410.8597799999998</v>
      </c>
      <c r="E263">
        <v>3704.7842209999999</v>
      </c>
      <c r="F263">
        <v>3902.6760129999998</v>
      </c>
      <c r="G263">
        <v>3520.7664490000002</v>
      </c>
      <c r="H263">
        <v>3759.560246</v>
      </c>
      <c r="I263">
        <v>4009.380987</v>
      </c>
      <c r="J263">
        <v>4384.0488919999998</v>
      </c>
      <c r="K263">
        <v>4416.1083580000004</v>
      </c>
      <c r="L263">
        <v>4310.8111829999998</v>
      </c>
    </row>
    <row r="264" spans="1:12" x14ac:dyDescent="0.3">
      <c r="A264" t="s">
        <v>365</v>
      </c>
      <c r="B264">
        <v>1334.7849020000001</v>
      </c>
      <c r="C264">
        <v>1374.6214010000001</v>
      </c>
      <c r="D264">
        <v>1446.536472</v>
      </c>
      <c r="E264">
        <v>1607.1521729999999</v>
      </c>
      <c r="F264">
        <v>1674.0025720000001</v>
      </c>
      <c r="G264">
        <v>1601.8300630000001</v>
      </c>
      <c r="H264">
        <v>1152.7209660000001</v>
      </c>
      <c r="I264">
        <v>964.26481049999995</v>
      </c>
      <c r="J264">
        <v>758.14524159999996</v>
      </c>
    </row>
    <row r="265" spans="1:12" x14ac:dyDescent="0.3">
      <c r="A265" t="s">
        <v>366</v>
      </c>
      <c r="B265">
        <v>8148.9612020000004</v>
      </c>
      <c r="C265">
        <v>8810.9306510000006</v>
      </c>
      <c r="D265">
        <v>8222.197279</v>
      </c>
      <c r="E265">
        <v>7467.0791849999996</v>
      </c>
      <c r="F265">
        <v>6988.8087390000001</v>
      </c>
      <c r="G265">
        <v>6259.8396810000004</v>
      </c>
      <c r="H265">
        <v>5756.965741</v>
      </c>
      <c r="I265">
        <v>6690.9398469999996</v>
      </c>
      <c r="J265">
        <v>7005.095413</v>
      </c>
      <c r="K265">
        <v>6624.7618650000004</v>
      </c>
      <c r="L265">
        <v>5655.8676539999997</v>
      </c>
    </row>
    <row r="266" spans="1:12" x14ac:dyDescent="0.3">
      <c r="A266" t="s">
        <v>367</v>
      </c>
      <c r="B266">
        <v>1489.459087</v>
      </c>
      <c r="C266">
        <v>1672.9075350000001</v>
      </c>
      <c r="D266">
        <v>1763.069442</v>
      </c>
      <c r="E266">
        <v>1878.3468109999999</v>
      </c>
      <c r="F266">
        <v>1762.427817</v>
      </c>
      <c r="G266">
        <v>1338.290927</v>
      </c>
      <c r="H266">
        <v>1280.8065429999999</v>
      </c>
      <c r="I266">
        <v>1535.1965740000001</v>
      </c>
      <c r="J266">
        <v>1516.368371</v>
      </c>
      <c r="K266">
        <v>1305.001031</v>
      </c>
      <c r="L266">
        <v>985.13243599999998</v>
      </c>
    </row>
    <row r="267" spans="1:12" x14ac:dyDescent="0.3">
      <c r="A267" t="s">
        <v>368</v>
      </c>
      <c r="B267">
        <v>948.33148100000005</v>
      </c>
      <c r="C267">
        <v>1093.653409</v>
      </c>
      <c r="D267">
        <v>1304.9680109999999</v>
      </c>
      <c r="E267">
        <v>1429.9984609999999</v>
      </c>
      <c r="F267">
        <v>1434.8962770000001</v>
      </c>
      <c r="G267">
        <v>1445.069702</v>
      </c>
      <c r="H267">
        <v>1464.5889569999999</v>
      </c>
      <c r="I267">
        <v>1235.189032</v>
      </c>
      <c r="J267">
        <v>1254.642265</v>
      </c>
      <c r="K267">
        <v>1316.7406570000001</v>
      </c>
      <c r="L267">
        <v>1214.50982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3D98-49F8-4DB0-AB44-CAFB7FF1112D}">
  <dimension ref="A1:N267"/>
  <sheetViews>
    <sheetView workbookViewId="0">
      <selection activeCell="P34" sqref="P34"/>
    </sheetView>
  </sheetViews>
  <sheetFormatPr defaultRowHeight="14.4" x14ac:dyDescent="0.3"/>
  <sheetData>
    <row r="1" spans="1:14" x14ac:dyDescent="0.3">
      <c r="A1" t="s">
        <v>102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N1" t="s">
        <v>102</v>
      </c>
    </row>
    <row r="2" spans="1:14" x14ac:dyDescent="0.3">
      <c r="A2" t="s">
        <v>103</v>
      </c>
      <c r="B2">
        <v>93.356292719999999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N2" s="32"/>
    </row>
    <row r="3" spans="1:14" x14ac:dyDescent="0.3">
      <c r="A3" t="s">
        <v>104</v>
      </c>
      <c r="B3">
        <v>27.557137139999998</v>
      </c>
      <c r="C3">
        <v>29.08982683</v>
      </c>
      <c r="D3">
        <v>31.844384399999999</v>
      </c>
      <c r="E3">
        <v>31.794159990000001</v>
      </c>
      <c r="F3">
        <v>32.001026779999997</v>
      </c>
      <c r="G3">
        <v>33.871910460000002</v>
      </c>
      <c r="H3">
        <v>38.880173220000003</v>
      </c>
      <c r="I3">
        <v>40.261357599999997</v>
      </c>
      <c r="J3">
        <v>43.061876949999998</v>
      </c>
      <c r="K3">
        <v>44.270860480000003</v>
      </c>
      <c r="L3">
        <v>45.80348523</v>
      </c>
      <c r="N3" s="32"/>
    </row>
    <row r="4" spans="1:14" x14ac:dyDescent="0.3">
      <c r="A4" t="s">
        <v>105</v>
      </c>
      <c r="B4">
        <v>42.700000760000002</v>
      </c>
      <c r="C4">
        <v>43.222019199999998</v>
      </c>
      <c r="D4">
        <v>69.099998470000003</v>
      </c>
      <c r="E4">
        <v>68.29064941</v>
      </c>
      <c r="F4">
        <v>89.5</v>
      </c>
      <c r="G4">
        <v>71.5</v>
      </c>
      <c r="H4">
        <v>97.699996949999999</v>
      </c>
      <c r="I4">
        <v>97.699996949999999</v>
      </c>
      <c r="J4">
        <v>96.616134639999999</v>
      </c>
      <c r="K4">
        <v>97.699996949999999</v>
      </c>
      <c r="L4">
        <v>97.699996949999999</v>
      </c>
      <c r="N4" s="32"/>
    </row>
    <row r="5" spans="1:14" x14ac:dyDescent="0.3">
      <c r="A5" t="s">
        <v>106</v>
      </c>
      <c r="B5">
        <v>41.799857959999997</v>
      </c>
      <c r="C5">
        <v>45.911473979999997</v>
      </c>
      <c r="D5">
        <v>44.167973349999997</v>
      </c>
      <c r="E5">
        <v>47.048316159999999</v>
      </c>
      <c r="F5">
        <v>47.599322790000002</v>
      </c>
      <c r="G5">
        <v>46.766294360000003</v>
      </c>
      <c r="H5">
        <v>50.953486679999997</v>
      </c>
      <c r="I5">
        <v>48.861191220000002</v>
      </c>
      <c r="J5">
        <v>51.259711639999999</v>
      </c>
      <c r="K5">
        <v>51.290192990000001</v>
      </c>
      <c r="L5">
        <v>52.111601</v>
      </c>
      <c r="N5" s="32"/>
    </row>
    <row r="6" spans="1:14" x14ac:dyDescent="0.3">
      <c r="A6" t="s">
        <v>107</v>
      </c>
      <c r="B6">
        <v>34.89563751</v>
      </c>
      <c r="C6">
        <v>34.599998470000003</v>
      </c>
      <c r="D6">
        <v>37.131320950000003</v>
      </c>
      <c r="E6">
        <v>38.278030399999999</v>
      </c>
      <c r="F6">
        <v>32</v>
      </c>
      <c r="G6">
        <v>42</v>
      </c>
      <c r="H6">
        <v>41.813129429999996</v>
      </c>
      <c r="I6">
        <v>43.01325989</v>
      </c>
      <c r="J6">
        <v>45.290000919999997</v>
      </c>
      <c r="K6">
        <v>45.64279938</v>
      </c>
      <c r="L6">
        <v>46.890609740000002</v>
      </c>
      <c r="N6" s="32"/>
    </row>
    <row r="7" spans="1:14" x14ac:dyDescent="0.3">
      <c r="A7" t="s">
        <v>108</v>
      </c>
      <c r="B7">
        <v>100</v>
      </c>
      <c r="C7">
        <v>100</v>
      </c>
      <c r="D7">
        <v>99.900001529999997</v>
      </c>
      <c r="E7">
        <v>100</v>
      </c>
      <c r="F7">
        <v>99.949996949999999</v>
      </c>
      <c r="G7">
        <v>99.980003359999998</v>
      </c>
      <c r="H7">
        <v>99.88999939</v>
      </c>
      <c r="I7">
        <v>99.88999939</v>
      </c>
      <c r="J7">
        <v>100</v>
      </c>
      <c r="K7">
        <v>100</v>
      </c>
      <c r="L7">
        <v>100</v>
      </c>
      <c r="N7" s="32"/>
    </row>
    <row r="8" spans="1:14" x14ac:dyDescent="0.3">
      <c r="A8" t="s">
        <v>109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N8" s="32"/>
    </row>
    <row r="9" spans="1:14" x14ac:dyDescent="0.3">
      <c r="A9" t="s">
        <v>110</v>
      </c>
      <c r="B9">
        <v>87.114862810000005</v>
      </c>
      <c r="C9">
        <v>87.332661239999993</v>
      </c>
      <c r="D9">
        <v>87.039588390000006</v>
      </c>
      <c r="E9">
        <v>88.992619809999994</v>
      </c>
      <c r="F9">
        <v>88.015356179999998</v>
      </c>
      <c r="G9">
        <v>88.68188567</v>
      </c>
      <c r="H9">
        <v>89.195062350000001</v>
      </c>
      <c r="I9">
        <v>90.324659490000002</v>
      </c>
      <c r="J9">
        <v>88.9107494</v>
      </c>
      <c r="K9">
        <v>89.999945550000007</v>
      </c>
      <c r="L9">
        <v>90.277735079999999</v>
      </c>
      <c r="N9" s="32"/>
    </row>
    <row r="10" spans="1:14" x14ac:dyDescent="0.3">
      <c r="A10" t="s">
        <v>111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N10" s="32"/>
    </row>
    <row r="11" spans="1:14" x14ac:dyDescent="0.3">
      <c r="A11" t="s">
        <v>112</v>
      </c>
      <c r="B11">
        <v>98.819999690000003</v>
      </c>
      <c r="C11">
        <v>99.095352169999998</v>
      </c>
      <c r="D11">
        <v>99.229980470000001</v>
      </c>
      <c r="E11">
        <v>99.342674259999995</v>
      </c>
      <c r="F11">
        <v>100</v>
      </c>
      <c r="G11">
        <v>99.625389100000007</v>
      </c>
      <c r="H11">
        <v>99.849578859999994</v>
      </c>
      <c r="I11">
        <v>100</v>
      </c>
      <c r="J11">
        <v>99.989578249999994</v>
      </c>
      <c r="K11">
        <v>100</v>
      </c>
      <c r="L11">
        <v>100</v>
      </c>
      <c r="N11" s="32"/>
    </row>
    <row r="12" spans="1:14" x14ac:dyDescent="0.3">
      <c r="A12" t="s">
        <v>113</v>
      </c>
      <c r="B12">
        <v>99.800003050000001</v>
      </c>
      <c r="C12">
        <v>99.605796810000001</v>
      </c>
      <c r="D12">
        <v>99.628967290000006</v>
      </c>
      <c r="E12">
        <v>99.41999817</v>
      </c>
      <c r="F12">
        <v>99.709999080000003</v>
      </c>
      <c r="G12">
        <v>100</v>
      </c>
      <c r="H12">
        <v>99.800003050000001</v>
      </c>
      <c r="I12">
        <v>99.699996949999999</v>
      </c>
      <c r="J12">
        <v>99.900001529999997</v>
      </c>
      <c r="K12">
        <v>100</v>
      </c>
      <c r="L12">
        <v>100</v>
      </c>
      <c r="N12" s="32"/>
    </row>
    <row r="13" spans="1:14" x14ac:dyDescent="0.3">
      <c r="A13" t="s">
        <v>114</v>
      </c>
      <c r="N13" s="32"/>
    </row>
    <row r="14" spans="1:14" x14ac:dyDescent="0.3">
      <c r="A14" t="s">
        <v>115</v>
      </c>
      <c r="B14">
        <v>98.597236629999998</v>
      </c>
      <c r="C14">
        <v>94.552017210000002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N14" s="32"/>
    </row>
    <row r="15" spans="1:14" x14ac:dyDescent="0.3">
      <c r="A15" t="s">
        <v>116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N15" s="32"/>
    </row>
    <row r="16" spans="1:14" x14ac:dyDescent="0.3">
      <c r="A16" t="s">
        <v>117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N16" s="32"/>
    </row>
    <row r="17" spans="1:14" x14ac:dyDescent="0.3">
      <c r="A17" t="s">
        <v>118</v>
      </c>
      <c r="B17">
        <v>99.943794249999996</v>
      </c>
      <c r="C17">
        <v>99.900001529999997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N17" s="32"/>
    </row>
    <row r="18" spans="1:14" x14ac:dyDescent="0.3">
      <c r="A18" t="s">
        <v>119</v>
      </c>
      <c r="B18">
        <v>5.3000001909999996</v>
      </c>
      <c r="C18">
        <v>6.1226840019999997</v>
      </c>
      <c r="D18">
        <v>6.5</v>
      </c>
      <c r="E18">
        <v>6.9000000950000002</v>
      </c>
      <c r="F18">
        <v>7</v>
      </c>
      <c r="G18">
        <v>8.4276523589999996</v>
      </c>
      <c r="H18">
        <v>9.3484096529999992</v>
      </c>
      <c r="I18">
        <v>9.3000001910000005</v>
      </c>
      <c r="J18">
        <v>10.884908680000001</v>
      </c>
      <c r="K18">
        <v>11.356528279999999</v>
      </c>
      <c r="L18">
        <v>11.73555565</v>
      </c>
      <c r="N18" s="32"/>
    </row>
    <row r="19" spans="1:14" x14ac:dyDescent="0.3">
      <c r="A19" t="s">
        <v>120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N19" s="32"/>
    </row>
    <row r="20" spans="1:14" x14ac:dyDescent="0.3">
      <c r="A20" t="s">
        <v>121</v>
      </c>
      <c r="B20">
        <v>34.200000760000002</v>
      </c>
      <c r="C20">
        <v>36.900001529999997</v>
      </c>
      <c r="D20">
        <v>38.400001529999997</v>
      </c>
      <c r="E20">
        <v>34.691219330000003</v>
      </c>
      <c r="F20">
        <v>34.099998470000003</v>
      </c>
      <c r="G20">
        <v>29.620000839999999</v>
      </c>
      <c r="H20">
        <v>37.09524536</v>
      </c>
      <c r="I20">
        <v>34.5</v>
      </c>
      <c r="J20">
        <v>39.246917719999999</v>
      </c>
      <c r="K20">
        <v>40.328689580000002</v>
      </c>
      <c r="L20">
        <v>41.410957340000003</v>
      </c>
      <c r="N20" s="32"/>
    </row>
    <row r="21" spans="1:14" x14ac:dyDescent="0.3">
      <c r="A21" t="s">
        <v>122</v>
      </c>
      <c r="B21">
        <v>13.100000380000001</v>
      </c>
      <c r="C21">
        <v>14.80841446</v>
      </c>
      <c r="D21">
        <v>15.11799431</v>
      </c>
      <c r="E21">
        <v>15.40564251</v>
      </c>
      <c r="F21">
        <v>19.200000760000002</v>
      </c>
      <c r="G21">
        <v>16.076974870000001</v>
      </c>
      <c r="H21">
        <v>16.64105606</v>
      </c>
      <c r="I21">
        <v>17.21404266</v>
      </c>
      <c r="J21">
        <v>14.399999619999999</v>
      </c>
      <c r="K21">
        <v>18.37485504</v>
      </c>
      <c r="L21">
        <v>18.957239149999999</v>
      </c>
      <c r="N21" s="32"/>
    </row>
    <row r="22" spans="1:14" x14ac:dyDescent="0.3">
      <c r="A22" t="s">
        <v>123</v>
      </c>
      <c r="B22">
        <v>55.259998320000001</v>
      </c>
      <c r="C22">
        <v>59.599998470000003</v>
      </c>
      <c r="D22">
        <v>66.155570979999993</v>
      </c>
      <c r="E22">
        <v>61.5</v>
      </c>
      <c r="F22">
        <v>62.400001529999997</v>
      </c>
      <c r="G22">
        <v>74.90373993</v>
      </c>
      <c r="H22">
        <v>75.91999817</v>
      </c>
      <c r="I22">
        <v>88</v>
      </c>
      <c r="J22">
        <v>91.800003050000001</v>
      </c>
      <c r="K22">
        <v>92.199996949999999</v>
      </c>
      <c r="L22">
        <v>96.199996949999999</v>
      </c>
      <c r="N22" s="32"/>
    </row>
    <row r="23" spans="1:14" x14ac:dyDescent="0.3">
      <c r="A23" t="s">
        <v>124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99.699996949999999</v>
      </c>
      <c r="N23" s="32"/>
    </row>
    <row r="24" spans="1:14" x14ac:dyDescent="0.3">
      <c r="A24" t="s">
        <v>125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N24" s="32"/>
    </row>
    <row r="25" spans="1:14" x14ac:dyDescent="0.3">
      <c r="A25" t="s">
        <v>126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N25" s="32"/>
    </row>
    <row r="26" spans="1:14" x14ac:dyDescent="0.3">
      <c r="A26" t="s">
        <v>127</v>
      </c>
      <c r="B26">
        <v>100</v>
      </c>
      <c r="C26">
        <v>99.70578003</v>
      </c>
      <c r="D26">
        <v>100</v>
      </c>
      <c r="E26">
        <v>99.5</v>
      </c>
      <c r="F26">
        <v>100</v>
      </c>
      <c r="G26">
        <v>99.699996949999999</v>
      </c>
      <c r="H26">
        <v>100</v>
      </c>
      <c r="I26">
        <v>100</v>
      </c>
      <c r="J26">
        <v>100</v>
      </c>
      <c r="K26">
        <v>100</v>
      </c>
      <c r="L26">
        <v>100</v>
      </c>
      <c r="N26" s="32"/>
    </row>
    <row r="27" spans="1:14" x14ac:dyDescent="0.3">
      <c r="A27" t="s">
        <v>128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N27" s="32"/>
    </row>
    <row r="28" spans="1:14" x14ac:dyDescent="0.3">
      <c r="A28" t="s">
        <v>129</v>
      </c>
      <c r="B28">
        <v>89.917221069999997</v>
      </c>
      <c r="C28">
        <v>91.681732179999997</v>
      </c>
      <c r="D28">
        <v>90.995918270000004</v>
      </c>
      <c r="E28">
        <v>91.18610382</v>
      </c>
      <c r="F28">
        <v>91.364257809999998</v>
      </c>
      <c r="G28">
        <v>91.800003050000001</v>
      </c>
      <c r="H28">
        <v>93.222312930000001</v>
      </c>
      <c r="I28">
        <v>94.189010620000005</v>
      </c>
      <c r="J28">
        <v>91.72000122</v>
      </c>
      <c r="K28">
        <v>92.72000122</v>
      </c>
      <c r="L28">
        <v>97.113334660000007</v>
      </c>
      <c r="N28" s="32"/>
    </row>
    <row r="29" spans="1:14" x14ac:dyDescent="0.3">
      <c r="A29" t="s">
        <v>130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N29" s="32"/>
    </row>
    <row r="30" spans="1:14" x14ac:dyDescent="0.3">
      <c r="A30" t="s">
        <v>131</v>
      </c>
      <c r="B30">
        <v>87.886314389999995</v>
      </c>
      <c r="C30">
        <v>88.335945129999999</v>
      </c>
      <c r="D30">
        <v>90.387374879999996</v>
      </c>
      <c r="E30">
        <v>89.505683899999994</v>
      </c>
      <c r="F30">
        <v>90.03872681</v>
      </c>
      <c r="G30">
        <v>91.522819519999999</v>
      </c>
      <c r="H30">
        <v>91.800003050000001</v>
      </c>
      <c r="I30">
        <v>91.800003050000001</v>
      </c>
      <c r="J30">
        <v>92.800003050000001</v>
      </c>
      <c r="K30">
        <v>95.08000183</v>
      </c>
      <c r="L30">
        <v>97.554122919999998</v>
      </c>
      <c r="N30" s="32"/>
    </row>
    <row r="31" spans="1:14" x14ac:dyDescent="0.3">
      <c r="A31" t="s">
        <v>132</v>
      </c>
      <c r="B31">
        <v>98.599998470000003</v>
      </c>
      <c r="C31">
        <v>99.328689580000002</v>
      </c>
      <c r="D31">
        <v>99.519493100000005</v>
      </c>
      <c r="E31">
        <v>99.575149539999998</v>
      </c>
      <c r="F31">
        <v>99.650245670000004</v>
      </c>
      <c r="G31">
        <v>99.710899350000005</v>
      </c>
      <c r="H31">
        <v>99.699996949999999</v>
      </c>
      <c r="I31">
        <v>99.800003050000001</v>
      </c>
      <c r="J31">
        <v>99.699996949999999</v>
      </c>
      <c r="K31">
        <v>99.800003050000001</v>
      </c>
      <c r="L31">
        <v>100</v>
      </c>
      <c r="N31" s="32"/>
    </row>
    <row r="32" spans="1:14" x14ac:dyDescent="0.3">
      <c r="A32" t="s">
        <v>133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N32" s="32"/>
    </row>
    <row r="33" spans="1:14" x14ac:dyDescent="0.3">
      <c r="A33" t="s">
        <v>134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N33" s="32"/>
    </row>
    <row r="34" spans="1:14" x14ac:dyDescent="0.3">
      <c r="A34" t="s">
        <v>135</v>
      </c>
      <c r="B34">
        <v>73.282913210000004</v>
      </c>
      <c r="C34">
        <v>81.767089839999997</v>
      </c>
      <c r="D34">
        <v>91.5</v>
      </c>
      <c r="E34">
        <v>87.451141359999994</v>
      </c>
      <c r="F34">
        <v>91.483512880000006</v>
      </c>
      <c r="G34">
        <v>95.530715939999993</v>
      </c>
      <c r="H34">
        <v>99.589790339999993</v>
      </c>
      <c r="I34">
        <v>97.699996949999999</v>
      </c>
      <c r="J34">
        <v>99.974365230000004</v>
      </c>
      <c r="K34">
        <v>100</v>
      </c>
      <c r="L34">
        <v>100</v>
      </c>
      <c r="N34" s="32"/>
    </row>
    <row r="35" spans="1:14" x14ac:dyDescent="0.3">
      <c r="A35" t="s">
        <v>136</v>
      </c>
      <c r="B35">
        <v>52.017780299999998</v>
      </c>
      <c r="C35">
        <v>53.240001679999999</v>
      </c>
      <c r="D35">
        <v>56.018814089999999</v>
      </c>
      <c r="E35">
        <v>57.991920469999997</v>
      </c>
      <c r="F35">
        <v>59.952995299999998</v>
      </c>
      <c r="G35">
        <v>62.130001069999999</v>
      </c>
      <c r="H35">
        <v>64.175056459999993</v>
      </c>
      <c r="I35">
        <v>67.400001529999997</v>
      </c>
      <c r="J35">
        <v>68.229263309999993</v>
      </c>
      <c r="K35">
        <v>69.959739690000006</v>
      </c>
      <c r="L35">
        <v>71.994758610000005</v>
      </c>
      <c r="N35" s="8"/>
    </row>
    <row r="36" spans="1:14" x14ac:dyDescent="0.3">
      <c r="A36" t="s">
        <v>137</v>
      </c>
      <c r="B36">
        <v>9.8000001910000005</v>
      </c>
      <c r="C36">
        <v>10.246647830000001</v>
      </c>
      <c r="D36">
        <v>10.8688612</v>
      </c>
      <c r="E36">
        <v>11.46914101</v>
      </c>
      <c r="F36">
        <v>12.05739689</v>
      </c>
      <c r="G36">
        <v>12.7270298</v>
      </c>
      <c r="H36">
        <v>13.53381634</v>
      </c>
      <c r="I36">
        <v>14.299541469999999</v>
      </c>
      <c r="J36">
        <v>14.842375759999999</v>
      </c>
      <c r="K36">
        <v>14.30000019</v>
      </c>
      <c r="L36">
        <v>15.46508408</v>
      </c>
      <c r="N36" s="8"/>
    </row>
    <row r="37" spans="1:14" x14ac:dyDescent="0.3">
      <c r="A37" t="s">
        <v>138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N37" s="8"/>
    </row>
    <row r="38" spans="1:14" x14ac:dyDescent="0.3">
      <c r="A38" t="s">
        <v>139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99.827834409999994</v>
      </c>
      <c r="I38">
        <v>100</v>
      </c>
      <c r="J38">
        <v>100</v>
      </c>
      <c r="K38">
        <v>100</v>
      </c>
      <c r="L38">
        <v>99.979640029999999</v>
      </c>
      <c r="N38" s="8"/>
    </row>
    <row r="39" spans="1:14" x14ac:dyDescent="0.3">
      <c r="A39" t="s">
        <v>140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N39" s="8"/>
    </row>
    <row r="40" spans="1:14" x14ac:dyDescent="0.3">
      <c r="A40" t="s">
        <v>141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N40" s="8"/>
    </row>
    <row r="41" spans="1:14" x14ac:dyDescent="0.3">
      <c r="A41" t="s">
        <v>142</v>
      </c>
      <c r="B41">
        <v>99.538391110000006</v>
      </c>
      <c r="C41">
        <v>99.588195799999994</v>
      </c>
      <c r="D41">
        <v>100</v>
      </c>
      <c r="E41">
        <v>99.599998470000003</v>
      </c>
      <c r="F41">
        <v>100</v>
      </c>
      <c r="G41">
        <v>99.71484375</v>
      </c>
      <c r="H41">
        <v>100</v>
      </c>
      <c r="I41">
        <v>99.699996949999999</v>
      </c>
      <c r="J41">
        <v>100</v>
      </c>
      <c r="K41">
        <v>100</v>
      </c>
      <c r="L41">
        <v>100</v>
      </c>
      <c r="N41" s="8"/>
    </row>
    <row r="42" spans="1:14" x14ac:dyDescent="0.3">
      <c r="A42" t="s">
        <v>143</v>
      </c>
      <c r="B42">
        <v>99.699996949999999</v>
      </c>
      <c r="C42">
        <v>99.848724369999999</v>
      </c>
      <c r="D42">
        <v>99.961929319999996</v>
      </c>
      <c r="E42">
        <v>99.996444699999998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N42" s="8"/>
    </row>
    <row r="43" spans="1:14" x14ac:dyDescent="0.3">
      <c r="A43" t="s">
        <v>144</v>
      </c>
      <c r="B43">
        <v>58.301467899999999</v>
      </c>
      <c r="C43">
        <v>55.799999239999998</v>
      </c>
      <c r="D43">
        <v>55.799999239999998</v>
      </c>
      <c r="E43">
        <v>61.362590789999999</v>
      </c>
      <c r="F43">
        <v>61.900001529999997</v>
      </c>
      <c r="G43">
        <v>62.599998470000003</v>
      </c>
      <c r="H43">
        <v>64.300003050000001</v>
      </c>
      <c r="I43">
        <v>65.599998470000003</v>
      </c>
      <c r="J43">
        <v>67.147392269999997</v>
      </c>
      <c r="K43">
        <v>68.459556579999997</v>
      </c>
      <c r="L43">
        <v>69.679122919999998</v>
      </c>
      <c r="N43" s="8"/>
    </row>
    <row r="44" spans="1:14" x14ac:dyDescent="0.3">
      <c r="A44" t="s">
        <v>145</v>
      </c>
      <c r="B44">
        <v>52.759555820000003</v>
      </c>
      <c r="C44">
        <v>53.700000760000002</v>
      </c>
      <c r="D44">
        <v>55.03915405</v>
      </c>
      <c r="E44">
        <v>56.207813260000002</v>
      </c>
      <c r="F44">
        <v>56.799999239999998</v>
      </c>
      <c r="G44">
        <v>58.595592500000002</v>
      </c>
      <c r="H44">
        <v>59.808776860000002</v>
      </c>
      <c r="I44">
        <v>61.030864719999997</v>
      </c>
      <c r="J44">
        <v>62.200000760000002</v>
      </c>
      <c r="K44">
        <v>63.489879610000003</v>
      </c>
      <c r="L44">
        <v>64.721366880000005</v>
      </c>
      <c r="N44" s="8"/>
    </row>
    <row r="45" spans="1:14" x14ac:dyDescent="0.3">
      <c r="A45" t="s">
        <v>146</v>
      </c>
      <c r="B45">
        <v>12.744050980000001</v>
      </c>
      <c r="C45">
        <v>13.3884449</v>
      </c>
      <c r="D45">
        <v>15.399999619999999</v>
      </c>
      <c r="E45">
        <v>14.733200070000001</v>
      </c>
      <c r="F45">
        <v>13.5</v>
      </c>
      <c r="G45">
        <v>16.14824295</v>
      </c>
      <c r="H45">
        <v>17.041837690000001</v>
      </c>
      <c r="I45">
        <v>17.91650963</v>
      </c>
      <c r="J45">
        <v>18.568290709999999</v>
      </c>
      <c r="K45">
        <v>19.100000380000001</v>
      </c>
      <c r="L45">
        <v>19.100000380000001</v>
      </c>
      <c r="N45" s="8"/>
    </row>
    <row r="46" spans="1:14" x14ac:dyDescent="0.3">
      <c r="A46" t="s">
        <v>147</v>
      </c>
      <c r="B46">
        <v>39.788620000000002</v>
      </c>
      <c r="C46">
        <v>40.721691130000004</v>
      </c>
      <c r="D46">
        <v>41.599998470000003</v>
      </c>
      <c r="E46">
        <v>42.543972019999998</v>
      </c>
      <c r="F46">
        <v>43.432121279999997</v>
      </c>
      <c r="G46">
        <v>44.401649480000003</v>
      </c>
      <c r="H46">
        <v>45.508327479999998</v>
      </c>
      <c r="I46">
        <v>46.573947910000001</v>
      </c>
      <c r="J46">
        <v>47.416675570000002</v>
      </c>
      <c r="K46">
        <v>48.407474520000001</v>
      </c>
      <c r="L46">
        <v>49.517101289999999</v>
      </c>
      <c r="N46" s="8"/>
    </row>
    <row r="47" spans="1:14" x14ac:dyDescent="0.3">
      <c r="A47" t="s">
        <v>148</v>
      </c>
      <c r="B47">
        <v>96.788993840000003</v>
      </c>
      <c r="C47">
        <v>96.693603519999996</v>
      </c>
      <c r="D47">
        <v>97.032173159999999</v>
      </c>
      <c r="E47">
        <v>97.779418949999993</v>
      </c>
      <c r="F47">
        <v>97.79093933</v>
      </c>
      <c r="G47">
        <v>98.186897279999997</v>
      </c>
      <c r="H47">
        <v>98.400001529999997</v>
      </c>
      <c r="I47">
        <v>98.5</v>
      </c>
      <c r="J47">
        <v>98.5</v>
      </c>
      <c r="K47">
        <v>99.755920410000002</v>
      </c>
      <c r="L47">
        <v>100</v>
      </c>
      <c r="N47" s="8"/>
    </row>
    <row r="48" spans="1:14" x14ac:dyDescent="0.3">
      <c r="A48" t="s">
        <v>149</v>
      </c>
      <c r="B48">
        <v>69.807708739999995</v>
      </c>
      <c r="C48">
        <v>69.425804139999997</v>
      </c>
      <c r="D48">
        <v>69.300003050000001</v>
      </c>
      <c r="E48">
        <v>69.768447879999997</v>
      </c>
      <c r="F48">
        <v>72.162796020000002</v>
      </c>
      <c r="G48">
        <v>74.571983340000003</v>
      </c>
      <c r="H48">
        <v>76.993041989999995</v>
      </c>
      <c r="I48">
        <v>79.423004149999997</v>
      </c>
      <c r="J48">
        <v>81.858909609999998</v>
      </c>
      <c r="K48">
        <v>84.297775270000002</v>
      </c>
      <c r="L48">
        <v>86.737136840000005</v>
      </c>
      <c r="N48" s="8"/>
    </row>
    <row r="49" spans="1:14" x14ac:dyDescent="0.3">
      <c r="A49" t="s">
        <v>150</v>
      </c>
      <c r="B49">
        <v>81.099998470000003</v>
      </c>
      <c r="C49">
        <v>82.356246949999999</v>
      </c>
      <c r="D49">
        <v>83.358764649999998</v>
      </c>
      <c r="E49">
        <v>84.339347840000002</v>
      </c>
      <c r="F49">
        <v>85.307907099999994</v>
      </c>
      <c r="G49">
        <v>86.357841489999998</v>
      </c>
      <c r="H49">
        <v>87.544929499999995</v>
      </c>
      <c r="I49">
        <v>88.690963749999995</v>
      </c>
      <c r="J49">
        <v>90.411750789999999</v>
      </c>
      <c r="K49">
        <v>91.400001529999997</v>
      </c>
      <c r="L49">
        <v>94.16174316</v>
      </c>
      <c r="N49" s="8"/>
    </row>
    <row r="50" spans="1:14" x14ac:dyDescent="0.3">
      <c r="A50" t="s">
        <v>151</v>
      </c>
      <c r="B50">
        <v>98.995735170000003</v>
      </c>
      <c r="C50">
        <v>99.23234558</v>
      </c>
      <c r="D50">
        <v>99.503295899999998</v>
      </c>
      <c r="E50">
        <v>99.563514710000007</v>
      </c>
      <c r="F50">
        <v>99.359291080000006</v>
      </c>
      <c r="G50">
        <v>99.409805300000002</v>
      </c>
      <c r="H50">
        <v>99.5</v>
      </c>
      <c r="I50">
        <v>99.599998470000003</v>
      </c>
      <c r="J50">
        <v>99.699996949999999</v>
      </c>
      <c r="K50">
        <v>99.709999080000003</v>
      </c>
      <c r="L50">
        <v>99.900001529999997</v>
      </c>
      <c r="N50" s="8"/>
    </row>
    <row r="51" spans="1:14" x14ac:dyDescent="0.3">
      <c r="A51" t="s">
        <v>152</v>
      </c>
      <c r="B51">
        <v>93.407060389999998</v>
      </c>
      <c r="C51">
        <v>93.390647999999999</v>
      </c>
      <c r="D51">
        <v>94.402995720000007</v>
      </c>
      <c r="E51">
        <v>94.886922380000001</v>
      </c>
      <c r="F51">
        <v>94.80175088</v>
      </c>
      <c r="G51">
        <v>95.665928739999998</v>
      </c>
      <c r="H51">
        <v>96.691208180000004</v>
      </c>
      <c r="I51">
        <v>97.299711459999997</v>
      </c>
      <c r="J51">
        <v>97.68603014</v>
      </c>
      <c r="K51">
        <v>98.221954030000006</v>
      </c>
      <c r="L51">
        <v>98.818926899999994</v>
      </c>
      <c r="N51" s="8"/>
    </row>
    <row r="52" spans="1:14" x14ac:dyDescent="0.3">
      <c r="A52" t="s">
        <v>153</v>
      </c>
      <c r="B52">
        <v>97.556648249999995</v>
      </c>
      <c r="C52">
        <v>97.745567320000006</v>
      </c>
      <c r="D52">
        <v>97.952552800000007</v>
      </c>
      <c r="E52">
        <v>98.179367069999998</v>
      </c>
      <c r="F52">
        <v>98.423988339999994</v>
      </c>
      <c r="G52">
        <v>98.683456419999999</v>
      </c>
      <c r="H52">
        <v>98.954788210000004</v>
      </c>
      <c r="I52">
        <v>99.235031129999996</v>
      </c>
      <c r="J52">
        <v>99.521209720000002</v>
      </c>
      <c r="K52">
        <v>99.800003050000001</v>
      </c>
      <c r="L52">
        <v>100</v>
      </c>
      <c r="N52" s="8"/>
    </row>
    <row r="53" spans="1:14" x14ac:dyDescent="0.3">
      <c r="A53" t="s">
        <v>154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</row>
    <row r="54" spans="1:14" x14ac:dyDescent="0.3">
      <c r="A54" t="s">
        <v>155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</row>
    <row r="55" spans="1:14" x14ac:dyDescent="0.3">
      <c r="A55" t="s">
        <v>156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</row>
    <row r="56" spans="1:14" x14ac:dyDescent="0.3">
      <c r="A56" t="s">
        <v>157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</row>
    <row r="57" spans="1:14" x14ac:dyDescent="0.3">
      <c r="A57" t="s">
        <v>158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</row>
    <row r="58" spans="1:14" x14ac:dyDescent="0.3">
      <c r="A58" t="s">
        <v>159</v>
      </c>
      <c r="B58">
        <v>56.17995071</v>
      </c>
      <c r="C58">
        <v>56.20046997</v>
      </c>
      <c r="D58">
        <v>54.599998470000003</v>
      </c>
      <c r="E58">
        <v>56.297473910000001</v>
      </c>
      <c r="F58">
        <v>56.618839260000001</v>
      </c>
      <c r="G58">
        <v>57.578563690000003</v>
      </c>
      <c r="H58">
        <v>58.67544556</v>
      </c>
      <c r="I58">
        <v>60.200000760000002</v>
      </c>
      <c r="J58">
        <v>60.564186100000001</v>
      </c>
      <c r="K58">
        <v>61.211929320000003</v>
      </c>
      <c r="L58">
        <v>61.767082209999998</v>
      </c>
    </row>
    <row r="59" spans="1:14" x14ac:dyDescent="0.3">
      <c r="A59" t="s">
        <v>160</v>
      </c>
      <c r="B59">
        <v>94.173942569999994</v>
      </c>
      <c r="C59">
        <v>95.536674500000004</v>
      </c>
      <c r="D59">
        <v>96.917480470000001</v>
      </c>
      <c r="E59">
        <v>98.318107600000005</v>
      </c>
      <c r="F59">
        <v>99.73654938</v>
      </c>
      <c r="G59">
        <v>99.829017640000004</v>
      </c>
      <c r="H59">
        <v>99.983535770000003</v>
      </c>
      <c r="I59">
        <v>100</v>
      </c>
      <c r="J59">
        <v>100</v>
      </c>
      <c r="K59">
        <v>100</v>
      </c>
      <c r="L59">
        <v>100</v>
      </c>
    </row>
    <row r="60" spans="1:14" x14ac:dyDescent="0.3">
      <c r="A60" t="s">
        <v>161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</row>
    <row r="61" spans="1:14" x14ac:dyDescent="0.3">
      <c r="A61" t="s">
        <v>162</v>
      </c>
      <c r="B61">
        <v>98.145416260000005</v>
      </c>
      <c r="C61">
        <v>97.89887238</v>
      </c>
      <c r="D61">
        <v>97.867050169999999</v>
      </c>
      <c r="E61">
        <v>98.385856630000006</v>
      </c>
      <c r="F61">
        <v>98.470977779999998</v>
      </c>
      <c r="G61">
        <v>98.560363769999995</v>
      </c>
      <c r="H61">
        <v>98.900001529999997</v>
      </c>
      <c r="I61">
        <v>100</v>
      </c>
      <c r="J61">
        <v>98.900001529999997</v>
      </c>
      <c r="K61">
        <v>99</v>
      </c>
      <c r="L61">
        <v>100</v>
      </c>
    </row>
    <row r="62" spans="1:14" x14ac:dyDescent="0.3">
      <c r="A62" t="s">
        <v>163</v>
      </c>
      <c r="B62">
        <v>98.858932499999995</v>
      </c>
      <c r="C62">
        <v>98.888031010000006</v>
      </c>
      <c r="D62">
        <v>98.7646637</v>
      </c>
      <c r="E62">
        <v>99.002204899999995</v>
      </c>
      <c r="F62">
        <v>99.087013240000005</v>
      </c>
      <c r="G62">
        <v>99.186660770000003</v>
      </c>
      <c r="H62">
        <v>99.350250239999994</v>
      </c>
      <c r="I62">
        <v>99.635490419999996</v>
      </c>
      <c r="J62">
        <v>99.697837829999997</v>
      </c>
      <c r="K62">
        <v>99.5</v>
      </c>
      <c r="L62">
        <v>99.804130549999996</v>
      </c>
    </row>
    <row r="63" spans="1:14" x14ac:dyDescent="0.3">
      <c r="A63" t="s">
        <v>164</v>
      </c>
      <c r="B63">
        <v>95.048851720000002</v>
      </c>
      <c r="C63">
        <v>95.716125469999994</v>
      </c>
      <c r="D63">
        <v>96.001954760000004</v>
      </c>
      <c r="E63">
        <v>96.232085999999995</v>
      </c>
      <c r="F63">
        <v>96.373078050000004</v>
      </c>
      <c r="G63">
        <v>96.786228230000006</v>
      </c>
      <c r="H63">
        <v>96.896522279999999</v>
      </c>
      <c r="I63">
        <v>97.625012130000002</v>
      </c>
      <c r="J63">
        <v>97.646784999999994</v>
      </c>
      <c r="K63">
        <v>97.850877600000004</v>
      </c>
      <c r="L63">
        <v>97.802696519999998</v>
      </c>
    </row>
    <row r="64" spans="1:14" x14ac:dyDescent="0.3">
      <c r="A64" t="s">
        <v>165</v>
      </c>
      <c r="B64">
        <v>78.364963869999997</v>
      </c>
      <c r="C64">
        <v>75.171868939999996</v>
      </c>
      <c r="D64">
        <v>81.104608350000007</v>
      </c>
      <c r="E64">
        <v>82.265254880000001</v>
      </c>
      <c r="F64">
        <v>83.113168060000007</v>
      </c>
      <c r="G64">
        <v>85.731498819999999</v>
      </c>
      <c r="H64">
        <v>87.019235739999999</v>
      </c>
      <c r="I64">
        <v>89.376836769999997</v>
      </c>
      <c r="J64">
        <v>91.110326060000006</v>
      </c>
      <c r="K64">
        <v>92.251276059999995</v>
      </c>
      <c r="L64">
        <v>93.382215669999994</v>
      </c>
    </row>
    <row r="65" spans="1:12" x14ac:dyDescent="0.3">
      <c r="A65" t="s">
        <v>166</v>
      </c>
      <c r="B65">
        <v>95.542643679999998</v>
      </c>
      <c r="C65">
        <v>96.141621610000001</v>
      </c>
      <c r="D65">
        <v>96.39716808</v>
      </c>
      <c r="E65">
        <v>96.602678940000004</v>
      </c>
      <c r="F65">
        <v>96.728251709999995</v>
      </c>
      <c r="G65">
        <v>97.099679760000001</v>
      </c>
      <c r="H65">
        <v>97.198008180000002</v>
      </c>
      <c r="I65">
        <v>97.854639930000005</v>
      </c>
      <c r="J65">
        <v>97.873454159999994</v>
      </c>
      <c r="K65">
        <v>98.057249229999996</v>
      </c>
      <c r="L65">
        <v>98.012823240000003</v>
      </c>
    </row>
    <row r="66" spans="1:12" x14ac:dyDescent="0.3">
      <c r="A66" t="s">
        <v>167</v>
      </c>
      <c r="B66">
        <v>99.942597890000002</v>
      </c>
      <c r="C66">
        <v>99.928298720000001</v>
      </c>
      <c r="D66">
        <v>99.95798139</v>
      </c>
      <c r="E66">
        <v>99.949507139999994</v>
      </c>
      <c r="F66">
        <v>99.962003749999994</v>
      </c>
      <c r="G66">
        <v>98.353481669999994</v>
      </c>
      <c r="H66">
        <v>99.932926820000006</v>
      </c>
      <c r="I66">
        <v>99.981075899999993</v>
      </c>
      <c r="J66">
        <v>99.981977799999996</v>
      </c>
      <c r="K66">
        <v>99.985160769999993</v>
      </c>
      <c r="L66">
        <v>99.989698959999998</v>
      </c>
    </row>
    <row r="67" spans="1:12" x14ac:dyDescent="0.3">
      <c r="A67" t="s">
        <v>168</v>
      </c>
      <c r="B67">
        <v>99.974265819999999</v>
      </c>
      <c r="C67">
        <v>99.967836120000001</v>
      </c>
      <c r="D67">
        <v>99.981075410000003</v>
      </c>
      <c r="E67">
        <v>99.977226239999993</v>
      </c>
      <c r="F67">
        <v>99.982839990000002</v>
      </c>
      <c r="G67">
        <v>99.255303530000006</v>
      </c>
      <c r="H67">
        <v>99.969622169999994</v>
      </c>
      <c r="I67">
        <v>99.991416439999995</v>
      </c>
      <c r="J67">
        <v>99.991835370000004</v>
      </c>
      <c r="K67">
        <v>99.993251529999995</v>
      </c>
      <c r="L67">
        <v>99.995322189999996</v>
      </c>
    </row>
    <row r="68" spans="1:12" x14ac:dyDescent="0.3">
      <c r="A68" t="s">
        <v>169</v>
      </c>
      <c r="B68">
        <v>97.462142940000007</v>
      </c>
      <c r="C68">
        <v>96.872695919999998</v>
      </c>
      <c r="D68">
        <v>97.194931030000006</v>
      </c>
      <c r="E68">
        <v>98.0346756</v>
      </c>
      <c r="F68">
        <v>98.976066590000002</v>
      </c>
      <c r="G68">
        <v>98.825881960000004</v>
      </c>
      <c r="H68">
        <v>98.699996949999999</v>
      </c>
      <c r="I68">
        <v>99.199996949999999</v>
      </c>
      <c r="J68">
        <v>98.699996949999999</v>
      </c>
      <c r="K68">
        <v>99.089996339999999</v>
      </c>
      <c r="L68">
        <v>98.849998470000003</v>
      </c>
    </row>
    <row r="69" spans="1:12" x14ac:dyDescent="0.3">
      <c r="A69" t="s">
        <v>170</v>
      </c>
      <c r="B69">
        <v>99.394554139999997</v>
      </c>
      <c r="C69">
        <v>99.4521637</v>
      </c>
      <c r="D69">
        <v>99.699996949999999</v>
      </c>
      <c r="E69">
        <v>99.850387569999995</v>
      </c>
      <c r="F69">
        <v>99.800003050000001</v>
      </c>
      <c r="G69">
        <v>99.300003050000001</v>
      </c>
      <c r="H69">
        <v>100</v>
      </c>
      <c r="I69">
        <v>100</v>
      </c>
      <c r="J69">
        <v>100</v>
      </c>
      <c r="K69">
        <v>100</v>
      </c>
      <c r="L69">
        <v>100</v>
      </c>
    </row>
    <row r="70" spans="1:12" x14ac:dyDescent="0.3">
      <c r="A70" t="s">
        <v>171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</row>
    <row r="71" spans="1:12" x14ac:dyDescent="0.3">
      <c r="A71" t="s">
        <v>172</v>
      </c>
      <c r="B71">
        <v>40.183120729999999</v>
      </c>
      <c r="C71">
        <v>41.316501619999997</v>
      </c>
      <c r="D71">
        <v>42.467948909999997</v>
      </c>
      <c r="E71">
        <v>43.63922882</v>
      </c>
      <c r="F71">
        <v>44.828311919999997</v>
      </c>
      <c r="G71">
        <v>46.032241820000003</v>
      </c>
      <c r="H71">
        <v>47.248039249999998</v>
      </c>
      <c r="I71">
        <v>48.472743989999998</v>
      </c>
      <c r="J71">
        <v>49.703384399999997</v>
      </c>
      <c r="K71">
        <v>50.936992650000001</v>
      </c>
      <c r="L71">
        <v>52.171096800000001</v>
      </c>
    </row>
    <row r="72" spans="1:12" x14ac:dyDescent="0.3">
      <c r="A72" t="s">
        <v>173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</row>
    <row r="73" spans="1:12" x14ac:dyDescent="0.3">
      <c r="A73" t="s">
        <v>174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</row>
    <row r="74" spans="1:12" x14ac:dyDescent="0.3">
      <c r="A74" t="s">
        <v>175</v>
      </c>
      <c r="B74">
        <v>25.409936900000002</v>
      </c>
      <c r="C74">
        <v>23</v>
      </c>
      <c r="D74">
        <v>28.898519520000001</v>
      </c>
      <c r="E74">
        <v>30.671672820000001</v>
      </c>
      <c r="F74">
        <v>27.200000760000002</v>
      </c>
      <c r="G74">
        <v>29</v>
      </c>
      <c r="H74">
        <v>42.900001529999997</v>
      </c>
      <c r="I74">
        <v>44.299999239999998</v>
      </c>
      <c r="J74">
        <v>44.940601350000001</v>
      </c>
      <c r="K74">
        <v>48.063591000000002</v>
      </c>
      <c r="L74">
        <v>51.093982699999998</v>
      </c>
    </row>
    <row r="75" spans="1:12" x14ac:dyDescent="0.3">
      <c r="A75" t="s">
        <v>176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99.960196280000005</v>
      </c>
      <c r="I75">
        <v>100</v>
      </c>
      <c r="J75">
        <v>100</v>
      </c>
      <c r="K75">
        <v>100</v>
      </c>
      <c r="L75">
        <v>99.995351240000005</v>
      </c>
    </row>
    <row r="76" spans="1:12" x14ac:dyDescent="0.3">
      <c r="A76" t="s">
        <v>177</v>
      </c>
      <c r="B76">
        <v>43.710707030000002</v>
      </c>
      <c r="C76">
        <v>45.755293780000002</v>
      </c>
      <c r="D76">
        <v>47.185717619999998</v>
      </c>
      <c r="E76">
        <v>48.798240540000002</v>
      </c>
      <c r="F76">
        <v>48.347450739999999</v>
      </c>
      <c r="G76">
        <v>48.419460620000002</v>
      </c>
      <c r="H76">
        <v>52.870785439999999</v>
      </c>
      <c r="I76">
        <v>53.272639679999997</v>
      </c>
      <c r="J76">
        <v>53.42844925</v>
      </c>
      <c r="K76">
        <v>54.33561109</v>
      </c>
      <c r="L76">
        <v>55.086719789999997</v>
      </c>
    </row>
    <row r="77" spans="1:12" x14ac:dyDescent="0.3">
      <c r="A77" t="s">
        <v>178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</row>
    <row r="78" spans="1:12" x14ac:dyDescent="0.3">
      <c r="A78" t="s">
        <v>179</v>
      </c>
      <c r="B78">
        <v>89.248580930000003</v>
      </c>
      <c r="C78">
        <v>90.146125789999999</v>
      </c>
      <c r="D78">
        <v>91.070831299999995</v>
      </c>
      <c r="E78">
        <v>91.75</v>
      </c>
      <c r="F78">
        <v>93.786605829999999</v>
      </c>
      <c r="G78">
        <v>95.168243410000002</v>
      </c>
      <c r="H78">
        <v>96.561744689999998</v>
      </c>
      <c r="I78">
        <v>96</v>
      </c>
      <c r="J78">
        <v>99.372505189999998</v>
      </c>
      <c r="K78">
        <v>99.715881350000004</v>
      </c>
      <c r="L78">
        <v>100</v>
      </c>
    </row>
    <row r="79" spans="1:12" x14ac:dyDescent="0.3">
      <c r="A79" t="s">
        <v>180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</row>
    <row r="80" spans="1:12" x14ac:dyDescent="0.3">
      <c r="A80" t="s">
        <v>181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</row>
    <row r="81" spans="1:12" x14ac:dyDescent="0.3">
      <c r="A81" t="s">
        <v>182</v>
      </c>
      <c r="B81">
        <v>64.531517030000003</v>
      </c>
      <c r="C81">
        <v>66.593986509999993</v>
      </c>
      <c r="D81">
        <v>68.432365419999996</v>
      </c>
      <c r="E81">
        <v>70.248817439999996</v>
      </c>
      <c r="F81">
        <v>72.053245540000006</v>
      </c>
      <c r="G81">
        <v>73.939056399999998</v>
      </c>
      <c r="H81">
        <v>75.962013240000005</v>
      </c>
      <c r="I81">
        <v>77.943908690000001</v>
      </c>
      <c r="J81">
        <v>79.702911380000003</v>
      </c>
      <c r="K81">
        <v>81.276733399999998</v>
      </c>
      <c r="L81">
        <v>82.925918580000001</v>
      </c>
    </row>
    <row r="82" spans="1:12" x14ac:dyDescent="0.3">
      <c r="A82" t="s">
        <v>183</v>
      </c>
      <c r="B82">
        <v>89.461723329999998</v>
      </c>
      <c r="C82">
        <v>88.85956573</v>
      </c>
      <c r="D82">
        <v>89.300003050000001</v>
      </c>
      <c r="E82">
        <v>86.400001529999997</v>
      </c>
      <c r="F82">
        <v>86.964309689999993</v>
      </c>
      <c r="G82">
        <v>87.376861570000003</v>
      </c>
      <c r="H82">
        <v>88.203826899999996</v>
      </c>
      <c r="I82">
        <v>86.269996640000002</v>
      </c>
      <c r="J82">
        <v>89.881515500000006</v>
      </c>
      <c r="K82">
        <v>90.726295469999997</v>
      </c>
      <c r="L82">
        <v>91.57156372</v>
      </c>
    </row>
    <row r="83" spans="1:12" x14ac:dyDescent="0.3">
      <c r="A83" t="s">
        <v>184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</row>
    <row r="84" spans="1:12" x14ac:dyDescent="0.3">
      <c r="A84" t="s">
        <v>185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99.900001529999997</v>
      </c>
      <c r="K84">
        <v>100</v>
      </c>
      <c r="L84">
        <v>100</v>
      </c>
    </row>
    <row r="85" spans="1:12" x14ac:dyDescent="0.3">
      <c r="A85" t="s">
        <v>186</v>
      </c>
      <c r="B85">
        <v>64.199996949999999</v>
      </c>
      <c r="C85">
        <v>64.062561040000006</v>
      </c>
      <c r="D85">
        <v>56.509998320000001</v>
      </c>
      <c r="E85">
        <v>70.699996949999999</v>
      </c>
      <c r="F85">
        <v>78.300003050000001</v>
      </c>
      <c r="G85">
        <v>74.078842159999994</v>
      </c>
      <c r="H85">
        <v>79.300003050000001</v>
      </c>
      <c r="I85">
        <v>79</v>
      </c>
      <c r="J85">
        <v>80.400001529999997</v>
      </c>
      <c r="K85">
        <v>83.5</v>
      </c>
      <c r="L85">
        <v>85.873550420000001</v>
      </c>
    </row>
    <row r="86" spans="1:12" x14ac:dyDescent="0.3">
      <c r="A86" t="s">
        <v>187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</row>
    <row r="87" spans="1:12" x14ac:dyDescent="0.3">
      <c r="A87" t="s">
        <v>188</v>
      </c>
      <c r="B87">
        <v>27.955623630000002</v>
      </c>
      <c r="C87">
        <v>29.27708054</v>
      </c>
      <c r="D87">
        <v>26.200000760000002</v>
      </c>
      <c r="E87">
        <v>31.975957869999998</v>
      </c>
      <c r="F87">
        <v>33.353118899999998</v>
      </c>
      <c r="G87">
        <v>34.745120999999997</v>
      </c>
      <c r="H87">
        <v>33.5</v>
      </c>
      <c r="I87">
        <v>35.400001529999997</v>
      </c>
      <c r="J87">
        <v>45</v>
      </c>
      <c r="K87">
        <v>42.200000760000002</v>
      </c>
      <c r="L87">
        <v>44.668678280000002</v>
      </c>
    </row>
    <row r="88" spans="1:12" x14ac:dyDescent="0.3">
      <c r="A88" t="s">
        <v>189</v>
      </c>
      <c r="B88">
        <v>46.655277249999997</v>
      </c>
      <c r="C88">
        <v>48.247085570000003</v>
      </c>
      <c r="D88">
        <v>49.827930449999997</v>
      </c>
      <c r="E88">
        <v>51.5</v>
      </c>
      <c r="F88">
        <v>52.933727259999998</v>
      </c>
      <c r="G88">
        <v>54.561988829999997</v>
      </c>
      <c r="H88">
        <v>56.327407839999999</v>
      </c>
      <c r="I88">
        <v>56.200000760000002</v>
      </c>
      <c r="J88">
        <v>60.299999239999998</v>
      </c>
      <c r="K88">
        <v>62.099998470000003</v>
      </c>
      <c r="L88">
        <v>62.273067470000001</v>
      </c>
    </row>
    <row r="89" spans="1:12" x14ac:dyDescent="0.3">
      <c r="A89" t="s">
        <v>190</v>
      </c>
      <c r="B89">
        <v>6</v>
      </c>
      <c r="C89">
        <v>13.399911879999999</v>
      </c>
      <c r="D89">
        <v>14.80388546</v>
      </c>
      <c r="E89">
        <v>16.227689739999999</v>
      </c>
      <c r="F89">
        <v>17.200000760000002</v>
      </c>
      <c r="G89">
        <v>20.053153989999998</v>
      </c>
      <c r="H89">
        <v>22.968791960000001</v>
      </c>
      <c r="I89">
        <v>26</v>
      </c>
      <c r="J89">
        <v>28.49505615</v>
      </c>
      <c r="K89">
        <v>30.961557389999999</v>
      </c>
      <c r="L89">
        <v>33.335468290000001</v>
      </c>
    </row>
    <row r="90" spans="1:12" x14ac:dyDescent="0.3">
      <c r="A90" t="s">
        <v>191</v>
      </c>
      <c r="B90">
        <v>66.157264710000007</v>
      </c>
      <c r="C90">
        <v>66.099998470000003</v>
      </c>
      <c r="D90">
        <v>65.735946659999996</v>
      </c>
      <c r="E90">
        <v>65.820808409999998</v>
      </c>
      <c r="F90">
        <v>65.923469539999999</v>
      </c>
      <c r="G90">
        <v>66.040977479999995</v>
      </c>
      <c r="H90">
        <v>66.170356749999996</v>
      </c>
      <c r="I90">
        <v>66.308639529999994</v>
      </c>
      <c r="J90">
        <v>66.452857969999997</v>
      </c>
      <c r="K90">
        <v>66.600044249999996</v>
      </c>
      <c r="L90">
        <v>66.747726439999994</v>
      </c>
    </row>
    <row r="91" spans="1:12" x14ac:dyDescent="0.3">
      <c r="A91" t="s">
        <v>192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</row>
    <row r="92" spans="1:12" x14ac:dyDescent="0.3">
      <c r="A92" t="s">
        <v>193</v>
      </c>
      <c r="B92">
        <v>89.284660340000002</v>
      </c>
      <c r="C92">
        <v>88.800003050000001</v>
      </c>
      <c r="D92">
        <v>90.032249449999995</v>
      </c>
      <c r="E92">
        <v>90.434906010000006</v>
      </c>
      <c r="F92">
        <v>90.855377200000007</v>
      </c>
      <c r="G92">
        <v>91.290687559999995</v>
      </c>
      <c r="H92">
        <v>91.737869259999997</v>
      </c>
      <c r="I92">
        <v>92.193954469999994</v>
      </c>
      <c r="J92">
        <v>92.300003050000001</v>
      </c>
      <c r="K92">
        <v>93.120964049999998</v>
      </c>
      <c r="L92">
        <v>93.586448669999996</v>
      </c>
    </row>
    <row r="93" spans="1:12" x14ac:dyDescent="0.3">
      <c r="A93" t="s">
        <v>194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</row>
    <row r="94" spans="1:12" x14ac:dyDescent="0.3">
      <c r="A94" t="s">
        <v>195</v>
      </c>
      <c r="B94">
        <v>84.275711060000006</v>
      </c>
      <c r="C94">
        <v>84.026412960000002</v>
      </c>
      <c r="D94">
        <v>86.718856810000005</v>
      </c>
      <c r="E94">
        <v>87.969291690000006</v>
      </c>
      <c r="F94">
        <v>85.494369509999999</v>
      </c>
      <c r="G94">
        <v>90.520622250000002</v>
      </c>
      <c r="H94">
        <v>91.815582280000001</v>
      </c>
      <c r="I94">
        <v>93.300003050000001</v>
      </c>
      <c r="J94">
        <v>94.429237369999996</v>
      </c>
      <c r="K94">
        <v>95.742004390000005</v>
      </c>
      <c r="L94">
        <v>97.055267330000007</v>
      </c>
    </row>
    <row r="95" spans="1:12" x14ac:dyDescent="0.3">
      <c r="A95" t="s">
        <v>196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</row>
    <row r="96" spans="1:12" x14ac:dyDescent="0.3">
      <c r="A96" t="s">
        <v>197</v>
      </c>
      <c r="B96">
        <v>83.091629030000007</v>
      </c>
      <c r="C96">
        <v>84.08454132</v>
      </c>
      <c r="D96">
        <v>85.066482539999996</v>
      </c>
      <c r="E96">
        <v>86.026489260000005</v>
      </c>
      <c r="F96">
        <v>86.900001529999997</v>
      </c>
      <c r="G96">
        <v>88.003837590000003</v>
      </c>
      <c r="H96">
        <v>89.170356749999996</v>
      </c>
      <c r="I96">
        <v>90.29581451</v>
      </c>
      <c r="J96">
        <v>91.198379520000003</v>
      </c>
      <c r="K96">
        <v>91.91575623</v>
      </c>
      <c r="L96">
        <v>92.540542599999995</v>
      </c>
    </row>
    <row r="97" spans="1:12" x14ac:dyDescent="0.3">
      <c r="A97" t="s">
        <v>198</v>
      </c>
      <c r="B97">
        <v>99.989936599999993</v>
      </c>
      <c r="C97">
        <v>99.990663549999994</v>
      </c>
      <c r="D97">
        <v>99.998415519999995</v>
      </c>
      <c r="E97">
        <v>99.992542090000001</v>
      </c>
      <c r="F97">
        <v>99.99896287</v>
      </c>
      <c r="G97">
        <v>99.994727139999995</v>
      </c>
      <c r="H97">
        <v>99.996348670000003</v>
      </c>
      <c r="I97">
        <v>99.992736640000004</v>
      </c>
      <c r="J97">
        <v>99.999415900000002</v>
      </c>
      <c r="K97">
        <v>99.999708429999998</v>
      </c>
      <c r="L97">
        <v>99.999980530000002</v>
      </c>
    </row>
    <row r="98" spans="1:12" x14ac:dyDescent="0.3">
      <c r="A98" t="s">
        <v>199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</row>
    <row r="99" spans="1:12" x14ac:dyDescent="0.3">
      <c r="A99" t="s">
        <v>200</v>
      </c>
      <c r="B99">
        <v>80.98466492</v>
      </c>
      <c r="C99">
        <v>82.195297240000002</v>
      </c>
      <c r="D99">
        <v>83.607727049999994</v>
      </c>
      <c r="E99">
        <v>87.184883119999995</v>
      </c>
      <c r="F99">
        <v>88.653770449999996</v>
      </c>
      <c r="G99">
        <v>89.981712340000001</v>
      </c>
      <c r="H99">
        <v>91.599998470000003</v>
      </c>
      <c r="I99">
        <v>86.5</v>
      </c>
      <c r="J99">
        <v>91.599998470000003</v>
      </c>
      <c r="K99">
        <v>91.099998470000003</v>
      </c>
      <c r="L99">
        <v>93.206710819999998</v>
      </c>
    </row>
    <row r="100" spans="1:12" x14ac:dyDescent="0.3">
      <c r="A100" t="s">
        <v>201</v>
      </c>
      <c r="B100">
        <v>28.813019579999999</v>
      </c>
      <c r="C100">
        <v>29.311401889999999</v>
      </c>
      <c r="D100">
        <v>32.080425329999997</v>
      </c>
      <c r="E100">
        <v>32.979931639999997</v>
      </c>
      <c r="F100">
        <v>35.526681009999997</v>
      </c>
      <c r="G100">
        <v>35.463828190000001</v>
      </c>
      <c r="H100">
        <v>40.698507509999999</v>
      </c>
      <c r="I100">
        <v>41.598266539999997</v>
      </c>
      <c r="J100">
        <v>44.212512650000001</v>
      </c>
      <c r="K100">
        <v>44.986102819999999</v>
      </c>
      <c r="L100">
        <v>46.54240695</v>
      </c>
    </row>
    <row r="101" spans="1:12" x14ac:dyDescent="0.3">
      <c r="A101" t="s">
        <v>202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</row>
    <row r="102" spans="1:12" x14ac:dyDescent="0.3">
      <c r="A102" t="s">
        <v>203</v>
      </c>
      <c r="B102">
        <v>37.055622100000001</v>
      </c>
      <c r="C102">
        <v>37.584384919999998</v>
      </c>
      <c r="D102">
        <v>37.900001529999997</v>
      </c>
      <c r="E102">
        <v>38.697875979999999</v>
      </c>
      <c r="F102">
        <v>39.49641037</v>
      </c>
      <c r="G102">
        <v>40.836284640000002</v>
      </c>
      <c r="H102">
        <v>40.400001529999997</v>
      </c>
      <c r="I102">
        <v>43.749271389999997</v>
      </c>
      <c r="J102">
        <v>44.962345120000002</v>
      </c>
      <c r="K102">
        <v>45.990234379999997</v>
      </c>
      <c r="L102">
        <v>46.925533289999997</v>
      </c>
    </row>
    <row r="103" spans="1:12" x14ac:dyDescent="0.3">
      <c r="A103" t="s">
        <v>204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</row>
    <row r="104" spans="1:12" x14ac:dyDescent="0.3">
      <c r="A104" t="s">
        <v>205</v>
      </c>
      <c r="B104">
        <v>91.459704119999998</v>
      </c>
      <c r="C104">
        <v>89.197492159999996</v>
      </c>
      <c r="D104">
        <v>92.789986600000006</v>
      </c>
      <c r="E104">
        <v>93.491101130000004</v>
      </c>
      <c r="F104">
        <v>94.060114380000002</v>
      </c>
      <c r="G104">
        <v>95.214987519999994</v>
      </c>
      <c r="H104">
        <v>95.778563640000002</v>
      </c>
      <c r="I104">
        <v>96.725754210000005</v>
      </c>
      <c r="J104">
        <v>97.782610090000006</v>
      </c>
      <c r="K104">
        <v>98.31733801</v>
      </c>
      <c r="L104">
        <v>98.778412329999995</v>
      </c>
    </row>
    <row r="105" spans="1:12" x14ac:dyDescent="0.3">
      <c r="A105" t="s">
        <v>206</v>
      </c>
      <c r="B105">
        <v>80.323021330000003</v>
      </c>
      <c r="C105">
        <v>79.080026160000003</v>
      </c>
      <c r="D105">
        <v>82.151202979999994</v>
      </c>
      <c r="E105">
        <v>82.752294710000001</v>
      </c>
      <c r="F105">
        <v>83.242418729999997</v>
      </c>
      <c r="G105">
        <v>84.398606130000005</v>
      </c>
      <c r="H105">
        <v>85.678128520000001</v>
      </c>
      <c r="I105">
        <v>86.743041529999999</v>
      </c>
      <c r="J105">
        <v>87.893338110000002</v>
      </c>
      <c r="K105">
        <v>88.421488299999993</v>
      </c>
      <c r="L105">
        <v>89.021437469999995</v>
      </c>
    </row>
    <row r="106" spans="1:12" x14ac:dyDescent="0.3">
      <c r="A106" t="s">
        <v>207</v>
      </c>
      <c r="B106">
        <v>44.213118039999998</v>
      </c>
      <c r="C106">
        <v>46.64853239</v>
      </c>
      <c r="D106">
        <v>48.495379419999999</v>
      </c>
      <c r="E106">
        <v>49.181374130000002</v>
      </c>
      <c r="F106">
        <v>49.833971579999996</v>
      </c>
      <c r="G106">
        <v>51.412193649999999</v>
      </c>
      <c r="H106">
        <v>55.270624130000002</v>
      </c>
      <c r="I106">
        <v>57.08116184</v>
      </c>
      <c r="J106">
        <v>58.879748929999998</v>
      </c>
      <c r="K106">
        <v>59.834578129999997</v>
      </c>
      <c r="L106">
        <v>61.226173180000004</v>
      </c>
    </row>
    <row r="107" spans="1:12" x14ac:dyDescent="0.3">
      <c r="A107" t="s">
        <v>208</v>
      </c>
      <c r="B107">
        <v>57.111153010000002</v>
      </c>
      <c r="C107">
        <v>61.686336949999998</v>
      </c>
      <c r="D107">
        <v>61.248091629999998</v>
      </c>
      <c r="E107">
        <v>62.28384664</v>
      </c>
      <c r="F107">
        <v>61.253104200000003</v>
      </c>
      <c r="G107">
        <v>61.44664891</v>
      </c>
      <c r="H107">
        <v>65.396970640000006</v>
      </c>
      <c r="I107">
        <v>63.802491529999998</v>
      </c>
      <c r="J107">
        <v>65.932107090000002</v>
      </c>
      <c r="K107">
        <v>66.998864929999996</v>
      </c>
      <c r="L107">
        <v>67.868069460000001</v>
      </c>
    </row>
    <row r="108" spans="1:12" x14ac:dyDescent="0.3">
      <c r="A108" t="s">
        <v>209</v>
      </c>
      <c r="B108">
        <v>94.150001529999997</v>
      </c>
      <c r="C108">
        <v>94.83000183</v>
      </c>
      <c r="D108">
        <v>96</v>
      </c>
      <c r="E108">
        <v>96.464256289999994</v>
      </c>
      <c r="F108">
        <v>97.010002139999997</v>
      </c>
      <c r="G108">
        <v>97.53736877</v>
      </c>
      <c r="H108">
        <v>97.620002749999998</v>
      </c>
      <c r="I108">
        <v>98.13999939</v>
      </c>
      <c r="J108">
        <v>98.510002139999997</v>
      </c>
      <c r="K108">
        <v>98.849998470000003</v>
      </c>
      <c r="L108">
        <v>96.949996949999999</v>
      </c>
    </row>
    <row r="109" spans="1:12" x14ac:dyDescent="0.3">
      <c r="A109" t="s">
        <v>210</v>
      </c>
      <c r="B109">
        <v>37.744227090000003</v>
      </c>
      <c r="C109">
        <v>39.075170129999997</v>
      </c>
      <c r="D109">
        <v>42.075107529999997</v>
      </c>
      <c r="E109">
        <v>42.574390999999999</v>
      </c>
      <c r="F109">
        <v>44.06717416</v>
      </c>
      <c r="G109">
        <v>46.338514740000001</v>
      </c>
      <c r="H109">
        <v>50.14615242</v>
      </c>
      <c r="I109">
        <v>53.678212760000001</v>
      </c>
      <c r="J109">
        <v>55.302698419999999</v>
      </c>
      <c r="K109">
        <v>56.207143719999998</v>
      </c>
      <c r="L109">
        <v>57.859307569999999</v>
      </c>
    </row>
    <row r="110" spans="1:12" x14ac:dyDescent="0.3">
      <c r="A110" t="s">
        <v>211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</row>
    <row r="111" spans="1:12" x14ac:dyDescent="0.3">
      <c r="A111" t="s">
        <v>212</v>
      </c>
      <c r="B111">
        <v>76.300003050000001</v>
      </c>
      <c r="C111">
        <v>67.599998470000003</v>
      </c>
      <c r="D111">
        <v>79.900001529999997</v>
      </c>
      <c r="E111">
        <v>81.999328610000006</v>
      </c>
      <c r="F111">
        <v>83.872497559999999</v>
      </c>
      <c r="G111">
        <v>88</v>
      </c>
      <c r="H111">
        <v>89.217796329999999</v>
      </c>
      <c r="I111">
        <v>92.124946589999993</v>
      </c>
      <c r="J111">
        <v>95.699996949999999</v>
      </c>
      <c r="K111">
        <v>97.308265689999999</v>
      </c>
      <c r="L111">
        <v>99</v>
      </c>
    </row>
    <row r="112" spans="1:12" x14ac:dyDescent="0.3">
      <c r="A112" t="s">
        <v>213</v>
      </c>
    </row>
    <row r="113" spans="1:12" x14ac:dyDescent="0.3">
      <c r="A113" t="s">
        <v>214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</row>
    <row r="114" spans="1:12" x14ac:dyDescent="0.3">
      <c r="A114" t="s">
        <v>215</v>
      </c>
      <c r="B114">
        <v>99.491043090000005</v>
      </c>
      <c r="C114">
        <v>99.572647090000004</v>
      </c>
      <c r="D114">
        <v>99.64328003</v>
      </c>
      <c r="E114">
        <v>99.83000183</v>
      </c>
      <c r="F114">
        <v>100</v>
      </c>
      <c r="G114">
        <v>99.959999080000003</v>
      </c>
      <c r="H114">
        <v>99.949996949999999</v>
      </c>
      <c r="I114">
        <v>99.940002440000001</v>
      </c>
      <c r="J114">
        <v>100</v>
      </c>
      <c r="K114">
        <v>100</v>
      </c>
      <c r="L114">
        <v>100</v>
      </c>
    </row>
    <row r="115" spans="1:12" x14ac:dyDescent="0.3">
      <c r="A115" t="s">
        <v>216</v>
      </c>
      <c r="B115">
        <v>98.280967709999999</v>
      </c>
      <c r="C115">
        <v>98</v>
      </c>
      <c r="D115">
        <v>99.300003050000001</v>
      </c>
      <c r="E115">
        <v>98.866279599999999</v>
      </c>
      <c r="F115">
        <v>99.098434449999999</v>
      </c>
      <c r="G115">
        <v>99.345428470000002</v>
      </c>
      <c r="H115">
        <v>99.604301449999994</v>
      </c>
      <c r="I115">
        <v>99.872070309999998</v>
      </c>
      <c r="J115">
        <v>99.900001529999997</v>
      </c>
      <c r="K115">
        <v>99.992004390000005</v>
      </c>
      <c r="L115">
        <v>100</v>
      </c>
    </row>
    <row r="116" spans="1:12" x14ac:dyDescent="0.3">
      <c r="A116" t="s">
        <v>217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</row>
    <row r="117" spans="1:12" x14ac:dyDescent="0.3">
      <c r="A117" t="s">
        <v>218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</row>
    <row r="118" spans="1:12" x14ac:dyDescent="0.3">
      <c r="A118" t="s">
        <v>219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</row>
    <row r="119" spans="1:12" x14ac:dyDescent="0.3">
      <c r="A119" t="s">
        <v>220</v>
      </c>
      <c r="B119">
        <v>92.199996949999999</v>
      </c>
      <c r="C119">
        <v>91.099998470000003</v>
      </c>
      <c r="D119">
        <v>93.099998470000003</v>
      </c>
      <c r="E119">
        <v>93.900001529999997</v>
      </c>
      <c r="F119">
        <v>93.300003050000001</v>
      </c>
      <c r="G119">
        <v>94.900001529999997</v>
      </c>
      <c r="H119">
        <v>96.737983700000001</v>
      </c>
      <c r="I119">
        <v>97.609580989999998</v>
      </c>
      <c r="J119">
        <v>98.487121579999993</v>
      </c>
      <c r="K119">
        <v>99.36762238</v>
      </c>
      <c r="L119">
        <v>100</v>
      </c>
    </row>
    <row r="120" spans="1:12" x14ac:dyDescent="0.3">
      <c r="A120" t="s">
        <v>221</v>
      </c>
      <c r="B120">
        <v>100</v>
      </c>
      <c r="C120">
        <v>99.651565550000001</v>
      </c>
      <c r="D120">
        <v>99.5</v>
      </c>
      <c r="E120">
        <v>99.701438899999999</v>
      </c>
      <c r="F120">
        <v>99.748497009999994</v>
      </c>
      <c r="G120">
        <v>99.898170469999997</v>
      </c>
      <c r="H120">
        <v>99.958824160000006</v>
      </c>
      <c r="I120">
        <v>100</v>
      </c>
      <c r="J120">
        <v>99.900001529999997</v>
      </c>
      <c r="K120">
        <v>100</v>
      </c>
      <c r="L120">
        <v>99.900001529999997</v>
      </c>
    </row>
    <row r="121" spans="1:12" x14ac:dyDescent="0.3">
      <c r="A121" t="s">
        <v>222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</row>
    <row r="122" spans="1:12" x14ac:dyDescent="0.3">
      <c r="A122" t="s">
        <v>223</v>
      </c>
      <c r="B122">
        <v>100</v>
      </c>
      <c r="C122">
        <v>99.797470090000004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</row>
    <row r="123" spans="1:12" x14ac:dyDescent="0.3">
      <c r="A123" t="s">
        <v>224</v>
      </c>
      <c r="B123">
        <v>19.200000760000002</v>
      </c>
      <c r="C123">
        <v>36.035655980000001</v>
      </c>
      <c r="D123">
        <v>37.990966800000002</v>
      </c>
      <c r="E123">
        <v>39.966106410000002</v>
      </c>
      <c r="F123">
        <v>36</v>
      </c>
      <c r="G123">
        <v>41.599998470000003</v>
      </c>
      <c r="H123">
        <v>53.099998470000003</v>
      </c>
      <c r="I123">
        <v>55.976409910000001</v>
      </c>
      <c r="J123">
        <v>61.284572599999997</v>
      </c>
      <c r="K123">
        <v>69.699996949999999</v>
      </c>
      <c r="L123">
        <v>71.437942500000005</v>
      </c>
    </row>
    <row r="124" spans="1:12" x14ac:dyDescent="0.3">
      <c r="A124" t="s">
        <v>225</v>
      </c>
      <c r="B124">
        <v>99</v>
      </c>
      <c r="C124">
        <v>98.319999690000003</v>
      </c>
      <c r="D124">
        <v>99.800003050000001</v>
      </c>
      <c r="E124">
        <v>98.930000309999997</v>
      </c>
      <c r="F124">
        <v>99.800003050000001</v>
      </c>
      <c r="G124">
        <v>98.690002440000001</v>
      </c>
      <c r="H124">
        <v>99.709999080000003</v>
      </c>
      <c r="I124">
        <v>100</v>
      </c>
      <c r="J124">
        <v>100</v>
      </c>
      <c r="K124">
        <v>99.874237059999999</v>
      </c>
      <c r="L124">
        <v>99.981048580000007</v>
      </c>
    </row>
    <row r="125" spans="1:12" x14ac:dyDescent="0.3">
      <c r="A125" t="s">
        <v>226</v>
      </c>
      <c r="B125">
        <v>31.100000380000001</v>
      </c>
      <c r="C125">
        <v>50.307262420000001</v>
      </c>
      <c r="D125">
        <v>53.930564879999999</v>
      </c>
      <c r="E125">
        <v>57.573696140000003</v>
      </c>
      <c r="F125">
        <v>56.099998470000003</v>
      </c>
      <c r="G125">
        <v>64.910423280000003</v>
      </c>
      <c r="H125">
        <v>69.544311519999994</v>
      </c>
      <c r="I125">
        <v>89.069999690000003</v>
      </c>
      <c r="J125">
        <v>81.075653079999995</v>
      </c>
      <c r="K125">
        <v>84</v>
      </c>
      <c r="L125">
        <v>86.400001529999997</v>
      </c>
    </row>
    <row r="126" spans="1:12" x14ac:dyDescent="0.3">
      <c r="A126" t="s">
        <v>227</v>
      </c>
      <c r="B126">
        <v>63.167736050000002</v>
      </c>
      <c r="C126">
        <v>74.843734740000002</v>
      </c>
      <c r="D126">
        <v>76.69126129</v>
      </c>
      <c r="E126">
        <v>78.931060790000004</v>
      </c>
      <c r="F126">
        <v>83.453948969999999</v>
      </c>
      <c r="G126">
        <v>90.558181759999997</v>
      </c>
      <c r="H126">
        <v>92.799613949999994</v>
      </c>
      <c r="I126">
        <v>86.176445009999995</v>
      </c>
      <c r="J126">
        <v>88.103164669999998</v>
      </c>
      <c r="K126">
        <v>90.032852169999998</v>
      </c>
      <c r="L126">
        <v>91.963027949999997</v>
      </c>
    </row>
    <row r="127" spans="1:12" x14ac:dyDescent="0.3">
      <c r="A127" t="s">
        <v>228</v>
      </c>
      <c r="B127">
        <v>99.843391420000003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</row>
    <row r="128" spans="1:12" x14ac:dyDescent="0.3">
      <c r="A128" t="s">
        <v>229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</row>
    <row r="129" spans="1:12" x14ac:dyDescent="0.3">
      <c r="A129" t="s">
        <v>230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</row>
    <row r="130" spans="1:12" x14ac:dyDescent="0.3">
      <c r="A130" t="s">
        <v>231</v>
      </c>
      <c r="B130">
        <v>95.498848749999993</v>
      </c>
      <c r="C130">
        <v>95.868486630000007</v>
      </c>
      <c r="D130">
        <v>96.251574419999997</v>
      </c>
      <c r="E130">
        <v>96.569640550000003</v>
      </c>
      <c r="F130">
        <v>96.727117820000004</v>
      </c>
      <c r="G130">
        <v>97.014422229999994</v>
      </c>
      <c r="H130">
        <v>97.263007419999994</v>
      </c>
      <c r="I130">
        <v>97.561342580000002</v>
      </c>
      <c r="J130">
        <v>97.592935929999996</v>
      </c>
      <c r="K130">
        <v>97.911675560000006</v>
      </c>
      <c r="L130">
        <v>98.373766959999998</v>
      </c>
    </row>
    <row r="131" spans="1:12" x14ac:dyDescent="0.3">
      <c r="A131" t="s">
        <v>232</v>
      </c>
      <c r="B131">
        <v>70.149940490000006</v>
      </c>
      <c r="C131">
        <v>70</v>
      </c>
      <c r="D131">
        <v>76.366630549999996</v>
      </c>
      <c r="E131">
        <v>79.576255799999998</v>
      </c>
      <c r="F131">
        <v>83.134040830000004</v>
      </c>
      <c r="G131">
        <v>89.699996949999999</v>
      </c>
      <c r="H131">
        <v>90.54953003</v>
      </c>
      <c r="I131">
        <v>93.599998470000003</v>
      </c>
      <c r="J131">
        <v>97.797157290000001</v>
      </c>
      <c r="K131">
        <v>99.092086789999996</v>
      </c>
      <c r="L131">
        <v>100</v>
      </c>
    </row>
    <row r="132" spans="1:12" x14ac:dyDescent="0.3">
      <c r="A132" t="s">
        <v>233</v>
      </c>
      <c r="B132">
        <v>99.474411009999997</v>
      </c>
      <c r="C132">
        <v>99.684013370000002</v>
      </c>
      <c r="D132">
        <v>99.506759639999999</v>
      </c>
      <c r="E132">
        <v>99.495513919999993</v>
      </c>
      <c r="F132">
        <v>99.482322690000004</v>
      </c>
      <c r="G132">
        <v>99.583175659999995</v>
      </c>
      <c r="H132">
        <v>99.725624080000003</v>
      </c>
      <c r="I132">
        <v>99.879829409999999</v>
      </c>
      <c r="J132">
        <v>99.699996949999999</v>
      </c>
      <c r="K132">
        <v>99.97486877</v>
      </c>
      <c r="L132">
        <v>100</v>
      </c>
    </row>
    <row r="133" spans="1:12" x14ac:dyDescent="0.3">
      <c r="A133" t="s">
        <v>234</v>
      </c>
      <c r="B133">
        <v>5.1626644129999999</v>
      </c>
      <c r="C133">
        <v>4.0999999049999998</v>
      </c>
      <c r="D133">
        <v>9.1074724200000006</v>
      </c>
      <c r="E133">
        <v>9.8000001910000005</v>
      </c>
      <c r="F133">
        <v>9.3999996190000008</v>
      </c>
      <c r="G133">
        <v>15.16173553</v>
      </c>
      <c r="H133">
        <v>17.700000760000002</v>
      </c>
      <c r="I133">
        <v>24.200000760000002</v>
      </c>
      <c r="J133">
        <v>22.87913322</v>
      </c>
      <c r="K133">
        <v>23.100000380000001</v>
      </c>
      <c r="L133">
        <v>27.534709929999998</v>
      </c>
    </row>
    <row r="134" spans="1:12" x14ac:dyDescent="0.3">
      <c r="A134" t="s">
        <v>235</v>
      </c>
      <c r="B134">
        <v>81.650222780000007</v>
      </c>
      <c r="C134">
        <v>79.969451899999996</v>
      </c>
      <c r="D134">
        <v>78.306747439999995</v>
      </c>
      <c r="E134">
        <v>76.66387177</v>
      </c>
      <c r="F134">
        <v>75.038803099999996</v>
      </c>
      <c r="G134">
        <v>73.428573610000001</v>
      </c>
      <c r="H134">
        <v>71.830223079999996</v>
      </c>
      <c r="I134">
        <v>70.240768430000003</v>
      </c>
      <c r="J134">
        <v>67</v>
      </c>
      <c r="K134">
        <v>68.642402649999994</v>
      </c>
      <c r="L134">
        <v>69.707351680000002</v>
      </c>
    </row>
    <row r="135" spans="1:12" x14ac:dyDescent="0.3">
      <c r="A135" t="s">
        <v>236</v>
      </c>
      <c r="B135">
        <v>94.199996949999999</v>
      </c>
      <c r="C135">
        <v>94.752517699999999</v>
      </c>
      <c r="D135">
        <v>95.343421939999999</v>
      </c>
      <c r="E135">
        <v>95.857383729999995</v>
      </c>
      <c r="F135">
        <v>96.437637330000001</v>
      </c>
      <c r="G135">
        <v>97.032737729999994</v>
      </c>
      <c r="H135">
        <v>97.63970947</v>
      </c>
      <c r="I135">
        <v>98.279808040000006</v>
      </c>
      <c r="J135">
        <v>98.877395629999995</v>
      </c>
      <c r="K135">
        <v>99.502182009999999</v>
      </c>
      <c r="L135">
        <v>100</v>
      </c>
    </row>
    <row r="136" spans="1:12" x14ac:dyDescent="0.3">
      <c r="A136" t="s">
        <v>237</v>
      </c>
      <c r="B136">
        <v>95.855929140000001</v>
      </c>
      <c r="C136">
        <v>96.181574519999998</v>
      </c>
      <c r="D136">
        <v>96.561272070000001</v>
      </c>
      <c r="E136">
        <v>96.840618250000006</v>
      </c>
      <c r="F136">
        <v>97.030504410000006</v>
      </c>
      <c r="G136">
        <v>97.281335889999994</v>
      </c>
      <c r="H136">
        <v>97.483954249999996</v>
      </c>
      <c r="I136">
        <v>97.735104469999996</v>
      </c>
      <c r="J136">
        <v>97.802265509999998</v>
      </c>
      <c r="K136">
        <v>98.094025290000005</v>
      </c>
      <c r="L136">
        <v>98.516127280000006</v>
      </c>
    </row>
    <row r="137" spans="1:12" x14ac:dyDescent="0.3">
      <c r="A137" t="s">
        <v>238</v>
      </c>
      <c r="B137">
        <v>33.088175509999999</v>
      </c>
      <c r="C137">
        <v>34.812407700000001</v>
      </c>
      <c r="D137">
        <v>38.296387510000002</v>
      </c>
      <c r="E137">
        <v>38.37721354</v>
      </c>
      <c r="F137">
        <v>39.618098969999998</v>
      </c>
      <c r="G137">
        <v>42.534026330000003</v>
      </c>
      <c r="H137">
        <v>46.452275219999997</v>
      </c>
      <c r="I137">
        <v>50.34206125</v>
      </c>
      <c r="J137">
        <v>52.189399360000003</v>
      </c>
      <c r="K137">
        <v>52.929003420000001</v>
      </c>
      <c r="L137">
        <v>54.696380550000001</v>
      </c>
    </row>
    <row r="138" spans="1:12" x14ac:dyDescent="0.3">
      <c r="A138" t="s">
        <v>239</v>
      </c>
      <c r="B138">
        <v>26.207025850000001</v>
      </c>
      <c r="C138">
        <v>26.725448929999999</v>
      </c>
      <c r="D138">
        <v>29.72800226</v>
      </c>
      <c r="E138">
        <v>30.75300408</v>
      </c>
      <c r="F138">
        <v>32.303140169999999</v>
      </c>
      <c r="G138">
        <v>32.080441139999998</v>
      </c>
      <c r="H138">
        <v>37.282501519999997</v>
      </c>
      <c r="I138">
        <v>38.837771830000001</v>
      </c>
      <c r="J138">
        <v>40.555440050000001</v>
      </c>
      <c r="K138">
        <v>41.434668879999997</v>
      </c>
      <c r="L138">
        <v>42.945682820000002</v>
      </c>
    </row>
    <row r="139" spans="1:12" x14ac:dyDescent="0.3">
      <c r="A139" t="s">
        <v>240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</row>
    <row r="140" spans="1:12" x14ac:dyDescent="0.3">
      <c r="A140" t="s">
        <v>241</v>
      </c>
      <c r="B140">
        <v>85.300003050000001</v>
      </c>
      <c r="C140">
        <v>87.760002139999997</v>
      </c>
      <c r="D140">
        <v>87</v>
      </c>
      <c r="E140">
        <v>90.199996949999999</v>
      </c>
      <c r="F140">
        <v>92.660514829999997</v>
      </c>
      <c r="G140">
        <v>94.351867679999998</v>
      </c>
      <c r="H140">
        <v>97.5</v>
      </c>
      <c r="I140">
        <v>97.5</v>
      </c>
      <c r="J140">
        <v>99.564872739999998</v>
      </c>
      <c r="K140">
        <v>99.758567810000002</v>
      </c>
      <c r="L140">
        <v>100</v>
      </c>
    </row>
    <row r="141" spans="1:12" x14ac:dyDescent="0.3">
      <c r="A141" t="s">
        <v>242</v>
      </c>
      <c r="B141">
        <v>74.048318539999997</v>
      </c>
      <c r="C141">
        <v>71.609058590000004</v>
      </c>
      <c r="D141">
        <v>77.28462657</v>
      </c>
      <c r="E141">
        <v>78.465522570000005</v>
      </c>
      <c r="F141">
        <v>79.33006743</v>
      </c>
      <c r="G141">
        <v>82.07478759</v>
      </c>
      <c r="H141">
        <v>83.635089100000002</v>
      </c>
      <c r="I141">
        <v>85.590724660000006</v>
      </c>
      <c r="J141">
        <v>87.767038389999996</v>
      </c>
      <c r="K141">
        <v>88.787155429999999</v>
      </c>
      <c r="L141">
        <v>89.84380075</v>
      </c>
    </row>
    <row r="142" spans="1:12" x14ac:dyDescent="0.3">
      <c r="A142" t="s">
        <v>243</v>
      </c>
      <c r="B142">
        <v>79.839619740000003</v>
      </c>
      <c r="C142">
        <v>78.599289659999997</v>
      </c>
      <c r="D142">
        <v>81.708923580000004</v>
      </c>
      <c r="E142">
        <v>82.329903130000005</v>
      </c>
      <c r="F142">
        <v>82.833182730000004</v>
      </c>
      <c r="G142">
        <v>84.014505360000001</v>
      </c>
      <c r="H142">
        <v>85.321637190000004</v>
      </c>
      <c r="I142">
        <v>86.411499770000006</v>
      </c>
      <c r="J142">
        <v>87.581373940000006</v>
      </c>
      <c r="K142">
        <v>88.126899829999999</v>
      </c>
      <c r="L142">
        <v>88.74393216</v>
      </c>
    </row>
    <row r="143" spans="1:12" x14ac:dyDescent="0.3">
      <c r="A143" t="s">
        <v>244</v>
      </c>
      <c r="B143">
        <v>17</v>
      </c>
      <c r="C143">
        <v>22.405441280000002</v>
      </c>
      <c r="D143">
        <v>20.559999470000001</v>
      </c>
      <c r="E143">
        <v>26.7660141</v>
      </c>
      <c r="F143">
        <v>27.799999239999998</v>
      </c>
      <c r="G143">
        <v>31.677333829999998</v>
      </c>
      <c r="H143">
        <v>35.07159042</v>
      </c>
      <c r="I143">
        <v>33.700000760000002</v>
      </c>
      <c r="J143">
        <v>47</v>
      </c>
      <c r="K143">
        <v>44.500209810000001</v>
      </c>
      <c r="L143">
        <v>47.352737429999998</v>
      </c>
    </row>
    <row r="144" spans="1:12" x14ac:dyDescent="0.3">
      <c r="A144" t="s">
        <v>245</v>
      </c>
      <c r="B144">
        <v>98.39836742</v>
      </c>
      <c r="C144">
        <v>98.655222879999997</v>
      </c>
      <c r="D144">
        <v>98.760603099999997</v>
      </c>
      <c r="E144">
        <v>98.930063759999996</v>
      </c>
      <c r="F144">
        <v>98.942485289999993</v>
      </c>
      <c r="G144">
        <v>98.831068130000006</v>
      </c>
      <c r="H144">
        <v>99.172092140000004</v>
      </c>
      <c r="I144">
        <v>99.290895759999998</v>
      </c>
      <c r="J144">
        <v>99.307005529999998</v>
      </c>
      <c r="K144">
        <v>99.374115000000003</v>
      </c>
      <c r="L144">
        <v>99.463685960000007</v>
      </c>
    </row>
    <row r="145" spans="1:12" x14ac:dyDescent="0.3">
      <c r="A145" t="s">
        <v>246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</row>
    <row r="146" spans="1:12" x14ac:dyDescent="0.3">
      <c r="A146" t="s">
        <v>247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</row>
    <row r="147" spans="1:12" x14ac:dyDescent="0.3">
      <c r="A147" t="s">
        <v>248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</row>
    <row r="148" spans="1:12" x14ac:dyDescent="0.3">
      <c r="A148" t="s">
        <v>249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</row>
    <row r="149" spans="1:12" x14ac:dyDescent="0.3">
      <c r="A149" t="s">
        <v>250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</row>
    <row r="150" spans="1:12" x14ac:dyDescent="0.3">
      <c r="A150" t="s">
        <v>251</v>
      </c>
      <c r="B150">
        <v>92.671379090000002</v>
      </c>
      <c r="C150">
        <v>93.446434019999998</v>
      </c>
      <c r="D150">
        <v>94.210517879999998</v>
      </c>
      <c r="E150">
        <v>97.199996949999999</v>
      </c>
      <c r="F150">
        <v>91.599998470000003</v>
      </c>
      <c r="G150">
        <v>97.300003050000001</v>
      </c>
      <c r="H150">
        <v>97.800003050000001</v>
      </c>
      <c r="I150">
        <v>100</v>
      </c>
      <c r="J150">
        <v>98.099998470000003</v>
      </c>
      <c r="K150">
        <v>99.599998470000003</v>
      </c>
      <c r="L150">
        <v>100</v>
      </c>
    </row>
    <row r="151" spans="1:12" x14ac:dyDescent="0.3">
      <c r="A151" t="s">
        <v>252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</row>
    <row r="152" spans="1:12" x14ac:dyDescent="0.3">
      <c r="A152" t="s">
        <v>253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99.980003359999998</v>
      </c>
      <c r="J152">
        <v>99.989997860000003</v>
      </c>
      <c r="K152">
        <v>100</v>
      </c>
      <c r="L152">
        <v>100</v>
      </c>
    </row>
    <row r="153" spans="1:12" x14ac:dyDescent="0.3">
      <c r="A153" t="s">
        <v>254</v>
      </c>
      <c r="B153">
        <v>12.30000019</v>
      </c>
      <c r="C153">
        <v>14.30000019</v>
      </c>
      <c r="D153">
        <v>18.700000760000002</v>
      </c>
      <c r="E153">
        <v>12.899999619999999</v>
      </c>
      <c r="F153">
        <v>22.23507309</v>
      </c>
      <c r="G153">
        <v>23.005933760000001</v>
      </c>
      <c r="H153">
        <v>22.899999619999999</v>
      </c>
      <c r="I153">
        <v>24.100000380000001</v>
      </c>
      <c r="J153">
        <v>36.5</v>
      </c>
      <c r="K153">
        <v>31.040000920000001</v>
      </c>
      <c r="L153">
        <v>33.735076900000003</v>
      </c>
    </row>
    <row r="154" spans="1:12" x14ac:dyDescent="0.3">
      <c r="A154" t="s">
        <v>255</v>
      </c>
      <c r="B154">
        <v>99.156860350000002</v>
      </c>
      <c r="C154">
        <v>99.277252200000007</v>
      </c>
      <c r="D154">
        <v>99.386672970000006</v>
      </c>
      <c r="E154">
        <v>99.474166870000005</v>
      </c>
      <c r="F154">
        <v>100</v>
      </c>
      <c r="G154">
        <v>99.706474299999996</v>
      </c>
      <c r="H154">
        <v>100</v>
      </c>
      <c r="I154">
        <v>99.800003050000001</v>
      </c>
      <c r="J154">
        <v>100</v>
      </c>
      <c r="K154">
        <v>100</v>
      </c>
      <c r="L154">
        <v>100</v>
      </c>
    </row>
    <row r="155" spans="1:12" x14ac:dyDescent="0.3">
      <c r="A155" t="s">
        <v>256</v>
      </c>
      <c r="B155">
        <v>95.744661710000003</v>
      </c>
      <c r="C155">
        <v>95.797770760000006</v>
      </c>
      <c r="D155">
        <v>95.384078880000004</v>
      </c>
      <c r="E155">
        <v>97.077719759999994</v>
      </c>
      <c r="F155">
        <v>96.074052210000005</v>
      </c>
      <c r="G155">
        <v>96.52193604</v>
      </c>
      <c r="H155">
        <v>96.828269250000005</v>
      </c>
      <c r="I155">
        <v>97.687381419999994</v>
      </c>
      <c r="J155">
        <v>96.283049050000002</v>
      </c>
      <c r="K155">
        <v>97.230852589999998</v>
      </c>
      <c r="L155">
        <v>97.355935849999995</v>
      </c>
    </row>
    <row r="156" spans="1:12" x14ac:dyDescent="0.3">
      <c r="A156" t="s">
        <v>257</v>
      </c>
      <c r="B156">
        <v>99.23669434</v>
      </c>
      <c r="C156">
        <v>99.028152469999995</v>
      </c>
      <c r="D156">
        <v>99.111633299999994</v>
      </c>
      <c r="E156">
        <v>99.147697449999995</v>
      </c>
      <c r="F156">
        <v>99.172927860000001</v>
      </c>
      <c r="G156">
        <v>99</v>
      </c>
      <c r="H156">
        <v>99.5</v>
      </c>
      <c r="I156">
        <v>100</v>
      </c>
      <c r="J156">
        <v>99.5</v>
      </c>
      <c r="K156">
        <v>99.599998470000003</v>
      </c>
      <c r="L156">
        <v>99.400001529999997</v>
      </c>
    </row>
    <row r="157" spans="1:12" x14ac:dyDescent="0.3">
      <c r="A157" t="s">
        <v>258</v>
      </c>
      <c r="B157">
        <v>89.233886720000001</v>
      </c>
      <c r="C157">
        <v>89.919609070000007</v>
      </c>
      <c r="D157">
        <v>90.56080627</v>
      </c>
      <c r="E157">
        <v>91.19685364</v>
      </c>
      <c r="F157">
        <v>91.820877080000002</v>
      </c>
      <c r="G157">
        <v>92.526275630000001</v>
      </c>
      <c r="H157">
        <v>93.368827820000007</v>
      </c>
      <c r="I157">
        <v>94.297348020000001</v>
      </c>
      <c r="J157">
        <v>95.916290279999998</v>
      </c>
      <c r="K157">
        <v>97.538200380000006</v>
      </c>
      <c r="L157">
        <v>99.160606380000004</v>
      </c>
    </row>
    <row r="158" spans="1:12" x14ac:dyDescent="0.3">
      <c r="A158" t="s">
        <v>259</v>
      </c>
      <c r="B158">
        <v>85.113021529999997</v>
      </c>
      <c r="C158">
        <v>83.775638509999993</v>
      </c>
      <c r="D158">
        <v>86.965182089999999</v>
      </c>
      <c r="E158">
        <v>87.61514828</v>
      </c>
      <c r="F158">
        <v>88.081338040000006</v>
      </c>
      <c r="G158">
        <v>89.483878540000006</v>
      </c>
      <c r="H158">
        <v>90.453270360000005</v>
      </c>
      <c r="I158">
        <v>91.567240819999995</v>
      </c>
      <c r="J158">
        <v>92.757001759999994</v>
      </c>
      <c r="K158">
        <v>93.345987480000005</v>
      </c>
      <c r="L158">
        <v>93.950126699999998</v>
      </c>
    </row>
    <row r="159" spans="1:12" x14ac:dyDescent="0.3">
      <c r="A159" t="s">
        <v>260</v>
      </c>
      <c r="B159">
        <v>100</v>
      </c>
      <c r="C159">
        <v>99.726165769999994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99.800003050000001</v>
      </c>
      <c r="K159">
        <v>100</v>
      </c>
      <c r="L159">
        <v>100</v>
      </c>
    </row>
    <row r="160" spans="1:12" x14ac:dyDescent="0.3">
      <c r="A160" t="s">
        <v>261</v>
      </c>
      <c r="B160">
        <v>26.91205025</v>
      </c>
      <c r="C160">
        <v>28.684453959999999</v>
      </c>
      <c r="D160">
        <v>25.600000380000001</v>
      </c>
      <c r="E160">
        <v>32.28522873</v>
      </c>
      <c r="F160">
        <v>34.113338470000002</v>
      </c>
      <c r="G160">
        <v>37.599998470000003</v>
      </c>
      <c r="H160">
        <v>38.789821619999998</v>
      </c>
      <c r="I160">
        <v>34.77999878</v>
      </c>
      <c r="J160">
        <v>50.900001529999997</v>
      </c>
      <c r="K160">
        <v>47.836277010000003</v>
      </c>
      <c r="L160">
        <v>50.561416629999997</v>
      </c>
    </row>
    <row r="161" spans="1:12" x14ac:dyDescent="0.3">
      <c r="A161" t="s">
        <v>262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</row>
    <row r="162" spans="1:12" x14ac:dyDescent="0.3">
      <c r="A162" t="s">
        <v>263</v>
      </c>
      <c r="B162">
        <v>48.799999239999998</v>
      </c>
      <c r="C162">
        <v>54.006427760000001</v>
      </c>
      <c r="D162">
        <v>55.167934420000002</v>
      </c>
      <c r="E162">
        <v>56.349273680000003</v>
      </c>
      <c r="F162">
        <v>52</v>
      </c>
      <c r="G162">
        <v>60.5</v>
      </c>
      <c r="H162">
        <v>55.599998470000003</v>
      </c>
      <c r="I162">
        <v>69.814834590000004</v>
      </c>
      <c r="J162">
        <v>66.227279659999994</v>
      </c>
      <c r="K162">
        <v>68.358528140000004</v>
      </c>
      <c r="L162">
        <v>70.397193909999999</v>
      </c>
    </row>
    <row r="163" spans="1:12" x14ac:dyDescent="0.3">
      <c r="A163" t="s">
        <v>264</v>
      </c>
      <c r="B163">
        <v>95.065142179999995</v>
      </c>
      <c r="C163">
        <v>95.114009480000007</v>
      </c>
      <c r="D163">
        <v>94.621847220000006</v>
      </c>
      <c r="E163">
        <v>96.589593059999999</v>
      </c>
      <c r="F163">
        <v>95.412158039999994</v>
      </c>
      <c r="G163">
        <v>95.930948299999997</v>
      </c>
      <c r="H163">
        <v>96.294649719999995</v>
      </c>
      <c r="I163">
        <v>97.296148830000007</v>
      </c>
      <c r="J163">
        <v>95.642270060000001</v>
      </c>
      <c r="K163">
        <v>96.75266929</v>
      </c>
      <c r="L163">
        <v>96.899440830000003</v>
      </c>
    </row>
    <row r="164" spans="1:12" x14ac:dyDescent="0.3">
      <c r="A164" t="s">
        <v>265</v>
      </c>
      <c r="B164">
        <v>100</v>
      </c>
      <c r="C164">
        <v>99</v>
      </c>
      <c r="D164">
        <v>100</v>
      </c>
      <c r="E164">
        <v>99.699996949999999</v>
      </c>
      <c r="F164">
        <v>97.699996949999999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</row>
    <row r="165" spans="1:12" x14ac:dyDescent="0.3">
      <c r="A165" t="s">
        <v>266</v>
      </c>
      <c r="B165">
        <v>78.502082819999998</v>
      </c>
      <c r="C165">
        <v>72.057075499999996</v>
      </c>
      <c r="D165">
        <v>84.483612059999999</v>
      </c>
      <c r="E165">
        <v>81.199996949999999</v>
      </c>
      <c r="F165">
        <v>87.078826899999996</v>
      </c>
      <c r="G165">
        <v>88.400176999999999</v>
      </c>
      <c r="H165">
        <v>89.838409420000005</v>
      </c>
      <c r="I165">
        <v>92.512565609999996</v>
      </c>
      <c r="J165">
        <v>98.099998470000003</v>
      </c>
      <c r="K165">
        <v>97.229911799999996</v>
      </c>
      <c r="L165">
        <v>98.099998470000003</v>
      </c>
    </row>
    <row r="166" spans="1:12" x14ac:dyDescent="0.3">
      <c r="A166" t="s">
        <v>267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</row>
    <row r="167" spans="1:12" x14ac:dyDescent="0.3">
      <c r="A167" t="s">
        <v>268</v>
      </c>
      <c r="B167">
        <v>18.802736280000001</v>
      </c>
      <c r="C167">
        <v>20.200000760000002</v>
      </c>
      <c r="D167">
        <v>21.23260689</v>
      </c>
      <c r="E167">
        <v>22.420127870000002</v>
      </c>
      <c r="F167">
        <v>24.799999239999998</v>
      </c>
      <c r="G167">
        <v>24</v>
      </c>
      <c r="H167">
        <v>26.246521000000001</v>
      </c>
      <c r="I167">
        <v>24.299999239999998</v>
      </c>
      <c r="J167">
        <v>31.100000380000001</v>
      </c>
      <c r="K167">
        <v>29.674449920000001</v>
      </c>
      <c r="L167">
        <v>30.603832239999999</v>
      </c>
    </row>
    <row r="168" spans="1:12" x14ac:dyDescent="0.3">
      <c r="A168" t="s">
        <v>269</v>
      </c>
      <c r="B168">
        <v>33.95951462</v>
      </c>
      <c r="C168">
        <v>35.166320800000001</v>
      </c>
      <c r="D168">
        <v>36.362159730000002</v>
      </c>
      <c r="E168">
        <v>37.536064150000001</v>
      </c>
      <c r="F168">
        <v>38.799999239999998</v>
      </c>
      <c r="G168">
        <v>39.5</v>
      </c>
      <c r="H168">
        <v>41.32161713</v>
      </c>
      <c r="I168">
        <v>42.900001529999997</v>
      </c>
      <c r="J168">
        <v>44.3121376</v>
      </c>
      <c r="K168">
        <v>45.830032350000003</v>
      </c>
      <c r="L168">
        <v>47.348419190000001</v>
      </c>
    </row>
    <row r="169" spans="1:12" x14ac:dyDescent="0.3">
      <c r="A169" t="s">
        <v>270</v>
      </c>
      <c r="B169">
        <v>99.690002440000001</v>
      </c>
      <c r="C169">
        <v>99.599998470000003</v>
      </c>
      <c r="D169">
        <v>99.56861877</v>
      </c>
      <c r="E169">
        <v>99.480506899999995</v>
      </c>
      <c r="F169">
        <v>99.380371089999997</v>
      </c>
      <c r="G169">
        <v>99.361610409999997</v>
      </c>
      <c r="H169">
        <v>99.480010989999997</v>
      </c>
      <c r="I169">
        <v>99.61000061</v>
      </c>
      <c r="J169">
        <v>99.448844910000005</v>
      </c>
      <c r="K169">
        <v>100</v>
      </c>
      <c r="L169">
        <v>99.661651610000007</v>
      </c>
    </row>
    <row r="170" spans="1:12" x14ac:dyDescent="0.3">
      <c r="A170" t="s">
        <v>271</v>
      </c>
      <c r="B170">
        <v>8.6999998089999995</v>
      </c>
      <c r="C170">
        <v>7.5999999049999998</v>
      </c>
      <c r="D170">
        <v>7.4000000950000002</v>
      </c>
      <c r="E170">
        <v>9</v>
      </c>
      <c r="F170">
        <v>11.899999619999999</v>
      </c>
      <c r="G170">
        <v>10.80000019</v>
      </c>
      <c r="H170">
        <v>11</v>
      </c>
      <c r="I170">
        <v>12.69999981</v>
      </c>
      <c r="J170">
        <v>18.020000459999999</v>
      </c>
      <c r="K170">
        <v>11.19999981</v>
      </c>
      <c r="L170">
        <v>14.866768840000001</v>
      </c>
    </row>
    <row r="171" spans="1:12" x14ac:dyDescent="0.3">
      <c r="A171" t="s">
        <v>272</v>
      </c>
      <c r="B171">
        <v>99.374053959999998</v>
      </c>
      <c r="C171">
        <v>99.46546936</v>
      </c>
      <c r="D171">
        <v>99.800003050000001</v>
      </c>
      <c r="E171">
        <v>99.604446409999994</v>
      </c>
      <c r="F171">
        <v>99.650939940000001</v>
      </c>
      <c r="G171">
        <v>99.778816219999996</v>
      </c>
      <c r="H171">
        <v>99.900001529999997</v>
      </c>
      <c r="I171">
        <v>99.952484130000002</v>
      </c>
      <c r="J171">
        <v>99.992240910000007</v>
      </c>
      <c r="K171">
        <v>100</v>
      </c>
      <c r="L171">
        <v>100</v>
      </c>
    </row>
    <row r="172" spans="1:12" x14ac:dyDescent="0.3">
      <c r="A172" t="s">
        <v>273</v>
      </c>
      <c r="B172">
        <v>100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</row>
    <row r="173" spans="1:12" x14ac:dyDescent="0.3">
      <c r="A173" t="s">
        <v>274</v>
      </c>
      <c r="B173">
        <v>44.610736850000002</v>
      </c>
      <c r="C173">
        <v>42.299999239999998</v>
      </c>
      <c r="D173">
        <v>46.631858829999999</v>
      </c>
      <c r="E173">
        <v>47.400001529999997</v>
      </c>
      <c r="F173">
        <v>48.728515629999997</v>
      </c>
      <c r="G173">
        <v>51.599998470000003</v>
      </c>
      <c r="H173">
        <v>49.700000760000002</v>
      </c>
      <c r="I173">
        <v>52.5</v>
      </c>
      <c r="J173">
        <v>54.002895359999997</v>
      </c>
      <c r="K173">
        <v>55.177089690000003</v>
      </c>
      <c r="L173">
        <v>56.258693700000002</v>
      </c>
    </row>
    <row r="174" spans="1:12" x14ac:dyDescent="0.3">
      <c r="A174" t="s">
        <v>275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</row>
    <row r="175" spans="1:12" x14ac:dyDescent="0.3">
      <c r="A175" t="s">
        <v>276</v>
      </c>
      <c r="B175">
        <v>13.277492519999999</v>
      </c>
      <c r="C175">
        <v>14.30000019</v>
      </c>
      <c r="D175">
        <v>14.399999619999999</v>
      </c>
      <c r="E175">
        <v>15.1700058</v>
      </c>
      <c r="F175">
        <v>15.77054214</v>
      </c>
      <c r="G175">
        <v>16.600000380000001</v>
      </c>
      <c r="H175">
        <v>17.27152061</v>
      </c>
      <c r="I175">
        <v>18.04952621</v>
      </c>
      <c r="J175">
        <v>17.600000380000001</v>
      </c>
      <c r="K175">
        <v>18.974571229999999</v>
      </c>
      <c r="L175">
        <v>19.251909260000001</v>
      </c>
    </row>
    <row r="176" spans="1:12" x14ac:dyDescent="0.3">
      <c r="A176" t="s">
        <v>277</v>
      </c>
      <c r="B176">
        <v>48</v>
      </c>
      <c r="C176">
        <v>55.900001529999997</v>
      </c>
      <c r="D176">
        <v>53.231243130000003</v>
      </c>
      <c r="E176">
        <v>55.599998470000003</v>
      </c>
      <c r="F176">
        <v>54.048229220000003</v>
      </c>
      <c r="G176">
        <v>52.5</v>
      </c>
      <c r="H176">
        <v>59.299999239999998</v>
      </c>
      <c r="I176">
        <v>54.400001529999997</v>
      </c>
      <c r="J176">
        <v>56.5</v>
      </c>
      <c r="K176">
        <v>55.400001529999997</v>
      </c>
      <c r="L176">
        <v>55.400001529999997</v>
      </c>
    </row>
    <row r="177" spans="1:12" x14ac:dyDescent="0.3">
      <c r="A177" t="s">
        <v>278</v>
      </c>
      <c r="B177">
        <v>78.151214600000003</v>
      </c>
      <c r="C177">
        <v>78.728698730000005</v>
      </c>
      <c r="D177">
        <v>79.639160160000003</v>
      </c>
      <c r="E177">
        <v>80.823440550000001</v>
      </c>
      <c r="F177">
        <v>81.853073120000005</v>
      </c>
      <c r="G177">
        <v>83.249328610000006</v>
      </c>
      <c r="H177">
        <v>84.640113830000004</v>
      </c>
      <c r="I177">
        <v>85.989837649999998</v>
      </c>
      <c r="J177">
        <v>87.116676330000004</v>
      </c>
      <c r="K177">
        <v>88.058326719999997</v>
      </c>
      <c r="L177">
        <v>88.907379149999997</v>
      </c>
    </row>
    <row r="178" spans="1:12" x14ac:dyDescent="0.3">
      <c r="A178" t="s">
        <v>279</v>
      </c>
      <c r="B178">
        <v>100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</row>
    <row r="179" spans="1:12" x14ac:dyDescent="0.3">
      <c r="A179" t="s">
        <v>280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</row>
    <row r="180" spans="1:12" x14ac:dyDescent="0.3">
      <c r="A180" t="s">
        <v>281</v>
      </c>
      <c r="B180">
        <v>68.599998470000003</v>
      </c>
      <c r="C180">
        <v>67.260002139999997</v>
      </c>
      <c r="D180">
        <v>74.965972899999997</v>
      </c>
      <c r="E180">
        <v>77.466194150000007</v>
      </c>
      <c r="F180">
        <v>84.900001529999997</v>
      </c>
      <c r="G180">
        <v>82.523956299999995</v>
      </c>
      <c r="H180">
        <v>90.699996949999999</v>
      </c>
      <c r="I180">
        <v>87.896347050000003</v>
      </c>
      <c r="J180">
        <v>93.91999817</v>
      </c>
      <c r="K180">
        <v>89.900001529999997</v>
      </c>
      <c r="L180">
        <v>89.900001529999997</v>
      </c>
    </row>
    <row r="181" spans="1:12" x14ac:dyDescent="0.3">
      <c r="A181" t="s">
        <v>282</v>
      </c>
      <c r="B181">
        <v>99.170631409999999</v>
      </c>
      <c r="C181">
        <v>99</v>
      </c>
      <c r="D181">
        <v>99.216445919999998</v>
      </c>
      <c r="E181">
        <v>99.268211359999995</v>
      </c>
      <c r="F181">
        <v>99.337791440000004</v>
      </c>
      <c r="G181">
        <v>99</v>
      </c>
      <c r="H181">
        <v>99.712883000000005</v>
      </c>
      <c r="I181">
        <v>99.870040889999999</v>
      </c>
      <c r="J181">
        <v>99.928222660000003</v>
      </c>
      <c r="K181">
        <v>100</v>
      </c>
      <c r="L181">
        <v>100</v>
      </c>
    </row>
    <row r="182" spans="1:12" x14ac:dyDescent="0.3">
      <c r="A182" t="s">
        <v>283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</row>
    <row r="183" spans="1:12" x14ac:dyDescent="0.3">
      <c r="A183" t="s">
        <v>284</v>
      </c>
      <c r="B183">
        <v>99.810564780000007</v>
      </c>
      <c r="C183">
        <v>99.7889689</v>
      </c>
      <c r="D183">
        <v>99.813854980000002</v>
      </c>
      <c r="E183">
        <v>99.837577379999999</v>
      </c>
      <c r="F183">
        <v>99.844136019999993</v>
      </c>
      <c r="G183">
        <v>99.837931150000003</v>
      </c>
      <c r="H183">
        <v>99.894763240000003</v>
      </c>
      <c r="I183">
        <v>99.940086629999996</v>
      </c>
      <c r="J183">
        <v>99.897579489999998</v>
      </c>
      <c r="K183">
        <v>99.95253812</v>
      </c>
      <c r="L183">
        <v>99.943272539999995</v>
      </c>
    </row>
    <row r="184" spans="1:12" x14ac:dyDescent="0.3">
      <c r="A184" t="s">
        <v>285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</row>
    <row r="185" spans="1:12" x14ac:dyDescent="0.3">
      <c r="A185" t="s">
        <v>286</v>
      </c>
      <c r="B185">
        <v>66.022316279999998</v>
      </c>
      <c r="C185">
        <v>68.051160390000007</v>
      </c>
      <c r="D185">
        <v>69.24564762</v>
      </c>
      <c r="E185">
        <v>70.258160070000002</v>
      </c>
      <c r="F185">
        <v>71.422268430000003</v>
      </c>
      <c r="G185">
        <v>72.839777639999994</v>
      </c>
      <c r="H185">
        <v>74.052156069999995</v>
      </c>
      <c r="I185">
        <v>75.097540530000003</v>
      </c>
      <c r="J185">
        <v>77.275790079999993</v>
      </c>
      <c r="K185">
        <v>78.135691219999998</v>
      </c>
      <c r="L185">
        <v>79.194673739999999</v>
      </c>
    </row>
    <row r="186" spans="1:12" x14ac:dyDescent="0.3">
      <c r="A186" t="s">
        <v>287</v>
      </c>
      <c r="B186">
        <v>70.768020629999995</v>
      </c>
      <c r="C186">
        <v>70.854278559999997</v>
      </c>
      <c r="D186">
        <v>70.958610530000001</v>
      </c>
      <c r="E186">
        <v>71.082771300000005</v>
      </c>
      <c r="F186">
        <v>71.224739069999998</v>
      </c>
      <c r="G186">
        <v>71.381546020000002</v>
      </c>
      <c r="H186">
        <v>71.550224299999996</v>
      </c>
      <c r="I186">
        <v>70.790000919999997</v>
      </c>
      <c r="J186">
        <v>72.783103940000004</v>
      </c>
      <c r="K186">
        <v>74.127693179999994</v>
      </c>
      <c r="L186">
        <v>75.379692079999998</v>
      </c>
    </row>
    <row r="187" spans="1:12" x14ac:dyDescent="0.3">
      <c r="A187" t="s">
        <v>288</v>
      </c>
      <c r="B187">
        <v>86.849998470000003</v>
      </c>
      <c r="C187">
        <v>88.962219239999996</v>
      </c>
      <c r="D187">
        <v>89.767868039999996</v>
      </c>
      <c r="E187">
        <v>89.099998470000003</v>
      </c>
      <c r="F187">
        <v>91.436637880000006</v>
      </c>
      <c r="G187">
        <v>92.294769290000005</v>
      </c>
      <c r="H187">
        <v>93.164772029999995</v>
      </c>
      <c r="I187">
        <v>93.699996949999999</v>
      </c>
      <c r="J187">
        <v>94.928520199999994</v>
      </c>
      <c r="K187">
        <v>95.816329960000004</v>
      </c>
      <c r="L187">
        <v>96.704635620000005</v>
      </c>
    </row>
    <row r="188" spans="1:12" x14ac:dyDescent="0.3">
      <c r="A188" t="s">
        <v>289</v>
      </c>
      <c r="B188">
        <v>88.123062129999994</v>
      </c>
      <c r="C188">
        <v>89.707489010000003</v>
      </c>
      <c r="D188">
        <v>91.099510190000004</v>
      </c>
      <c r="E188">
        <v>92.135368349999993</v>
      </c>
      <c r="F188">
        <v>92.919990540000001</v>
      </c>
      <c r="G188">
        <v>93.852180480000001</v>
      </c>
      <c r="H188">
        <v>94.199996949999999</v>
      </c>
      <c r="I188">
        <v>94.800003050000001</v>
      </c>
      <c r="J188">
        <v>95.199996949999999</v>
      </c>
      <c r="K188">
        <v>95.551361080000007</v>
      </c>
      <c r="L188">
        <v>99.311813349999994</v>
      </c>
    </row>
    <row r="189" spans="1:12" x14ac:dyDescent="0.3">
      <c r="A189" t="s">
        <v>290</v>
      </c>
      <c r="B189">
        <v>85.397644040000003</v>
      </c>
      <c r="C189">
        <v>87.199996949999999</v>
      </c>
      <c r="D189">
        <v>87.08000183</v>
      </c>
      <c r="E189">
        <v>87.5</v>
      </c>
      <c r="F189">
        <v>89.720367429999996</v>
      </c>
      <c r="G189">
        <v>89.08000183</v>
      </c>
      <c r="H189">
        <v>92.066505430000007</v>
      </c>
      <c r="I189">
        <v>93</v>
      </c>
      <c r="J189">
        <v>94.448265079999999</v>
      </c>
      <c r="K189">
        <v>95.645080570000005</v>
      </c>
      <c r="L189">
        <v>96.842384339999995</v>
      </c>
    </row>
    <row r="190" spans="1:12" x14ac:dyDescent="0.3">
      <c r="A190" t="s">
        <v>291</v>
      </c>
      <c r="B190">
        <v>98.712615970000002</v>
      </c>
      <c r="C190">
        <v>98.807502749999998</v>
      </c>
      <c r="D190">
        <v>97.630424500000004</v>
      </c>
      <c r="E190">
        <v>99.053230290000002</v>
      </c>
      <c r="F190">
        <v>99.810302730000004</v>
      </c>
      <c r="G190">
        <v>99.369239809999996</v>
      </c>
      <c r="H190">
        <v>100</v>
      </c>
      <c r="I190">
        <v>100</v>
      </c>
      <c r="J190">
        <v>100</v>
      </c>
      <c r="K190">
        <v>100</v>
      </c>
      <c r="L190">
        <v>100</v>
      </c>
    </row>
    <row r="191" spans="1:12" x14ac:dyDescent="0.3">
      <c r="A191" t="s">
        <v>292</v>
      </c>
      <c r="B191">
        <v>19.5</v>
      </c>
      <c r="C191">
        <v>32.917320250000003</v>
      </c>
      <c r="D191">
        <v>35.275886540000002</v>
      </c>
      <c r="E191">
        <v>37.654285430000002</v>
      </c>
      <c r="F191">
        <v>40.05049133</v>
      </c>
      <c r="G191">
        <v>42.878219600000001</v>
      </c>
      <c r="H191">
        <v>49.400001529999997</v>
      </c>
      <c r="I191">
        <v>54.400001529999997</v>
      </c>
      <c r="J191">
        <v>55.727386469999999</v>
      </c>
      <c r="K191">
        <v>59.66297531</v>
      </c>
      <c r="L191">
        <v>60.400001529999997</v>
      </c>
    </row>
    <row r="192" spans="1:12" x14ac:dyDescent="0.3">
      <c r="A192" t="s">
        <v>293</v>
      </c>
      <c r="B192">
        <v>100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</row>
    <row r="193" spans="1:12" x14ac:dyDescent="0.3">
      <c r="A193" t="s">
        <v>294</v>
      </c>
      <c r="B193">
        <v>32.639833809999999</v>
      </c>
      <c r="C193">
        <v>36.030280959999999</v>
      </c>
      <c r="D193">
        <v>37.512444819999999</v>
      </c>
      <c r="E193">
        <v>38.273882829999998</v>
      </c>
      <c r="F193">
        <v>39.798408530000003</v>
      </c>
      <c r="G193">
        <v>39.945161249999998</v>
      </c>
      <c r="H193">
        <v>44.603811829999998</v>
      </c>
      <c r="I193">
        <v>44.32943607</v>
      </c>
      <c r="J193">
        <v>47.170586530000001</v>
      </c>
      <c r="K193">
        <v>47.546872100000002</v>
      </c>
      <c r="L193">
        <v>48.446438100000002</v>
      </c>
    </row>
    <row r="194" spans="1:12" x14ac:dyDescent="0.3">
      <c r="A194" t="s">
        <v>295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</row>
    <row r="195" spans="1:12" x14ac:dyDescent="0.3">
      <c r="A195" t="s">
        <v>296</v>
      </c>
      <c r="B195">
        <v>29.25118256</v>
      </c>
      <c r="C195">
        <v>31.492002490000001</v>
      </c>
      <c r="D195">
        <v>33.75088882</v>
      </c>
      <c r="E195">
        <v>36.029605869999997</v>
      </c>
      <c r="F195">
        <v>38.326129909999999</v>
      </c>
      <c r="G195">
        <v>40.637496949999999</v>
      </c>
      <c r="H195">
        <v>42.960735319999998</v>
      </c>
      <c r="I195">
        <v>45.2928772</v>
      </c>
      <c r="J195">
        <v>47.63095474</v>
      </c>
      <c r="K195">
        <v>49.972000119999997</v>
      </c>
      <c r="L195">
        <v>52.313545230000003</v>
      </c>
    </row>
    <row r="196" spans="1:12" x14ac:dyDescent="0.3">
      <c r="A196" t="s">
        <v>297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</row>
    <row r="197" spans="1:12" x14ac:dyDescent="0.3">
      <c r="A197" t="s">
        <v>298</v>
      </c>
      <c r="B197">
        <v>97.430862430000005</v>
      </c>
      <c r="C197">
        <v>98.236557009999999</v>
      </c>
      <c r="D197">
        <v>97.835617069999998</v>
      </c>
      <c r="E197">
        <v>99.015884400000004</v>
      </c>
      <c r="F197">
        <v>99.000717159999994</v>
      </c>
      <c r="G197">
        <v>99.331535340000002</v>
      </c>
      <c r="H197">
        <v>98.400001529999997</v>
      </c>
      <c r="I197">
        <v>99.300003050000001</v>
      </c>
      <c r="J197">
        <v>99.599998470000003</v>
      </c>
      <c r="K197">
        <v>99.699996949999999</v>
      </c>
      <c r="L197">
        <v>100</v>
      </c>
    </row>
    <row r="198" spans="1:12" x14ac:dyDescent="0.3">
      <c r="A198" t="s">
        <v>299</v>
      </c>
      <c r="B198">
        <v>99.900001529999997</v>
      </c>
      <c r="C198">
        <v>99.699996949999999</v>
      </c>
      <c r="D198">
        <v>99.800003050000001</v>
      </c>
      <c r="E198">
        <v>99.900001529999997</v>
      </c>
      <c r="F198">
        <v>99.900001529999997</v>
      </c>
      <c r="G198">
        <v>99.900001529999997</v>
      </c>
      <c r="H198">
        <v>100</v>
      </c>
      <c r="I198">
        <v>99.699996949999999</v>
      </c>
      <c r="J198">
        <v>100</v>
      </c>
      <c r="K198">
        <v>100</v>
      </c>
      <c r="L198">
        <v>100</v>
      </c>
    </row>
    <row r="199" spans="1:12" x14ac:dyDescent="0.3">
      <c r="A199" t="s">
        <v>300</v>
      </c>
      <c r="B199">
        <v>70.001589159999995</v>
      </c>
      <c r="C199">
        <v>71.467691720000005</v>
      </c>
      <c r="D199">
        <v>72.93010769</v>
      </c>
      <c r="E199">
        <v>72.447652520000005</v>
      </c>
      <c r="F199">
        <v>76.697265329999993</v>
      </c>
      <c r="G199">
        <v>79.276383030000005</v>
      </c>
      <c r="H199">
        <v>81.220340500000006</v>
      </c>
      <c r="I199">
        <v>82.270510340000001</v>
      </c>
      <c r="J199">
        <v>84.591639180000001</v>
      </c>
      <c r="K199">
        <v>86.006484830000005</v>
      </c>
      <c r="L199">
        <v>87.616039369999996</v>
      </c>
    </row>
    <row r="200" spans="1:12" x14ac:dyDescent="0.3">
      <c r="A200" t="s">
        <v>301</v>
      </c>
      <c r="B200">
        <v>99.974366849999996</v>
      </c>
      <c r="C200">
        <v>99.975046410000004</v>
      </c>
      <c r="D200">
        <v>99.973123650000005</v>
      </c>
      <c r="E200">
        <v>99.9794749</v>
      </c>
      <c r="F200">
        <v>99.98368241</v>
      </c>
      <c r="G200">
        <v>99.98547026</v>
      </c>
      <c r="H200">
        <v>99.989247390000003</v>
      </c>
      <c r="I200">
        <v>99.992156769999994</v>
      </c>
      <c r="J200">
        <v>99.995108180000003</v>
      </c>
      <c r="K200">
        <v>99.997963049999996</v>
      </c>
      <c r="L200">
        <v>99.998137639999996</v>
      </c>
    </row>
    <row r="201" spans="1:12" x14ac:dyDescent="0.3">
      <c r="A201" t="s">
        <v>302</v>
      </c>
      <c r="B201">
        <v>100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</row>
    <row r="202" spans="1:12" x14ac:dyDescent="0.3">
      <c r="A202" t="s">
        <v>303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</row>
    <row r="203" spans="1:12" x14ac:dyDescent="0.3">
      <c r="A203" t="s">
        <v>304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99.099998470000003</v>
      </c>
      <c r="I203">
        <v>100</v>
      </c>
      <c r="J203">
        <v>100</v>
      </c>
      <c r="K203">
        <v>100</v>
      </c>
      <c r="L203">
        <v>100</v>
      </c>
    </row>
    <row r="204" spans="1:12" x14ac:dyDescent="0.3">
      <c r="A204" t="s">
        <v>305</v>
      </c>
      <c r="B204">
        <v>100</v>
      </c>
      <c r="C204">
        <v>100</v>
      </c>
      <c r="D204">
        <v>100</v>
      </c>
      <c r="E204">
        <v>100</v>
      </c>
      <c r="F204">
        <v>100</v>
      </c>
      <c r="G204">
        <v>95.5</v>
      </c>
      <c r="H204">
        <v>100</v>
      </c>
      <c r="I204">
        <v>100</v>
      </c>
      <c r="J204">
        <v>100</v>
      </c>
      <c r="K204">
        <v>100</v>
      </c>
      <c r="L204">
        <v>100</v>
      </c>
    </row>
    <row r="205" spans="1:12" x14ac:dyDescent="0.3">
      <c r="A205" t="s">
        <v>306</v>
      </c>
      <c r="B205">
        <v>9.6999998089999995</v>
      </c>
      <c r="C205">
        <v>10.80000019</v>
      </c>
      <c r="D205">
        <v>17.5</v>
      </c>
      <c r="E205">
        <v>15.19999981</v>
      </c>
      <c r="F205">
        <v>19.799999239999998</v>
      </c>
      <c r="G205">
        <v>22.799999239999998</v>
      </c>
      <c r="H205">
        <v>29.370000839999999</v>
      </c>
      <c r="I205">
        <v>34.099998470000003</v>
      </c>
      <c r="J205">
        <v>36.968151089999999</v>
      </c>
      <c r="K205">
        <v>40.368606569999997</v>
      </c>
      <c r="L205">
        <v>46.599998470000003</v>
      </c>
    </row>
    <row r="206" spans="1:12" x14ac:dyDescent="0.3">
      <c r="A206" t="s">
        <v>307</v>
      </c>
      <c r="B206">
        <v>73.189451439999999</v>
      </c>
      <c r="C206">
        <v>67.053616259999998</v>
      </c>
      <c r="D206">
        <v>77.489389860000003</v>
      </c>
      <c r="E206">
        <v>78.714073650000003</v>
      </c>
      <c r="F206">
        <v>80.759844920000006</v>
      </c>
      <c r="G206">
        <v>84.608987600000006</v>
      </c>
      <c r="H206">
        <v>86.299128120000006</v>
      </c>
      <c r="I206">
        <v>89.399935029999995</v>
      </c>
      <c r="J206">
        <v>92.71301579</v>
      </c>
      <c r="K206">
        <v>94.043640379999999</v>
      </c>
      <c r="L206">
        <v>95.784289430000001</v>
      </c>
    </row>
    <row r="207" spans="1:12" x14ac:dyDescent="0.3">
      <c r="A207" t="s">
        <v>308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99.900001529999997</v>
      </c>
      <c r="I207">
        <v>99.930000309999997</v>
      </c>
      <c r="J207">
        <v>100</v>
      </c>
      <c r="K207">
        <v>100</v>
      </c>
      <c r="L207">
        <v>100</v>
      </c>
    </row>
    <row r="208" spans="1:12" x14ac:dyDescent="0.3">
      <c r="A208" t="s">
        <v>309</v>
      </c>
      <c r="B208">
        <v>38.039775849999998</v>
      </c>
      <c r="C208">
        <v>39.820804600000002</v>
      </c>
      <c r="D208">
        <v>41.591995240000003</v>
      </c>
      <c r="E208">
        <v>43.343517300000002</v>
      </c>
      <c r="F208">
        <v>44.900001529999997</v>
      </c>
      <c r="G208">
        <v>46.903106690000001</v>
      </c>
      <c r="H208">
        <v>48.849403379999998</v>
      </c>
      <c r="I208">
        <v>50.754718779999997</v>
      </c>
      <c r="J208">
        <v>52.447002410000003</v>
      </c>
      <c r="K208">
        <v>53.962539669999998</v>
      </c>
      <c r="L208">
        <v>55.389701840000001</v>
      </c>
    </row>
    <row r="209" spans="1:12" x14ac:dyDescent="0.3">
      <c r="A209" t="s">
        <v>310</v>
      </c>
      <c r="B209">
        <v>56.5</v>
      </c>
      <c r="C209">
        <v>56.5</v>
      </c>
      <c r="D209">
        <v>56.5</v>
      </c>
      <c r="E209">
        <v>57</v>
      </c>
      <c r="F209">
        <v>61</v>
      </c>
      <c r="G209">
        <v>60.5</v>
      </c>
      <c r="H209">
        <v>64.5</v>
      </c>
      <c r="I209">
        <v>61.700000760000002</v>
      </c>
      <c r="J209">
        <v>66</v>
      </c>
      <c r="K209">
        <v>70.400001529999997</v>
      </c>
      <c r="L209">
        <v>70.368942259999997</v>
      </c>
    </row>
    <row r="210" spans="1:12" x14ac:dyDescent="0.3">
      <c r="A210" t="s">
        <v>311</v>
      </c>
      <c r="B210">
        <v>100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</row>
    <row r="211" spans="1:12" x14ac:dyDescent="0.3">
      <c r="A211" t="s">
        <v>312</v>
      </c>
      <c r="B211">
        <v>34.774806980000001</v>
      </c>
      <c r="C211">
        <v>38.679992679999998</v>
      </c>
      <c r="D211">
        <v>42.574211120000001</v>
      </c>
      <c r="E211">
        <v>44.700000760000002</v>
      </c>
      <c r="F211">
        <v>50.306758879999997</v>
      </c>
      <c r="G211">
        <v>55.099998470000003</v>
      </c>
      <c r="H211">
        <v>58.327194210000002</v>
      </c>
      <c r="I211">
        <v>62.900001529999997</v>
      </c>
      <c r="J211">
        <v>66.179763789999996</v>
      </c>
      <c r="K211">
        <v>69.809417719999999</v>
      </c>
      <c r="L211">
        <v>73.346481319999995</v>
      </c>
    </row>
    <row r="212" spans="1:12" x14ac:dyDescent="0.3">
      <c r="A212" t="s">
        <v>313</v>
      </c>
      <c r="B212">
        <v>11.462173460000001</v>
      </c>
      <c r="C212">
        <v>14.19999981</v>
      </c>
      <c r="D212">
        <v>16.976510999999999</v>
      </c>
      <c r="E212">
        <v>13.5</v>
      </c>
      <c r="F212">
        <v>18.666030880000001</v>
      </c>
      <c r="G212">
        <v>19.534536360000001</v>
      </c>
      <c r="H212">
        <v>20.299999239999998</v>
      </c>
      <c r="I212">
        <v>23.399999619999999</v>
      </c>
      <c r="J212">
        <v>26.100000380000001</v>
      </c>
      <c r="K212">
        <v>22.700000760000002</v>
      </c>
      <c r="L212">
        <v>26.200885769999999</v>
      </c>
    </row>
    <row r="213" spans="1:12" x14ac:dyDescent="0.3">
      <c r="A213" t="s">
        <v>314</v>
      </c>
      <c r="B213">
        <v>91.580238339999994</v>
      </c>
      <c r="C213">
        <v>92.574684140000002</v>
      </c>
      <c r="D213">
        <v>93.680572510000005</v>
      </c>
      <c r="E213">
        <v>95.043106080000001</v>
      </c>
      <c r="F213">
        <v>95.125419620000002</v>
      </c>
      <c r="G213">
        <v>95.400001529999997</v>
      </c>
      <c r="H213">
        <v>96</v>
      </c>
      <c r="I213">
        <v>96.800003050000001</v>
      </c>
      <c r="J213">
        <v>97</v>
      </c>
      <c r="K213">
        <v>97.36000061</v>
      </c>
      <c r="L213">
        <v>100</v>
      </c>
    </row>
    <row r="214" spans="1:12" x14ac:dyDescent="0.3">
      <c r="A214" t="s">
        <v>315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</row>
    <row r="215" spans="1:12" x14ac:dyDescent="0.3">
      <c r="A215" t="s">
        <v>316</v>
      </c>
      <c r="B215">
        <v>52.163345339999999</v>
      </c>
      <c r="C215">
        <v>51.968112949999998</v>
      </c>
      <c r="D215">
        <v>51.761917109999999</v>
      </c>
      <c r="E215">
        <v>51.533790590000002</v>
      </c>
      <c r="F215">
        <v>51.293636319999997</v>
      </c>
      <c r="G215">
        <v>51.13486099</v>
      </c>
      <c r="H215">
        <v>51.113235469999999</v>
      </c>
      <c r="I215">
        <v>52.099998470000003</v>
      </c>
      <c r="J215">
        <v>50.764976500000003</v>
      </c>
      <c r="K215">
        <v>49.200000760000002</v>
      </c>
      <c r="L215">
        <v>49.730869290000001</v>
      </c>
    </row>
    <row r="216" spans="1:12" x14ac:dyDescent="0.3">
      <c r="A216" t="s">
        <v>317</v>
      </c>
      <c r="B216">
        <v>99.718399050000002</v>
      </c>
      <c r="C216">
        <v>100</v>
      </c>
      <c r="D216">
        <v>100</v>
      </c>
      <c r="E216">
        <v>99.91999817</v>
      </c>
      <c r="F216">
        <v>99.660797119999998</v>
      </c>
      <c r="G216">
        <v>99.900001529999997</v>
      </c>
      <c r="H216">
        <v>100</v>
      </c>
      <c r="I216">
        <v>100</v>
      </c>
      <c r="J216">
        <v>100</v>
      </c>
      <c r="K216">
        <v>99.800003050000001</v>
      </c>
      <c r="L216">
        <v>100</v>
      </c>
    </row>
    <row r="217" spans="1:12" x14ac:dyDescent="0.3">
      <c r="A217" t="s">
        <v>318</v>
      </c>
      <c r="B217">
        <v>33.29594153</v>
      </c>
      <c r="C217">
        <v>35.870160460000001</v>
      </c>
      <c r="D217">
        <v>36.810229929999998</v>
      </c>
      <c r="E217">
        <v>37.942213279999997</v>
      </c>
      <c r="F217">
        <v>38.287644180000001</v>
      </c>
      <c r="G217">
        <v>39.068028890000001</v>
      </c>
      <c r="H217">
        <v>43.746078390000001</v>
      </c>
      <c r="I217">
        <v>43.726494080000002</v>
      </c>
      <c r="J217">
        <v>46.36585943</v>
      </c>
      <c r="K217">
        <v>47.100107049999998</v>
      </c>
      <c r="L217">
        <v>48.34660195</v>
      </c>
    </row>
    <row r="218" spans="1:12" x14ac:dyDescent="0.3">
      <c r="A218" t="s">
        <v>319</v>
      </c>
      <c r="B218">
        <v>1.5</v>
      </c>
      <c r="C218">
        <v>2.684684753</v>
      </c>
      <c r="D218">
        <v>3.1363611219999998</v>
      </c>
      <c r="E218">
        <v>3.607868195</v>
      </c>
      <c r="F218">
        <v>4.0971837039999999</v>
      </c>
      <c r="G218">
        <v>4.6013398170000004</v>
      </c>
      <c r="H218">
        <v>5.1173677440000001</v>
      </c>
      <c r="I218">
        <v>4.1999998090000004</v>
      </c>
      <c r="J218">
        <v>6.1731696129999998</v>
      </c>
      <c r="K218">
        <v>6.7070069309999996</v>
      </c>
      <c r="L218">
        <v>7.2413382530000003</v>
      </c>
    </row>
    <row r="219" spans="1:12" x14ac:dyDescent="0.3">
      <c r="A219" t="s">
        <v>320</v>
      </c>
      <c r="B219">
        <v>33.30252213</v>
      </c>
      <c r="C219">
        <v>35.876258280000002</v>
      </c>
      <c r="D219">
        <v>36.81615523</v>
      </c>
      <c r="E219">
        <v>37.947941720000003</v>
      </c>
      <c r="F219">
        <v>38.293462779999999</v>
      </c>
      <c r="G219">
        <v>39.073747060000002</v>
      </c>
      <c r="H219">
        <v>43.751286989999997</v>
      </c>
      <c r="I219">
        <v>43.73162988</v>
      </c>
      <c r="J219">
        <v>46.370672239999998</v>
      </c>
      <c r="K219">
        <v>47.104772400000002</v>
      </c>
      <c r="L219">
        <v>48.351078790000003</v>
      </c>
    </row>
    <row r="220" spans="1:12" x14ac:dyDescent="0.3">
      <c r="A220" t="s">
        <v>321</v>
      </c>
      <c r="B220">
        <v>71.691413969999999</v>
      </c>
      <c r="C220">
        <v>73.219395669999997</v>
      </c>
      <c r="D220">
        <v>74.339846960000003</v>
      </c>
      <c r="E220">
        <v>75.107609490000002</v>
      </c>
      <c r="F220">
        <v>76.175603559999999</v>
      </c>
      <c r="G220">
        <v>77.512212790000007</v>
      </c>
      <c r="H220">
        <v>78.686915249999998</v>
      </c>
      <c r="I220">
        <v>79.604768359999994</v>
      </c>
      <c r="J220">
        <v>81.4202504</v>
      </c>
      <c r="K220">
        <v>82.214746140000003</v>
      </c>
      <c r="L220">
        <v>83.188520269999998</v>
      </c>
    </row>
    <row r="221" spans="1:12" x14ac:dyDescent="0.3">
      <c r="A221" t="s">
        <v>322</v>
      </c>
      <c r="B221">
        <v>61.372158050000003</v>
      </c>
      <c r="C221">
        <v>62.511142730000003</v>
      </c>
      <c r="D221">
        <v>57.900001529999997</v>
      </c>
      <c r="E221">
        <v>64.845077509999996</v>
      </c>
      <c r="F221">
        <v>68.599998470000003</v>
      </c>
      <c r="G221">
        <v>67.249298100000004</v>
      </c>
      <c r="H221">
        <v>69.320518489999998</v>
      </c>
      <c r="I221">
        <v>74.269996640000002</v>
      </c>
      <c r="J221">
        <v>71</v>
      </c>
      <c r="K221">
        <v>74.967201230000001</v>
      </c>
      <c r="L221">
        <v>76.559089659999998</v>
      </c>
    </row>
    <row r="222" spans="1:12" x14ac:dyDescent="0.3">
      <c r="A222" t="s">
        <v>323</v>
      </c>
      <c r="B222">
        <v>91.197517399999995</v>
      </c>
      <c r="C222">
        <v>94.410934449999999</v>
      </c>
      <c r="D222">
        <v>94.367340089999999</v>
      </c>
      <c r="E222">
        <v>94.343582150000003</v>
      </c>
      <c r="F222">
        <v>94.33763123</v>
      </c>
      <c r="G222">
        <v>94.895233149999996</v>
      </c>
      <c r="H222">
        <v>95.816314700000007</v>
      </c>
      <c r="I222">
        <v>96.696334840000006</v>
      </c>
      <c r="J222">
        <v>97.400001529999997</v>
      </c>
      <c r="K222">
        <v>97.825416559999994</v>
      </c>
      <c r="L222">
        <v>98.204772950000006</v>
      </c>
    </row>
    <row r="223" spans="1:12" x14ac:dyDescent="0.3">
      <c r="A223" t="s">
        <v>324</v>
      </c>
      <c r="B223">
        <v>100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</row>
    <row r="224" spans="1:12" x14ac:dyDescent="0.3">
      <c r="A224" t="s">
        <v>325</v>
      </c>
      <c r="B224">
        <v>100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</row>
    <row r="225" spans="1:12" x14ac:dyDescent="0.3">
      <c r="A225" t="s">
        <v>326</v>
      </c>
      <c r="B225">
        <v>100</v>
      </c>
      <c r="C225">
        <v>100</v>
      </c>
      <c r="D225">
        <v>100</v>
      </c>
      <c r="E225">
        <v>100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</row>
    <row r="226" spans="1:12" x14ac:dyDescent="0.3">
      <c r="A226" t="s">
        <v>327</v>
      </c>
      <c r="B226">
        <v>45.552337649999998</v>
      </c>
      <c r="C226">
        <v>51.148006440000003</v>
      </c>
      <c r="D226">
        <v>54.3662262</v>
      </c>
      <c r="E226">
        <v>57.562515259999998</v>
      </c>
      <c r="F226">
        <v>65</v>
      </c>
      <c r="G226">
        <v>64.012413019999997</v>
      </c>
      <c r="H226">
        <v>63.430000309999997</v>
      </c>
      <c r="I226">
        <v>73.5</v>
      </c>
      <c r="J226">
        <v>73.915779110000003</v>
      </c>
      <c r="K226">
        <v>76.869438169999995</v>
      </c>
      <c r="L226">
        <v>79.730499269999996</v>
      </c>
    </row>
    <row r="227" spans="1:12" x14ac:dyDescent="0.3">
      <c r="A227" t="s">
        <v>328</v>
      </c>
      <c r="B227">
        <v>100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</row>
    <row r="228" spans="1:12" x14ac:dyDescent="0.3">
      <c r="A228" t="s">
        <v>329</v>
      </c>
      <c r="B228">
        <v>97</v>
      </c>
      <c r="C228">
        <v>98.147964479999999</v>
      </c>
      <c r="D228">
        <v>98.391365050000005</v>
      </c>
      <c r="E228">
        <v>98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</row>
    <row r="229" spans="1:12" x14ac:dyDescent="0.3">
      <c r="A229" t="s">
        <v>330</v>
      </c>
      <c r="B229">
        <v>92.699996949999999</v>
      </c>
      <c r="C229">
        <v>91.514724729999998</v>
      </c>
      <c r="D229">
        <v>90.793189999999996</v>
      </c>
      <c r="E229">
        <v>90.1493988</v>
      </c>
      <c r="F229">
        <v>89.975494380000001</v>
      </c>
      <c r="G229">
        <v>89.816429139999997</v>
      </c>
      <c r="H229">
        <v>89.669235229999998</v>
      </c>
      <c r="I229">
        <v>89.530944820000002</v>
      </c>
      <c r="J229">
        <v>86</v>
      </c>
      <c r="K229">
        <v>89.269210819999998</v>
      </c>
      <c r="L229">
        <v>89.140319820000002</v>
      </c>
    </row>
    <row r="230" spans="1:12" x14ac:dyDescent="0.3">
      <c r="A230" t="s">
        <v>331</v>
      </c>
      <c r="B230">
        <v>100</v>
      </c>
      <c r="C230">
        <v>100</v>
      </c>
      <c r="D230">
        <v>93.099998470000003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99.400001529999997</v>
      </c>
    </row>
    <row r="231" spans="1:12" x14ac:dyDescent="0.3">
      <c r="A231" t="s">
        <v>332</v>
      </c>
      <c r="B231">
        <v>6.4000000950000002</v>
      </c>
      <c r="C231">
        <v>8.9799995419999998</v>
      </c>
      <c r="D231">
        <v>7.8354058269999998</v>
      </c>
      <c r="E231">
        <v>8.1265583039999996</v>
      </c>
      <c r="F231">
        <v>8.4056854249999997</v>
      </c>
      <c r="G231">
        <v>7.6999998090000004</v>
      </c>
      <c r="H231">
        <v>9.2638473510000008</v>
      </c>
      <c r="I231">
        <v>10.899999619999999</v>
      </c>
      <c r="J231">
        <v>10.11404037</v>
      </c>
      <c r="K231">
        <v>8.3999996190000008</v>
      </c>
      <c r="L231">
        <v>11.080117230000001</v>
      </c>
    </row>
    <row r="232" spans="1:12" x14ac:dyDescent="0.3">
      <c r="A232" t="s">
        <v>333</v>
      </c>
      <c r="B232">
        <v>95.880922560000002</v>
      </c>
      <c r="C232">
        <v>96.526207979999995</v>
      </c>
      <c r="D232">
        <v>96.784460249999995</v>
      </c>
      <c r="E232">
        <v>96.986373799999996</v>
      </c>
      <c r="F232">
        <v>97.098176159999994</v>
      </c>
      <c r="G232">
        <v>97.485721659999996</v>
      </c>
      <c r="H232">
        <v>97.56669522</v>
      </c>
      <c r="I232">
        <v>98.273418289999995</v>
      </c>
      <c r="J232">
        <v>98.265316960000007</v>
      </c>
      <c r="K232">
        <v>98.442273819999997</v>
      </c>
      <c r="L232">
        <v>98.364339810000004</v>
      </c>
    </row>
    <row r="233" spans="1:12" x14ac:dyDescent="0.3">
      <c r="A233" t="s">
        <v>334</v>
      </c>
      <c r="B233">
        <v>99.948116310000003</v>
      </c>
      <c r="C233">
        <v>99.935185829999995</v>
      </c>
      <c r="D233">
        <v>99.961979619999994</v>
      </c>
      <c r="E233">
        <v>99.954281330000001</v>
      </c>
      <c r="F233">
        <v>99.965572929999993</v>
      </c>
      <c r="G233">
        <v>98.507079309999995</v>
      </c>
      <c r="H233">
        <v>99.939143819999998</v>
      </c>
      <c r="I233">
        <v>99.982819419999998</v>
      </c>
      <c r="J233">
        <v>99.983636050000001</v>
      </c>
      <c r="K233">
        <v>99.986514330000006</v>
      </c>
      <c r="L233">
        <v>99.990637599999999</v>
      </c>
    </row>
    <row r="234" spans="1:12" x14ac:dyDescent="0.3">
      <c r="A234" t="s">
        <v>335</v>
      </c>
      <c r="B234">
        <v>30.791744229999999</v>
      </c>
      <c r="C234">
        <v>39.700000760000002</v>
      </c>
      <c r="D234">
        <v>38.998062130000001</v>
      </c>
      <c r="E234">
        <v>40.831367489999998</v>
      </c>
      <c r="F234">
        <v>45.700000760000002</v>
      </c>
      <c r="G234">
        <v>44.647590639999997</v>
      </c>
      <c r="H234">
        <v>46.765010830000001</v>
      </c>
      <c r="I234">
        <v>48</v>
      </c>
      <c r="J234">
        <v>50</v>
      </c>
      <c r="K234">
        <v>52.363109590000001</v>
      </c>
      <c r="L234">
        <v>53.997432709999998</v>
      </c>
    </row>
    <row r="235" spans="1:12" x14ac:dyDescent="0.3">
      <c r="A235" t="s">
        <v>336</v>
      </c>
      <c r="B235">
        <v>99.699996949999999</v>
      </c>
      <c r="C235">
        <v>99.351837160000002</v>
      </c>
      <c r="D235">
        <v>99.108627319999997</v>
      </c>
      <c r="E235">
        <v>99.440574650000002</v>
      </c>
      <c r="F235">
        <v>99.461944579999994</v>
      </c>
      <c r="G235">
        <v>99.599998470000003</v>
      </c>
      <c r="H235">
        <v>99.849960330000002</v>
      </c>
      <c r="I235">
        <v>99.900001529999997</v>
      </c>
      <c r="J235">
        <v>99.819999690000003</v>
      </c>
      <c r="K235">
        <v>99.900001529999997</v>
      </c>
      <c r="L235">
        <v>100</v>
      </c>
    </row>
    <row r="236" spans="1:12" x14ac:dyDescent="0.3">
      <c r="A236" t="s">
        <v>337</v>
      </c>
      <c r="B236">
        <v>98.671501160000005</v>
      </c>
      <c r="C236">
        <v>98.716857910000002</v>
      </c>
      <c r="D236">
        <v>99.099998470000003</v>
      </c>
      <c r="E236">
        <v>98.863548280000003</v>
      </c>
      <c r="F236">
        <v>98.964622500000004</v>
      </c>
      <c r="G236">
        <v>98</v>
      </c>
      <c r="H236">
        <v>99.208312989999996</v>
      </c>
      <c r="I236">
        <v>99.300003050000001</v>
      </c>
      <c r="J236">
        <v>99.300003050000001</v>
      </c>
      <c r="K236">
        <v>99.633209230000006</v>
      </c>
      <c r="L236">
        <v>99.779296880000004</v>
      </c>
    </row>
    <row r="237" spans="1:12" x14ac:dyDescent="0.3">
      <c r="A237" t="s">
        <v>338</v>
      </c>
      <c r="B237">
        <v>100</v>
      </c>
      <c r="C237">
        <v>99.877410889999993</v>
      </c>
      <c r="D237">
        <v>99.895835880000007</v>
      </c>
      <c r="E237">
        <v>99.912094120000006</v>
      </c>
      <c r="F237">
        <v>99.935104370000005</v>
      </c>
      <c r="G237">
        <v>100</v>
      </c>
      <c r="H237">
        <v>99.989898679999996</v>
      </c>
      <c r="I237">
        <v>99.996246339999999</v>
      </c>
      <c r="J237">
        <v>100</v>
      </c>
      <c r="K237">
        <v>99.900001529999997</v>
      </c>
      <c r="L237">
        <v>100</v>
      </c>
    </row>
    <row r="238" spans="1:12" x14ac:dyDescent="0.3">
      <c r="A238" t="s">
        <v>339</v>
      </c>
      <c r="B238">
        <v>95.788483330000005</v>
      </c>
      <c r="C238">
        <v>96.119305049999994</v>
      </c>
      <c r="D238">
        <v>96.506706159999993</v>
      </c>
      <c r="E238">
        <v>96.789631600000007</v>
      </c>
      <c r="F238">
        <v>96.980736519999994</v>
      </c>
      <c r="G238">
        <v>97.234049870000007</v>
      </c>
      <c r="H238">
        <v>97.437646569999998</v>
      </c>
      <c r="I238">
        <v>97.690869579999998</v>
      </c>
      <c r="J238">
        <v>97.755420000000001</v>
      </c>
      <c r="K238">
        <v>98.049907340000004</v>
      </c>
      <c r="L238">
        <v>98.479159989999999</v>
      </c>
    </row>
    <row r="239" spans="1:12" x14ac:dyDescent="0.3">
      <c r="A239" t="s">
        <v>340</v>
      </c>
      <c r="B239">
        <v>38</v>
      </c>
      <c r="C239">
        <v>52.657367710000003</v>
      </c>
      <c r="D239">
        <v>55.899955749999997</v>
      </c>
      <c r="E239">
        <v>59.162376399999999</v>
      </c>
      <c r="F239">
        <v>62.442607879999997</v>
      </c>
      <c r="G239">
        <v>67.281532290000001</v>
      </c>
      <c r="H239">
        <v>76.5</v>
      </c>
      <c r="I239">
        <v>79.778961179999996</v>
      </c>
      <c r="J239">
        <v>85.381401060000002</v>
      </c>
      <c r="K239">
        <v>90.798652649999994</v>
      </c>
      <c r="L239">
        <v>96.123313899999999</v>
      </c>
    </row>
    <row r="240" spans="1:12" x14ac:dyDescent="0.3">
      <c r="A240" t="s">
        <v>341</v>
      </c>
      <c r="B240">
        <v>95.009500779999996</v>
      </c>
      <c r="C240">
        <v>95.060842190000002</v>
      </c>
      <c r="D240">
        <v>94.561413389999998</v>
      </c>
      <c r="E240">
        <v>96.550724869999996</v>
      </c>
      <c r="F240">
        <v>95.359168319999995</v>
      </c>
      <c r="G240">
        <v>95.883831349999994</v>
      </c>
      <c r="H240">
        <v>96.250428889999995</v>
      </c>
      <c r="I240">
        <v>97.267372409999993</v>
      </c>
      <c r="J240">
        <v>95.589649609999995</v>
      </c>
      <c r="K240">
        <v>96.713127049999997</v>
      </c>
      <c r="L240">
        <v>96.861385310000003</v>
      </c>
    </row>
    <row r="241" spans="1:12" x14ac:dyDescent="0.3">
      <c r="A241" t="s">
        <v>342</v>
      </c>
      <c r="B241">
        <v>92.676719669999997</v>
      </c>
      <c r="C241">
        <v>92.175453189999999</v>
      </c>
      <c r="D241">
        <v>92.800003050000001</v>
      </c>
      <c r="E241">
        <v>94.983665470000005</v>
      </c>
      <c r="F241">
        <v>95.789703369999998</v>
      </c>
      <c r="G241">
        <v>100</v>
      </c>
      <c r="H241">
        <v>97.019996640000002</v>
      </c>
      <c r="I241">
        <v>98.361572269999996</v>
      </c>
      <c r="J241">
        <v>99.132568359999993</v>
      </c>
      <c r="K241">
        <v>98.400001529999997</v>
      </c>
      <c r="L241">
        <v>100</v>
      </c>
    </row>
    <row r="242" spans="1:12" x14ac:dyDescent="0.3">
      <c r="A242" t="s">
        <v>343</v>
      </c>
      <c r="B242">
        <v>73.189451439999999</v>
      </c>
      <c r="C242">
        <v>67.053616259999998</v>
      </c>
      <c r="D242">
        <v>77.489389860000003</v>
      </c>
      <c r="E242">
        <v>78.714073650000003</v>
      </c>
      <c r="F242">
        <v>80.759844920000006</v>
      </c>
      <c r="G242">
        <v>84.608987600000006</v>
      </c>
      <c r="H242">
        <v>86.299128120000006</v>
      </c>
      <c r="I242">
        <v>89.399935029999995</v>
      </c>
      <c r="J242">
        <v>92.71301579</v>
      </c>
      <c r="K242">
        <v>94.043640379999999</v>
      </c>
      <c r="L242">
        <v>95.784289430000001</v>
      </c>
    </row>
    <row r="243" spans="1:12" x14ac:dyDescent="0.3">
      <c r="A243" t="s">
        <v>344</v>
      </c>
      <c r="B243">
        <v>33.30252213</v>
      </c>
      <c r="C243">
        <v>35.876258280000002</v>
      </c>
      <c r="D243">
        <v>36.81615523</v>
      </c>
      <c r="E243">
        <v>37.947941720000003</v>
      </c>
      <c r="F243">
        <v>38.293462779999999</v>
      </c>
      <c r="G243">
        <v>39.073747060000002</v>
      </c>
      <c r="H243">
        <v>43.751286989999997</v>
      </c>
      <c r="I243">
        <v>43.73162988</v>
      </c>
      <c r="J243">
        <v>46.370672239999998</v>
      </c>
      <c r="K243">
        <v>47.104772400000002</v>
      </c>
      <c r="L243">
        <v>48.351078790000003</v>
      </c>
    </row>
    <row r="244" spans="1:12" x14ac:dyDescent="0.3">
      <c r="A244" t="s">
        <v>345</v>
      </c>
      <c r="B244">
        <v>100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</row>
    <row r="245" spans="1:12" x14ac:dyDescent="0.3">
      <c r="A245" t="s">
        <v>346</v>
      </c>
      <c r="B245">
        <v>99.5</v>
      </c>
      <c r="C245">
        <v>99.5</v>
      </c>
      <c r="D245">
        <v>99.5</v>
      </c>
      <c r="E245">
        <v>99.699996949999999</v>
      </c>
      <c r="F245">
        <v>99.800003050000001</v>
      </c>
      <c r="G245">
        <v>99.900001529999997</v>
      </c>
      <c r="H245">
        <v>100</v>
      </c>
      <c r="I245">
        <v>100</v>
      </c>
      <c r="J245">
        <v>99.800003050000001</v>
      </c>
      <c r="K245">
        <v>100</v>
      </c>
      <c r="L245">
        <v>100</v>
      </c>
    </row>
    <row r="246" spans="1:12" x14ac:dyDescent="0.3">
      <c r="A246" t="s">
        <v>347</v>
      </c>
      <c r="B246">
        <v>100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100</v>
      </c>
      <c r="I246">
        <v>100</v>
      </c>
      <c r="J246">
        <v>100</v>
      </c>
      <c r="K246">
        <v>100</v>
      </c>
      <c r="L246">
        <v>100</v>
      </c>
    </row>
    <row r="247" spans="1:12" x14ac:dyDescent="0.3">
      <c r="A247" t="s">
        <v>348</v>
      </c>
      <c r="B247">
        <v>96.630271910000005</v>
      </c>
      <c r="C247">
        <v>96.870750430000001</v>
      </c>
      <c r="D247">
        <v>97.671775819999993</v>
      </c>
      <c r="E247">
        <v>97.407676699999996</v>
      </c>
      <c r="F247">
        <v>97.703857420000006</v>
      </c>
      <c r="G247">
        <v>98.014884949999995</v>
      </c>
      <c r="H247">
        <v>97.300003050000001</v>
      </c>
      <c r="I247">
        <v>98.853836060000006</v>
      </c>
      <c r="J247">
        <v>99.065383909999994</v>
      </c>
      <c r="K247">
        <v>99.699996949999999</v>
      </c>
      <c r="L247">
        <v>99.68923187</v>
      </c>
    </row>
    <row r="248" spans="1:12" x14ac:dyDescent="0.3">
      <c r="A248" t="s">
        <v>349</v>
      </c>
      <c r="B248">
        <v>14.80000019</v>
      </c>
      <c r="C248">
        <v>14.19999981</v>
      </c>
      <c r="D248">
        <v>15.30000019</v>
      </c>
      <c r="E248">
        <v>16.399999619999999</v>
      </c>
      <c r="F248">
        <v>23.5</v>
      </c>
      <c r="G248">
        <v>26.170637129999999</v>
      </c>
      <c r="H248">
        <v>32.799999239999998</v>
      </c>
      <c r="I248">
        <v>32.251174929999998</v>
      </c>
      <c r="J248">
        <v>35.048023219999997</v>
      </c>
      <c r="K248">
        <v>37.659687040000001</v>
      </c>
      <c r="L248">
        <v>39.900001529999997</v>
      </c>
    </row>
    <row r="249" spans="1:12" x14ac:dyDescent="0.3">
      <c r="A249" t="s">
        <v>350</v>
      </c>
      <c r="B249">
        <v>12.100000380000001</v>
      </c>
      <c r="C249">
        <v>14.600000380000001</v>
      </c>
      <c r="D249">
        <v>20.319271090000001</v>
      </c>
      <c r="E249">
        <v>13.899999619999999</v>
      </c>
      <c r="F249">
        <v>20.399999619999999</v>
      </c>
      <c r="G249">
        <v>18.5</v>
      </c>
      <c r="H249">
        <v>26.700000760000002</v>
      </c>
      <c r="I249">
        <v>32.521152499999999</v>
      </c>
      <c r="J249">
        <v>41.91999817</v>
      </c>
      <c r="K249">
        <v>41.299999239999998</v>
      </c>
      <c r="L249">
        <v>42.074417109999999</v>
      </c>
    </row>
    <row r="250" spans="1:12" x14ac:dyDescent="0.3">
      <c r="A250" t="s">
        <v>351</v>
      </c>
      <c r="B250">
        <v>100</v>
      </c>
      <c r="C250">
        <v>100</v>
      </c>
      <c r="D250">
        <v>99.867492679999998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</row>
    <row r="251" spans="1:12" x14ac:dyDescent="0.3">
      <c r="A251" t="s">
        <v>352</v>
      </c>
      <c r="B251">
        <v>98.6880606</v>
      </c>
      <c r="C251">
        <v>98.833674860000002</v>
      </c>
      <c r="D251">
        <v>99.018531050000007</v>
      </c>
      <c r="E251">
        <v>99.083305559999999</v>
      </c>
      <c r="F251">
        <v>99.123744369999997</v>
      </c>
      <c r="G251">
        <v>98.897991070000003</v>
      </c>
      <c r="H251">
        <v>99.177053729999997</v>
      </c>
      <c r="I251">
        <v>99.265758529999999</v>
      </c>
      <c r="J251">
        <v>99.238073119999996</v>
      </c>
      <c r="K251">
        <v>99.311478530000002</v>
      </c>
      <c r="L251">
        <v>99.376110699999998</v>
      </c>
    </row>
    <row r="252" spans="1:12" x14ac:dyDescent="0.3">
      <c r="A252" t="s">
        <v>353</v>
      </c>
      <c r="B252">
        <v>99.300003050000001</v>
      </c>
      <c r="C252">
        <v>99.16999817</v>
      </c>
      <c r="D252">
        <v>99.599998470000003</v>
      </c>
      <c r="E252">
        <v>99.611808780000004</v>
      </c>
      <c r="F252">
        <v>99.657081599999998</v>
      </c>
      <c r="G252">
        <v>99.709480290000002</v>
      </c>
      <c r="H252">
        <v>99.699996949999999</v>
      </c>
      <c r="I252">
        <v>99.800003050000001</v>
      </c>
      <c r="J252">
        <v>99.800003050000001</v>
      </c>
      <c r="K252">
        <v>99.900001529999997</v>
      </c>
      <c r="L252">
        <v>100</v>
      </c>
    </row>
    <row r="253" spans="1:12" x14ac:dyDescent="0.3">
      <c r="A253" t="s">
        <v>354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</row>
    <row r="254" spans="1:12" x14ac:dyDescent="0.3">
      <c r="A254" t="s">
        <v>355</v>
      </c>
      <c r="B254">
        <v>99.912887569999995</v>
      </c>
      <c r="C254">
        <v>99.961441039999997</v>
      </c>
      <c r="D254">
        <v>99.98982239</v>
      </c>
      <c r="E254">
        <v>99.998870850000003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100</v>
      </c>
    </row>
    <row r="255" spans="1:12" x14ac:dyDescent="0.3">
      <c r="A255" t="s">
        <v>356</v>
      </c>
      <c r="B255">
        <v>92.799560549999995</v>
      </c>
      <c r="C255">
        <v>94.131858829999999</v>
      </c>
      <c r="D255">
        <v>95.482223509999997</v>
      </c>
      <c r="E255">
        <v>96.852416989999995</v>
      </c>
      <c r="F255">
        <v>98.240425110000004</v>
      </c>
      <c r="G255">
        <v>99.643272400000001</v>
      </c>
      <c r="H255">
        <v>99.800842290000006</v>
      </c>
      <c r="I255">
        <v>99.977706909999995</v>
      </c>
      <c r="J255">
        <v>100</v>
      </c>
      <c r="K255">
        <v>100</v>
      </c>
      <c r="L255">
        <v>100</v>
      </c>
    </row>
    <row r="256" spans="1:12" x14ac:dyDescent="0.3">
      <c r="A256" t="s">
        <v>357</v>
      </c>
      <c r="B256">
        <v>99.054946900000004</v>
      </c>
      <c r="C256">
        <v>98.839996339999999</v>
      </c>
      <c r="D256">
        <v>99.208076480000003</v>
      </c>
      <c r="E256">
        <v>99.257217409999996</v>
      </c>
      <c r="F256">
        <v>100</v>
      </c>
      <c r="G256">
        <v>100</v>
      </c>
      <c r="H256">
        <v>99.400001529999997</v>
      </c>
      <c r="I256">
        <v>99.199996949999999</v>
      </c>
      <c r="J256">
        <v>99.911201480000003</v>
      </c>
      <c r="K256">
        <v>99.976814270000006</v>
      </c>
      <c r="L256">
        <v>100</v>
      </c>
    </row>
    <row r="257" spans="1:12" x14ac:dyDescent="0.3">
      <c r="A257" t="s">
        <v>358</v>
      </c>
      <c r="B257">
        <v>98.300003050000001</v>
      </c>
      <c r="C257">
        <v>98.657295230000003</v>
      </c>
      <c r="D257">
        <v>98.85016632</v>
      </c>
      <c r="E257">
        <v>99.021110530000001</v>
      </c>
      <c r="F257">
        <v>99.18002319</v>
      </c>
      <c r="G257">
        <v>100</v>
      </c>
      <c r="H257">
        <v>100</v>
      </c>
      <c r="I257">
        <v>100</v>
      </c>
      <c r="J257">
        <v>100</v>
      </c>
      <c r="K257">
        <v>100</v>
      </c>
      <c r="L257">
        <v>100</v>
      </c>
    </row>
    <row r="258" spans="1:12" x14ac:dyDescent="0.3">
      <c r="A258" t="s">
        <v>359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</row>
    <row r="259" spans="1:12" x14ac:dyDescent="0.3">
      <c r="A259" t="s">
        <v>360</v>
      </c>
      <c r="B259">
        <v>97.430000309999997</v>
      </c>
      <c r="C259">
        <v>99</v>
      </c>
      <c r="D259">
        <v>97.88999939</v>
      </c>
      <c r="E259">
        <v>98.554962160000002</v>
      </c>
      <c r="F259">
        <v>99.199996949999999</v>
      </c>
      <c r="G259">
        <v>99.821304319999996</v>
      </c>
      <c r="H259">
        <v>99.199996949999999</v>
      </c>
      <c r="I259">
        <v>100</v>
      </c>
      <c r="J259">
        <v>100</v>
      </c>
      <c r="K259">
        <v>99.400001529999997</v>
      </c>
      <c r="L259">
        <v>100</v>
      </c>
    </row>
    <row r="260" spans="1:12" x14ac:dyDescent="0.3">
      <c r="A260" t="s">
        <v>361</v>
      </c>
      <c r="B260">
        <v>44.099998470000003</v>
      </c>
      <c r="C260">
        <v>41.935329439999997</v>
      </c>
      <c r="D260">
        <v>43.789527890000002</v>
      </c>
      <c r="E260">
        <v>31.700000760000002</v>
      </c>
      <c r="F260">
        <v>49.057445530000003</v>
      </c>
      <c r="G260">
        <v>52.20510101</v>
      </c>
      <c r="H260">
        <v>57.819999690000003</v>
      </c>
      <c r="I260">
        <v>62.799999239999998</v>
      </c>
      <c r="J260">
        <v>61.75451279</v>
      </c>
      <c r="K260">
        <v>64.590187069999999</v>
      </c>
      <c r="L260">
        <v>67.333267210000002</v>
      </c>
    </row>
    <row r="261" spans="1:12" x14ac:dyDescent="0.3">
      <c r="A261" t="s">
        <v>362</v>
      </c>
      <c r="B261">
        <v>83.222540789999996</v>
      </c>
      <c r="C261">
        <v>82.166583470000006</v>
      </c>
      <c r="D261">
        <v>84.740710190000001</v>
      </c>
      <c r="E261">
        <v>85.240416339999996</v>
      </c>
      <c r="F261">
        <v>85.648321179999996</v>
      </c>
      <c r="G261">
        <v>86.619519850000003</v>
      </c>
      <c r="H261">
        <v>87.696763529999998</v>
      </c>
      <c r="I261">
        <v>88.593766099999996</v>
      </c>
      <c r="J261">
        <v>89.566141349999995</v>
      </c>
      <c r="K261">
        <v>90.011304229999993</v>
      </c>
      <c r="L261">
        <v>90.521037530000001</v>
      </c>
    </row>
    <row r="262" spans="1:12" x14ac:dyDescent="0.3">
      <c r="A262" t="s">
        <v>363</v>
      </c>
      <c r="B262">
        <v>96.361053470000002</v>
      </c>
      <c r="C262">
        <v>96.668571470000003</v>
      </c>
      <c r="D262">
        <v>96.826934809999997</v>
      </c>
      <c r="E262">
        <v>97.416534420000005</v>
      </c>
      <c r="F262">
        <v>97.900001529999997</v>
      </c>
      <c r="G262">
        <v>99.067085270000007</v>
      </c>
      <c r="H262">
        <v>99.623291019999996</v>
      </c>
      <c r="I262">
        <v>96.800003050000001</v>
      </c>
      <c r="J262">
        <v>99.994476320000004</v>
      </c>
      <c r="K262">
        <v>99.199996949999999</v>
      </c>
      <c r="L262">
        <v>100</v>
      </c>
    </row>
    <row r="263" spans="1:12" x14ac:dyDescent="0.3">
      <c r="A263" t="s">
        <v>364</v>
      </c>
      <c r="B263">
        <v>99</v>
      </c>
      <c r="D263">
        <v>99.75</v>
      </c>
      <c r="E263">
        <v>99.75</v>
      </c>
      <c r="F263">
        <v>99.680000309999997</v>
      </c>
      <c r="G263">
        <v>99.86000061</v>
      </c>
      <c r="H263">
        <v>99.800003050000001</v>
      </c>
      <c r="I263">
        <v>99.800003050000001</v>
      </c>
      <c r="K263">
        <v>100</v>
      </c>
    </row>
    <row r="264" spans="1:12" x14ac:dyDescent="0.3">
      <c r="A264" t="s">
        <v>365</v>
      </c>
      <c r="B264">
        <v>60.675193790000002</v>
      </c>
      <c r="C264">
        <v>61.864505770000001</v>
      </c>
      <c r="D264">
        <v>52.409999849999998</v>
      </c>
      <c r="E264">
        <v>75.599998470000003</v>
      </c>
      <c r="F264">
        <v>66.099998470000003</v>
      </c>
      <c r="G264">
        <v>67.310928340000004</v>
      </c>
      <c r="H264">
        <v>68.859504700000002</v>
      </c>
      <c r="I264">
        <v>79.199996949999999</v>
      </c>
      <c r="J264">
        <v>62</v>
      </c>
      <c r="K264">
        <v>72.751075740000005</v>
      </c>
      <c r="L264">
        <v>73.757926940000004</v>
      </c>
    </row>
    <row r="265" spans="1:12" x14ac:dyDescent="0.3">
      <c r="A265" t="s">
        <v>366</v>
      </c>
      <c r="B265">
        <v>82.900001529999997</v>
      </c>
      <c r="C265">
        <v>83.599998470000003</v>
      </c>
      <c r="D265">
        <v>85.300003050000001</v>
      </c>
      <c r="E265">
        <v>85.199996949999999</v>
      </c>
      <c r="F265">
        <v>85.900001529999997</v>
      </c>
      <c r="G265">
        <v>85.300003050000001</v>
      </c>
      <c r="H265">
        <v>83.900001529999997</v>
      </c>
      <c r="I265">
        <v>84.400001529999997</v>
      </c>
      <c r="J265">
        <v>84.699996949999999</v>
      </c>
      <c r="K265">
        <v>85</v>
      </c>
      <c r="L265">
        <v>84.385536189999996</v>
      </c>
    </row>
    <row r="266" spans="1:12" x14ac:dyDescent="0.3">
      <c r="A266" t="s">
        <v>367</v>
      </c>
      <c r="B266">
        <v>22</v>
      </c>
      <c r="C266">
        <v>28.15900993</v>
      </c>
      <c r="D266">
        <v>29.012725830000001</v>
      </c>
      <c r="E266">
        <v>29.886272429999998</v>
      </c>
      <c r="F266">
        <v>27.899999619999999</v>
      </c>
      <c r="G266">
        <v>31.100000380000001</v>
      </c>
      <c r="H266">
        <v>35.425453189999999</v>
      </c>
      <c r="I266">
        <v>40.299999239999998</v>
      </c>
      <c r="J266">
        <v>40.317890169999998</v>
      </c>
      <c r="K266">
        <v>43</v>
      </c>
      <c r="L266">
        <v>44.524475099999997</v>
      </c>
    </row>
    <row r="267" spans="1:12" x14ac:dyDescent="0.3">
      <c r="A267" t="s">
        <v>368</v>
      </c>
      <c r="B267">
        <v>38.782550809999996</v>
      </c>
      <c r="C267">
        <v>36.900001529999997</v>
      </c>
      <c r="D267">
        <v>44</v>
      </c>
      <c r="E267">
        <v>40.498374939999998</v>
      </c>
      <c r="F267">
        <v>32.299999239999998</v>
      </c>
      <c r="G267">
        <v>33.700000760000002</v>
      </c>
      <c r="H267">
        <v>42.56172943</v>
      </c>
      <c r="I267">
        <v>44.178634639999999</v>
      </c>
      <c r="J267">
        <v>45.572647089999997</v>
      </c>
      <c r="K267">
        <v>46.781475069999999</v>
      </c>
      <c r="L267">
        <v>52.747669219999999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EB2F-9C5E-474D-BB14-97029B96A452}">
  <dimension ref="A1:AH104"/>
  <sheetViews>
    <sheetView topLeftCell="Q94" workbookViewId="0">
      <selection activeCell="T109" sqref="T109"/>
    </sheetView>
  </sheetViews>
  <sheetFormatPr defaultRowHeight="14.4" x14ac:dyDescent="0.3"/>
  <cols>
    <col min="1" max="1" width="14.6640625" customWidth="1"/>
    <col min="2" max="2" width="11.33203125" bestFit="1" customWidth="1"/>
    <col min="3" max="3" width="14.77734375" bestFit="1" customWidth="1"/>
    <col min="4" max="4" width="13.21875" customWidth="1"/>
    <col min="5" max="5" width="12.33203125" customWidth="1"/>
    <col min="6" max="6" width="11.44140625" customWidth="1"/>
    <col min="8" max="8" width="17.44140625" customWidth="1"/>
    <col min="9" max="9" width="13.33203125" customWidth="1"/>
    <col min="10" max="10" width="16.109375" customWidth="1"/>
    <col min="12" max="12" width="9.5546875" customWidth="1"/>
    <col min="13" max="13" width="13" customWidth="1"/>
    <col min="16" max="16" width="14.33203125" customWidth="1"/>
    <col min="19" max="19" width="12.77734375" customWidth="1"/>
    <col min="21" max="21" width="11.77734375" customWidth="1"/>
    <col min="22" max="22" width="13.44140625" customWidth="1"/>
    <col min="23" max="23" width="9.6640625" customWidth="1"/>
    <col min="26" max="26" width="9.44140625" customWidth="1"/>
    <col min="27" max="27" width="9.109375" customWidth="1"/>
    <col min="28" max="28" width="13" customWidth="1"/>
    <col min="29" max="29" width="12.77734375" customWidth="1"/>
    <col min="30" max="30" width="10.109375" customWidth="1"/>
    <col min="32" max="32" width="9.109375" customWidth="1"/>
    <col min="34" max="34" width="11.21875" customWidth="1"/>
  </cols>
  <sheetData>
    <row r="1" spans="1:34" x14ac:dyDescent="0.3">
      <c r="A1" t="s">
        <v>382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22" t="s">
        <v>14</v>
      </c>
      <c r="Q1" s="22" t="s">
        <v>15</v>
      </c>
      <c r="R1" s="22" t="s">
        <v>16</v>
      </c>
      <c r="S1" s="22" t="s">
        <v>17</v>
      </c>
      <c r="T1" s="22" t="s">
        <v>18</v>
      </c>
      <c r="U1" s="22" t="s">
        <v>19</v>
      </c>
      <c r="V1" s="22" t="s">
        <v>20</v>
      </c>
      <c r="W1" s="22" t="s">
        <v>21</v>
      </c>
      <c r="X1" s="22" t="s">
        <v>22</v>
      </c>
      <c r="Y1" s="22" t="s">
        <v>23</v>
      </c>
      <c r="Z1" s="22" t="s">
        <v>24</v>
      </c>
      <c r="AA1" s="22" t="s">
        <v>25</v>
      </c>
      <c r="AB1" s="22" t="s">
        <v>26</v>
      </c>
      <c r="AC1" s="22" t="s">
        <v>27</v>
      </c>
      <c r="AD1" s="22" t="s">
        <v>28</v>
      </c>
      <c r="AE1" s="22" t="s">
        <v>29</v>
      </c>
      <c r="AF1" s="22" t="s">
        <v>30</v>
      </c>
      <c r="AG1" s="22" t="s">
        <v>31</v>
      </c>
      <c r="AH1" s="22" t="s">
        <v>32</v>
      </c>
    </row>
    <row r="2" spans="1:34" x14ac:dyDescent="0.3">
      <c r="A2">
        <v>2010</v>
      </c>
      <c r="B2" s="3">
        <v>0.45400000000000001</v>
      </c>
      <c r="C2" s="1"/>
      <c r="D2" s="1"/>
      <c r="E2" s="1"/>
      <c r="F2" s="3">
        <v>0.01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>
        <v>3.0000000000000001E-3</v>
      </c>
      <c r="T2" s="3">
        <v>0.45400000000000001</v>
      </c>
      <c r="U2" s="1"/>
      <c r="V2" s="1"/>
      <c r="W2" s="1"/>
      <c r="X2" s="1"/>
      <c r="Y2" s="1"/>
      <c r="Z2" s="1"/>
      <c r="AA2" s="3">
        <v>0.37</v>
      </c>
      <c r="AB2" s="1"/>
      <c r="AC2" s="1"/>
      <c r="AD2" s="1"/>
      <c r="AE2" s="1"/>
      <c r="AF2" s="3">
        <v>0.85</v>
      </c>
      <c r="AG2" s="1"/>
      <c r="AH2" s="5"/>
    </row>
    <row r="3" spans="1:34" x14ac:dyDescent="0.3">
      <c r="A3">
        <v>2011</v>
      </c>
      <c r="B3" s="18">
        <v>0.45400000000000001</v>
      </c>
      <c r="C3" s="19"/>
      <c r="D3" s="19"/>
      <c r="E3" s="19"/>
      <c r="F3" s="18">
        <v>0.01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8">
        <v>3.0000000000000001E-3</v>
      </c>
      <c r="T3" s="18">
        <v>0.87</v>
      </c>
      <c r="U3" s="19"/>
      <c r="V3" s="19"/>
      <c r="W3" s="18">
        <v>0.20200000000000001</v>
      </c>
      <c r="X3" s="19"/>
      <c r="Y3" s="19"/>
      <c r="Z3" s="19"/>
      <c r="AA3" s="18">
        <v>0.37</v>
      </c>
      <c r="AB3" s="19"/>
      <c r="AC3" s="18">
        <v>1E-3</v>
      </c>
      <c r="AD3" s="19"/>
      <c r="AE3" s="19"/>
      <c r="AF3" s="18">
        <v>0.85099999999999998</v>
      </c>
      <c r="AG3" s="19"/>
      <c r="AH3" s="20"/>
    </row>
    <row r="4" spans="1:34" x14ac:dyDescent="0.3">
      <c r="A4">
        <v>2012</v>
      </c>
      <c r="B4" s="18">
        <v>0.45400000000000001</v>
      </c>
      <c r="C4" s="19"/>
      <c r="D4" s="19"/>
      <c r="E4" s="18">
        <v>2.7E-2</v>
      </c>
      <c r="F4" s="18">
        <v>0.01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8">
        <v>0.71399999999999997</v>
      </c>
      <c r="R4" s="19"/>
      <c r="S4" s="18">
        <v>3.0000000000000001E-3</v>
      </c>
      <c r="T4" s="18">
        <v>1.1719999999999999</v>
      </c>
      <c r="U4" s="19"/>
      <c r="V4" s="19"/>
      <c r="W4" s="18">
        <v>0.20200000000000001</v>
      </c>
      <c r="X4" s="19"/>
      <c r="Y4" s="18">
        <v>8.3000000000000004E-2</v>
      </c>
      <c r="Z4" s="19"/>
      <c r="AA4" s="18">
        <v>1.089</v>
      </c>
      <c r="AB4" s="19"/>
      <c r="AC4" s="18">
        <v>1E-3</v>
      </c>
      <c r="AD4" s="19"/>
      <c r="AE4" s="19"/>
      <c r="AF4" s="18">
        <v>0.85099999999999998</v>
      </c>
      <c r="AG4" s="19"/>
      <c r="AH4" s="20"/>
    </row>
    <row r="5" spans="1:34" x14ac:dyDescent="0.3">
      <c r="A5">
        <v>2013</v>
      </c>
      <c r="B5" s="18">
        <v>0.45400000000000001</v>
      </c>
      <c r="C5" s="19"/>
      <c r="D5" s="19"/>
      <c r="E5" s="18">
        <v>2.7E-2</v>
      </c>
      <c r="F5" s="18">
        <v>0.01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8">
        <v>0.83399999999999996</v>
      </c>
      <c r="R5" s="19"/>
      <c r="S5" s="18">
        <v>3.0000000000000001E-3</v>
      </c>
      <c r="T5" s="18">
        <v>3.05</v>
      </c>
      <c r="U5" s="19"/>
      <c r="V5" s="18">
        <v>1.3240000000000001</v>
      </c>
      <c r="W5" s="18">
        <v>0.20200000000000001</v>
      </c>
      <c r="X5" s="19"/>
      <c r="Y5" s="18">
        <v>0.191</v>
      </c>
      <c r="Z5" s="19"/>
      <c r="AA5" s="18">
        <v>1.089</v>
      </c>
      <c r="AB5" s="18">
        <v>5.0000000000000001E-3</v>
      </c>
      <c r="AC5" s="18">
        <v>1E-3</v>
      </c>
      <c r="AD5" s="18">
        <v>3.3000000000000002E-2</v>
      </c>
      <c r="AE5" s="19"/>
      <c r="AF5" s="18">
        <v>0.85099999999999998</v>
      </c>
      <c r="AG5" s="19"/>
      <c r="AH5" s="20"/>
    </row>
    <row r="6" spans="1:34" x14ac:dyDescent="0.3">
      <c r="A6">
        <v>2014</v>
      </c>
      <c r="B6" s="4">
        <v>0.45400000000000001</v>
      </c>
      <c r="C6" s="1"/>
      <c r="D6" s="1"/>
      <c r="E6" s="4">
        <v>0.04</v>
      </c>
      <c r="F6" s="4">
        <v>0.01</v>
      </c>
      <c r="G6" s="1"/>
      <c r="H6" s="1"/>
      <c r="I6" s="1"/>
      <c r="J6" s="1"/>
      <c r="K6" s="1"/>
      <c r="L6" s="1"/>
      <c r="M6" s="1"/>
      <c r="N6" s="4">
        <v>1.2E-2</v>
      </c>
      <c r="O6" s="1"/>
      <c r="P6" s="1"/>
      <c r="Q6" s="4">
        <v>0.88400000000000001</v>
      </c>
      <c r="R6" s="1"/>
      <c r="S6" s="4">
        <v>3.0000000000000001E-3</v>
      </c>
      <c r="T6" s="4">
        <v>3.38</v>
      </c>
      <c r="U6" s="4">
        <v>0.13500000000000001</v>
      </c>
      <c r="V6" s="4">
        <v>1.331</v>
      </c>
      <c r="W6" s="4">
        <v>0.49399999999999999</v>
      </c>
      <c r="X6" s="4">
        <v>2.8000000000000001E-2</v>
      </c>
      <c r="Y6" s="4">
        <v>0.36</v>
      </c>
      <c r="Z6" s="1"/>
      <c r="AA6" s="4">
        <v>1.089</v>
      </c>
      <c r="AB6" s="4">
        <v>5.0000000000000001E-3</v>
      </c>
      <c r="AC6" s="4">
        <v>1E-3</v>
      </c>
      <c r="AD6" s="4">
        <v>0.107</v>
      </c>
      <c r="AE6" s="1"/>
      <c r="AF6" s="4">
        <v>1.478</v>
      </c>
      <c r="AG6" s="1"/>
      <c r="AH6" s="5"/>
    </row>
    <row r="7" spans="1:34" x14ac:dyDescent="0.3">
      <c r="A7">
        <v>2015</v>
      </c>
      <c r="B7" s="4">
        <v>49.1</v>
      </c>
      <c r="C7" s="4">
        <v>0.10199999999999999</v>
      </c>
      <c r="D7" s="1"/>
      <c r="E7" s="4">
        <v>0.14899999999999999</v>
      </c>
      <c r="F7" s="4">
        <v>8.2000000000000003E-2</v>
      </c>
      <c r="G7" s="4">
        <v>0.122</v>
      </c>
      <c r="H7" s="1"/>
      <c r="I7" s="4">
        <v>0.218</v>
      </c>
      <c r="J7" s="4">
        <v>10</v>
      </c>
      <c r="K7" s="1"/>
      <c r="L7" s="1"/>
      <c r="M7" s="4">
        <v>0.06</v>
      </c>
      <c r="N7" s="4">
        <v>1.2E-2</v>
      </c>
      <c r="O7" s="1"/>
      <c r="P7" s="1"/>
      <c r="Q7" s="4">
        <v>0.84899999999999998</v>
      </c>
      <c r="R7" s="1"/>
      <c r="S7" s="4">
        <v>0.14799999999999999</v>
      </c>
      <c r="T7" s="4">
        <v>4.2220000000000004</v>
      </c>
      <c r="U7" s="4">
        <v>0.13500000000000001</v>
      </c>
      <c r="V7" s="4">
        <v>1.331</v>
      </c>
      <c r="W7" s="4">
        <v>0.49399999999999999</v>
      </c>
      <c r="X7" s="4">
        <v>2.8000000000000001E-2</v>
      </c>
      <c r="Y7" s="4">
        <v>1.0429999999999999</v>
      </c>
      <c r="Z7" s="4">
        <v>3.3460000000000001</v>
      </c>
      <c r="AA7" s="4">
        <v>1.089</v>
      </c>
      <c r="AB7" s="4">
        <v>5.0000000000000001E-3</v>
      </c>
      <c r="AC7" s="4">
        <v>1E-3</v>
      </c>
      <c r="AD7" s="4">
        <v>0.14099999999999999</v>
      </c>
      <c r="AE7" s="1"/>
      <c r="AF7" s="4">
        <v>1.5649999999999999</v>
      </c>
      <c r="AG7" s="4">
        <v>1E-3</v>
      </c>
      <c r="AH7" s="5"/>
    </row>
    <row r="8" spans="1:34" x14ac:dyDescent="0.3">
      <c r="A8">
        <v>2016</v>
      </c>
      <c r="B8" s="4">
        <v>219.1</v>
      </c>
      <c r="C8" s="4">
        <v>0.70599999999999996</v>
      </c>
      <c r="D8" s="4">
        <v>8.5999999999999993E-2</v>
      </c>
      <c r="E8" s="4">
        <v>0.14899999999999999</v>
      </c>
      <c r="F8" s="4">
        <v>0.154</v>
      </c>
      <c r="G8" s="4">
        <v>0.122</v>
      </c>
      <c r="H8" s="1"/>
      <c r="I8" s="4">
        <v>0.218</v>
      </c>
      <c r="J8" s="4">
        <v>10</v>
      </c>
      <c r="K8" s="4">
        <v>0.35</v>
      </c>
      <c r="L8" s="1"/>
      <c r="M8" s="4">
        <v>0.06</v>
      </c>
      <c r="N8" s="4">
        <v>0.222</v>
      </c>
      <c r="O8" s="1"/>
      <c r="P8" s="4">
        <v>0.312</v>
      </c>
      <c r="Q8" s="4">
        <v>0.92800000000000005</v>
      </c>
      <c r="R8" s="1"/>
      <c r="S8" s="4">
        <v>0.14799999999999999</v>
      </c>
      <c r="T8" s="4">
        <v>4.3079999999999998</v>
      </c>
      <c r="U8" s="4">
        <v>0.153</v>
      </c>
      <c r="V8" s="4">
        <v>1.331</v>
      </c>
      <c r="W8" s="4">
        <v>0.49399999999999999</v>
      </c>
      <c r="X8" s="4">
        <v>2.8000000000000001E-2</v>
      </c>
      <c r="Y8" s="4">
        <v>1.212</v>
      </c>
      <c r="Z8" s="4">
        <v>3.3759999999999999</v>
      </c>
      <c r="AA8" s="4">
        <v>1.099</v>
      </c>
      <c r="AB8" s="4">
        <v>5.0000000000000001E-3</v>
      </c>
      <c r="AC8" s="4">
        <v>1E-3</v>
      </c>
      <c r="AD8" s="4">
        <v>0.24299999999999999</v>
      </c>
      <c r="AE8" s="1"/>
      <c r="AF8" s="4">
        <v>1.7949999999999999</v>
      </c>
      <c r="AG8" s="4">
        <v>1E-3</v>
      </c>
      <c r="AH8" s="4">
        <v>9.9000000000000005E-2</v>
      </c>
    </row>
    <row r="9" spans="1:34" x14ac:dyDescent="0.3">
      <c r="A9">
        <v>2017</v>
      </c>
      <c r="B9" s="18">
        <v>219.1</v>
      </c>
      <c r="C9" s="18">
        <v>0.70599999999999996</v>
      </c>
      <c r="D9" s="18">
        <v>0.13500000000000001</v>
      </c>
      <c r="E9" s="18">
        <v>0.14899999999999999</v>
      </c>
      <c r="F9" s="18">
        <v>11.430999999999999</v>
      </c>
      <c r="G9" s="18">
        <v>0.122</v>
      </c>
      <c r="H9" s="19"/>
      <c r="I9" s="18">
        <v>0.218</v>
      </c>
      <c r="J9" s="18">
        <v>10</v>
      </c>
      <c r="K9" s="18">
        <v>0.35</v>
      </c>
      <c r="L9" s="19"/>
      <c r="M9" s="18">
        <v>0.06</v>
      </c>
      <c r="N9" s="18">
        <v>0.51300000000000001</v>
      </c>
      <c r="O9" s="19"/>
      <c r="P9" s="18">
        <v>0.312</v>
      </c>
      <c r="Q9" s="18">
        <v>0.92800000000000005</v>
      </c>
      <c r="R9" s="18">
        <v>0.157</v>
      </c>
      <c r="S9" s="18">
        <v>0.28000000000000003</v>
      </c>
      <c r="T9" s="18">
        <v>5.6859999999999999</v>
      </c>
      <c r="U9" s="18">
        <v>0.153</v>
      </c>
      <c r="V9" s="18">
        <v>1.331</v>
      </c>
      <c r="W9" s="18">
        <v>0.49399999999999999</v>
      </c>
      <c r="X9" s="18">
        <v>9.7000000000000003E-2</v>
      </c>
      <c r="Y9" s="18">
        <v>2.0249999999999999</v>
      </c>
      <c r="Z9" s="18">
        <v>3.5049999999999999</v>
      </c>
      <c r="AA9" s="18">
        <v>1.099</v>
      </c>
      <c r="AB9" s="18">
        <v>0.19800000000000001</v>
      </c>
      <c r="AC9" s="18">
        <v>3.3000000000000002E-2</v>
      </c>
      <c r="AD9" s="18">
        <v>0.48799999999999999</v>
      </c>
      <c r="AE9" s="18">
        <v>0.4</v>
      </c>
      <c r="AF9" s="18">
        <v>1.8180000000000001</v>
      </c>
      <c r="AG9" s="18">
        <v>0.113</v>
      </c>
      <c r="AH9" s="18">
        <v>9.9000000000000005E-2</v>
      </c>
    </row>
    <row r="10" spans="1:34" x14ac:dyDescent="0.3">
      <c r="A10">
        <v>2018</v>
      </c>
      <c r="B10" s="18">
        <v>219.1</v>
      </c>
      <c r="C10" s="18">
        <v>0.746</v>
      </c>
      <c r="D10" s="18">
        <v>0.19500000000000001</v>
      </c>
      <c r="E10" s="18">
        <v>0.14899999999999999</v>
      </c>
      <c r="F10" s="18">
        <v>23.850999999999999</v>
      </c>
      <c r="G10" s="18">
        <v>0.122</v>
      </c>
      <c r="H10" s="18">
        <v>1.032</v>
      </c>
      <c r="I10" s="18">
        <v>0.218</v>
      </c>
      <c r="J10" s="18">
        <v>10.125</v>
      </c>
      <c r="K10" s="18">
        <v>2.6</v>
      </c>
      <c r="L10" s="18">
        <v>1.7999999999999999E-2</v>
      </c>
      <c r="M10" s="18">
        <v>0.06</v>
      </c>
      <c r="N10" s="18">
        <v>0.70499999999999996</v>
      </c>
      <c r="O10" s="19"/>
      <c r="P10" s="18">
        <v>0.92</v>
      </c>
      <c r="Q10" s="18">
        <v>0.95799999999999996</v>
      </c>
      <c r="R10" s="18">
        <v>0.254</v>
      </c>
      <c r="S10" s="18">
        <v>0.28000000000000003</v>
      </c>
      <c r="T10" s="18">
        <v>5.7969999999999997</v>
      </c>
      <c r="U10" s="18">
        <v>0.153</v>
      </c>
      <c r="V10" s="18">
        <v>1.331</v>
      </c>
      <c r="W10" s="18">
        <v>0.49399999999999999</v>
      </c>
      <c r="X10" s="18">
        <v>0.16500000000000001</v>
      </c>
      <c r="Y10" s="18">
        <v>2.1520000000000001</v>
      </c>
      <c r="Z10" s="18">
        <v>3.5049999999999999</v>
      </c>
      <c r="AA10" s="18">
        <v>2.0089999999999999</v>
      </c>
      <c r="AB10" s="18">
        <v>0.19800000000000001</v>
      </c>
      <c r="AC10" s="18">
        <v>3.3000000000000002E-2</v>
      </c>
      <c r="AD10" s="18">
        <v>0.48799999999999999</v>
      </c>
      <c r="AE10" s="18">
        <v>0.7</v>
      </c>
      <c r="AF10" s="18">
        <v>1.8180000000000001</v>
      </c>
      <c r="AG10" s="18">
        <v>0.113</v>
      </c>
      <c r="AH10" s="18">
        <v>9.9000000000000005E-2</v>
      </c>
    </row>
    <row r="11" spans="1:34" x14ac:dyDescent="0.3">
      <c r="A11">
        <v>2019</v>
      </c>
      <c r="B11" s="3">
        <v>219.1</v>
      </c>
      <c r="C11" s="3">
        <v>0.78600000000000003</v>
      </c>
      <c r="D11" s="3">
        <v>0.78300000000000003</v>
      </c>
      <c r="E11" s="3">
        <v>0.186</v>
      </c>
      <c r="F11" s="3">
        <v>23.850999999999999</v>
      </c>
      <c r="G11" s="3">
        <v>0.122</v>
      </c>
      <c r="H11" s="3">
        <v>1.1319999999999999</v>
      </c>
      <c r="I11" s="3">
        <v>0.218</v>
      </c>
      <c r="J11" s="3">
        <v>10.18</v>
      </c>
      <c r="K11" s="3">
        <v>2.6</v>
      </c>
      <c r="L11" s="3">
        <v>1.7999999999999999E-2</v>
      </c>
      <c r="M11" s="3">
        <v>0.06</v>
      </c>
      <c r="N11" s="3">
        <v>0.70499999999999996</v>
      </c>
      <c r="O11" s="3">
        <v>7.6999999999999999E-2</v>
      </c>
      <c r="P11" s="3">
        <v>0.92</v>
      </c>
      <c r="Q11" s="3">
        <v>1.754</v>
      </c>
      <c r="R11" s="3">
        <v>0.254</v>
      </c>
      <c r="S11" s="3">
        <v>0.46400000000000002</v>
      </c>
      <c r="T11" s="3">
        <v>5.9290000000000003</v>
      </c>
      <c r="U11" s="3">
        <v>0.153</v>
      </c>
      <c r="V11" s="3">
        <v>1.331</v>
      </c>
      <c r="W11" s="3">
        <v>0.49399999999999999</v>
      </c>
      <c r="X11" s="3">
        <v>0.16500000000000001</v>
      </c>
      <c r="Y11" s="3">
        <v>2.5379999999999998</v>
      </c>
      <c r="Z11" s="3">
        <v>3.605</v>
      </c>
      <c r="AA11" s="3">
        <v>2.0089999999999999</v>
      </c>
      <c r="AB11" s="3">
        <v>0.19800000000000001</v>
      </c>
      <c r="AC11" s="3">
        <v>3.3000000000000002E-2</v>
      </c>
      <c r="AD11" s="3">
        <v>0.48799999999999999</v>
      </c>
      <c r="AE11" s="3">
        <v>0.7</v>
      </c>
      <c r="AF11" s="3">
        <v>2.5179999999999998</v>
      </c>
      <c r="AG11" s="3">
        <v>0.185</v>
      </c>
      <c r="AH11" s="3">
        <v>9.9000000000000005E-2</v>
      </c>
    </row>
    <row r="12" spans="1:34" x14ac:dyDescent="0.3">
      <c r="D12" s="14"/>
      <c r="E12" s="15"/>
    </row>
    <row r="13" spans="1:34" x14ac:dyDescent="0.3">
      <c r="A13" t="s">
        <v>382</v>
      </c>
      <c r="B13" t="s">
        <v>163</v>
      </c>
      <c r="C13" t="s">
        <v>121</v>
      </c>
      <c r="D13" t="s">
        <v>122</v>
      </c>
      <c r="E13" t="s">
        <v>150</v>
      </c>
      <c r="F13" t="s">
        <v>145</v>
      </c>
      <c r="G13" t="s">
        <v>332</v>
      </c>
      <c r="H13" t="s">
        <v>146</v>
      </c>
      <c r="I13" t="s">
        <v>144</v>
      </c>
      <c r="J13" t="s">
        <v>170</v>
      </c>
      <c r="K13" t="s">
        <v>172</v>
      </c>
      <c r="L13" t="s">
        <v>175</v>
      </c>
      <c r="M13" t="s">
        <v>189</v>
      </c>
      <c r="N13" t="s">
        <v>186</v>
      </c>
      <c r="O13" t="s">
        <v>188</v>
      </c>
      <c r="P13" t="s">
        <v>190</v>
      </c>
      <c r="Q13" t="s">
        <v>224</v>
      </c>
      <c r="R13" t="s">
        <v>234</v>
      </c>
      <c r="S13" t="s">
        <v>254</v>
      </c>
      <c r="T13" t="s">
        <v>261</v>
      </c>
      <c r="U13" t="s">
        <v>269</v>
      </c>
      <c r="V13" t="s">
        <v>268</v>
      </c>
      <c r="W13" t="s">
        <v>274</v>
      </c>
      <c r="X13" t="s">
        <v>276</v>
      </c>
      <c r="Y13" t="s">
        <v>277</v>
      </c>
      <c r="Z13" t="s">
        <v>306</v>
      </c>
      <c r="AA13" t="s">
        <v>310</v>
      </c>
      <c r="AB13" t="s">
        <v>313</v>
      </c>
      <c r="AC13" t="s">
        <v>366</v>
      </c>
      <c r="AD13" t="s">
        <v>349</v>
      </c>
      <c r="AE13" t="s">
        <v>335</v>
      </c>
      <c r="AF13" t="s">
        <v>350</v>
      </c>
      <c r="AG13" t="s">
        <v>367</v>
      </c>
      <c r="AH13" t="s">
        <v>368</v>
      </c>
    </row>
    <row r="14" spans="1:34" x14ac:dyDescent="0.3">
      <c r="A14">
        <v>2010</v>
      </c>
      <c r="B14" s="13">
        <v>161207000000</v>
      </c>
      <c r="C14">
        <v>9535344283</v>
      </c>
      <c r="D14">
        <v>10109618964</v>
      </c>
      <c r="E14">
        <v>1664310770</v>
      </c>
      <c r="F14">
        <v>27507499709</v>
      </c>
      <c r="G14">
        <v>10668102735</v>
      </c>
      <c r="H14">
        <v>21565720044</v>
      </c>
      <c r="I14">
        <v>34936305297</v>
      </c>
      <c r="J14" s="13">
        <v>218984000000</v>
      </c>
      <c r="K14">
        <v>1589515447</v>
      </c>
      <c r="L14">
        <v>29933790334</v>
      </c>
      <c r="M14">
        <v>1543292393</v>
      </c>
      <c r="N14">
        <v>32197272797</v>
      </c>
      <c r="O14">
        <v>6853467858</v>
      </c>
      <c r="P14">
        <v>849878424.20000005</v>
      </c>
      <c r="Q14">
        <v>45405587557</v>
      </c>
      <c r="R14">
        <v>1998000000</v>
      </c>
      <c r="S14">
        <v>9982711338</v>
      </c>
      <c r="T14">
        <v>10689167195</v>
      </c>
      <c r="U14">
        <v>5628882266</v>
      </c>
      <c r="V14">
        <v>11104648673</v>
      </c>
      <c r="W14">
        <v>11431334447</v>
      </c>
      <c r="X14">
        <v>7851191899</v>
      </c>
      <c r="Y14" s="13">
        <v>361457000000</v>
      </c>
      <c r="Z14">
        <v>6121234529</v>
      </c>
      <c r="AA14">
        <v>16121314671</v>
      </c>
      <c r="AB14">
        <v>2578026297</v>
      </c>
      <c r="AC14" s="13">
        <v>417365000000</v>
      </c>
      <c r="AD14">
        <v>32014249841</v>
      </c>
      <c r="AE14">
        <v>3429461495</v>
      </c>
      <c r="AF14">
        <v>26673441667</v>
      </c>
      <c r="AG14">
        <v>20265559484</v>
      </c>
      <c r="AH14">
        <v>12041655200</v>
      </c>
    </row>
    <row r="15" spans="1:34" x14ac:dyDescent="0.3">
      <c r="A15">
        <v>2011</v>
      </c>
      <c r="B15" s="13">
        <v>200013000000</v>
      </c>
      <c r="C15">
        <v>10693321954</v>
      </c>
      <c r="D15">
        <v>12080296644</v>
      </c>
      <c r="E15">
        <v>1865915544</v>
      </c>
      <c r="F15">
        <v>30630912185</v>
      </c>
      <c r="G15">
        <v>12172309523</v>
      </c>
      <c r="H15">
        <v>25839749199</v>
      </c>
      <c r="I15">
        <v>36693712825</v>
      </c>
      <c r="J15" s="13">
        <v>235990000000</v>
      </c>
      <c r="K15">
        <v>2065001626</v>
      </c>
      <c r="L15">
        <v>31952763089</v>
      </c>
      <c r="M15">
        <v>1409694554</v>
      </c>
      <c r="N15">
        <v>39337314810</v>
      </c>
      <c r="O15">
        <v>6785137173</v>
      </c>
      <c r="P15">
        <v>1099818652</v>
      </c>
      <c r="Q15">
        <v>46869457318</v>
      </c>
      <c r="R15">
        <v>2398000000</v>
      </c>
      <c r="S15">
        <v>11551819618</v>
      </c>
      <c r="T15">
        <v>12995113407</v>
      </c>
      <c r="U15">
        <v>6764635687</v>
      </c>
      <c r="V15">
        <v>14381552433</v>
      </c>
      <c r="W15">
        <v>12523402329</v>
      </c>
      <c r="X15">
        <v>8772951262</v>
      </c>
      <c r="Y15" s="13">
        <v>404994000000</v>
      </c>
      <c r="Z15">
        <v>6881038270</v>
      </c>
      <c r="AA15">
        <v>17814284622</v>
      </c>
      <c r="AB15">
        <v>2942546781</v>
      </c>
      <c r="AC15" s="13">
        <v>458202000000</v>
      </c>
      <c r="AD15">
        <v>34657139495</v>
      </c>
      <c r="AE15">
        <v>3872459250</v>
      </c>
      <c r="AF15">
        <v>27871725206</v>
      </c>
      <c r="AG15">
        <v>23459515276</v>
      </c>
      <c r="AH15">
        <v>14101920300</v>
      </c>
    </row>
    <row r="16" spans="1:34" x14ac:dyDescent="0.3">
      <c r="A16">
        <v>2012</v>
      </c>
      <c r="B16" s="13">
        <v>209059000000</v>
      </c>
      <c r="C16">
        <v>11141358945</v>
      </c>
      <c r="D16">
        <v>12561016091</v>
      </c>
      <c r="E16">
        <v>1741809809</v>
      </c>
      <c r="F16">
        <v>30155064574</v>
      </c>
      <c r="G16">
        <v>12367363678</v>
      </c>
      <c r="H16">
        <v>29306235826</v>
      </c>
      <c r="I16">
        <v>36302305578</v>
      </c>
      <c r="J16" s="13">
        <v>279117000000</v>
      </c>
      <c r="L16">
        <v>43310721414</v>
      </c>
      <c r="M16">
        <v>1415006238</v>
      </c>
      <c r="N16">
        <v>41270954737</v>
      </c>
      <c r="O16">
        <v>7638045254</v>
      </c>
      <c r="P16">
        <v>989271229.60000002</v>
      </c>
      <c r="Q16">
        <v>56396706006</v>
      </c>
      <c r="R16">
        <v>2791614000</v>
      </c>
      <c r="S16">
        <v>11578974888</v>
      </c>
      <c r="T16">
        <v>12442036265</v>
      </c>
      <c r="U16">
        <v>6728208836</v>
      </c>
      <c r="V16">
        <v>16350804543</v>
      </c>
      <c r="W16">
        <v>13042007432</v>
      </c>
      <c r="X16">
        <v>9426913349</v>
      </c>
      <c r="Y16" s="13">
        <v>455502000000</v>
      </c>
      <c r="Z16">
        <v>7650300320</v>
      </c>
      <c r="AA16">
        <v>17660871726</v>
      </c>
      <c r="AB16">
        <v>3801862611</v>
      </c>
      <c r="AC16" s="13">
        <v>434401000000</v>
      </c>
      <c r="AD16">
        <v>39650530214</v>
      </c>
      <c r="AE16">
        <v>3873308389</v>
      </c>
      <c r="AF16">
        <v>27305915761</v>
      </c>
      <c r="AG16">
        <v>25503060420</v>
      </c>
      <c r="AH16">
        <v>17114849900</v>
      </c>
    </row>
    <row r="17" spans="1:34" x14ac:dyDescent="0.3">
      <c r="A17">
        <v>2013</v>
      </c>
      <c r="B17" s="13">
        <v>209755000000</v>
      </c>
      <c r="C17">
        <v>12517845732</v>
      </c>
      <c r="D17">
        <v>13444301139</v>
      </c>
      <c r="E17">
        <v>1850470042</v>
      </c>
      <c r="F17">
        <v>33728622819</v>
      </c>
      <c r="G17">
        <v>12953535496</v>
      </c>
      <c r="H17">
        <v>32679745298</v>
      </c>
      <c r="I17">
        <v>42760237561</v>
      </c>
      <c r="J17" s="13">
        <v>288434000000</v>
      </c>
      <c r="L17">
        <v>47648211133</v>
      </c>
      <c r="M17">
        <v>1375608956</v>
      </c>
      <c r="N17">
        <v>62823043706</v>
      </c>
      <c r="O17">
        <v>8376613843</v>
      </c>
      <c r="P17">
        <v>1046087418</v>
      </c>
      <c r="Q17">
        <v>61671425370</v>
      </c>
      <c r="R17">
        <v>3177198100</v>
      </c>
      <c r="S17">
        <v>12423555269</v>
      </c>
      <c r="T17">
        <v>13242691430</v>
      </c>
      <c r="U17">
        <v>7223063170</v>
      </c>
      <c r="V17">
        <v>16974320551</v>
      </c>
      <c r="W17">
        <v>12043276397</v>
      </c>
      <c r="X17">
        <v>10224897935</v>
      </c>
      <c r="Y17" s="13">
        <v>508693000000</v>
      </c>
      <c r="Z17">
        <v>7815599503</v>
      </c>
      <c r="AA17">
        <v>18918668644</v>
      </c>
      <c r="AB17">
        <v>4920343195</v>
      </c>
      <c r="AC17" s="13">
        <v>400886000000</v>
      </c>
      <c r="AD17">
        <v>45680532614</v>
      </c>
      <c r="AE17">
        <v>4321655656</v>
      </c>
      <c r="AF17">
        <v>28915786997</v>
      </c>
      <c r="AG17">
        <v>28037239463</v>
      </c>
      <c r="AH17">
        <v>19091020000</v>
      </c>
    </row>
    <row r="18" spans="1:34" x14ac:dyDescent="0.3">
      <c r="A18">
        <v>2014</v>
      </c>
      <c r="B18" s="13">
        <v>213810000000</v>
      </c>
      <c r="C18">
        <v>13284528654</v>
      </c>
      <c r="D18">
        <v>13943016924</v>
      </c>
      <c r="E18">
        <v>1859898513</v>
      </c>
      <c r="F18">
        <v>36386546918</v>
      </c>
      <c r="G18">
        <v>13940768066</v>
      </c>
      <c r="H18">
        <v>35909040266</v>
      </c>
      <c r="I18">
        <v>48843008580</v>
      </c>
      <c r="J18" s="13">
        <v>305595000000</v>
      </c>
      <c r="L18">
        <v>55612228234</v>
      </c>
      <c r="M18">
        <v>1229460602</v>
      </c>
      <c r="N18">
        <v>54782847753</v>
      </c>
      <c r="O18">
        <v>8778473615</v>
      </c>
      <c r="P18">
        <v>1054915645</v>
      </c>
      <c r="Q18">
        <v>68285768554</v>
      </c>
      <c r="R18">
        <v>3225652000</v>
      </c>
      <c r="S18">
        <v>12522957228</v>
      </c>
      <c r="T18">
        <v>14364937997</v>
      </c>
      <c r="U18">
        <v>6592537782</v>
      </c>
      <c r="V18">
        <v>17716084108</v>
      </c>
      <c r="W18">
        <v>12435416060</v>
      </c>
      <c r="X18">
        <v>10862944204</v>
      </c>
      <c r="Y18" s="13">
        <v>546676000000</v>
      </c>
      <c r="Z18">
        <v>8241332517</v>
      </c>
      <c r="AA18">
        <v>19797254643</v>
      </c>
      <c r="AB18">
        <v>5015157816</v>
      </c>
      <c r="AC18" s="13">
        <v>381199000000</v>
      </c>
      <c r="AD18">
        <v>49964788814</v>
      </c>
      <c r="AE18">
        <v>4574986537</v>
      </c>
      <c r="AF18">
        <v>32612397758</v>
      </c>
      <c r="AG18">
        <v>27141023558</v>
      </c>
      <c r="AH18">
        <v>19495519600</v>
      </c>
    </row>
    <row r="19" spans="1:34" x14ac:dyDescent="0.3">
      <c r="A19">
        <v>2015</v>
      </c>
      <c r="B19" s="13">
        <v>165979000000</v>
      </c>
      <c r="C19">
        <v>11388160958</v>
      </c>
      <c r="D19">
        <v>11832159276</v>
      </c>
      <c r="E19">
        <v>1596800287</v>
      </c>
      <c r="F19">
        <v>32210232912</v>
      </c>
      <c r="G19">
        <v>10950392220</v>
      </c>
      <c r="H19">
        <v>37917704900</v>
      </c>
      <c r="I19">
        <v>45814637971</v>
      </c>
      <c r="J19" s="13">
        <v>329367000000</v>
      </c>
      <c r="L19">
        <v>64589334979</v>
      </c>
      <c r="M19">
        <v>1378176868</v>
      </c>
      <c r="N19">
        <v>49406568433</v>
      </c>
      <c r="O19">
        <v>8794202444</v>
      </c>
      <c r="P19">
        <v>1048229629</v>
      </c>
      <c r="Q19">
        <v>70120413329</v>
      </c>
      <c r="R19">
        <v>3227075700</v>
      </c>
      <c r="S19">
        <v>11323020829</v>
      </c>
      <c r="T19">
        <v>13104764334</v>
      </c>
      <c r="U19">
        <v>6166857629</v>
      </c>
      <c r="V19">
        <v>15950969019</v>
      </c>
      <c r="W19">
        <v>11335179562</v>
      </c>
      <c r="X19">
        <v>9683867894</v>
      </c>
      <c r="Y19" s="13">
        <v>486803000000</v>
      </c>
      <c r="Z19">
        <v>8539048448</v>
      </c>
      <c r="AA19">
        <v>17774766636</v>
      </c>
      <c r="AB19">
        <v>4218723875</v>
      </c>
      <c r="AC19" s="13">
        <v>346710000000</v>
      </c>
      <c r="AD19">
        <v>47378599025</v>
      </c>
      <c r="AE19">
        <v>4180866177</v>
      </c>
      <c r="AF19">
        <v>32387183845</v>
      </c>
      <c r="AG19">
        <v>21251216799</v>
      </c>
      <c r="AH19">
        <v>19963120600</v>
      </c>
    </row>
    <row r="20" spans="1:34" x14ac:dyDescent="0.3">
      <c r="A20">
        <v>2016</v>
      </c>
      <c r="B20" s="13">
        <v>160034000000</v>
      </c>
      <c r="C20">
        <v>11821066153</v>
      </c>
      <c r="D20">
        <v>12833363370</v>
      </c>
      <c r="E20">
        <v>1662998678</v>
      </c>
      <c r="F20">
        <v>33814337900</v>
      </c>
      <c r="G20">
        <v>10097778354</v>
      </c>
      <c r="H20">
        <v>37134799975</v>
      </c>
      <c r="I20">
        <v>47964234560</v>
      </c>
      <c r="J20" s="13">
        <v>332442000000</v>
      </c>
      <c r="L20">
        <v>74296618481</v>
      </c>
      <c r="M20">
        <v>1484579844</v>
      </c>
      <c r="N20">
        <v>56165172899</v>
      </c>
      <c r="O20">
        <v>8595955581</v>
      </c>
      <c r="P20">
        <v>1179004941</v>
      </c>
      <c r="Q20">
        <v>74815121315</v>
      </c>
      <c r="R20">
        <v>3398419600</v>
      </c>
      <c r="S20">
        <v>11848613735</v>
      </c>
      <c r="T20">
        <v>14026048691</v>
      </c>
      <c r="U20">
        <v>6398744505</v>
      </c>
      <c r="V20">
        <v>11936999283</v>
      </c>
      <c r="W20">
        <v>10721994677</v>
      </c>
      <c r="X20">
        <v>10398862245</v>
      </c>
      <c r="Y20" s="13">
        <v>404650000000</v>
      </c>
      <c r="Z20">
        <v>8690485823</v>
      </c>
      <c r="AA20">
        <v>19040312815</v>
      </c>
      <c r="AB20">
        <v>3674794530</v>
      </c>
      <c r="AC20" s="13">
        <v>323586000000</v>
      </c>
      <c r="AD20">
        <v>49774021003</v>
      </c>
      <c r="AE20">
        <v>6031632168</v>
      </c>
      <c r="AF20">
        <v>29203988815</v>
      </c>
      <c r="AG20">
        <v>20958412538</v>
      </c>
      <c r="AH20">
        <v>20548678100</v>
      </c>
    </row>
    <row r="21" spans="1:34" x14ac:dyDescent="0.3">
      <c r="A21">
        <v>2017</v>
      </c>
      <c r="B21" s="13">
        <v>170097000000</v>
      </c>
      <c r="C21">
        <v>12701654743</v>
      </c>
      <c r="D21">
        <v>14106956830</v>
      </c>
      <c r="E21">
        <v>1768319144</v>
      </c>
      <c r="F21">
        <v>36098550142</v>
      </c>
      <c r="G21">
        <v>10000395242</v>
      </c>
      <c r="H21">
        <v>38019265626</v>
      </c>
      <c r="I21">
        <v>51588158718</v>
      </c>
      <c r="J21" s="13">
        <v>235734000000</v>
      </c>
      <c r="L21">
        <v>81770791971</v>
      </c>
      <c r="M21">
        <v>1504909753</v>
      </c>
      <c r="N21">
        <v>60406382899</v>
      </c>
      <c r="O21">
        <v>10324668267</v>
      </c>
      <c r="P21">
        <v>1350177128</v>
      </c>
      <c r="Q21">
        <v>82035800868</v>
      </c>
      <c r="R21">
        <v>3390703400</v>
      </c>
      <c r="S21">
        <v>13176313594</v>
      </c>
      <c r="T21">
        <v>15365714371</v>
      </c>
      <c r="U21">
        <v>6799075419</v>
      </c>
      <c r="V21">
        <v>13219084261</v>
      </c>
      <c r="W21">
        <v>12895153160</v>
      </c>
      <c r="X21">
        <v>11185102400</v>
      </c>
      <c r="Y21" s="13">
        <v>375746000000</v>
      </c>
      <c r="Z21">
        <v>9253098954</v>
      </c>
      <c r="AA21">
        <v>20996564752</v>
      </c>
      <c r="AB21">
        <v>3719369107</v>
      </c>
      <c r="AC21" s="13">
        <v>381449000000</v>
      </c>
      <c r="AD21">
        <v>53320625959</v>
      </c>
      <c r="AE21">
        <v>6395472574</v>
      </c>
      <c r="AF21">
        <v>30744473912</v>
      </c>
      <c r="AG21">
        <v>25873601261</v>
      </c>
      <c r="AH21">
        <v>17584890937</v>
      </c>
    </row>
    <row r="22" spans="1:34" x14ac:dyDescent="0.3">
      <c r="A22">
        <v>2018</v>
      </c>
      <c r="B22" s="13">
        <v>174911000000</v>
      </c>
      <c r="C22">
        <v>14262407012</v>
      </c>
      <c r="D22">
        <v>15890065020</v>
      </c>
      <c r="E22">
        <v>1966503223</v>
      </c>
      <c r="F22">
        <v>39973839065</v>
      </c>
      <c r="G22">
        <v>11239167048</v>
      </c>
      <c r="H22">
        <v>47146004587</v>
      </c>
      <c r="I22">
        <v>58011466451</v>
      </c>
      <c r="J22" s="13">
        <v>249713000000</v>
      </c>
      <c r="L22">
        <v>84269348327</v>
      </c>
      <c r="M22">
        <v>1670670669</v>
      </c>
      <c r="N22">
        <v>67299280680</v>
      </c>
      <c r="O22">
        <v>11857030337</v>
      </c>
      <c r="P22">
        <v>1504630121</v>
      </c>
      <c r="Q22">
        <v>92202956321</v>
      </c>
      <c r="R22">
        <v>3422754800</v>
      </c>
      <c r="S22">
        <v>13760033097</v>
      </c>
      <c r="T22">
        <v>17070866299</v>
      </c>
      <c r="U22">
        <v>7354430040</v>
      </c>
      <c r="V22">
        <v>14845870051</v>
      </c>
      <c r="W22">
        <v>13682062249</v>
      </c>
      <c r="X22">
        <v>12808660528</v>
      </c>
      <c r="Y22" s="13">
        <v>397190000000</v>
      </c>
      <c r="Z22">
        <v>9640280084</v>
      </c>
      <c r="AA22">
        <v>23116699808</v>
      </c>
      <c r="AB22">
        <v>4085114794</v>
      </c>
      <c r="AC22" s="13">
        <v>404842000000</v>
      </c>
      <c r="AD22">
        <v>57003713611</v>
      </c>
      <c r="AE22">
        <v>7112200725</v>
      </c>
      <c r="AF22">
        <v>32927025573</v>
      </c>
      <c r="AG22">
        <v>26311590297</v>
      </c>
      <c r="AH22">
        <v>18115543791</v>
      </c>
    </row>
    <row r="23" spans="1:34" x14ac:dyDescent="0.3">
      <c r="A23">
        <v>2019</v>
      </c>
      <c r="B23" s="13">
        <v>171767000000</v>
      </c>
      <c r="C23">
        <v>14391686633</v>
      </c>
      <c r="D23">
        <v>16178162030</v>
      </c>
      <c r="E23">
        <v>1981845741</v>
      </c>
      <c r="F23">
        <v>39670977333</v>
      </c>
      <c r="G23">
        <v>11314951343</v>
      </c>
      <c r="H23">
        <v>50400747050</v>
      </c>
      <c r="I23">
        <v>58539424930</v>
      </c>
      <c r="J23" s="13">
        <v>303081000000</v>
      </c>
      <c r="L23">
        <v>95912590628</v>
      </c>
      <c r="M23">
        <v>1812529105</v>
      </c>
      <c r="N23">
        <v>68337537816</v>
      </c>
      <c r="O23">
        <v>13513809258</v>
      </c>
      <c r="P23">
        <v>1439638443</v>
      </c>
      <c r="Q23" s="13">
        <v>100555000000</v>
      </c>
      <c r="R23">
        <v>3319596500</v>
      </c>
      <c r="S23">
        <v>14104664515</v>
      </c>
      <c r="T23">
        <v>17280251194</v>
      </c>
      <c r="U23">
        <v>7889662452</v>
      </c>
      <c r="V23">
        <v>15384701798</v>
      </c>
      <c r="W23">
        <v>12496781720</v>
      </c>
      <c r="X23">
        <v>12916455161</v>
      </c>
      <c r="Y23" s="13">
        <v>448120000000</v>
      </c>
      <c r="Z23">
        <v>10355974217</v>
      </c>
      <c r="AA23">
        <v>23306213742</v>
      </c>
      <c r="AB23">
        <v>4076578543</v>
      </c>
      <c r="AC23" s="13">
        <v>387935000000</v>
      </c>
      <c r="AD23">
        <v>61136873692</v>
      </c>
      <c r="AE23">
        <v>7220395248</v>
      </c>
      <c r="AF23">
        <v>35353060634</v>
      </c>
      <c r="AG23">
        <v>23308667781</v>
      </c>
      <c r="AH23">
        <v>19284289739</v>
      </c>
    </row>
    <row r="24" spans="1:34" x14ac:dyDescent="0.3">
      <c r="F24" s="13"/>
      <c r="N24" s="13"/>
    </row>
    <row r="25" spans="1:34" x14ac:dyDescent="0.3">
      <c r="B25">
        <f>PEARSON(Table13[[#All],[Algeria]],Table12[[#All],[Algeria]])</f>
        <v>-0.62728018698348975</v>
      </c>
      <c r="C25">
        <f>PEARSON(Table13[[#All],[Benin]],Table12[[#All],[Benin]])</f>
        <v>0.6959982597868084</v>
      </c>
      <c r="D25">
        <f>PEARSON(Table13[[#All],[Burkina Faso]],Table12[[#All],[Burkina Faso]])</f>
        <v>0.70766288596084914</v>
      </c>
      <c r="E25">
        <f>PEARSON(Table13[[#All],[Cabo Verde]],Table12[[#All],[Cabo Verde]])</f>
        <v>3.5896313314988409E-2</v>
      </c>
      <c r="F25">
        <f>PEARSON(Table13[[#All],[Cameroon]],Table12[[#All],[Cameroon]])</f>
        <v>0.81190012233813169</v>
      </c>
      <c r="G25" t="e">
        <f>PEARSON(Table13[[#All],[Chad]],Table12[[#All],[Chad]])</f>
        <v>#DIV/0!</v>
      </c>
      <c r="H25">
        <f>PEARSON(Table13[[#All],[Congo DR]],Table12[[#All],[Congo, Dem. Rep.]])</f>
        <v>1</v>
      </c>
      <c r="I25">
        <f>PEARSON(Table13[[#All],[Cote d Ivoire]],Table12[[#All],[Cote d''Ivoire]])</f>
        <v>0</v>
      </c>
      <c r="J25">
        <f>PEARSON(Table13[[#All],[Egypt]],Table12[[#All],[Egypt, Arab Rep.]])</f>
        <v>-0.17513202026670738</v>
      </c>
      <c r="K25" t="e">
        <f>PEARSON(Table13[[#All],[Eritrea]],Table12[[#All],[Eritrea]])</f>
        <v>#DIV/0!</v>
      </c>
      <c r="L25" t="e">
        <f>PEARSON(Table13[[#All],[Ethiopia]],Table12[[#All],[Ethiopia]])</f>
        <v>#DIV/0!</v>
      </c>
      <c r="M25" t="e">
        <f>PEARSON(Table13[[#All],[Gambia]],Table12[[#All],[Gambia, The]])</f>
        <v>#DIV/0!</v>
      </c>
      <c r="N25">
        <f>PEARSON(Table13[[#All],[Ghana]],Table12[[#All],[Ghana]])</f>
        <v>0.9587587261717756</v>
      </c>
      <c r="O25" t="e">
        <f>PEARSON(Table13[[#All],[Guinea]],Table12[[#All],[Guinea]])</f>
        <v>#DIV/0!</v>
      </c>
      <c r="P25">
        <f>PEARSON(Table13[[#All],[Guinea Bissau]],Table12[[#All],[Guinea-Bissau]])</f>
        <v>0.84845127157484512</v>
      </c>
      <c r="Q25">
        <f>PEARSON(Table13[[#All],[Kenya]],Table12[[#All],[Kenya]])</f>
        <v>0.80336356952953225</v>
      </c>
      <c r="R25">
        <f>PEARSON(Table13[[#All],[Liberia]],Table12[[#All],[Liberia]])</f>
        <v>-0.21354165524721375</v>
      </c>
      <c r="S25">
        <f>PEARSON(Table13[[#All],[Madagascar]],Table12[[#All],[Madagascar]])</f>
        <v>0.75533574128978165</v>
      </c>
      <c r="T25">
        <f>PEARSON(Table13[[#All],[Mali]],Table12[[#All],[Mali]])</f>
        <v>0.88554853206779871</v>
      </c>
      <c r="U25">
        <f>PEARSON(Table13[[#All],[Mauritania]],Table12[[#All],[Mauritania]])</f>
        <v>0.58610331609789934</v>
      </c>
      <c r="V25">
        <f>PEARSON(Table13[[#All],[Mozambique]],Table12[[#All],[Mozambique]])</f>
        <v>-0.3967346363348806</v>
      </c>
      <c r="W25">
        <f>PEARSON(Table13[[#All],[Namibia]],Table12[[#All],[Namibia]])</f>
        <v>-0.15399981245545605</v>
      </c>
      <c r="X25">
        <f>PEARSON(Table13[[#All],[Niger]],Table12[[#All],[Niger]])</f>
        <v>0.94862769267364033</v>
      </c>
      <c r="Y25">
        <f>PEARSON(Table13[[#All],[Nigeria]],Table12[[#All],[Nigeria]])</f>
        <v>-0.67599268513935673</v>
      </c>
      <c r="Z25">
        <f>PEARSON(Table13[[#All],[Rwanda]],Table12[[#All],[Rwanda]])</f>
        <v>0.97274567483246255</v>
      </c>
      <c r="AA25">
        <f>PEARSON(Table13[[#All],[Senegal]],Table12[[#All],[Senegal]])</f>
        <v>0.89292031877522759</v>
      </c>
      <c r="AB25">
        <f>PEARSON(Table13[[#All],[Sierra Leone]],Table12[[#All],[Sierra Leone]])</f>
        <v>-0.49821257524998952</v>
      </c>
      <c r="AC25">
        <f>PEARSON(Table13[[#All],[South Africa]],Table12[[#All],[South Africa]])</f>
        <v>7.0634996508650936E-3</v>
      </c>
      <c r="AD25">
        <f>PEARSON(Table13[[#All],[Tanzania]],Table12[[#All],[Tanzania]])</f>
        <v>0.88644823779537851</v>
      </c>
      <c r="AE25">
        <f>PEARSON(Table13[[#All],[Togo]],Table12[[#All],[Togo]])</f>
        <v>0.99269283051117518</v>
      </c>
      <c r="AF25">
        <f>PEARSON(Table13[[#All],[Uganda]],Table12[[#All],[Uganda]])</f>
        <v>0.86009270475263044</v>
      </c>
      <c r="AG25">
        <f>PEARSON(Table13[[#All],[Zambia]],Table12[[#All],[Zambia]])</f>
        <v>0.65939697550328269</v>
      </c>
      <c r="AH25" t="e">
        <f>PEARSON(Table13[[#All],[Zimbabwe]],Table12[[#All],[Zimbabwe]])</f>
        <v>#DIV/0!</v>
      </c>
    </row>
    <row r="26" spans="1:34" x14ac:dyDescent="0.3">
      <c r="C26" s="22"/>
      <c r="J26" s="13"/>
    </row>
    <row r="27" spans="1:34" x14ac:dyDescent="0.3">
      <c r="J27" s="13"/>
    </row>
    <row r="28" spans="1:34" x14ac:dyDescent="0.3">
      <c r="A28" t="s">
        <v>102</v>
      </c>
      <c r="B28" t="s">
        <v>163</v>
      </c>
      <c r="C28" t="s">
        <v>121</v>
      </c>
      <c r="D28" t="s">
        <v>122</v>
      </c>
      <c r="E28" t="s">
        <v>150</v>
      </c>
      <c r="F28" t="s">
        <v>145</v>
      </c>
      <c r="G28" t="s">
        <v>332</v>
      </c>
      <c r="H28" t="s">
        <v>146</v>
      </c>
      <c r="I28" t="s">
        <v>144</v>
      </c>
      <c r="J28" t="s">
        <v>170</v>
      </c>
      <c r="K28" t="s">
        <v>172</v>
      </c>
      <c r="L28" t="s">
        <v>175</v>
      </c>
      <c r="M28" t="s">
        <v>189</v>
      </c>
      <c r="N28" t="s">
        <v>186</v>
      </c>
      <c r="O28" t="s">
        <v>188</v>
      </c>
      <c r="P28" t="s">
        <v>190</v>
      </c>
      <c r="Q28" t="s">
        <v>224</v>
      </c>
      <c r="R28" t="s">
        <v>234</v>
      </c>
      <c r="S28" t="s">
        <v>254</v>
      </c>
      <c r="T28" t="s">
        <v>261</v>
      </c>
      <c r="U28" t="s">
        <v>269</v>
      </c>
      <c r="V28" t="s">
        <v>268</v>
      </c>
      <c r="W28" t="s">
        <v>274</v>
      </c>
      <c r="X28" t="s">
        <v>276</v>
      </c>
      <c r="Y28" t="s">
        <v>277</v>
      </c>
      <c r="Z28" t="s">
        <v>306</v>
      </c>
      <c r="AA28" t="s">
        <v>310</v>
      </c>
      <c r="AB28" t="s">
        <v>313</v>
      </c>
      <c r="AC28" t="s">
        <v>366</v>
      </c>
      <c r="AD28" t="s">
        <v>349</v>
      </c>
      <c r="AE28" t="s">
        <v>335</v>
      </c>
      <c r="AF28" t="s">
        <v>350</v>
      </c>
      <c r="AG28" t="s">
        <v>367</v>
      </c>
      <c r="AH28" t="s">
        <v>368</v>
      </c>
    </row>
    <row r="29" spans="1:34" x14ac:dyDescent="0.3">
      <c r="A29">
        <v>2010</v>
      </c>
      <c r="B29">
        <v>4480.7863180000004</v>
      </c>
      <c r="C29">
        <v>1036.5345150000001</v>
      </c>
      <c r="D29">
        <v>647.83609550000006</v>
      </c>
      <c r="E29">
        <v>3378.323433</v>
      </c>
      <c r="F29">
        <v>1352.302275</v>
      </c>
      <c r="G29">
        <v>892.56886970000005</v>
      </c>
      <c r="H29">
        <v>334.02157770000002</v>
      </c>
      <c r="I29">
        <v>1701.475702</v>
      </c>
      <c r="J29">
        <v>2645.9687589999999</v>
      </c>
      <c r="K29">
        <v>501.35531700000001</v>
      </c>
      <c r="L29">
        <v>341.55412269999999</v>
      </c>
      <c r="M29">
        <v>860.63643390000004</v>
      </c>
      <c r="N29">
        <v>1299.3452119999999</v>
      </c>
      <c r="O29">
        <v>672.42493039999999</v>
      </c>
      <c r="P29">
        <v>558.17466809999996</v>
      </c>
      <c r="Q29">
        <v>1080.296184</v>
      </c>
      <c r="R29">
        <v>513.44556669999997</v>
      </c>
      <c r="S29">
        <v>471.9592116</v>
      </c>
      <c r="T29">
        <v>710.27424940000003</v>
      </c>
      <c r="U29">
        <v>1610.921603</v>
      </c>
      <c r="V29">
        <v>471.90434329999999</v>
      </c>
      <c r="W29">
        <v>5394.9967120000001</v>
      </c>
      <c r="X29">
        <v>476.86953219999998</v>
      </c>
      <c r="Y29">
        <v>2280.4373369999998</v>
      </c>
      <c r="Z29">
        <v>609.724917</v>
      </c>
      <c r="AA29">
        <v>1271.5832809999999</v>
      </c>
      <c r="AB29">
        <v>401.83487609999997</v>
      </c>
      <c r="AC29">
        <v>8148.9612020000004</v>
      </c>
      <c r="AD29">
        <v>743.40366389999997</v>
      </c>
      <c r="AE29">
        <v>534.04478259999996</v>
      </c>
      <c r="AF29">
        <v>822.53937250000001</v>
      </c>
      <c r="AG29">
        <v>1489.459087</v>
      </c>
      <c r="AH29">
        <v>948.33148100000005</v>
      </c>
    </row>
    <row r="30" spans="1:34" x14ac:dyDescent="0.3">
      <c r="A30">
        <v>2011</v>
      </c>
      <c r="B30">
        <v>5455.6794030000001</v>
      </c>
      <c r="C30">
        <v>1130.2732510000001</v>
      </c>
      <c r="D30">
        <v>751.17277039999999</v>
      </c>
      <c r="E30">
        <v>3740.3741030000001</v>
      </c>
      <c r="F30">
        <v>1465.145788</v>
      </c>
      <c r="G30">
        <v>984.73613049999994</v>
      </c>
      <c r="H30">
        <v>387.08247699999998</v>
      </c>
      <c r="I30">
        <v>1744.938897</v>
      </c>
      <c r="J30">
        <v>2791.8107660000001</v>
      </c>
      <c r="K30">
        <v>642.50825880000002</v>
      </c>
      <c r="L30">
        <v>354.4795719</v>
      </c>
      <c r="M30">
        <v>762.76311769999995</v>
      </c>
      <c r="N30">
        <v>1549.4627190000001</v>
      </c>
      <c r="O30">
        <v>651.1361134</v>
      </c>
      <c r="P30">
        <v>703.66056730000003</v>
      </c>
      <c r="Q30">
        <v>1085.4871519999999</v>
      </c>
      <c r="R30">
        <v>596.89663529999996</v>
      </c>
      <c r="S30">
        <v>531.2654321</v>
      </c>
      <c r="T30">
        <v>837.60582099999999</v>
      </c>
      <c r="U30">
        <v>1879.7724720000001</v>
      </c>
      <c r="V30">
        <v>594.58614709999995</v>
      </c>
      <c r="W30">
        <v>5806.7482460000001</v>
      </c>
      <c r="X30">
        <v>512.59533499999998</v>
      </c>
      <c r="Y30">
        <v>2487.5980169999998</v>
      </c>
      <c r="Z30">
        <v>668.49467219999997</v>
      </c>
      <c r="AA30">
        <v>1366.7745010000001</v>
      </c>
      <c r="AB30">
        <v>448.33766209999999</v>
      </c>
      <c r="AC30">
        <v>8810.9306510000006</v>
      </c>
      <c r="AD30">
        <v>781.43389569999999</v>
      </c>
      <c r="AE30">
        <v>587.09749280000005</v>
      </c>
      <c r="AF30">
        <v>832.56907820000004</v>
      </c>
      <c r="AG30">
        <v>1672.9075350000001</v>
      </c>
      <c r="AH30">
        <v>1093.653409</v>
      </c>
    </row>
    <row r="31" spans="1:34" x14ac:dyDescent="0.3">
      <c r="A31">
        <v>2012</v>
      </c>
      <c r="B31">
        <v>5592.2201150000001</v>
      </c>
      <c r="C31">
        <v>1145.1401049999999</v>
      </c>
      <c r="D31">
        <v>758.00042699999995</v>
      </c>
      <c r="E31">
        <v>3447.4830999999999</v>
      </c>
      <c r="F31">
        <v>1403.522915</v>
      </c>
      <c r="G31">
        <v>967.35294880000004</v>
      </c>
      <c r="H31">
        <v>424.6003738</v>
      </c>
      <c r="I31">
        <v>1684.7815860000001</v>
      </c>
      <c r="J31">
        <v>3229.6856299999999</v>
      </c>
      <c r="L31">
        <v>467.07787180000003</v>
      </c>
      <c r="M31">
        <v>742.77762859999996</v>
      </c>
      <c r="N31">
        <v>1587.5609320000001</v>
      </c>
      <c r="O31">
        <v>717.0505359</v>
      </c>
      <c r="P31">
        <v>616.37566400000003</v>
      </c>
      <c r="Q31">
        <v>1271.8153830000001</v>
      </c>
      <c r="R31">
        <v>675.01019180000003</v>
      </c>
      <c r="S31">
        <v>518.15281270000003</v>
      </c>
      <c r="T31">
        <v>778.62526949999994</v>
      </c>
      <c r="U31">
        <v>1815.2189390000001</v>
      </c>
      <c r="V31">
        <v>657.64467649999995</v>
      </c>
      <c r="W31">
        <v>5942.2927399999999</v>
      </c>
      <c r="X31">
        <v>529.74445809999997</v>
      </c>
      <c r="Y31">
        <v>2723.8221910000002</v>
      </c>
      <c r="Z31">
        <v>725.16977029999998</v>
      </c>
      <c r="AA31">
        <v>1317.779802</v>
      </c>
      <c r="AB31">
        <v>566.37823509999998</v>
      </c>
      <c r="AC31">
        <v>8222.197279</v>
      </c>
      <c r="AD31">
        <v>867.8574989</v>
      </c>
      <c r="AE31">
        <v>571.80672389999995</v>
      </c>
      <c r="AF31">
        <v>790.13145059999999</v>
      </c>
      <c r="AG31">
        <v>1763.069442</v>
      </c>
      <c r="AH31">
        <v>1304.9680109999999</v>
      </c>
    </row>
    <row r="32" spans="1:34" x14ac:dyDescent="0.3">
      <c r="A32">
        <v>2013</v>
      </c>
      <c r="B32">
        <v>5499.5873309999997</v>
      </c>
      <c r="C32">
        <v>1251.2097670000001</v>
      </c>
      <c r="D32">
        <v>787.46943829999998</v>
      </c>
      <c r="E32">
        <v>3616.03557</v>
      </c>
      <c r="F32">
        <v>1527.7512569999999</v>
      </c>
      <c r="G32">
        <v>979.8117426</v>
      </c>
      <c r="H32">
        <v>457.96374750000001</v>
      </c>
      <c r="I32">
        <v>1935.9468449999999</v>
      </c>
      <c r="J32">
        <v>3262.6575859999998</v>
      </c>
      <c r="L32">
        <v>499.53153020000002</v>
      </c>
      <c r="M32">
        <v>700.51604220000002</v>
      </c>
      <c r="N32">
        <v>2361.0903239999998</v>
      </c>
      <c r="O32">
        <v>769.00316669999995</v>
      </c>
      <c r="P32">
        <v>634.66203910000002</v>
      </c>
      <c r="Q32">
        <v>1354.820833</v>
      </c>
      <c r="R32">
        <v>747.86866010000006</v>
      </c>
      <c r="S32">
        <v>541.06594370000005</v>
      </c>
      <c r="T32">
        <v>805.03397959999995</v>
      </c>
      <c r="U32">
        <v>1892.0940000000001</v>
      </c>
      <c r="V32">
        <v>664.07751040000005</v>
      </c>
      <c r="W32">
        <v>5392.0949380000002</v>
      </c>
      <c r="X32">
        <v>552.56913899999995</v>
      </c>
      <c r="Y32">
        <v>2961.549422</v>
      </c>
      <c r="Z32">
        <v>722.89432850000003</v>
      </c>
      <c r="AA32">
        <v>1372.6657789999999</v>
      </c>
      <c r="AB32">
        <v>716.83582690000003</v>
      </c>
      <c r="AC32">
        <v>7467.0791849999996</v>
      </c>
      <c r="AD32">
        <v>970.39960140000005</v>
      </c>
      <c r="AE32">
        <v>621.39885360000005</v>
      </c>
      <c r="AF32">
        <v>810.09039499999994</v>
      </c>
      <c r="AG32">
        <v>1878.3468109999999</v>
      </c>
      <c r="AH32">
        <v>1429.9984609999999</v>
      </c>
    </row>
    <row r="33" spans="1:34" x14ac:dyDescent="0.3">
      <c r="A33">
        <v>2014</v>
      </c>
      <c r="B33">
        <v>5493.0566950000002</v>
      </c>
      <c r="C33">
        <v>1291.410185</v>
      </c>
      <c r="D33">
        <v>792.84623739999995</v>
      </c>
      <c r="E33">
        <v>3588.6255839999999</v>
      </c>
      <c r="F33">
        <v>1604.214035</v>
      </c>
      <c r="G33">
        <v>1020.287979</v>
      </c>
      <c r="H33">
        <v>486.78709509999999</v>
      </c>
      <c r="I33">
        <v>2156.6458830000001</v>
      </c>
      <c r="J33">
        <v>3379.5579859999998</v>
      </c>
      <c r="L33">
        <v>566.92640289999997</v>
      </c>
      <c r="M33">
        <v>607.42990469999995</v>
      </c>
      <c r="N33">
        <v>2012.2642470000001</v>
      </c>
      <c r="O33">
        <v>787.23856439999997</v>
      </c>
      <c r="P33">
        <v>623.31309139999996</v>
      </c>
      <c r="Q33">
        <v>1462.2200519999999</v>
      </c>
      <c r="R33">
        <v>739.91193499999997</v>
      </c>
      <c r="S33">
        <v>530.86103890000004</v>
      </c>
      <c r="T33">
        <v>848.279043</v>
      </c>
      <c r="U33">
        <v>1677.109019</v>
      </c>
      <c r="V33">
        <v>673.96921199999997</v>
      </c>
      <c r="W33">
        <v>5469.9013999999997</v>
      </c>
      <c r="X33">
        <v>564.5967488</v>
      </c>
      <c r="Y33">
        <v>3098.9857910000001</v>
      </c>
      <c r="Z33">
        <v>743.55903799999999</v>
      </c>
      <c r="AA33">
        <v>1396.6573390000001</v>
      </c>
      <c r="AB33">
        <v>714.69979569999998</v>
      </c>
      <c r="AC33">
        <v>6988.8087390000001</v>
      </c>
      <c r="AD33">
        <v>1030.077648</v>
      </c>
      <c r="AE33">
        <v>640.93421960000001</v>
      </c>
      <c r="AF33">
        <v>883.52874450000002</v>
      </c>
      <c r="AG33">
        <v>1762.427817</v>
      </c>
      <c r="AH33">
        <v>1434.8962770000001</v>
      </c>
    </row>
    <row r="34" spans="1:34" x14ac:dyDescent="0.3">
      <c r="A34">
        <v>2015</v>
      </c>
      <c r="B34">
        <v>4177.8895419999999</v>
      </c>
      <c r="C34">
        <v>1076.7966980000001</v>
      </c>
      <c r="D34">
        <v>653.32726809999997</v>
      </c>
      <c r="E34">
        <v>3043.0313820000001</v>
      </c>
      <c r="F34">
        <v>1382.5097900000001</v>
      </c>
      <c r="G34">
        <v>776.01975230000005</v>
      </c>
      <c r="H34">
        <v>497.31703909999999</v>
      </c>
      <c r="I34">
        <v>1972.5456830000001</v>
      </c>
      <c r="J34">
        <v>3562.9326580000002</v>
      </c>
      <c r="L34">
        <v>640.54192309999996</v>
      </c>
      <c r="M34">
        <v>660.72357120000004</v>
      </c>
      <c r="N34">
        <v>1774.0747710000001</v>
      </c>
      <c r="O34">
        <v>769.25547540000002</v>
      </c>
      <c r="P34">
        <v>603.3993815</v>
      </c>
      <c r="Q34">
        <v>1464.554009</v>
      </c>
      <c r="R34">
        <v>721.58105049999995</v>
      </c>
      <c r="S34">
        <v>467.23543160000003</v>
      </c>
      <c r="T34">
        <v>751.47288660000004</v>
      </c>
      <c r="U34">
        <v>1524.0717529999999</v>
      </c>
      <c r="V34">
        <v>589.85905000000002</v>
      </c>
      <c r="W34">
        <v>4896.6152599999996</v>
      </c>
      <c r="X34">
        <v>484.15313739999999</v>
      </c>
      <c r="Y34">
        <v>2687.4800559999999</v>
      </c>
      <c r="Z34">
        <v>751.07739260000005</v>
      </c>
      <c r="AA34">
        <v>1219.249415</v>
      </c>
      <c r="AB34">
        <v>588.2288628</v>
      </c>
      <c r="AC34">
        <v>6259.8396810000004</v>
      </c>
      <c r="AD34">
        <v>947.9333517</v>
      </c>
      <c r="AE34">
        <v>570.90996719999998</v>
      </c>
      <c r="AF34">
        <v>847.26762889999998</v>
      </c>
      <c r="AG34">
        <v>1338.290927</v>
      </c>
      <c r="AH34">
        <v>1445.069702</v>
      </c>
    </row>
    <row r="35" spans="1:34" x14ac:dyDescent="0.3">
      <c r="A35">
        <v>2016</v>
      </c>
      <c r="B35">
        <v>3946.4524470000001</v>
      </c>
      <c r="C35">
        <v>1087.287331</v>
      </c>
      <c r="D35">
        <v>688.25069629999996</v>
      </c>
      <c r="E35">
        <v>3130.9987529999999</v>
      </c>
      <c r="F35">
        <v>1413.2559570000001</v>
      </c>
      <c r="G35">
        <v>693.44976740000004</v>
      </c>
      <c r="H35">
        <v>471.31882250000001</v>
      </c>
      <c r="I35">
        <v>2013.3814480000001</v>
      </c>
      <c r="J35">
        <v>3519.8732399999999</v>
      </c>
      <c r="L35">
        <v>717.12486980000006</v>
      </c>
      <c r="M35">
        <v>690.78049320000002</v>
      </c>
      <c r="N35">
        <v>1971.9569349999999</v>
      </c>
      <c r="O35">
        <v>732.29151190000005</v>
      </c>
      <c r="P35">
        <v>661.45783870000002</v>
      </c>
      <c r="Q35">
        <v>1525.2351920000001</v>
      </c>
      <c r="R35">
        <v>740.91490599999997</v>
      </c>
      <c r="S35">
        <v>475.95555680000001</v>
      </c>
      <c r="T35">
        <v>780.72356950000005</v>
      </c>
      <c r="U35">
        <v>1536.8548880000001</v>
      </c>
      <c r="V35">
        <v>428.92667290000003</v>
      </c>
      <c r="W35">
        <v>4546.986688</v>
      </c>
      <c r="X35">
        <v>500.21491129999998</v>
      </c>
      <c r="Y35">
        <v>2176.0027719999998</v>
      </c>
      <c r="Z35">
        <v>744.76074879999999</v>
      </c>
      <c r="AA35">
        <v>1269.903294</v>
      </c>
      <c r="AB35">
        <v>501.4151655</v>
      </c>
      <c r="AC35">
        <v>5756.965741</v>
      </c>
      <c r="AD35">
        <v>966.50301660000002</v>
      </c>
      <c r="AE35">
        <v>803.15189339999995</v>
      </c>
      <c r="AF35">
        <v>736.55984739999997</v>
      </c>
      <c r="AG35">
        <v>1280.8065429999999</v>
      </c>
      <c r="AH35">
        <v>1464.5889569999999</v>
      </c>
    </row>
    <row r="36" spans="1:34" x14ac:dyDescent="0.3">
      <c r="A36">
        <v>2017</v>
      </c>
      <c r="B36">
        <v>4109.6982170000001</v>
      </c>
      <c r="C36">
        <v>1136.5938719999999</v>
      </c>
      <c r="D36">
        <v>734.99626799999999</v>
      </c>
      <c r="E36">
        <v>3289.9022030000001</v>
      </c>
      <c r="F36">
        <v>1469.4475</v>
      </c>
      <c r="G36">
        <v>665.94888490000005</v>
      </c>
      <c r="H36">
        <v>467.07423169999998</v>
      </c>
      <c r="I36">
        <v>2111.0265570000001</v>
      </c>
      <c r="J36">
        <v>2444.290387</v>
      </c>
      <c r="L36">
        <v>768.52301539999996</v>
      </c>
      <c r="M36">
        <v>679.75507170000003</v>
      </c>
      <c r="N36">
        <v>2074.2907329999998</v>
      </c>
      <c r="O36">
        <v>855.57527059999995</v>
      </c>
      <c r="P36">
        <v>738.54994490000001</v>
      </c>
      <c r="Q36">
        <v>1633.4912159999999</v>
      </c>
      <c r="R36">
        <v>721.08504400000004</v>
      </c>
      <c r="S36">
        <v>515.29332339999996</v>
      </c>
      <c r="T36">
        <v>830.02151530000003</v>
      </c>
      <c r="U36">
        <v>1587.611263</v>
      </c>
      <c r="V36">
        <v>461.41509409999998</v>
      </c>
      <c r="W36">
        <v>5367.1146740000004</v>
      </c>
      <c r="X36">
        <v>517.7715723</v>
      </c>
      <c r="Y36">
        <v>1968.565398</v>
      </c>
      <c r="Z36">
        <v>772.3169891</v>
      </c>
      <c r="AA36">
        <v>1361.7019720000001</v>
      </c>
      <c r="AB36">
        <v>496.68229489999999</v>
      </c>
      <c r="AC36">
        <v>6690.9398469999996</v>
      </c>
      <c r="AD36">
        <v>1004.9065880000001</v>
      </c>
      <c r="AE36">
        <v>830.74527669999998</v>
      </c>
      <c r="AF36">
        <v>746.83075289999999</v>
      </c>
      <c r="AG36">
        <v>1535.1965740000001</v>
      </c>
      <c r="AH36">
        <v>1235.189032</v>
      </c>
    </row>
    <row r="37" spans="1:34" x14ac:dyDescent="0.3">
      <c r="A37">
        <v>2018</v>
      </c>
      <c r="B37">
        <v>4142.0185579999998</v>
      </c>
      <c r="C37">
        <v>1241.825298</v>
      </c>
      <c r="D37">
        <v>804.50053779999996</v>
      </c>
      <c r="E37">
        <v>3616.4645369999998</v>
      </c>
      <c r="F37">
        <v>1585.240534</v>
      </c>
      <c r="G37">
        <v>726.15100710000002</v>
      </c>
      <c r="H37">
        <v>560.80735819999995</v>
      </c>
      <c r="I37">
        <v>2314.0509579999998</v>
      </c>
      <c r="J37">
        <v>2537.1251849999999</v>
      </c>
      <c r="L37">
        <v>771.52486629999999</v>
      </c>
      <c r="M37">
        <v>732.72072730000002</v>
      </c>
      <c r="N37">
        <v>2260.8605670000002</v>
      </c>
      <c r="O37">
        <v>955.11128110000004</v>
      </c>
      <c r="P37">
        <v>802.76738509999996</v>
      </c>
      <c r="Q37">
        <v>1794.091175</v>
      </c>
      <c r="R37">
        <v>710.26599839999994</v>
      </c>
      <c r="S37">
        <v>523.94597139999996</v>
      </c>
      <c r="T37">
        <v>894.8047765</v>
      </c>
      <c r="U37">
        <v>1670.2041650000001</v>
      </c>
      <c r="V37">
        <v>503.31792519999999</v>
      </c>
      <c r="W37">
        <v>5588.3928640000004</v>
      </c>
      <c r="X37">
        <v>570.72392200000002</v>
      </c>
      <c r="Y37">
        <v>2027.7785490000001</v>
      </c>
      <c r="Z37">
        <v>783.63716280000006</v>
      </c>
      <c r="AA37">
        <v>1458.0690930000001</v>
      </c>
      <c r="AB37">
        <v>533.99153330000001</v>
      </c>
      <c r="AC37">
        <v>7005.095413</v>
      </c>
      <c r="AD37">
        <v>1042.8387560000001</v>
      </c>
      <c r="AE37">
        <v>901.52301690000002</v>
      </c>
      <c r="AF37">
        <v>770.60078429999999</v>
      </c>
      <c r="AG37">
        <v>1516.368371</v>
      </c>
      <c r="AH37">
        <v>1254.642265</v>
      </c>
    </row>
    <row r="38" spans="1:34" x14ac:dyDescent="0.3">
      <c r="A38">
        <v>2019</v>
      </c>
      <c r="B38">
        <v>3989.6682759999999</v>
      </c>
      <c r="C38">
        <v>1219.515506</v>
      </c>
      <c r="D38">
        <v>796.11520680000001</v>
      </c>
      <c r="E38">
        <v>3603.7752409999998</v>
      </c>
      <c r="F38">
        <v>1533.0956880000001</v>
      </c>
      <c r="G38">
        <v>709.54004320000001</v>
      </c>
      <c r="H38">
        <v>580.71687059999999</v>
      </c>
      <c r="I38">
        <v>2276.332394</v>
      </c>
      <c r="J38">
        <v>3019.092283</v>
      </c>
      <c r="L38">
        <v>855.76088519999996</v>
      </c>
      <c r="M38">
        <v>772.04591419999997</v>
      </c>
      <c r="N38">
        <v>2246.6255780000001</v>
      </c>
      <c r="O38">
        <v>1058.143368</v>
      </c>
      <c r="P38">
        <v>749.45374700000002</v>
      </c>
      <c r="Q38">
        <v>1912.6478669999999</v>
      </c>
      <c r="R38">
        <v>672.34049919999995</v>
      </c>
      <c r="S38">
        <v>522.98952429999997</v>
      </c>
      <c r="T38">
        <v>879.0431873</v>
      </c>
      <c r="U38">
        <v>1743.302901</v>
      </c>
      <c r="V38">
        <v>506.64163910000002</v>
      </c>
      <c r="W38">
        <v>5009.6859039999999</v>
      </c>
      <c r="X38">
        <v>554.09938929999998</v>
      </c>
      <c r="Y38">
        <v>2229.8586519999999</v>
      </c>
      <c r="Z38">
        <v>820.14928859999998</v>
      </c>
      <c r="AA38">
        <v>1430.1482590000001</v>
      </c>
      <c r="AB38">
        <v>521.75483670000006</v>
      </c>
      <c r="AC38">
        <v>6624.7618650000004</v>
      </c>
      <c r="AD38">
        <v>1085.8848599999999</v>
      </c>
      <c r="AE38">
        <v>893.35245410000005</v>
      </c>
      <c r="AF38">
        <v>798.58573409999997</v>
      </c>
      <c r="AG38">
        <v>1305.001031</v>
      </c>
      <c r="AH38">
        <v>1316.7406570000001</v>
      </c>
    </row>
    <row r="40" spans="1:34" x14ac:dyDescent="0.3">
      <c r="B40">
        <f>PEARSON(Table13[[#All],[Algeria]],Table14[[#All],[Algeria]])</f>
        <v>-0.82244717023590364</v>
      </c>
      <c r="C40">
        <f>PEARSON(Table13[[#All],[Benin]],Table14[[#All],[Benin]])</f>
        <v>0.6347885608622702</v>
      </c>
      <c r="D40">
        <f>PEARSON(Table13[[#All],[Burkina Faso]],Table14[[#All],[Burkina Faso]])</f>
        <v>0.603652334262339</v>
      </c>
      <c r="E40">
        <f>PEARSON(Table13[[#All],[Cabo Verde]],Table14[[#All],[Cabo Verde]])</f>
        <v>-0.36814212399417262</v>
      </c>
      <c r="F40">
        <f>PEARSON(Table13[[#All],[Cameroon]],Table14[[#All],[Cameroon]])</f>
        <v>0.51016056978791546</v>
      </c>
      <c r="G40" t="e">
        <f>PEARSON(Table13[[#All],[Chad]],Table14[[#All],[Chad]])</f>
        <v>#DIV/0!</v>
      </c>
      <c r="H40">
        <f>PEARSON(Table13[[#All],[Congo DR]],Table14[[#All],[Congo, Dem. Rep.]])</f>
        <v>1</v>
      </c>
      <c r="I40">
        <f>PEARSON(Table13[[#All],[Cote d Ivoire]],Table14[[#All],[Cote d''Ivoire]])</f>
        <v>2.9887315792219765E-15</v>
      </c>
      <c r="J40">
        <f>PEARSON(Table13[[#All],[Egypt]],Table14[[#All],[Egypt, Arab Rep.]])</f>
        <v>-0.32940148488362869</v>
      </c>
      <c r="K40" t="e">
        <f>PEARSON(Table13[[#All],[Eritrea]],Table14[[#All],[Eritrea]])</f>
        <v>#DIV/0!</v>
      </c>
      <c r="L40" t="e">
        <f>PEARSON(Table13[[#All],[Ethiopia]],Table14[[#All],[Ethiopia]])</f>
        <v>#DIV/0!</v>
      </c>
      <c r="M40" t="e">
        <f>PEARSON(Table13[[#All],[Gambia]],Table14[[#All],[Gambia, The]])</f>
        <v>#DIV/0!</v>
      </c>
      <c r="N40">
        <f>PEARSON(Table13[[#All],[Ghana]],Table14[[#All],[Ghana]])</f>
        <v>0.89384932501629721</v>
      </c>
      <c r="O40" t="e">
        <f>PEARSON(Table13[[#All],[Guinea]],Table14[[#All],[Guinea]])</f>
        <v>#DIV/0!</v>
      </c>
      <c r="P40">
        <f>PEARSON(Table13[[#All],[Guinea Bissau]],Table14[[#All],[Guinea-Bissau]])</f>
        <v>0.75412328285157793</v>
      </c>
      <c r="Q40">
        <f>PEARSON(Table13[[#All],[Kenya]],Table14[[#All],[Kenya]])</f>
        <v>0.80820447461998246</v>
      </c>
      <c r="R40">
        <f>PEARSON(Table13[[#All],[Liberia]],Table14[[#All],[Liberia]])</f>
        <v>-0.67172393622662452</v>
      </c>
      <c r="S40">
        <f>PEARSON(Table13[[#All],[Madagascar]],Table14[[#All],[Madagascar]])</f>
        <v>8.6565123634491925E-3</v>
      </c>
      <c r="T40">
        <f>PEARSON(Table13[[#All],[Mali]],Table14[[#All],[Mali]])</f>
        <v>0.59622743241450704</v>
      </c>
      <c r="U40">
        <f>PEARSON(Table13[[#All],[Mauritania]],Table14[[#All],[Mauritania]])</f>
        <v>0.20058951394866373</v>
      </c>
      <c r="V40">
        <f>PEARSON(Table13[[#All],[Mozambique]],Table14[[#All],[Mozambique]])</f>
        <v>-0.53267841913141778</v>
      </c>
      <c r="W40">
        <f>PEARSON(Table13[[#All],[Namibia]],Table14[[#All],[Namibia]])</f>
        <v>-0.6348099661381551</v>
      </c>
      <c r="X40">
        <f>PEARSON(Table13[[#All],[Niger]],Table14[[#All],[Niger]])</f>
        <v>0.6049285193829772</v>
      </c>
      <c r="Y40">
        <f>PEARSON(Table13[[#All],[Nigeria]],Table14[[#All],[Nigeria]])</f>
        <v>-0.8565006346972045</v>
      </c>
      <c r="Z40">
        <f>PEARSON(Table13[[#All],[Rwanda]],Table14[[#All],[Rwanda]])</f>
        <v>0.95190088740813517</v>
      </c>
      <c r="AA40">
        <f>PEARSON(Table13[[#All],[Senegal]],Table14[[#All],[Senegal]])</f>
        <v>0.58281114379055321</v>
      </c>
      <c r="AB40">
        <f>PEARSON(Table13[[#All],[Sierra Leone]],Table14[[#All],[Sierra Leone]])</f>
        <v>-0.62680902006419081</v>
      </c>
      <c r="AC40">
        <f>PEARSON(Table13[[#All],[South Africa]],Table14[[#All],[South Africa]])</f>
        <v>-0.25081548399210457</v>
      </c>
      <c r="AD40">
        <f>PEARSON(Table13[[#All],[Tanzania]],Table14[[#All],[Tanzania]])</f>
        <v>0.6452658475506996</v>
      </c>
      <c r="AE40">
        <f>PEARSON(Table13[[#All],[Togo]],Table14[[#All],[Togo]])</f>
        <v>0.99441871770626578</v>
      </c>
      <c r="AF40">
        <f>PEARSON(Table13[[#All],[Uganda]],Table14[[#All],[Uganda]])</f>
        <v>-0.33504898681407846</v>
      </c>
      <c r="AG40">
        <f>PEARSON(Table13[[#All],[Zambia]],Table14[[#All],[Zambia]])</f>
        <v>0.32669283276948757</v>
      </c>
      <c r="AH40" t="e">
        <f>PEARSON(Table13[[#All],[Zimbabwe]],Table14[[#All],[Zimbabwe]])</f>
        <v>#DIV/0!</v>
      </c>
    </row>
    <row r="41" spans="1:34" x14ac:dyDescent="0.3">
      <c r="B41" s="24" t="s">
        <v>163</v>
      </c>
      <c r="C41" s="24" t="s">
        <v>121</v>
      </c>
      <c r="D41" s="24" t="s">
        <v>122</v>
      </c>
      <c r="E41" s="24" t="s">
        <v>150</v>
      </c>
      <c r="F41" s="24" t="s">
        <v>145</v>
      </c>
      <c r="G41" s="24" t="s">
        <v>332</v>
      </c>
      <c r="H41" s="24" t="s">
        <v>146</v>
      </c>
      <c r="I41" s="24" t="s">
        <v>144</v>
      </c>
      <c r="J41" s="24" t="s">
        <v>170</v>
      </c>
      <c r="K41" s="24" t="s">
        <v>172</v>
      </c>
      <c r="L41" s="24" t="s">
        <v>175</v>
      </c>
      <c r="M41" s="24" t="s">
        <v>189</v>
      </c>
      <c r="N41" s="24" t="s">
        <v>186</v>
      </c>
      <c r="O41" s="24" t="s">
        <v>188</v>
      </c>
      <c r="P41" s="24" t="s">
        <v>190</v>
      </c>
      <c r="Q41" s="24" t="s">
        <v>224</v>
      </c>
      <c r="R41" s="24" t="s">
        <v>234</v>
      </c>
      <c r="S41" s="24" t="s">
        <v>254</v>
      </c>
      <c r="T41" s="24" t="s">
        <v>261</v>
      </c>
      <c r="U41" s="24" t="s">
        <v>269</v>
      </c>
      <c r="V41" s="24" t="s">
        <v>268</v>
      </c>
      <c r="W41" s="24" t="s">
        <v>274</v>
      </c>
      <c r="X41" s="24" t="s">
        <v>276</v>
      </c>
      <c r="Y41" s="24" t="s">
        <v>277</v>
      </c>
      <c r="Z41" s="24" t="s">
        <v>306</v>
      </c>
      <c r="AA41" s="24" t="s">
        <v>310</v>
      </c>
      <c r="AB41" s="24" t="s">
        <v>313</v>
      </c>
      <c r="AC41" s="24" t="s">
        <v>366</v>
      </c>
      <c r="AD41" s="24" t="s">
        <v>349</v>
      </c>
      <c r="AE41" s="24" t="s">
        <v>335</v>
      </c>
      <c r="AF41" s="24" t="s">
        <v>350</v>
      </c>
      <c r="AG41" s="24" t="s">
        <v>367</v>
      </c>
      <c r="AH41" s="24" t="s">
        <v>368</v>
      </c>
    </row>
    <row r="42" spans="1:34" x14ac:dyDescent="0.3">
      <c r="A42" t="s">
        <v>403</v>
      </c>
      <c r="B42">
        <f>PEARSON(Table13[[#All],[Algeria]],Table12[[#All],[Algeria]])</f>
        <v>-0.62728018698348975</v>
      </c>
      <c r="C42">
        <f>PEARSON(Table13[[#All],[Benin]],Table12[[#All],[Benin]])</f>
        <v>0.6959982597868084</v>
      </c>
      <c r="D42">
        <f>PEARSON(Table13[[#All],[Burkina Faso]],Table12[[#All],[Burkina Faso]])</f>
        <v>0.70766288596084914</v>
      </c>
      <c r="E42">
        <f>PEARSON(Table13[[#All],[Cabo Verde]],Table12[[#All],[Cabo Verde]])</f>
        <v>3.5896313314988409E-2</v>
      </c>
      <c r="F42">
        <f>PEARSON(Table13[[#All],[Cameroon]],Table12[[#All],[Cameroon]])</f>
        <v>0.81190012233813169</v>
      </c>
      <c r="G42" t="e">
        <f>PEARSON(Table13[[#All],[Chad]],Table12[[#All],[Chad]])</f>
        <v>#DIV/0!</v>
      </c>
      <c r="H42">
        <f>PEARSON(Table13[[#All],[Congo DR]],Table12[[#All],[Congo, Dem. Rep.]])</f>
        <v>1</v>
      </c>
      <c r="I42">
        <f>PEARSON(Table13[[#All],[Cote d Ivoire]],Table12[[#All],[Cote d''Ivoire]])</f>
        <v>0</v>
      </c>
      <c r="J42">
        <f>PEARSON(Table13[[#All],[Egypt]],Table12[[#All],[Egypt, Arab Rep.]])</f>
        <v>-0.17513202026670738</v>
      </c>
      <c r="K42" t="e">
        <f>PEARSON(Table13[[#All],[Eritrea]],Table12[[#All],[Eritrea]])</f>
        <v>#DIV/0!</v>
      </c>
      <c r="L42" t="e">
        <f>PEARSON(Table13[[#All],[Ethiopia]],Table12[[#All],[Ethiopia]])</f>
        <v>#DIV/0!</v>
      </c>
      <c r="M42" t="e">
        <f>PEARSON(Table13[[#All],[Gambia]],Table12[[#All],[Gambia, The]])</f>
        <v>#DIV/0!</v>
      </c>
      <c r="N42">
        <f>PEARSON(Table13[[#All],[Ghana]],Table12[[#All],[Ghana]])</f>
        <v>0.9587587261717756</v>
      </c>
      <c r="O42" t="e">
        <f>PEARSON(Table13[[#All],[Guinea]],Table12[[#All],[Guinea]])</f>
        <v>#DIV/0!</v>
      </c>
      <c r="P42">
        <f>PEARSON(Table13[[#All],[Guinea Bissau]],Table12[[#All],[Guinea-Bissau]])</f>
        <v>0.84845127157484512</v>
      </c>
      <c r="Q42">
        <f>PEARSON(Table13[[#All],[Kenya]],Table12[[#All],[Kenya]])</f>
        <v>0.80336356952953225</v>
      </c>
      <c r="R42">
        <f>PEARSON(Table13[[#All],[Liberia]],Table12[[#All],[Liberia]])</f>
        <v>-0.21354165524721375</v>
      </c>
      <c r="S42">
        <f>PEARSON(Table13[[#All],[Madagascar]],Table12[[#All],[Madagascar]])</f>
        <v>0.75533574128978165</v>
      </c>
      <c r="T42">
        <f>PEARSON(Table13[[#All],[Mali]],Table12[[#All],[Mali]])</f>
        <v>0.88554853206779871</v>
      </c>
      <c r="U42">
        <f>PEARSON(Table13[[#All],[Mauritania]],Table12[[#All],[Mauritania]])</f>
        <v>0.58610331609789934</v>
      </c>
      <c r="V42">
        <f>PEARSON(Table13[[#All],[Mozambique]],Table12[[#All],[Mozambique]])</f>
        <v>-0.3967346363348806</v>
      </c>
      <c r="W42">
        <f>PEARSON(Table13[[#All],[Namibia]],Table12[[#All],[Namibia]])</f>
        <v>-0.15399981245545605</v>
      </c>
      <c r="X42">
        <f>PEARSON(Table13[[#All],[Niger]],Table12[[#All],[Niger]])</f>
        <v>0.94862769267364033</v>
      </c>
      <c r="Y42">
        <f>PEARSON(Table13[[#All],[Nigeria]],Table12[[#All],[Nigeria]])</f>
        <v>-0.67599268513935673</v>
      </c>
      <c r="Z42">
        <f>PEARSON(Table13[[#All],[Rwanda]],Table12[[#All],[Rwanda]])</f>
        <v>0.97274567483246255</v>
      </c>
      <c r="AA42">
        <f>PEARSON(Table13[[#All],[Senegal]],Table12[[#All],[Senegal]])</f>
        <v>0.89292031877522759</v>
      </c>
      <c r="AB42">
        <f>PEARSON(Table13[[#All],[Sierra Leone]],Table12[[#All],[Sierra Leone]])</f>
        <v>-0.49821257524998952</v>
      </c>
      <c r="AC42">
        <f>PEARSON(Table13[[#All],[South Africa]],Table12[[#All],[South Africa]])</f>
        <v>7.0634996508650936E-3</v>
      </c>
      <c r="AD42">
        <f>PEARSON(Table13[[#All],[Tanzania]],Table12[[#All],[Tanzania]])</f>
        <v>0.88644823779537851</v>
      </c>
      <c r="AE42">
        <f>PEARSON(Table13[[#All],[Togo]],Table12[[#All],[Togo]])</f>
        <v>0.99269283051117518</v>
      </c>
      <c r="AF42">
        <f>PEARSON(Table13[[#All],[Uganda]],Table12[[#All],[Uganda]])</f>
        <v>0.86009270475263044</v>
      </c>
      <c r="AG42">
        <f>PEARSON(Table13[[#All],[Zambia]],Table12[[#All],[Zambia]])</f>
        <v>0.65939697550328269</v>
      </c>
      <c r="AH42" t="e">
        <f>PEARSON(Table13[[#All],[Zimbabwe]],Table12[[#All],[Zimbabwe]])</f>
        <v>#DIV/0!</v>
      </c>
    </row>
    <row r="43" spans="1:34" x14ac:dyDescent="0.3">
      <c r="A43" t="s">
        <v>404</v>
      </c>
      <c r="B43">
        <f>PEARSON(Table13[[#All],[Algeria]],Table14[[#All],[Algeria]])</f>
        <v>-0.82244717023590364</v>
      </c>
      <c r="C43">
        <f>PEARSON(Table13[[#All],[Benin]],Table14[[#All],[Benin]])</f>
        <v>0.6347885608622702</v>
      </c>
      <c r="D43">
        <f>PEARSON(Table13[[#All],[Burkina Faso]],Table14[[#All],[Burkina Faso]])</f>
        <v>0.603652334262339</v>
      </c>
      <c r="E43">
        <f>PEARSON(Table13[[#All],[Cabo Verde]],Table14[[#All],[Cabo Verde]])</f>
        <v>-0.36814212399417262</v>
      </c>
      <c r="F43">
        <f>PEARSON(Table13[[#All],[Cameroon]],Table14[[#All],[Cameroon]])</f>
        <v>0.51016056978791546</v>
      </c>
      <c r="G43" t="e">
        <f>PEARSON(Table13[[#All],[Chad]],Table14[[#All],[Chad]])</f>
        <v>#DIV/0!</v>
      </c>
      <c r="H43">
        <f>PEARSON(Table13[[#All],[Congo DR]],Table14[[#All],[Congo, Dem. Rep.]])</f>
        <v>1</v>
      </c>
      <c r="I43">
        <f>PEARSON(Table13[[#All],[Cote d Ivoire]],Table14[[#All],[Cote d''Ivoire]])</f>
        <v>2.9887315792219765E-15</v>
      </c>
      <c r="J43">
        <f>PEARSON(Table13[[#All],[Egypt]],Table14[[#All],[Egypt, Arab Rep.]])</f>
        <v>-0.32940148488362869</v>
      </c>
      <c r="K43" t="e">
        <f>PEARSON(Table13[[#All],[Eritrea]],Table14[[#All],[Eritrea]])</f>
        <v>#DIV/0!</v>
      </c>
      <c r="L43" t="e">
        <f>PEARSON(Table13[[#All],[Ethiopia]],Table14[[#All],[Ethiopia]])</f>
        <v>#DIV/0!</v>
      </c>
      <c r="M43" t="e">
        <f>PEARSON(Table13[[#All],[Gambia]],Table14[[#All],[Gambia, The]])</f>
        <v>#DIV/0!</v>
      </c>
      <c r="N43">
        <f>PEARSON(Table13[[#All],[Ghana]],Table14[[#All],[Ghana]])</f>
        <v>0.89384932501629721</v>
      </c>
      <c r="O43" t="e">
        <f>PEARSON(Table13[[#All],[Guinea]],Table14[[#All],[Guinea]])</f>
        <v>#DIV/0!</v>
      </c>
      <c r="P43">
        <f>PEARSON(Table13[[#All],[Guinea Bissau]],Table14[[#All],[Guinea-Bissau]])</f>
        <v>0.75412328285157793</v>
      </c>
      <c r="Q43">
        <f>PEARSON(Table13[[#All],[Kenya]],Table14[[#All],[Kenya]])</f>
        <v>0.80820447461998246</v>
      </c>
      <c r="R43">
        <f>PEARSON(Table13[[#All],[Liberia]],Table14[[#All],[Liberia]])</f>
        <v>-0.67172393622662452</v>
      </c>
      <c r="S43">
        <f>PEARSON(Table13[[#All],[Madagascar]],Table14[[#All],[Madagascar]])</f>
        <v>8.6565123634491925E-3</v>
      </c>
      <c r="T43">
        <f>PEARSON(Table13[[#All],[Mali]],Table14[[#All],[Mali]])</f>
        <v>0.59622743241450704</v>
      </c>
      <c r="U43">
        <f>PEARSON(Table13[[#All],[Mauritania]],Table14[[#All],[Mauritania]])</f>
        <v>0.20058951394866373</v>
      </c>
      <c r="V43">
        <f>PEARSON(Table13[[#All],[Mozambique]],Table14[[#All],[Mozambique]])</f>
        <v>-0.53267841913141778</v>
      </c>
      <c r="W43">
        <f>PEARSON(Table13[[#All],[Namibia]],Table14[[#All],[Namibia]])</f>
        <v>-0.6348099661381551</v>
      </c>
      <c r="X43">
        <f>PEARSON(Table13[[#All],[Niger]],Table14[[#All],[Niger]])</f>
        <v>0.6049285193829772</v>
      </c>
      <c r="Y43">
        <f>PEARSON(Table13[[#All],[Nigeria]],Table14[[#All],[Nigeria]])</f>
        <v>-0.8565006346972045</v>
      </c>
      <c r="Z43">
        <f>PEARSON(Table13[[#All],[Rwanda]],Table14[[#All],[Rwanda]])</f>
        <v>0.95190088740813517</v>
      </c>
      <c r="AA43">
        <f>PEARSON(Table13[[#All],[Senegal]],Table14[[#All],[Senegal]])</f>
        <v>0.58281114379055321</v>
      </c>
      <c r="AB43">
        <f>PEARSON(Table13[[#All],[Sierra Leone]],Table14[[#All],[Sierra Leone]])</f>
        <v>-0.62680902006419081</v>
      </c>
      <c r="AC43">
        <f>PEARSON(Table13[[#All],[South Africa]],Table14[[#All],[South Africa]])</f>
        <v>-0.25081548399210457</v>
      </c>
      <c r="AD43">
        <f>PEARSON(Table13[[#All],[Tanzania]],Table14[[#All],[Tanzania]])</f>
        <v>0.6452658475506996</v>
      </c>
      <c r="AE43">
        <f>PEARSON(Table13[[#All],[Togo]],Table14[[#All],[Togo]])</f>
        <v>0.99441871770626578</v>
      </c>
      <c r="AF43">
        <f>PEARSON(Table13[[#All],[Uganda]],Table14[[#All],[Uganda]])</f>
        <v>-0.33504898681407846</v>
      </c>
      <c r="AG43">
        <f>PEARSON(Table13[[#All],[Zambia]],Table14[[#All],[Zambia]])</f>
        <v>0.32669283276948757</v>
      </c>
      <c r="AH43" t="e">
        <f>PEARSON(Table13[[#All],[Zimbabwe]],Table14[[#All],[Zimbabwe]])</f>
        <v>#DIV/0!</v>
      </c>
    </row>
    <row r="44" spans="1:34" x14ac:dyDescent="0.3">
      <c r="D44" s="14"/>
      <c r="E44" s="15"/>
    </row>
    <row r="45" spans="1:34" x14ac:dyDescent="0.3">
      <c r="A45" s="25" t="s">
        <v>382</v>
      </c>
      <c r="B45" s="26" t="s">
        <v>405</v>
      </c>
      <c r="C45" s="26" t="s">
        <v>406</v>
      </c>
      <c r="D45" s="26" t="s">
        <v>407</v>
      </c>
      <c r="E45" s="26" t="s">
        <v>408</v>
      </c>
      <c r="F45" s="26" t="s">
        <v>409</v>
      </c>
      <c r="G45" s="26" t="s">
        <v>410</v>
      </c>
      <c r="H45" s="26" t="s">
        <v>411</v>
      </c>
      <c r="I45" s="26" t="s">
        <v>412</v>
      </c>
      <c r="J45" s="26" t="s">
        <v>413</v>
      </c>
      <c r="K45" s="26" t="s">
        <v>414</v>
      </c>
      <c r="L45" s="26" t="s">
        <v>415</v>
      </c>
      <c r="M45" s="26" t="s">
        <v>416</v>
      </c>
      <c r="N45" s="26" t="s">
        <v>417</v>
      </c>
      <c r="O45" s="26" t="s">
        <v>418</v>
      </c>
      <c r="P45" s="26" t="s">
        <v>419</v>
      </c>
      <c r="Q45" s="26" t="s">
        <v>420</v>
      </c>
      <c r="R45" s="26" t="s">
        <v>421</v>
      </c>
      <c r="S45" s="26" t="s">
        <v>422</v>
      </c>
      <c r="T45" s="26" t="s">
        <v>423</v>
      </c>
      <c r="U45" s="26" t="s">
        <v>424</v>
      </c>
      <c r="V45" s="26" t="s">
        <v>425</v>
      </c>
      <c r="W45" s="26" t="s">
        <v>426</v>
      </c>
      <c r="X45" s="26" t="s">
        <v>427</v>
      </c>
      <c r="Y45" s="26" t="s">
        <v>428</v>
      </c>
      <c r="Z45" s="26" t="s">
        <v>429</v>
      </c>
      <c r="AA45" s="26" t="s">
        <v>430</v>
      </c>
      <c r="AB45" s="26" t="s">
        <v>431</v>
      </c>
      <c r="AC45" s="26" t="s">
        <v>432</v>
      </c>
      <c r="AD45" s="26" t="s">
        <v>433</v>
      </c>
      <c r="AE45" s="26" t="s">
        <v>434</v>
      </c>
      <c r="AF45" s="26" t="s">
        <v>435</v>
      </c>
      <c r="AG45" s="26" t="s">
        <v>436</v>
      </c>
      <c r="AH45" s="26" t="s">
        <v>437</v>
      </c>
    </row>
    <row r="46" spans="1:34" x14ac:dyDescent="0.3">
      <c r="A46" s="27" t="s">
        <v>383</v>
      </c>
      <c r="B46" s="28">
        <f t="shared" ref="B46:Q46" si="0">B2-0</f>
        <v>0.45400000000000001</v>
      </c>
      <c r="C46" s="28">
        <f t="shared" si="0"/>
        <v>0</v>
      </c>
      <c r="D46" s="28">
        <f t="shared" si="0"/>
        <v>0</v>
      </c>
      <c r="E46" s="28">
        <f t="shared" si="0"/>
        <v>0</v>
      </c>
      <c r="F46" s="28">
        <f t="shared" si="0"/>
        <v>0.01</v>
      </c>
      <c r="G46" s="28">
        <f t="shared" si="0"/>
        <v>0</v>
      </c>
      <c r="H46" s="28">
        <f t="shared" si="0"/>
        <v>0</v>
      </c>
      <c r="I46" s="28">
        <f t="shared" si="0"/>
        <v>0</v>
      </c>
      <c r="J46" s="28">
        <f t="shared" si="0"/>
        <v>0</v>
      </c>
      <c r="K46" s="28">
        <f t="shared" si="0"/>
        <v>0</v>
      </c>
      <c r="L46" s="28">
        <f t="shared" si="0"/>
        <v>0</v>
      </c>
      <c r="M46" s="28">
        <f t="shared" si="0"/>
        <v>0</v>
      </c>
      <c r="N46" s="28">
        <f t="shared" si="0"/>
        <v>0</v>
      </c>
      <c r="O46" s="28">
        <f t="shared" si="0"/>
        <v>0</v>
      </c>
      <c r="P46" s="28">
        <f t="shared" si="0"/>
        <v>0</v>
      </c>
      <c r="Q46" s="28">
        <f t="shared" si="0"/>
        <v>0</v>
      </c>
      <c r="R46" s="28">
        <f t="shared" ref="R46:AH46" si="1">R2-0</f>
        <v>0</v>
      </c>
      <c r="S46" s="28">
        <f t="shared" si="1"/>
        <v>3.0000000000000001E-3</v>
      </c>
      <c r="T46" s="28">
        <f t="shared" si="1"/>
        <v>0.45400000000000001</v>
      </c>
      <c r="U46" s="28">
        <f t="shared" si="1"/>
        <v>0</v>
      </c>
      <c r="V46" s="28">
        <f t="shared" si="1"/>
        <v>0</v>
      </c>
      <c r="W46" s="28">
        <f t="shared" si="1"/>
        <v>0</v>
      </c>
      <c r="X46" s="28">
        <f t="shared" si="1"/>
        <v>0</v>
      </c>
      <c r="Y46" s="28">
        <f t="shared" si="1"/>
        <v>0</v>
      </c>
      <c r="Z46" s="28">
        <f t="shared" si="1"/>
        <v>0</v>
      </c>
      <c r="AA46" s="28">
        <f t="shared" si="1"/>
        <v>0.37</v>
      </c>
      <c r="AB46" s="28">
        <f t="shared" si="1"/>
        <v>0</v>
      </c>
      <c r="AC46" s="28">
        <f t="shared" si="1"/>
        <v>0</v>
      </c>
      <c r="AD46" s="28">
        <f t="shared" si="1"/>
        <v>0</v>
      </c>
      <c r="AE46" s="28">
        <f t="shared" si="1"/>
        <v>0</v>
      </c>
      <c r="AF46" s="28">
        <f t="shared" si="1"/>
        <v>0.85</v>
      </c>
      <c r="AG46" s="28">
        <f t="shared" si="1"/>
        <v>0</v>
      </c>
      <c r="AH46" s="28">
        <f t="shared" si="1"/>
        <v>0</v>
      </c>
    </row>
    <row r="47" spans="1:34" x14ac:dyDescent="0.3">
      <c r="A47" s="21" t="s">
        <v>384</v>
      </c>
      <c r="B47" s="23">
        <f>B3-B2</f>
        <v>0</v>
      </c>
      <c r="C47" s="23">
        <f t="shared" ref="C47:AH55" si="2">C3-C2</f>
        <v>0</v>
      </c>
      <c r="D47" s="23">
        <f t="shared" si="2"/>
        <v>0</v>
      </c>
      <c r="E47" s="23">
        <f t="shared" si="2"/>
        <v>0</v>
      </c>
      <c r="F47" s="23">
        <f t="shared" si="2"/>
        <v>0</v>
      </c>
      <c r="G47" s="23">
        <f t="shared" si="2"/>
        <v>0</v>
      </c>
      <c r="H47" s="23">
        <f t="shared" si="2"/>
        <v>0</v>
      </c>
      <c r="I47" s="23">
        <f t="shared" si="2"/>
        <v>0</v>
      </c>
      <c r="J47" s="23">
        <f t="shared" si="2"/>
        <v>0</v>
      </c>
      <c r="K47" s="23">
        <f t="shared" si="2"/>
        <v>0</v>
      </c>
      <c r="L47" s="23">
        <f t="shared" si="2"/>
        <v>0</v>
      </c>
      <c r="M47" s="23">
        <f t="shared" si="2"/>
        <v>0</v>
      </c>
      <c r="N47" s="23">
        <f t="shared" si="2"/>
        <v>0</v>
      </c>
      <c r="O47" s="23">
        <f t="shared" si="2"/>
        <v>0</v>
      </c>
      <c r="P47" s="23">
        <f t="shared" si="2"/>
        <v>0</v>
      </c>
      <c r="Q47" s="23">
        <f t="shared" si="2"/>
        <v>0</v>
      </c>
      <c r="R47" s="23">
        <f t="shared" si="2"/>
        <v>0</v>
      </c>
      <c r="S47" s="23">
        <f t="shared" si="2"/>
        <v>0</v>
      </c>
      <c r="T47" s="23">
        <f t="shared" si="2"/>
        <v>0.41599999999999998</v>
      </c>
      <c r="U47" s="23">
        <f t="shared" si="2"/>
        <v>0</v>
      </c>
      <c r="V47" s="23">
        <f t="shared" si="2"/>
        <v>0</v>
      </c>
      <c r="W47" s="23">
        <f t="shared" si="2"/>
        <v>0.20200000000000001</v>
      </c>
      <c r="X47" s="23">
        <f t="shared" si="2"/>
        <v>0</v>
      </c>
      <c r="Y47" s="23">
        <f t="shared" si="2"/>
        <v>0</v>
      </c>
      <c r="Z47" s="23">
        <f t="shared" si="2"/>
        <v>0</v>
      </c>
      <c r="AA47" s="23">
        <f t="shared" si="2"/>
        <v>0</v>
      </c>
      <c r="AB47" s="23">
        <f t="shared" si="2"/>
        <v>0</v>
      </c>
      <c r="AC47" s="23">
        <f t="shared" si="2"/>
        <v>1E-3</v>
      </c>
      <c r="AD47" s="23">
        <f t="shared" si="2"/>
        <v>0</v>
      </c>
      <c r="AE47" s="23">
        <f t="shared" si="2"/>
        <v>0</v>
      </c>
      <c r="AF47" s="23">
        <f t="shared" si="2"/>
        <v>1.0000000000000009E-3</v>
      </c>
      <c r="AG47" s="23">
        <f t="shared" si="2"/>
        <v>0</v>
      </c>
      <c r="AH47" s="23">
        <f t="shared" si="2"/>
        <v>0</v>
      </c>
    </row>
    <row r="48" spans="1:34" x14ac:dyDescent="0.3">
      <c r="A48" s="29" t="s">
        <v>385</v>
      </c>
      <c r="B48" s="23">
        <f t="shared" ref="B48:Q55" si="3">B4-B3</f>
        <v>0</v>
      </c>
      <c r="C48" s="23">
        <f t="shared" si="3"/>
        <v>0</v>
      </c>
      <c r="D48" s="23">
        <f t="shared" si="3"/>
        <v>0</v>
      </c>
      <c r="E48" s="23">
        <f t="shared" si="3"/>
        <v>2.7E-2</v>
      </c>
      <c r="F48" s="23">
        <f t="shared" si="3"/>
        <v>0</v>
      </c>
      <c r="G48" s="23">
        <f t="shared" si="3"/>
        <v>0</v>
      </c>
      <c r="H48" s="23">
        <f t="shared" si="3"/>
        <v>0</v>
      </c>
      <c r="I48" s="23">
        <f t="shared" si="3"/>
        <v>0</v>
      </c>
      <c r="J48" s="23">
        <f t="shared" si="3"/>
        <v>0</v>
      </c>
      <c r="K48" s="23">
        <f t="shared" si="3"/>
        <v>0</v>
      </c>
      <c r="L48" s="23">
        <f t="shared" si="3"/>
        <v>0</v>
      </c>
      <c r="M48" s="23">
        <f t="shared" si="3"/>
        <v>0</v>
      </c>
      <c r="N48" s="23">
        <f t="shared" si="3"/>
        <v>0</v>
      </c>
      <c r="O48" s="23">
        <f t="shared" si="3"/>
        <v>0</v>
      </c>
      <c r="P48" s="23">
        <f t="shared" si="3"/>
        <v>0</v>
      </c>
      <c r="Q48" s="23">
        <f t="shared" si="3"/>
        <v>0.71399999999999997</v>
      </c>
      <c r="R48" s="23">
        <f t="shared" si="2"/>
        <v>0</v>
      </c>
      <c r="S48" s="23">
        <f t="shared" si="2"/>
        <v>0</v>
      </c>
      <c r="T48" s="23">
        <f t="shared" si="2"/>
        <v>0.30199999999999994</v>
      </c>
      <c r="U48" s="23">
        <f t="shared" si="2"/>
        <v>0</v>
      </c>
      <c r="V48" s="23">
        <f t="shared" si="2"/>
        <v>0</v>
      </c>
      <c r="W48" s="23">
        <f t="shared" si="2"/>
        <v>0</v>
      </c>
      <c r="X48" s="23">
        <f t="shared" si="2"/>
        <v>0</v>
      </c>
      <c r="Y48" s="23">
        <f t="shared" si="2"/>
        <v>8.3000000000000004E-2</v>
      </c>
      <c r="Z48" s="23">
        <f t="shared" si="2"/>
        <v>0</v>
      </c>
      <c r="AA48" s="23">
        <f t="shared" si="2"/>
        <v>0.71899999999999997</v>
      </c>
      <c r="AB48" s="23">
        <f t="shared" si="2"/>
        <v>0</v>
      </c>
      <c r="AC48" s="23">
        <f t="shared" si="2"/>
        <v>0</v>
      </c>
      <c r="AD48" s="23">
        <f t="shared" si="2"/>
        <v>0</v>
      </c>
      <c r="AE48" s="23">
        <f t="shared" si="2"/>
        <v>0</v>
      </c>
      <c r="AF48" s="23">
        <f t="shared" si="2"/>
        <v>0</v>
      </c>
      <c r="AG48" s="23">
        <f t="shared" si="2"/>
        <v>0</v>
      </c>
      <c r="AH48" s="23">
        <f t="shared" si="2"/>
        <v>0</v>
      </c>
    </row>
    <row r="49" spans="1:34" x14ac:dyDescent="0.3">
      <c r="A49" s="21" t="s">
        <v>386</v>
      </c>
      <c r="B49" s="23">
        <f t="shared" si="3"/>
        <v>0</v>
      </c>
      <c r="C49" s="23">
        <f t="shared" si="2"/>
        <v>0</v>
      </c>
      <c r="D49" s="23">
        <f t="shared" si="2"/>
        <v>0</v>
      </c>
      <c r="E49" s="23">
        <f t="shared" si="2"/>
        <v>0</v>
      </c>
      <c r="F49" s="23">
        <f t="shared" si="2"/>
        <v>0</v>
      </c>
      <c r="G49" s="23">
        <f t="shared" si="2"/>
        <v>0</v>
      </c>
      <c r="H49" s="23">
        <f t="shared" si="2"/>
        <v>0</v>
      </c>
      <c r="I49" s="23">
        <f t="shared" si="2"/>
        <v>0</v>
      </c>
      <c r="J49" s="23">
        <f t="shared" si="2"/>
        <v>0</v>
      </c>
      <c r="K49" s="23">
        <f t="shared" si="2"/>
        <v>0</v>
      </c>
      <c r="L49" s="23">
        <f t="shared" si="2"/>
        <v>0</v>
      </c>
      <c r="M49" s="23">
        <f t="shared" si="2"/>
        <v>0</v>
      </c>
      <c r="N49" s="23">
        <f t="shared" si="2"/>
        <v>0</v>
      </c>
      <c r="O49" s="23">
        <f t="shared" si="2"/>
        <v>0</v>
      </c>
      <c r="P49" s="23">
        <f t="shared" si="2"/>
        <v>0</v>
      </c>
      <c r="Q49" s="23">
        <f t="shared" si="2"/>
        <v>0.12</v>
      </c>
      <c r="R49" s="23">
        <f t="shared" si="2"/>
        <v>0</v>
      </c>
      <c r="S49" s="23">
        <f t="shared" si="2"/>
        <v>0</v>
      </c>
      <c r="T49" s="23">
        <f t="shared" si="2"/>
        <v>1.8779999999999999</v>
      </c>
      <c r="U49" s="23">
        <f t="shared" si="2"/>
        <v>0</v>
      </c>
      <c r="V49" s="23">
        <f t="shared" si="2"/>
        <v>1.3240000000000001</v>
      </c>
      <c r="W49" s="23">
        <f t="shared" si="2"/>
        <v>0</v>
      </c>
      <c r="X49" s="23">
        <f t="shared" si="2"/>
        <v>0</v>
      </c>
      <c r="Y49" s="23">
        <f t="shared" si="2"/>
        <v>0.108</v>
      </c>
      <c r="Z49" s="23">
        <f t="shared" si="2"/>
        <v>0</v>
      </c>
      <c r="AA49" s="23">
        <f t="shared" si="2"/>
        <v>0</v>
      </c>
      <c r="AB49" s="23">
        <f t="shared" si="2"/>
        <v>5.0000000000000001E-3</v>
      </c>
      <c r="AC49" s="23">
        <f t="shared" si="2"/>
        <v>0</v>
      </c>
      <c r="AD49" s="23">
        <f t="shared" si="2"/>
        <v>3.3000000000000002E-2</v>
      </c>
      <c r="AE49" s="23">
        <f t="shared" si="2"/>
        <v>0</v>
      </c>
      <c r="AF49" s="23">
        <f t="shared" si="2"/>
        <v>0</v>
      </c>
      <c r="AG49" s="23">
        <f t="shared" si="2"/>
        <v>0</v>
      </c>
      <c r="AH49" s="23">
        <f t="shared" si="2"/>
        <v>0</v>
      </c>
    </row>
    <row r="50" spans="1:34" x14ac:dyDescent="0.3">
      <c r="A50" s="30" t="s">
        <v>387</v>
      </c>
      <c r="B50" s="23">
        <f t="shared" si="3"/>
        <v>0</v>
      </c>
      <c r="C50" s="23">
        <f t="shared" si="2"/>
        <v>0</v>
      </c>
      <c r="D50" s="23">
        <f t="shared" si="2"/>
        <v>0</v>
      </c>
      <c r="E50" s="23">
        <f t="shared" si="2"/>
        <v>1.3000000000000001E-2</v>
      </c>
      <c r="F50" s="23">
        <f t="shared" si="2"/>
        <v>0</v>
      </c>
      <c r="G50" s="23">
        <f t="shared" si="2"/>
        <v>0</v>
      </c>
      <c r="H50" s="23">
        <f t="shared" si="2"/>
        <v>0</v>
      </c>
      <c r="I50" s="23">
        <f t="shared" si="2"/>
        <v>0</v>
      </c>
      <c r="J50" s="23">
        <f t="shared" si="2"/>
        <v>0</v>
      </c>
      <c r="K50" s="23">
        <f t="shared" si="2"/>
        <v>0</v>
      </c>
      <c r="L50" s="23">
        <f t="shared" si="2"/>
        <v>0</v>
      </c>
      <c r="M50" s="23">
        <f t="shared" si="2"/>
        <v>0</v>
      </c>
      <c r="N50" s="23">
        <f t="shared" si="2"/>
        <v>1.2E-2</v>
      </c>
      <c r="O50" s="23">
        <f t="shared" si="2"/>
        <v>0</v>
      </c>
      <c r="P50" s="23">
        <f t="shared" si="2"/>
        <v>0</v>
      </c>
      <c r="Q50" s="23">
        <f t="shared" si="2"/>
        <v>5.0000000000000044E-2</v>
      </c>
      <c r="R50" s="23">
        <f t="shared" si="2"/>
        <v>0</v>
      </c>
      <c r="S50" s="23">
        <f t="shared" si="2"/>
        <v>0</v>
      </c>
      <c r="T50" s="23">
        <f t="shared" si="2"/>
        <v>0.33000000000000007</v>
      </c>
      <c r="U50" s="23">
        <f t="shared" si="2"/>
        <v>0.13500000000000001</v>
      </c>
      <c r="V50" s="23">
        <f t="shared" si="2"/>
        <v>6.9999999999998952E-3</v>
      </c>
      <c r="W50" s="23">
        <f t="shared" si="2"/>
        <v>0.29199999999999998</v>
      </c>
      <c r="X50" s="23">
        <f t="shared" si="2"/>
        <v>2.8000000000000001E-2</v>
      </c>
      <c r="Y50" s="23">
        <f t="shared" si="2"/>
        <v>0.16899999999999998</v>
      </c>
      <c r="Z50" s="23">
        <f t="shared" si="2"/>
        <v>0</v>
      </c>
      <c r="AA50" s="23">
        <f t="shared" si="2"/>
        <v>0</v>
      </c>
      <c r="AB50" s="23">
        <f t="shared" si="2"/>
        <v>0</v>
      </c>
      <c r="AC50" s="23">
        <f t="shared" si="2"/>
        <v>0</v>
      </c>
      <c r="AD50" s="23">
        <f t="shared" si="2"/>
        <v>7.3999999999999996E-2</v>
      </c>
      <c r="AE50" s="23">
        <f t="shared" si="2"/>
        <v>0</v>
      </c>
      <c r="AF50" s="23">
        <f t="shared" si="2"/>
        <v>0.627</v>
      </c>
      <c r="AG50" s="23">
        <f t="shared" si="2"/>
        <v>0</v>
      </c>
      <c r="AH50" s="23">
        <f t="shared" si="2"/>
        <v>0</v>
      </c>
    </row>
    <row r="51" spans="1:34" x14ac:dyDescent="0.3">
      <c r="A51" s="7" t="s">
        <v>388</v>
      </c>
      <c r="B51" s="23">
        <f t="shared" si="3"/>
        <v>48.646000000000001</v>
      </c>
      <c r="C51" s="23">
        <f t="shared" si="2"/>
        <v>0.10199999999999999</v>
      </c>
      <c r="D51" s="23">
        <f t="shared" si="2"/>
        <v>0</v>
      </c>
      <c r="E51" s="23">
        <f t="shared" si="2"/>
        <v>0.10899999999999999</v>
      </c>
      <c r="F51" s="23">
        <f t="shared" si="2"/>
        <v>7.2000000000000008E-2</v>
      </c>
      <c r="G51" s="23">
        <f t="shared" si="2"/>
        <v>0.122</v>
      </c>
      <c r="H51" s="23">
        <f t="shared" si="2"/>
        <v>0</v>
      </c>
      <c r="I51" s="23">
        <f t="shared" si="2"/>
        <v>0.218</v>
      </c>
      <c r="J51" s="23">
        <f t="shared" si="2"/>
        <v>10</v>
      </c>
      <c r="K51" s="23">
        <f t="shared" si="2"/>
        <v>0</v>
      </c>
      <c r="L51" s="23">
        <f t="shared" si="2"/>
        <v>0</v>
      </c>
      <c r="M51" s="23">
        <f t="shared" si="2"/>
        <v>0.06</v>
      </c>
      <c r="N51" s="23">
        <f t="shared" si="2"/>
        <v>0</v>
      </c>
      <c r="O51" s="23">
        <f t="shared" si="2"/>
        <v>0</v>
      </c>
      <c r="P51" s="23">
        <f t="shared" si="2"/>
        <v>0</v>
      </c>
      <c r="Q51" s="23">
        <f t="shared" si="2"/>
        <v>-3.5000000000000031E-2</v>
      </c>
      <c r="R51" s="23">
        <f t="shared" si="2"/>
        <v>0</v>
      </c>
      <c r="S51" s="23">
        <f t="shared" si="2"/>
        <v>0.14499999999999999</v>
      </c>
      <c r="T51" s="23">
        <f t="shared" si="2"/>
        <v>0.84200000000000053</v>
      </c>
      <c r="U51" s="23">
        <f t="shared" si="2"/>
        <v>0</v>
      </c>
      <c r="V51" s="23">
        <f t="shared" si="2"/>
        <v>0</v>
      </c>
      <c r="W51" s="23">
        <f t="shared" si="2"/>
        <v>0</v>
      </c>
      <c r="X51" s="23">
        <f t="shared" si="2"/>
        <v>0</v>
      </c>
      <c r="Y51" s="23">
        <f t="shared" si="2"/>
        <v>0.68299999999999994</v>
      </c>
      <c r="Z51" s="23">
        <f t="shared" si="2"/>
        <v>3.3460000000000001</v>
      </c>
      <c r="AA51" s="23">
        <f t="shared" si="2"/>
        <v>0</v>
      </c>
      <c r="AB51" s="23">
        <f t="shared" si="2"/>
        <v>0</v>
      </c>
      <c r="AC51" s="23">
        <f t="shared" si="2"/>
        <v>0</v>
      </c>
      <c r="AD51" s="23">
        <f t="shared" si="2"/>
        <v>3.3999999999999989E-2</v>
      </c>
      <c r="AE51" s="23">
        <f t="shared" si="2"/>
        <v>0</v>
      </c>
      <c r="AF51" s="23">
        <f t="shared" si="2"/>
        <v>8.6999999999999966E-2</v>
      </c>
      <c r="AG51" s="23">
        <f t="shared" si="2"/>
        <v>1E-3</v>
      </c>
      <c r="AH51" s="23">
        <f t="shared" si="2"/>
        <v>0</v>
      </c>
    </row>
    <row r="52" spans="1:34" x14ac:dyDescent="0.3">
      <c r="A52" s="30" t="s">
        <v>389</v>
      </c>
      <c r="B52" s="23">
        <f t="shared" si="3"/>
        <v>170</v>
      </c>
      <c r="C52" s="23">
        <f t="shared" si="2"/>
        <v>0.60399999999999998</v>
      </c>
      <c r="D52" s="23">
        <f t="shared" si="2"/>
        <v>8.5999999999999993E-2</v>
      </c>
      <c r="E52" s="23">
        <f t="shared" si="2"/>
        <v>0</v>
      </c>
      <c r="F52" s="23">
        <f t="shared" si="2"/>
        <v>7.1999999999999995E-2</v>
      </c>
      <c r="G52" s="23">
        <f t="shared" si="2"/>
        <v>0</v>
      </c>
      <c r="H52" s="23">
        <f t="shared" si="2"/>
        <v>0</v>
      </c>
      <c r="I52" s="23">
        <f t="shared" si="2"/>
        <v>0</v>
      </c>
      <c r="J52" s="23">
        <f t="shared" si="2"/>
        <v>0</v>
      </c>
      <c r="K52" s="23">
        <f t="shared" si="2"/>
        <v>0.35</v>
      </c>
      <c r="L52" s="23">
        <f t="shared" si="2"/>
        <v>0</v>
      </c>
      <c r="M52" s="23">
        <f t="shared" si="2"/>
        <v>0</v>
      </c>
      <c r="N52" s="23">
        <f t="shared" si="2"/>
        <v>0.21</v>
      </c>
      <c r="O52" s="23">
        <f t="shared" si="2"/>
        <v>0</v>
      </c>
      <c r="P52" s="23">
        <f t="shared" si="2"/>
        <v>0.312</v>
      </c>
      <c r="Q52" s="23">
        <f t="shared" si="2"/>
        <v>7.900000000000007E-2</v>
      </c>
      <c r="R52" s="23">
        <f t="shared" si="2"/>
        <v>0</v>
      </c>
      <c r="S52" s="23">
        <f t="shared" si="2"/>
        <v>0</v>
      </c>
      <c r="T52" s="23">
        <f t="shared" si="2"/>
        <v>8.599999999999941E-2</v>
      </c>
      <c r="U52" s="23">
        <f t="shared" si="2"/>
        <v>1.7999999999999988E-2</v>
      </c>
      <c r="V52" s="23">
        <f t="shared" si="2"/>
        <v>0</v>
      </c>
      <c r="W52" s="23">
        <f t="shared" si="2"/>
        <v>0</v>
      </c>
      <c r="X52" s="23">
        <f t="shared" si="2"/>
        <v>0</v>
      </c>
      <c r="Y52" s="23">
        <f t="shared" si="2"/>
        <v>0.16900000000000004</v>
      </c>
      <c r="Z52" s="23">
        <f t="shared" si="2"/>
        <v>2.9999999999999805E-2</v>
      </c>
      <c r="AA52" s="23">
        <f t="shared" si="2"/>
        <v>1.0000000000000009E-2</v>
      </c>
      <c r="AB52" s="23">
        <f t="shared" si="2"/>
        <v>0</v>
      </c>
      <c r="AC52" s="23">
        <f t="shared" si="2"/>
        <v>0</v>
      </c>
      <c r="AD52" s="23">
        <f t="shared" si="2"/>
        <v>0.10200000000000001</v>
      </c>
      <c r="AE52" s="23">
        <f t="shared" si="2"/>
        <v>0</v>
      </c>
      <c r="AF52" s="23">
        <f t="shared" si="2"/>
        <v>0.22999999999999998</v>
      </c>
      <c r="AG52" s="23">
        <f t="shared" si="2"/>
        <v>0</v>
      </c>
      <c r="AH52" s="23">
        <f t="shared" si="2"/>
        <v>9.9000000000000005E-2</v>
      </c>
    </row>
    <row r="53" spans="1:34" x14ac:dyDescent="0.3">
      <c r="A53" s="21" t="s">
        <v>390</v>
      </c>
      <c r="B53" s="23">
        <f t="shared" si="3"/>
        <v>0</v>
      </c>
      <c r="C53" s="23">
        <f t="shared" si="2"/>
        <v>0</v>
      </c>
      <c r="D53" s="23">
        <f t="shared" si="2"/>
        <v>4.9000000000000016E-2</v>
      </c>
      <c r="E53" s="23">
        <f t="shared" si="2"/>
        <v>0</v>
      </c>
      <c r="F53" s="23">
        <f t="shared" si="2"/>
        <v>11.276999999999999</v>
      </c>
      <c r="G53" s="23">
        <f t="shared" si="2"/>
        <v>0</v>
      </c>
      <c r="H53" s="23">
        <f t="shared" si="2"/>
        <v>0</v>
      </c>
      <c r="I53" s="23">
        <f t="shared" si="2"/>
        <v>0</v>
      </c>
      <c r="J53" s="23">
        <f t="shared" si="2"/>
        <v>0</v>
      </c>
      <c r="K53" s="23">
        <f t="shared" si="2"/>
        <v>0</v>
      </c>
      <c r="L53" s="23">
        <f t="shared" si="2"/>
        <v>0</v>
      </c>
      <c r="M53" s="23">
        <f t="shared" si="2"/>
        <v>0</v>
      </c>
      <c r="N53" s="23">
        <f t="shared" si="2"/>
        <v>0.29100000000000004</v>
      </c>
      <c r="O53" s="23">
        <f t="shared" si="2"/>
        <v>0</v>
      </c>
      <c r="P53" s="23">
        <f t="shared" si="2"/>
        <v>0</v>
      </c>
      <c r="Q53" s="23">
        <f t="shared" si="2"/>
        <v>0</v>
      </c>
      <c r="R53" s="23">
        <f t="shared" si="2"/>
        <v>0.157</v>
      </c>
      <c r="S53" s="23">
        <f t="shared" si="2"/>
        <v>0.13200000000000003</v>
      </c>
      <c r="T53" s="23">
        <f t="shared" si="2"/>
        <v>1.3780000000000001</v>
      </c>
      <c r="U53" s="23">
        <f t="shared" si="2"/>
        <v>0</v>
      </c>
      <c r="V53" s="23">
        <f t="shared" si="2"/>
        <v>0</v>
      </c>
      <c r="W53" s="23">
        <f t="shared" si="2"/>
        <v>0</v>
      </c>
      <c r="X53" s="23">
        <f t="shared" si="2"/>
        <v>6.9000000000000006E-2</v>
      </c>
      <c r="Y53" s="23">
        <f t="shared" si="2"/>
        <v>0.81299999999999994</v>
      </c>
      <c r="Z53" s="23">
        <f t="shared" si="2"/>
        <v>0.129</v>
      </c>
      <c r="AA53" s="23">
        <f t="shared" si="2"/>
        <v>0</v>
      </c>
      <c r="AB53" s="23">
        <f t="shared" si="2"/>
        <v>0.193</v>
      </c>
      <c r="AC53" s="23">
        <f t="shared" si="2"/>
        <v>3.2000000000000001E-2</v>
      </c>
      <c r="AD53" s="23">
        <f t="shared" si="2"/>
        <v>0.245</v>
      </c>
      <c r="AE53" s="23">
        <f t="shared" si="2"/>
        <v>0.4</v>
      </c>
      <c r="AF53" s="23">
        <f t="shared" si="2"/>
        <v>2.3000000000000131E-2</v>
      </c>
      <c r="AG53" s="23">
        <f t="shared" si="2"/>
        <v>0.112</v>
      </c>
      <c r="AH53" s="23">
        <f t="shared" si="2"/>
        <v>0</v>
      </c>
    </row>
    <row r="54" spans="1:34" x14ac:dyDescent="0.3">
      <c r="A54" s="29" t="s">
        <v>391</v>
      </c>
      <c r="B54" s="23">
        <f t="shared" si="3"/>
        <v>0</v>
      </c>
      <c r="C54" s="23">
        <f t="shared" si="2"/>
        <v>4.0000000000000036E-2</v>
      </c>
      <c r="D54" s="23">
        <f t="shared" si="2"/>
        <v>0.06</v>
      </c>
      <c r="E54" s="23">
        <f t="shared" si="2"/>
        <v>0</v>
      </c>
      <c r="F54" s="23">
        <f t="shared" si="2"/>
        <v>12.42</v>
      </c>
      <c r="G54" s="23">
        <f t="shared" si="2"/>
        <v>0</v>
      </c>
      <c r="H54" s="23">
        <f t="shared" si="2"/>
        <v>1.032</v>
      </c>
      <c r="I54" s="23">
        <f t="shared" si="2"/>
        <v>0</v>
      </c>
      <c r="J54" s="23">
        <f t="shared" si="2"/>
        <v>0.125</v>
      </c>
      <c r="K54" s="23">
        <f t="shared" si="2"/>
        <v>2.25</v>
      </c>
      <c r="L54" s="23">
        <f t="shared" si="2"/>
        <v>1.7999999999999999E-2</v>
      </c>
      <c r="M54" s="23">
        <f t="shared" si="2"/>
        <v>0</v>
      </c>
      <c r="N54" s="23">
        <f t="shared" si="2"/>
        <v>0.19199999999999995</v>
      </c>
      <c r="O54" s="23">
        <f t="shared" si="2"/>
        <v>0</v>
      </c>
      <c r="P54" s="23">
        <f t="shared" si="2"/>
        <v>0.6080000000000001</v>
      </c>
      <c r="Q54" s="23">
        <f t="shared" si="2"/>
        <v>2.9999999999999916E-2</v>
      </c>
      <c r="R54" s="23">
        <f t="shared" si="2"/>
        <v>9.7000000000000003E-2</v>
      </c>
      <c r="S54" s="23">
        <f t="shared" si="2"/>
        <v>0</v>
      </c>
      <c r="T54" s="23">
        <f t="shared" si="2"/>
        <v>0.11099999999999977</v>
      </c>
      <c r="U54" s="23">
        <f t="shared" si="2"/>
        <v>0</v>
      </c>
      <c r="V54" s="23">
        <f t="shared" si="2"/>
        <v>0</v>
      </c>
      <c r="W54" s="23">
        <f t="shared" si="2"/>
        <v>0</v>
      </c>
      <c r="X54" s="23">
        <f t="shared" si="2"/>
        <v>6.8000000000000005E-2</v>
      </c>
      <c r="Y54" s="23">
        <f t="shared" si="2"/>
        <v>0.12700000000000022</v>
      </c>
      <c r="Z54" s="23">
        <f t="shared" si="2"/>
        <v>0</v>
      </c>
      <c r="AA54" s="23">
        <f t="shared" si="2"/>
        <v>0.90999999999999992</v>
      </c>
      <c r="AB54" s="23">
        <f t="shared" si="2"/>
        <v>0</v>
      </c>
      <c r="AC54" s="23">
        <f t="shared" si="2"/>
        <v>0</v>
      </c>
      <c r="AD54" s="23">
        <f t="shared" si="2"/>
        <v>0</v>
      </c>
      <c r="AE54" s="23">
        <f t="shared" si="2"/>
        <v>0.29999999999999993</v>
      </c>
      <c r="AF54" s="23">
        <f t="shared" si="2"/>
        <v>0</v>
      </c>
      <c r="AG54" s="23">
        <f t="shared" si="2"/>
        <v>0</v>
      </c>
      <c r="AH54" s="23">
        <f t="shared" si="2"/>
        <v>0</v>
      </c>
    </row>
    <row r="55" spans="1:34" x14ac:dyDescent="0.3">
      <c r="A55" s="31" t="s">
        <v>392</v>
      </c>
      <c r="B55" s="23">
        <f t="shared" si="3"/>
        <v>0</v>
      </c>
      <c r="C55" s="23">
        <f t="shared" si="2"/>
        <v>4.0000000000000036E-2</v>
      </c>
      <c r="D55" s="23">
        <f t="shared" si="2"/>
        <v>0.58800000000000008</v>
      </c>
      <c r="E55" s="23">
        <f t="shared" si="2"/>
        <v>3.7000000000000005E-2</v>
      </c>
      <c r="F55" s="23">
        <f t="shared" si="2"/>
        <v>0</v>
      </c>
      <c r="G55" s="23">
        <f t="shared" si="2"/>
        <v>0</v>
      </c>
      <c r="H55" s="23">
        <f t="shared" si="2"/>
        <v>9.9999999999999867E-2</v>
      </c>
      <c r="I55" s="23">
        <f t="shared" si="2"/>
        <v>0</v>
      </c>
      <c r="J55" s="23">
        <f t="shared" si="2"/>
        <v>5.4999999999999716E-2</v>
      </c>
      <c r="K55" s="23">
        <f t="shared" si="2"/>
        <v>0</v>
      </c>
      <c r="L55" s="23">
        <f t="shared" si="2"/>
        <v>0</v>
      </c>
      <c r="M55" s="23">
        <f t="shared" si="2"/>
        <v>0</v>
      </c>
      <c r="N55" s="23">
        <f t="shared" si="2"/>
        <v>0</v>
      </c>
      <c r="O55" s="23">
        <f t="shared" si="2"/>
        <v>7.6999999999999999E-2</v>
      </c>
      <c r="P55" s="23">
        <f t="shared" si="2"/>
        <v>0</v>
      </c>
      <c r="Q55" s="23">
        <f t="shared" ref="Q55:AH55" si="4">Q11-Q10</f>
        <v>0.79600000000000004</v>
      </c>
      <c r="R55" s="23">
        <f t="shared" si="4"/>
        <v>0</v>
      </c>
      <c r="S55" s="23">
        <f t="shared" si="4"/>
        <v>0.184</v>
      </c>
      <c r="T55" s="23">
        <f t="shared" si="4"/>
        <v>0.13200000000000056</v>
      </c>
      <c r="U55" s="23">
        <f t="shared" si="4"/>
        <v>0</v>
      </c>
      <c r="V55" s="23">
        <f t="shared" si="4"/>
        <v>0</v>
      </c>
      <c r="W55" s="23">
        <f t="shared" si="4"/>
        <v>0</v>
      </c>
      <c r="X55" s="23">
        <f t="shared" si="4"/>
        <v>0</v>
      </c>
      <c r="Y55" s="23">
        <f t="shared" si="4"/>
        <v>0.38599999999999968</v>
      </c>
      <c r="Z55" s="23">
        <f t="shared" si="4"/>
        <v>0.10000000000000009</v>
      </c>
      <c r="AA55" s="23">
        <f t="shared" si="4"/>
        <v>0</v>
      </c>
      <c r="AB55" s="23">
        <f t="shared" si="4"/>
        <v>0</v>
      </c>
      <c r="AC55" s="23">
        <f t="shared" si="4"/>
        <v>0</v>
      </c>
      <c r="AD55" s="23">
        <f t="shared" si="4"/>
        <v>0</v>
      </c>
      <c r="AE55" s="23">
        <f t="shared" si="4"/>
        <v>0</v>
      </c>
      <c r="AF55" s="23">
        <f t="shared" si="4"/>
        <v>0.69999999999999973</v>
      </c>
      <c r="AG55" s="23">
        <f t="shared" si="4"/>
        <v>7.1999999999999995E-2</v>
      </c>
      <c r="AH55" s="23">
        <f t="shared" si="4"/>
        <v>0</v>
      </c>
    </row>
    <row r="56" spans="1:34" x14ac:dyDescent="0.3">
      <c r="D56" s="14"/>
      <c r="E56" s="15"/>
    </row>
    <row r="57" spans="1:34" x14ac:dyDescent="0.3">
      <c r="B57" s="24" t="s">
        <v>163</v>
      </c>
      <c r="C57" s="24" t="s">
        <v>121</v>
      </c>
      <c r="D57" s="24" t="s">
        <v>122</v>
      </c>
      <c r="E57" s="24" t="s">
        <v>150</v>
      </c>
      <c r="F57" s="24" t="s">
        <v>145</v>
      </c>
      <c r="G57" s="24" t="s">
        <v>332</v>
      </c>
      <c r="H57" s="24" t="s">
        <v>146</v>
      </c>
      <c r="I57" s="24" t="s">
        <v>144</v>
      </c>
      <c r="J57" s="24" t="s">
        <v>170</v>
      </c>
      <c r="K57" s="24" t="s">
        <v>172</v>
      </c>
      <c r="L57" s="24" t="s">
        <v>175</v>
      </c>
      <c r="M57" s="24" t="s">
        <v>189</v>
      </c>
      <c r="N57" s="24" t="s">
        <v>186</v>
      </c>
      <c r="O57" s="24" t="s">
        <v>188</v>
      </c>
      <c r="P57" s="24" t="s">
        <v>190</v>
      </c>
      <c r="Q57" s="24" t="s">
        <v>224</v>
      </c>
      <c r="R57" s="24" t="s">
        <v>234</v>
      </c>
      <c r="S57" s="24" t="s">
        <v>254</v>
      </c>
      <c r="T57" s="24" t="s">
        <v>261</v>
      </c>
      <c r="U57" s="24" t="s">
        <v>269</v>
      </c>
      <c r="V57" s="24" t="s">
        <v>268</v>
      </c>
      <c r="W57" s="24" t="s">
        <v>274</v>
      </c>
      <c r="X57" s="24" t="s">
        <v>276</v>
      </c>
      <c r="Y57" s="24" t="s">
        <v>277</v>
      </c>
      <c r="Z57" s="24" t="s">
        <v>306</v>
      </c>
      <c r="AA57" s="24" t="s">
        <v>310</v>
      </c>
      <c r="AB57" s="24" t="s">
        <v>313</v>
      </c>
      <c r="AC57" s="24" t="s">
        <v>366</v>
      </c>
      <c r="AD57" s="24" t="s">
        <v>349</v>
      </c>
      <c r="AE57" s="24" t="s">
        <v>335</v>
      </c>
      <c r="AF57" s="24" t="s">
        <v>350</v>
      </c>
      <c r="AG57" s="24" t="s">
        <v>367</v>
      </c>
      <c r="AH57" s="24" t="s">
        <v>368</v>
      </c>
    </row>
    <row r="58" spans="1:34" x14ac:dyDescent="0.3">
      <c r="A58" t="s">
        <v>403</v>
      </c>
      <c r="B58">
        <f>PEARSON('Analysis Mini-grid GDP'!$B$45:$B$55,Table12[[#All],[Algeria]])</f>
        <v>-0.45924434718143065</v>
      </c>
      <c r="C58">
        <f>PEARSON('Analysis Mini-grid GDP'!$C$45:$C$55,Table12[[#All],[Benin]])</f>
        <v>-4.5931400657584283E-2</v>
      </c>
      <c r="D58">
        <f>PEARSON('Analysis Mini-grid GDP'!$D$45:$D$55,Table12[[#All],[Burkina Faso]])</f>
        <v>0.6117962452299327</v>
      </c>
      <c r="E58">
        <f>PEARSON('Analysis Mini-grid GDP'!$E$45:$E$55,Table12[[#All],[Cabo Verde]])</f>
        <v>-0.38080837681086305</v>
      </c>
      <c r="F58">
        <f>PEARSON('Analysis Mini-grid GDP'!$F$45:$F$55,Table12[[#All],[Cameroon]])</f>
        <v>0.53060573442434855</v>
      </c>
      <c r="G58">
        <f>PEARSON('Analysis Mini-grid GDP'!$G$45:$G$55,Table12[[#All],[Chad]])</f>
        <v>-0.17143673225626591</v>
      </c>
      <c r="H58">
        <f>PEARSON('Analysis Mini-grid GDP'!$H$45:$H$55,Table12[[#All],[Congo, Dem. Rep.]])</f>
        <v>0.5183002065622988</v>
      </c>
      <c r="I58">
        <f>PEARSON('Analysis Mini-grid GDP'!$I$45:$I$55,Table12[[#All],[Cote d''Ivoire]])</f>
        <v>-1.3589258613737385E-2</v>
      </c>
      <c r="J58">
        <f>PEARSON('Analysis Mini-grid GDP'!$J$45:$J$55,Table12[[#All],[Egypt, Arab Rep.]])</f>
        <v>0.44336937255556436</v>
      </c>
      <c r="K58" t="e">
        <f>PEARSON('Analysis Mini-grid GDP'!$K$45:$K$55,Table12[[#All],[Eritrea]])</f>
        <v>#DIV/0!</v>
      </c>
      <c r="L58">
        <f>PEARSON('Analysis Mini-grid GDP'!$L$45:$L$55,Table12[[#All],[Ethiopia]])</f>
        <v>0.35846105704446962</v>
      </c>
      <c r="M58">
        <f>PEARSON('Analysis Mini-grid GDP'!$M$45:$M$55,Table12[[#All],[Gambia, The]])</f>
        <v>-0.22206259637603312</v>
      </c>
      <c r="N58">
        <f>PEARSON('Analysis Mini-grid GDP'!$N$45:$N$55,Table12[[#All],[Ghana]])</f>
        <v>0.43109098078940961</v>
      </c>
      <c r="O58">
        <f>PEARSON('Analysis Mini-grid GDP'!$O$45:$O$55,Table12[[#All],[Guinea]])</f>
        <v>0.70887462800917711</v>
      </c>
      <c r="P58">
        <f>PEARSON('Analysis Mini-grid GDP'!$P$45:$P$55,Table12[[#All],[Guinea-Bissau]])</f>
        <v>0.56080006885523115</v>
      </c>
      <c r="Q58">
        <f>PEARSON('Analysis Mini-grid GDP'!$Q$45:$Q$55,Table12[[#All],[Kenya]])</f>
        <v>0.29267441380060405</v>
      </c>
      <c r="R58">
        <f>PEARSON('Analysis Mini-grid GDP'!$R$45:$R$55,Table12[[#All],[Liberia]])</f>
        <v>0.38607453683982107</v>
      </c>
      <c r="S58">
        <f>PEARSON('Analysis Mini-grid GDP'!$S$45:$S$55,Table12[[#All],[Madagascar]])</f>
        <v>0.39795999126167686</v>
      </c>
      <c r="T58">
        <f>PEARSON('Analysis Mini-grid GDP'!$T$45:$T$55,Table12[[#All],[Mali]])</f>
        <v>-0.19262679511829572</v>
      </c>
      <c r="U58">
        <f>PEARSON('Analysis Mini-grid GDP'!$U$45:$U$55,Table12[[#All],[Mauritania]])</f>
        <v>-0.11651564034419935</v>
      </c>
      <c r="V58">
        <f>PEARSON('Analysis Mini-grid GDP'!$V$45:$V$55,Table12[[#All],[Mozambique]])</f>
        <v>0.35930178486427738</v>
      </c>
      <c r="W58">
        <f>PEARSON('Analysis Mini-grid GDP'!$W$45:$W$55,Table12[[#All],[Namibia]])</f>
        <v>0.12212051354294118</v>
      </c>
      <c r="X58">
        <f>PEARSON('Analysis Mini-grid GDP'!$X$45:$X$55,Table12[[#All],[Niger]])</f>
        <v>0.54569529073205092</v>
      </c>
      <c r="Y58">
        <f>PEARSON('Analysis Mini-grid GDP'!$Y$45:$Y$55,Table12[[#All],[Nigeria]])</f>
        <v>4.9403720350825447E-3</v>
      </c>
      <c r="Z58">
        <f>PEARSON('Analysis Mini-grid GDP'!$Z$45:$Z$55,Table12[[#All],[Rwanda]])</f>
        <v>8.9203587315455926E-2</v>
      </c>
      <c r="AA58">
        <f>PEARSON('Analysis Mini-grid GDP'!$AA$45:$AA$55,Table12[[#All],[Senegal]])</f>
        <v>0.10852494265413699</v>
      </c>
      <c r="AB58">
        <f>PEARSON('Analysis Mini-grid GDP'!$AB$45:$AB$55,Table12[[#All],[Sierra Leone]])</f>
        <v>-7.2943128076519259E-2</v>
      </c>
      <c r="AC58">
        <f>PEARSON('Analysis Mini-grid GDP'!$AC$45:$AC$55,Table12[[#All],[South Africa]])</f>
        <v>-9.1011460978510081E-2</v>
      </c>
      <c r="AD58">
        <f>PEARSON('Analysis Mini-grid GDP'!$AD$45:$AD$55,Table12[[#All],[Tanzania]])</f>
        <v>0.30418697614798745</v>
      </c>
      <c r="AE58">
        <f>PEARSON('Analysis Mini-grid GDP'!$AE$45:$AE$55,Table12[[#All],[Togo]])</f>
        <v>0.57944450917578516</v>
      </c>
      <c r="AF58">
        <f>PEARSON('Analysis Mini-grid GDP'!$AF$45:$AF$55,Table12[[#All],[Uganda]])</f>
        <v>0.18281356521298681</v>
      </c>
      <c r="AG58">
        <f>PEARSON('Analysis Mini-grid GDP'!$AG$45:$AG$55,Table12[[#All],[Zambia]])</f>
        <v>0.11961239327714893</v>
      </c>
      <c r="AH58">
        <f>PEARSON('Analysis Mini-grid GDP'!$AH$45:$AH$55,Table12[[#All],[Zimbabwe]])</f>
        <v>0.36412366700254944</v>
      </c>
    </row>
    <row r="59" spans="1:34" x14ac:dyDescent="0.3">
      <c r="A59" t="s">
        <v>404</v>
      </c>
      <c r="B59">
        <f>PEARSON('Analysis Mini-grid GDP'!$B$45:$B$55,Table14[[#All],[Algeria]])</f>
        <v>-0.42909099963819891</v>
      </c>
      <c r="C59">
        <f>PEARSON('Analysis Mini-grid GDP'!$C$45:$C$55,Table14[[#All],[Benin]])</f>
        <v>-0.33521438317693225</v>
      </c>
      <c r="D59">
        <f>PEARSON('Analysis Mini-grid GDP'!$D$45:$D$55,Table14[[#All],[Burkina Faso]])</f>
        <v>0.32043764507255612</v>
      </c>
      <c r="E59">
        <f>PEARSON('Analysis Mini-grid GDP'!$E$45:$E$55,Table14[[#All],[Cabo Verde]])</f>
        <v>-0.50376644668126502</v>
      </c>
      <c r="F59">
        <f>PEARSON('Analysis Mini-grid GDP'!$F$45:$F$55,Table14[[#All],[Cameroon]])</f>
        <v>0.34034268283632541</v>
      </c>
      <c r="G59">
        <f>PEARSON('Analysis Mini-grid GDP'!$G$45:$G$55,Table14[[#All],[Chad]])</f>
        <v>-0.16390607991868175</v>
      </c>
      <c r="H59">
        <f>PEARSON('Analysis Mini-grid GDP'!$H$45:$H$55,Table14[[#All],[Congo, Dem. Rep.]])</f>
        <v>0.50339730057560295</v>
      </c>
      <c r="I59">
        <f>PEARSON('Analysis Mini-grid GDP'!$I$45:$I$55,Table14[[#All],[Cote d''Ivoire]])</f>
        <v>-2.8558722941176357E-2</v>
      </c>
      <c r="J59">
        <f>PEARSON('Analysis Mini-grid GDP'!$J$45:$J$55,Table14[[#All],[Egypt, Arab Rep.]])</f>
        <v>0.44168609287875166</v>
      </c>
      <c r="K59" t="e">
        <f>PEARSON('Analysis Mini-grid GDP'!$K$45:$K$55,Table14[[#All],[Eritrea]])</f>
        <v>#DIV/0!</v>
      </c>
      <c r="L59">
        <f>PEARSON('Analysis Mini-grid GDP'!$L$45:$L$55,Table14[[#All],[Ethiopia]])</f>
        <v>0.33646227770421139</v>
      </c>
      <c r="M59">
        <f>PEARSON('Analysis Mini-grid GDP'!$M$45:$M$55,Table14[[#All],[Gambia, The]])</f>
        <v>-0.3028886066976082</v>
      </c>
      <c r="N59">
        <f>PEARSON('Analysis Mini-grid GDP'!$N$45:$N$55,Table14[[#All],[Ghana]])</f>
        <v>0.35372020952465116</v>
      </c>
      <c r="O59">
        <f>PEARSON('Analysis Mini-grid GDP'!$O$45:$O$55,Table14[[#All],[Guinea]])</f>
        <v>0.72204636502318076</v>
      </c>
      <c r="P59">
        <f>PEARSON('Analysis Mini-grid GDP'!$P$45:$P$55,Table14[[#All],[Guinea-Bissau]])</f>
        <v>0.55317870505361866</v>
      </c>
      <c r="Q59">
        <f>PEARSON('Analysis Mini-grid GDP'!$Q$45:$Q$55,Table14[[#All],[Kenya]])</f>
        <v>0.30168134180312095</v>
      </c>
      <c r="R59">
        <f>PEARSON('Analysis Mini-grid GDP'!$R$45:$R$55,Table14[[#All],[Liberia]])</f>
        <v>0.22393830631438549</v>
      </c>
      <c r="S59">
        <f>PEARSON('Analysis Mini-grid GDP'!$S$45:$S$55,Table14[[#All],[Madagascar]])</f>
        <v>-0.17111680742021682</v>
      </c>
      <c r="T59">
        <f>PEARSON('Analysis Mini-grid GDP'!$T$45:$T$55,Table14[[#All],[Mali]])</f>
        <v>-0.17731284138827139</v>
      </c>
      <c r="U59">
        <f>PEARSON('Analysis Mini-grid GDP'!$U$45:$U$55,Table14[[#All],[Mauritania]])</f>
        <v>-9.8393990563922742E-2</v>
      </c>
      <c r="V59">
        <f>PEARSON('Analysis Mini-grid GDP'!$V$45:$V$55,Table14[[#All],[Mozambique]])</f>
        <v>0.41898898221936304</v>
      </c>
      <c r="W59">
        <f>PEARSON('Analysis Mini-grid GDP'!$W$45:$W$55,Table14[[#All],[Namibia]])</f>
        <v>0.32598196110898875</v>
      </c>
      <c r="X59">
        <f>PEARSON('Analysis Mini-grid GDP'!$X$45:$X$55,Table14[[#All],[Niger]])</f>
        <v>0.40396607468724066</v>
      </c>
      <c r="Y59">
        <f>PEARSON('Analysis Mini-grid GDP'!$Y$45:$Y$55,Table14[[#All],[Nigeria]])</f>
        <v>-0.26299481155780136</v>
      </c>
      <c r="Z59">
        <f>PEARSON('Analysis Mini-grid GDP'!$Z$45:$Z$55,Table14[[#All],[Rwanda]])</f>
        <v>0.12530441213302634</v>
      </c>
      <c r="AA59">
        <f>PEARSON('Analysis Mini-grid GDP'!$AA$45:$AA$55,Table14[[#All],[Senegal]])</f>
        <v>0.22210071165156212</v>
      </c>
      <c r="AB59">
        <f>PEARSON('Analysis Mini-grid GDP'!$AB$45:$AB$55,Table14[[#All],[Sierra Leone]])</f>
        <v>-0.16433231735302209</v>
      </c>
      <c r="AC59">
        <f>PEARSON('Analysis Mini-grid GDP'!$AC$45:$AC$55,Table14[[#All],[South Africa]])</f>
        <v>-0.16791503225058629</v>
      </c>
      <c r="AD59">
        <f>PEARSON('Analysis Mini-grid GDP'!$AD$45:$AD$55,Table14[[#All],[Tanzania]])</f>
        <v>0.31074064063096579</v>
      </c>
      <c r="AE59">
        <f>PEARSON('Analysis Mini-grid GDP'!$AE$45:$AE$55,Table14[[#All],[Togo]])</f>
        <v>0.59533876795302165</v>
      </c>
      <c r="AF59">
        <f>PEARSON('Analysis Mini-grid GDP'!$AF$45:$AF$55,Table14[[#All],[Uganda]])</f>
        <v>0.3549816298276568</v>
      </c>
      <c r="AG59">
        <f>PEARSON('Analysis Mini-grid GDP'!$AG$45:$AG$55,Table14[[#All],[Zambia]])</f>
        <v>-0.26963054996576796</v>
      </c>
      <c r="AH59">
        <f>PEARSON('Analysis Mini-grid GDP'!$AH$45:$AH$55,Table14[[#All],[Zimbabwe]])</f>
        <v>0.35820881655248987</v>
      </c>
    </row>
    <row r="60" spans="1:34" x14ac:dyDescent="0.3">
      <c r="D60" s="14"/>
      <c r="E60" s="15"/>
    </row>
    <row r="61" spans="1:34" x14ac:dyDescent="0.3">
      <c r="D61" s="14"/>
      <c r="E61" s="15"/>
    </row>
    <row r="62" spans="1:34" x14ac:dyDescent="0.3">
      <c r="D62" s="14"/>
      <c r="E62" s="15"/>
    </row>
    <row r="63" spans="1:34" x14ac:dyDescent="0.3">
      <c r="A63" t="s">
        <v>102</v>
      </c>
      <c r="B63" t="s">
        <v>163</v>
      </c>
      <c r="C63" t="s">
        <v>121</v>
      </c>
      <c r="D63" t="s">
        <v>122</v>
      </c>
      <c r="E63" t="s">
        <v>150</v>
      </c>
      <c r="F63" t="s">
        <v>145</v>
      </c>
      <c r="G63" t="s">
        <v>332</v>
      </c>
      <c r="H63" t="s">
        <v>146</v>
      </c>
      <c r="I63" t="s">
        <v>144</v>
      </c>
      <c r="J63" t="s">
        <v>170</v>
      </c>
      <c r="K63" t="s">
        <v>172</v>
      </c>
      <c r="L63" t="s">
        <v>175</v>
      </c>
      <c r="M63" t="s">
        <v>189</v>
      </c>
      <c r="N63" t="s">
        <v>186</v>
      </c>
      <c r="O63" t="s">
        <v>188</v>
      </c>
      <c r="P63" t="s">
        <v>190</v>
      </c>
      <c r="Q63" t="s">
        <v>224</v>
      </c>
      <c r="R63" t="s">
        <v>234</v>
      </c>
      <c r="S63" t="s">
        <v>254</v>
      </c>
      <c r="T63" t="s">
        <v>261</v>
      </c>
      <c r="U63" t="s">
        <v>269</v>
      </c>
      <c r="V63" t="s">
        <v>268</v>
      </c>
      <c r="W63" t="s">
        <v>274</v>
      </c>
      <c r="X63" t="s">
        <v>276</v>
      </c>
      <c r="Y63" t="s">
        <v>277</v>
      </c>
      <c r="Z63" t="s">
        <v>306</v>
      </c>
      <c r="AA63" t="s">
        <v>310</v>
      </c>
      <c r="AB63" t="s">
        <v>313</v>
      </c>
      <c r="AC63" t="s">
        <v>366</v>
      </c>
      <c r="AD63" t="s">
        <v>349</v>
      </c>
      <c r="AE63" t="s">
        <v>335</v>
      </c>
      <c r="AF63" t="s">
        <v>350</v>
      </c>
      <c r="AG63" t="s">
        <v>367</v>
      </c>
      <c r="AH63" t="s">
        <v>368</v>
      </c>
    </row>
    <row r="64" spans="1:34" x14ac:dyDescent="0.3">
      <c r="A64">
        <v>2010</v>
      </c>
      <c r="B64">
        <v>98.858932499999995</v>
      </c>
      <c r="C64">
        <v>34.200000760000002</v>
      </c>
      <c r="D64">
        <v>13.100000380000001</v>
      </c>
      <c r="E64">
        <v>81.099998470000003</v>
      </c>
      <c r="F64">
        <v>52.759555820000003</v>
      </c>
      <c r="G64">
        <v>6.4000000950000002</v>
      </c>
      <c r="H64">
        <v>12.744050980000001</v>
      </c>
      <c r="I64">
        <v>58.301467899999999</v>
      </c>
      <c r="J64">
        <v>99.394554139999997</v>
      </c>
      <c r="K64">
        <v>40.183120729999999</v>
      </c>
      <c r="L64">
        <v>25.409936900000002</v>
      </c>
      <c r="M64">
        <v>46.655277249999997</v>
      </c>
      <c r="N64">
        <v>64.199996949999999</v>
      </c>
      <c r="O64">
        <v>27.955623630000002</v>
      </c>
      <c r="P64">
        <v>6</v>
      </c>
      <c r="Q64">
        <v>19.200000760000002</v>
      </c>
      <c r="R64">
        <v>5.1626644129999999</v>
      </c>
      <c r="S64">
        <v>12.30000019</v>
      </c>
      <c r="T64">
        <v>26.91205025</v>
      </c>
      <c r="U64">
        <v>33.95951462</v>
      </c>
      <c r="V64">
        <v>18.802736280000001</v>
      </c>
      <c r="W64">
        <v>44.610736850000002</v>
      </c>
      <c r="X64">
        <v>13.277492519999999</v>
      </c>
      <c r="Y64">
        <v>48</v>
      </c>
      <c r="Z64">
        <v>9.6999998089999995</v>
      </c>
      <c r="AA64">
        <v>56.5</v>
      </c>
      <c r="AB64">
        <v>11.462173460000001</v>
      </c>
      <c r="AC64">
        <v>82.900001529999997</v>
      </c>
      <c r="AD64">
        <v>14.80000019</v>
      </c>
      <c r="AE64">
        <v>30.791744229999999</v>
      </c>
      <c r="AF64">
        <v>12.100000380000001</v>
      </c>
      <c r="AG64">
        <v>22</v>
      </c>
      <c r="AH64">
        <v>38.782550809999996</v>
      </c>
    </row>
    <row r="65" spans="1:34" x14ac:dyDescent="0.3">
      <c r="A65">
        <v>2011</v>
      </c>
      <c r="B65">
        <v>98.888031010000006</v>
      </c>
      <c r="C65">
        <v>36.900001529999997</v>
      </c>
      <c r="D65">
        <v>14.80841446</v>
      </c>
      <c r="E65">
        <v>82.356246949999999</v>
      </c>
      <c r="F65">
        <v>53.700000760000002</v>
      </c>
      <c r="G65">
        <v>8.9799995419999998</v>
      </c>
      <c r="H65">
        <v>13.3884449</v>
      </c>
      <c r="I65">
        <v>55.799999239999998</v>
      </c>
      <c r="J65">
        <v>99.4521637</v>
      </c>
      <c r="K65">
        <v>41.316501619999997</v>
      </c>
      <c r="L65">
        <v>23</v>
      </c>
      <c r="M65">
        <v>48.247085570000003</v>
      </c>
      <c r="N65">
        <v>64.062561040000006</v>
      </c>
      <c r="O65">
        <v>29.27708054</v>
      </c>
      <c r="P65">
        <v>13.399911879999999</v>
      </c>
      <c r="Q65">
        <v>36.035655980000001</v>
      </c>
      <c r="R65">
        <v>4.0999999049999998</v>
      </c>
      <c r="S65">
        <v>14.30000019</v>
      </c>
      <c r="T65">
        <v>28.684453959999999</v>
      </c>
      <c r="U65">
        <v>35.166320800000001</v>
      </c>
      <c r="V65">
        <v>20.200000760000002</v>
      </c>
      <c r="W65">
        <v>42.299999239999998</v>
      </c>
      <c r="X65">
        <v>14.30000019</v>
      </c>
      <c r="Y65">
        <v>55.900001529999997</v>
      </c>
      <c r="Z65">
        <v>10.80000019</v>
      </c>
      <c r="AA65">
        <v>56.5</v>
      </c>
      <c r="AB65">
        <v>14.19999981</v>
      </c>
      <c r="AC65">
        <v>83.599998470000003</v>
      </c>
      <c r="AD65">
        <v>14.19999981</v>
      </c>
      <c r="AE65">
        <v>39.700000760000002</v>
      </c>
      <c r="AF65">
        <v>14.600000380000001</v>
      </c>
      <c r="AG65">
        <v>28.15900993</v>
      </c>
      <c r="AH65">
        <v>36.900001529999997</v>
      </c>
    </row>
    <row r="66" spans="1:34" x14ac:dyDescent="0.3">
      <c r="A66">
        <v>2012</v>
      </c>
      <c r="B66">
        <v>98.7646637</v>
      </c>
      <c r="C66">
        <v>38.400001529999997</v>
      </c>
      <c r="D66">
        <v>15.11799431</v>
      </c>
      <c r="E66">
        <v>83.358764649999998</v>
      </c>
      <c r="F66">
        <v>55.03915405</v>
      </c>
      <c r="G66">
        <v>7.8354058269999998</v>
      </c>
      <c r="H66">
        <v>15.399999619999999</v>
      </c>
      <c r="I66">
        <v>55.799999239999998</v>
      </c>
      <c r="J66">
        <v>99.699996949999999</v>
      </c>
      <c r="K66">
        <v>42.467948909999997</v>
      </c>
      <c r="L66">
        <v>28.898519520000001</v>
      </c>
      <c r="M66">
        <v>49.827930449999997</v>
      </c>
      <c r="N66">
        <v>56.509998320000001</v>
      </c>
      <c r="O66">
        <v>26.200000760000002</v>
      </c>
      <c r="P66">
        <v>14.80388546</v>
      </c>
      <c r="Q66">
        <v>37.990966800000002</v>
      </c>
      <c r="R66">
        <v>9.1074724200000006</v>
      </c>
      <c r="S66">
        <v>18.700000760000002</v>
      </c>
      <c r="T66">
        <v>25.600000380000001</v>
      </c>
      <c r="U66">
        <v>36.362159730000002</v>
      </c>
      <c r="V66">
        <v>21.23260689</v>
      </c>
      <c r="W66">
        <v>46.631858829999999</v>
      </c>
      <c r="X66">
        <v>14.399999619999999</v>
      </c>
      <c r="Y66">
        <v>53.231243130000003</v>
      </c>
      <c r="Z66">
        <v>17.5</v>
      </c>
      <c r="AA66">
        <v>56.5</v>
      </c>
      <c r="AB66">
        <v>16.976510999999999</v>
      </c>
      <c r="AC66">
        <v>85.300003050000001</v>
      </c>
      <c r="AD66">
        <v>15.30000019</v>
      </c>
      <c r="AE66">
        <v>38.998062130000001</v>
      </c>
      <c r="AF66">
        <v>20.319271090000001</v>
      </c>
      <c r="AG66">
        <v>29.012725830000001</v>
      </c>
      <c r="AH66">
        <v>44</v>
      </c>
    </row>
    <row r="67" spans="1:34" x14ac:dyDescent="0.3">
      <c r="A67">
        <v>2013</v>
      </c>
      <c r="B67">
        <v>99.002204899999995</v>
      </c>
      <c r="C67">
        <v>34.691219330000003</v>
      </c>
      <c r="D67">
        <v>15.40564251</v>
      </c>
      <c r="E67">
        <v>84.339347840000002</v>
      </c>
      <c r="F67">
        <v>56.207813260000002</v>
      </c>
      <c r="G67">
        <v>8.1265583039999996</v>
      </c>
      <c r="H67">
        <v>14.733200070000001</v>
      </c>
      <c r="I67">
        <v>61.362590789999999</v>
      </c>
      <c r="J67">
        <v>99.850387569999995</v>
      </c>
      <c r="K67">
        <v>43.63922882</v>
      </c>
      <c r="L67">
        <v>30.671672820000001</v>
      </c>
      <c r="M67">
        <v>51.5</v>
      </c>
      <c r="N67">
        <v>70.699996949999999</v>
      </c>
      <c r="O67">
        <v>31.975957869999998</v>
      </c>
      <c r="P67">
        <v>16.227689739999999</v>
      </c>
      <c r="Q67">
        <v>39.966106410000002</v>
      </c>
      <c r="R67">
        <v>9.8000001910000005</v>
      </c>
      <c r="S67">
        <v>12.899999619999999</v>
      </c>
      <c r="T67">
        <v>32.28522873</v>
      </c>
      <c r="U67">
        <v>37.536064150000001</v>
      </c>
      <c r="V67">
        <v>22.420127870000002</v>
      </c>
      <c r="W67">
        <v>47.400001529999997</v>
      </c>
      <c r="X67">
        <v>15.1700058</v>
      </c>
      <c r="Y67">
        <v>55.599998470000003</v>
      </c>
      <c r="Z67">
        <v>15.19999981</v>
      </c>
      <c r="AA67">
        <v>57</v>
      </c>
      <c r="AB67">
        <v>13.5</v>
      </c>
      <c r="AC67">
        <v>85.199996949999999</v>
      </c>
      <c r="AD67">
        <v>16.399999619999999</v>
      </c>
      <c r="AE67">
        <v>40.831367489999998</v>
      </c>
      <c r="AF67">
        <v>13.899999619999999</v>
      </c>
      <c r="AG67">
        <v>29.886272429999998</v>
      </c>
      <c r="AH67">
        <v>40.498374939999998</v>
      </c>
    </row>
    <row r="68" spans="1:34" x14ac:dyDescent="0.3">
      <c r="A68">
        <v>2014</v>
      </c>
      <c r="B68">
        <v>99.087013240000005</v>
      </c>
      <c r="C68">
        <v>34.099998470000003</v>
      </c>
      <c r="D68">
        <v>19.200000760000002</v>
      </c>
      <c r="E68">
        <v>85.307907099999994</v>
      </c>
      <c r="F68">
        <v>56.799999239999998</v>
      </c>
      <c r="G68">
        <v>8.4056854249999997</v>
      </c>
      <c r="H68">
        <v>13.5</v>
      </c>
      <c r="I68">
        <v>61.900001529999997</v>
      </c>
      <c r="J68">
        <v>99.800003050000001</v>
      </c>
      <c r="K68">
        <v>44.828311919999997</v>
      </c>
      <c r="L68">
        <v>27.200000760000002</v>
      </c>
      <c r="M68">
        <v>52.933727259999998</v>
      </c>
      <c r="N68">
        <v>78.300003050000001</v>
      </c>
      <c r="O68">
        <v>33.353118899999998</v>
      </c>
      <c r="P68">
        <v>17.200000760000002</v>
      </c>
      <c r="Q68">
        <v>36</v>
      </c>
      <c r="R68">
        <v>9.3999996190000008</v>
      </c>
      <c r="S68">
        <v>22.23507309</v>
      </c>
      <c r="T68">
        <v>34.113338470000002</v>
      </c>
      <c r="U68">
        <v>38.799999239999998</v>
      </c>
      <c r="V68">
        <v>24.799999239999998</v>
      </c>
      <c r="W68">
        <v>48.728515629999997</v>
      </c>
      <c r="X68">
        <v>15.77054214</v>
      </c>
      <c r="Y68">
        <v>54.048229220000003</v>
      </c>
      <c r="Z68">
        <v>19.799999239999998</v>
      </c>
      <c r="AA68">
        <v>61</v>
      </c>
      <c r="AB68">
        <v>18.666030880000001</v>
      </c>
      <c r="AC68">
        <v>85.900001529999997</v>
      </c>
      <c r="AD68">
        <v>23.5</v>
      </c>
      <c r="AE68">
        <v>45.700000760000002</v>
      </c>
      <c r="AF68">
        <v>20.399999619999999</v>
      </c>
      <c r="AG68">
        <v>27.899999619999999</v>
      </c>
      <c r="AH68">
        <v>32.299999239999998</v>
      </c>
    </row>
    <row r="69" spans="1:34" x14ac:dyDescent="0.3">
      <c r="A69">
        <v>2015</v>
      </c>
      <c r="B69">
        <v>99.186660770000003</v>
      </c>
      <c r="C69">
        <v>29.620000839999999</v>
      </c>
      <c r="D69">
        <v>16.076974870000001</v>
      </c>
      <c r="E69">
        <v>86.357841489999998</v>
      </c>
      <c r="F69">
        <v>58.595592500000002</v>
      </c>
      <c r="G69">
        <v>7.6999998090000004</v>
      </c>
      <c r="H69">
        <v>16.14824295</v>
      </c>
      <c r="I69">
        <v>62.599998470000003</v>
      </c>
      <c r="J69">
        <v>99.300003050000001</v>
      </c>
      <c r="K69">
        <v>46.032241820000003</v>
      </c>
      <c r="L69">
        <v>29</v>
      </c>
      <c r="M69">
        <v>54.561988829999997</v>
      </c>
      <c r="N69">
        <v>74.078842159999994</v>
      </c>
      <c r="O69">
        <v>34.745120999999997</v>
      </c>
      <c r="P69">
        <v>20.053153989999998</v>
      </c>
      <c r="Q69">
        <v>41.599998470000003</v>
      </c>
      <c r="R69">
        <v>15.16173553</v>
      </c>
      <c r="S69">
        <v>23.005933760000001</v>
      </c>
      <c r="T69">
        <v>37.599998470000003</v>
      </c>
      <c r="U69">
        <v>39.5</v>
      </c>
      <c r="V69">
        <v>24</v>
      </c>
      <c r="W69">
        <v>51.599998470000003</v>
      </c>
      <c r="X69">
        <v>16.600000380000001</v>
      </c>
      <c r="Y69">
        <v>52.5</v>
      </c>
      <c r="Z69">
        <v>22.799999239999998</v>
      </c>
      <c r="AA69">
        <v>60.5</v>
      </c>
      <c r="AB69">
        <v>19.534536360000001</v>
      </c>
      <c r="AC69">
        <v>85.300003050000001</v>
      </c>
      <c r="AD69">
        <v>26.170637129999999</v>
      </c>
      <c r="AE69">
        <v>44.647590639999997</v>
      </c>
      <c r="AF69">
        <v>18.5</v>
      </c>
      <c r="AG69">
        <v>31.100000380000001</v>
      </c>
      <c r="AH69">
        <v>33.700000760000002</v>
      </c>
    </row>
    <row r="70" spans="1:34" x14ac:dyDescent="0.3">
      <c r="A70">
        <v>2016</v>
      </c>
      <c r="B70">
        <v>99.350250239999994</v>
      </c>
      <c r="C70">
        <v>37.09524536</v>
      </c>
      <c r="D70">
        <v>16.64105606</v>
      </c>
      <c r="E70">
        <v>87.544929499999995</v>
      </c>
      <c r="F70">
        <v>59.808776860000002</v>
      </c>
      <c r="G70">
        <v>9.2638473510000008</v>
      </c>
      <c r="H70">
        <v>17.041837690000001</v>
      </c>
      <c r="I70">
        <v>64.300003050000001</v>
      </c>
      <c r="J70">
        <v>100</v>
      </c>
      <c r="K70">
        <v>47.248039249999998</v>
      </c>
      <c r="L70">
        <v>42.900001529999997</v>
      </c>
      <c r="M70">
        <v>56.327407839999999</v>
      </c>
      <c r="N70">
        <v>79.300003050000001</v>
      </c>
      <c r="O70">
        <v>33.5</v>
      </c>
      <c r="P70">
        <v>22.968791960000001</v>
      </c>
      <c r="Q70">
        <v>53.099998470000003</v>
      </c>
      <c r="R70">
        <v>17.700000760000002</v>
      </c>
      <c r="S70">
        <v>22.899999619999999</v>
      </c>
      <c r="T70">
        <v>38.789821619999998</v>
      </c>
      <c r="U70">
        <v>41.32161713</v>
      </c>
      <c r="V70">
        <v>26.246521000000001</v>
      </c>
      <c r="W70">
        <v>49.700000760000002</v>
      </c>
      <c r="X70">
        <v>17.27152061</v>
      </c>
      <c r="Y70">
        <v>59.299999239999998</v>
      </c>
      <c r="Z70">
        <v>29.370000839999999</v>
      </c>
      <c r="AA70">
        <v>64.5</v>
      </c>
      <c r="AB70">
        <v>20.299999239999998</v>
      </c>
      <c r="AC70">
        <v>83.900001529999997</v>
      </c>
      <c r="AD70">
        <v>32.799999239999998</v>
      </c>
      <c r="AE70">
        <v>46.765010830000001</v>
      </c>
      <c r="AF70">
        <v>26.700000760000002</v>
      </c>
      <c r="AG70">
        <v>35.425453189999999</v>
      </c>
      <c r="AH70">
        <v>42.56172943</v>
      </c>
    </row>
    <row r="71" spans="1:34" x14ac:dyDescent="0.3">
      <c r="A71">
        <v>2017</v>
      </c>
      <c r="B71">
        <v>99.635490419999996</v>
      </c>
      <c r="C71">
        <v>34.5</v>
      </c>
      <c r="D71">
        <v>17.21404266</v>
      </c>
      <c r="E71">
        <v>88.690963749999995</v>
      </c>
      <c r="F71">
        <v>61.030864719999997</v>
      </c>
      <c r="G71">
        <v>10.899999619999999</v>
      </c>
      <c r="H71">
        <v>17.91650963</v>
      </c>
      <c r="I71">
        <v>65.599998470000003</v>
      </c>
      <c r="J71">
        <v>100</v>
      </c>
      <c r="K71">
        <v>48.472743989999998</v>
      </c>
      <c r="L71">
        <v>44.299999239999998</v>
      </c>
      <c r="M71">
        <v>56.200000760000002</v>
      </c>
      <c r="N71">
        <v>79</v>
      </c>
      <c r="O71">
        <v>35.400001529999997</v>
      </c>
      <c r="P71">
        <v>26</v>
      </c>
      <c r="Q71">
        <v>55.976409910000001</v>
      </c>
      <c r="R71">
        <v>24.200000760000002</v>
      </c>
      <c r="S71">
        <v>24.100000380000001</v>
      </c>
      <c r="T71">
        <v>34.77999878</v>
      </c>
      <c r="U71">
        <v>42.900001529999997</v>
      </c>
      <c r="V71">
        <v>24.299999239999998</v>
      </c>
      <c r="W71">
        <v>52.5</v>
      </c>
      <c r="X71">
        <v>18.04952621</v>
      </c>
      <c r="Y71">
        <v>54.400001529999997</v>
      </c>
      <c r="Z71">
        <v>34.099998470000003</v>
      </c>
      <c r="AA71">
        <v>61.700000760000002</v>
      </c>
      <c r="AB71">
        <v>23.399999619999999</v>
      </c>
      <c r="AC71">
        <v>84.400001529999997</v>
      </c>
      <c r="AD71">
        <v>32.251174929999998</v>
      </c>
      <c r="AE71">
        <v>48</v>
      </c>
      <c r="AF71">
        <v>32.521152499999999</v>
      </c>
      <c r="AG71">
        <v>40.299999239999998</v>
      </c>
      <c r="AH71">
        <v>44.178634639999999</v>
      </c>
    </row>
    <row r="72" spans="1:34" x14ac:dyDescent="0.3">
      <c r="A72">
        <v>2018</v>
      </c>
      <c r="B72">
        <v>99.697837829999997</v>
      </c>
      <c r="C72">
        <v>39.246917719999999</v>
      </c>
      <c r="D72">
        <v>14.399999619999999</v>
      </c>
      <c r="E72">
        <v>90.411750789999999</v>
      </c>
      <c r="F72">
        <v>62.200000760000002</v>
      </c>
      <c r="G72">
        <v>10.11404037</v>
      </c>
      <c r="H72">
        <v>18.568290709999999</v>
      </c>
      <c r="I72">
        <v>67.147392269999997</v>
      </c>
      <c r="J72">
        <v>100</v>
      </c>
      <c r="K72">
        <v>49.703384399999997</v>
      </c>
      <c r="L72">
        <v>44.940601350000001</v>
      </c>
      <c r="M72">
        <v>60.299999239999998</v>
      </c>
      <c r="N72">
        <v>80.400001529999997</v>
      </c>
      <c r="O72">
        <v>45</v>
      </c>
      <c r="P72">
        <v>28.49505615</v>
      </c>
      <c r="Q72">
        <v>61.284572599999997</v>
      </c>
      <c r="R72">
        <v>22.87913322</v>
      </c>
      <c r="S72">
        <v>36.5</v>
      </c>
      <c r="T72">
        <v>50.900001529999997</v>
      </c>
      <c r="U72">
        <v>44.3121376</v>
      </c>
      <c r="V72">
        <v>31.100000380000001</v>
      </c>
      <c r="W72">
        <v>54.002895359999997</v>
      </c>
      <c r="X72">
        <v>17.600000380000001</v>
      </c>
      <c r="Y72">
        <v>56.5</v>
      </c>
      <c r="Z72">
        <v>36.968151089999999</v>
      </c>
      <c r="AA72">
        <v>66</v>
      </c>
      <c r="AB72">
        <v>26.100000380000001</v>
      </c>
      <c r="AC72">
        <v>84.699996949999999</v>
      </c>
      <c r="AD72">
        <v>35.048023219999997</v>
      </c>
      <c r="AE72">
        <v>50</v>
      </c>
      <c r="AF72">
        <v>41.91999817</v>
      </c>
      <c r="AG72">
        <v>40.317890169999998</v>
      </c>
      <c r="AH72">
        <v>45.572647089999997</v>
      </c>
    </row>
    <row r="73" spans="1:34" x14ac:dyDescent="0.3">
      <c r="A73">
        <v>2019</v>
      </c>
      <c r="B73">
        <v>99.5</v>
      </c>
      <c r="C73">
        <v>40.328689580000002</v>
      </c>
      <c r="D73">
        <v>18.37485504</v>
      </c>
      <c r="E73">
        <v>91.400001529999997</v>
      </c>
      <c r="F73">
        <v>63.489879610000003</v>
      </c>
      <c r="G73">
        <v>8.3999996190000008</v>
      </c>
      <c r="H73">
        <v>19.100000380000001</v>
      </c>
      <c r="I73">
        <v>68.459556579999997</v>
      </c>
      <c r="J73">
        <v>100</v>
      </c>
      <c r="K73">
        <v>50.936992650000001</v>
      </c>
      <c r="L73">
        <v>48.063591000000002</v>
      </c>
      <c r="M73">
        <v>62.099998470000003</v>
      </c>
      <c r="N73">
        <v>83.5</v>
      </c>
      <c r="O73">
        <v>42.200000760000002</v>
      </c>
      <c r="P73">
        <v>30.961557389999999</v>
      </c>
      <c r="Q73">
        <v>69.699996949999999</v>
      </c>
      <c r="R73">
        <v>23.100000380000001</v>
      </c>
      <c r="S73">
        <v>31.040000920000001</v>
      </c>
      <c r="T73">
        <v>47.836277010000003</v>
      </c>
      <c r="U73">
        <v>45.830032350000003</v>
      </c>
      <c r="V73">
        <v>29.674449920000001</v>
      </c>
      <c r="W73">
        <v>55.177089690000003</v>
      </c>
      <c r="X73">
        <v>18.974571229999999</v>
      </c>
      <c r="Y73">
        <v>55.400001529999997</v>
      </c>
      <c r="Z73">
        <v>40.368606569999997</v>
      </c>
      <c r="AA73">
        <v>70.400001529999997</v>
      </c>
      <c r="AB73">
        <v>22.700000760000002</v>
      </c>
      <c r="AC73">
        <v>85</v>
      </c>
      <c r="AD73">
        <v>37.659687040000001</v>
      </c>
      <c r="AE73">
        <v>52.363109590000001</v>
      </c>
      <c r="AF73">
        <v>41.299999239999998</v>
      </c>
      <c r="AG73">
        <v>43</v>
      </c>
      <c r="AH73">
        <v>46.781475069999999</v>
      </c>
    </row>
    <row r="75" spans="1:34" x14ac:dyDescent="0.3">
      <c r="A75" t="s">
        <v>438</v>
      </c>
      <c r="B75">
        <f>PEARSON(Table13[Algeria],B64:B73)</f>
        <v>0.92274212672122202</v>
      </c>
      <c r="C75">
        <f>PEARSON(Table13[Benin],C64:C73)</f>
        <v>0.90137407883842413</v>
      </c>
      <c r="D75">
        <f>PEARSON(Table13[Burkina Faso],D64:D73)</f>
        <v>0.60073583902430583</v>
      </c>
      <c r="E75">
        <f>PEARSON(Table13[Cabo Verde],E64:E73)</f>
        <v>0.88418774892739949</v>
      </c>
      <c r="F75">
        <f>PEARSON(Table13[Cameroon],F64:F73)</f>
        <v>0.80915596168121817</v>
      </c>
      <c r="G75" t="e">
        <f>PEARSON(Table13[Chad],G64:G73)</f>
        <v>#DIV/0!</v>
      </c>
      <c r="H75">
        <f>PEARSON(Table13[Congo DR],H64:H73)</f>
        <v>1</v>
      </c>
      <c r="I75">
        <f>PEARSON(Table13[Cote d Ivoire],I64:I73)</f>
        <v>0</v>
      </c>
      <c r="J75">
        <f>PEARSON(Table13[Egypt],J64:J73)</f>
        <v>0.39761568441763145</v>
      </c>
      <c r="K75">
        <f>PEARSON(Table13[Eritrea],K64:K73)</f>
        <v>0.89453392144056587</v>
      </c>
      <c r="L75" t="e">
        <f>PEARSON(Table13[Ethiopia],L64:L73)</f>
        <v>#DIV/0!</v>
      </c>
      <c r="M75" t="e">
        <f>PEARSON(Table13[Gambia],M64:M73)</f>
        <v>#DIV/0!</v>
      </c>
      <c r="N75">
        <f>PEARSON(Table13[Ghana],N64:N73)</f>
        <v>0.79722037943958635</v>
      </c>
      <c r="O75" t="e">
        <f>PEARSON(Table13[Guinea],O64:O73)</f>
        <v>#DIV/0!</v>
      </c>
      <c r="P75">
        <f>PEARSON(Table13[Guinea Bissau],P64:P73)</f>
        <v>0.8846841521325276</v>
      </c>
      <c r="Q75">
        <f>PEARSON(Table13[Kenya],Q64:Q73)</f>
        <v>0.77774334125426081</v>
      </c>
      <c r="R75">
        <f>PEARSON(Table13[Liberia],R64:R73)</f>
        <v>-0.98774341946412803</v>
      </c>
      <c r="S75">
        <f>PEARSON(Table13[Madagascar],S64:S73)</f>
        <v>0.81757788039473311</v>
      </c>
      <c r="T75">
        <f>PEARSON(Table13[Mali],T64:T73)</f>
        <v>0.86926118277186448</v>
      </c>
      <c r="U75">
        <f>PEARSON(Table13[Mauritania],U64:U73)</f>
        <v>0.83514786064474922</v>
      </c>
      <c r="V75">
        <f>PEARSON(Table13[Mozambique],V64:V73)</f>
        <v>0.50711938294046122</v>
      </c>
      <c r="W75">
        <f>PEARSON(Table13[Namibia],W64:W73)</f>
        <v>0.80619150611362478</v>
      </c>
      <c r="X75">
        <f>PEARSON(Table13[Niger],X64:X73)</f>
        <v>0.78491621119922406</v>
      </c>
      <c r="Y75">
        <f>PEARSON(Table13[Nigeria],Y64:Y73)</f>
        <v>0.28677431690792188</v>
      </c>
      <c r="Z75">
        <f>PEARSON(Table13[Rwanda],Z64:Z73)</f>
        <v>0.95526142398908542</v>
      </c>
      <c r="AA75">
        <f>PEARSON(Table13[Senegal],AA64:AA73)</f>
        <v>0.84143779530461749</v>
      </c>
      <c r="AB75">
        <f>PEARSON(Table13[Sierra Leone],AB64:AB73)</f>
        <v>0.80286905495592453</v>
      </c>
      <c r="AC75">
        <f>PEARSON(Table13[South Africa],AC64:AC73)</f>
        <v>-0.11328658182180475</v>
      </c>
      <c r="AD75">
        <f>PEARSON(Table13[Tanzania],AD64:AD73)</f>
        <v>0.8971900826579865</v>
      </c>
      <c r="AE75">
        <f>PEARSON(Table13[Togo],AE64:AE73)</f>
        <v>0.84103081913464028</v>
      </c>
      <c r="AF75">
        <f>PEARSON(Table13[Uganda],AF64:AF73)</f>
        <v>0.86832835680938947</v>
      </c>
      <c r="AG75">
        <f>PEARSON(Table13[Zambia],AG64:AG73)</f>
        <v>0.93873577892555271</v>
      </c>
      <c r="AH75" t="e">
        <f>PEARSON(Table13[Zimbabwe],AH64:AH73)</f>
        <v>#DIV/0!</v>
      </c>
    </row>
    <row r="76" spans="1:34" x14ac:dyDescent="0.3">
      <c r="A76" t="s">
        <v>439</v>
      </c>
      <c r="B76">
        <f>PEARSON(B46:B55,B64:B73)</f>
        <v>0.1555549753920755</v>
      </c>
      <c r="C76">
        <f t="shared" ref="C76:AH76" si="5">PEARSON(C46:C55,C64:C73)</f>
        <v>7.2913718241191389E-2</v>
      </c>
      <c r="D76">
        <f t="shared" si="5"/>
        <v>0.45490637323480831</v>
      </c>
      <c r="E76">
        <f t="shared" si="5"/>
        <v>0.1338634080071236</v>
      </c>
      <c r="F76">
        <f t="shared" si="5"/>
        <v>0.53219444764341106</v>
      </c>
      <c r="G76">
        <f t="shared" si="5"/>
        <v>-0.25086723387523591</v>
      </c>
      <c r="H76">
        <f t="shared" si="5"/>
        <v>0.47151168844737423</v>
      </c>
      <c r="I76">
        <f t="shared" si="5"/>
        <v>3.7399771721329939E-2</v>
      </c>
      <c r="J76">
        <f t="shared" si="5"/>
        <v>-0.56908744136360057</v>
      </c>
      <c r="K76">
        <f t="shared" si="5"/>
        <v>0.43795266532725463</v>
      </c>
      <c r="L76">
        <f t="shared" si="5"/>
        <v>0.39042004726608776</v>
      </c>
      <c r="M76">
        <f t="shared" si="5"/>
        <v>4.8682935638126291E-2</v>
      </c>
      <c r="N76">
        <f t="shared" si="5"/>
        <v>0.50311165537874758</v>
      </c>
      <c r="O76">
        <f t="shared" si="5"/>
        <v>0.48920011120554813</v>
      </c>
      <c r="P76">
        <f t="shared" si="5"/>
        <v>0.45550041088684107</v>
      </c>
      <c r="Q76">
        <f t="shared" si="5"/>
        <v>0.35654247752584572</v>
      </c>
      <c r="R76">
        <f t="shared" si="5"/>
        <v>0.64617291332833671</v>
      </c>
      <c r="S76">
        <f t="shared" si="5"/>
        <v>0.40888841018973349</v>
      </c>
      <c r="T76">
        <f t="shared" si="5"/>
        <v>-0.2935339212007681</v>
      </c>
      <c r="U76">
        <f t="shared" si="5"/>
        <v>-4.7660042881871416E-2</v>
      </c>
      <c r="V76">
        <f t="shared" si="5"/>
        <v>-0.16579118041144958</v>
      </c>
      <c r="W76">
        <f t="shared" si="5"/>
        <v>-0.39469005762535603</v>
      </c>
      <c r="X76">
        <f t="shared" si="5"/>
        <v>0.45894747266829089</v>
      </c>
      <c r="Y76">
        <f t="shared" si="5"/>
        <v>-8.8486808673614407E-3</v>
      </c>
      <c r="Z76">
        <f t="shared" si="5"/>
        <v>2.979474352764903E-3</v>
      </c>
      <c r="AA76">
        <f t="shared" si="5"/>
        <v>-2.9465220666621984E-2</v>
      </c>
      <c r="AB76">
        <f t="shared" si="5"/>
        <v>0.34345077716304495</v>
      </c>
      <c r="AC76">
        <f t="shared" si="5"/>
        <v>-9.6493554067900264E-2</v>
      </c>
      <c r="AD76">
        <f t="shared" si="5"/>
        <v>0.35766270403152894</v>
      </c>
      <c r="AE76">
        <f t="shared" si="5"/>
        <v>0.4175826801027176</v>
      </c>
      <c r="AF76">
        <f t="shared" si="5"/>
        <v>-1.4981828091797557E-2</v>
      </c>
      <c r="AG76">
        <f t="shared" si="5"/>
        <v>0.65500359891366411</v>
      </c>
      <c r="AH76">
        <f t="shared" si="5"/>
        <v>0.14307419183901476</v>
      </c>
    </row>
    <row r="78" spans="1:34" x14ac:dyDescent="0.3">
      <c r="A78" t="s">
        <v>451</v>
      </c>
    </row>
    <row r="79" spans="1:34" x14ac:dyDescent="0.3">
      <c r="A79" t="s">
        <v>440</v>
      </c>
      <c r="B79" t="s">
        <v>163</v>
      </c>
      <c r="C79" t="s">
        <v>121</v>
      </c>
      <c r="D79" t="s">
        <v>122</v>
      </c>
      <c r="E79" t="s">
        <v>150</v>
      </c>
      <c r="F79" t="s">
        <v>145</v>
      </c>
      <c r="G79" t="s">
        <v>332</v>
      </c>
      <c r="H79" t="s">
        <v>452</v>
      </c>
      <c r="I79" t="s">
        <v>144</v>
      </c>
      <c r="J79" t="s">
        <v>371</v>
      </c>
      <c r="K79" t="s">
        <v>172</v>
      </c>
      <c r="L79" t="s">
        <v>175</v>
      </c>
      <c r="M79" t="s">
        <v>372</v>
      </c>
      <c r="N79" t="s">
        <v>186</v>
      </c>
      <c r="O79" t="s">
        <v>188</v>
      </c>
      <c r="P79" t="s">
        <v>373</v>
      </c>
      <c r="Q79" t="s">
        <v>224</v>
      </c>
      <c r="R79" t="s">
        <v>234</v>
      </c>
      <c r="S79" t="s">
        <v>254</v>
      </c>
      <c r="T79" t="s">
        <v>261</v>
      </c>
      <c r="U79" t="s">
        <v>269</v>
      </c>
      <c r="V79" t="s">
        <v>268</v>
      </c>
      <c r="W79" t="s">
        <v>274</v>
      </c>
      <c r="X79" t="s">
        <v>276</v>
      </c>
      <c r="Y79" t="s">
        <v>277</v>
      </c>
      <c r="Z79" t="s">
        <v>306</v>
      </c>
      <c r="AA79" t="s">
        <v>310</v>
      </c>
      <c r="AB79" t="s">
        <v>313</v>
      </c>
      <c r="AC79" t="s">
        <v>366</v>
      </c>
      <c r="AD79" t="s">
        <v>349</v>
      </c>
      <c r="AE79" t="s">
        <v>335</v>
      </c>
      <c r="AF79" t="s">
        <v>350</v>
      </c>
      <c r="AG79" t="s">
        <v>367</v>
      </c>
      <c r="AH79" t="s">
        <v>368</v>
      </c>
    </row>
    <row r="80" spans="1:34" x14ac:dyDescent="0.3">
      <c r="A80" t="s">
        <v>441</v>
      </c>
      <c r="D80">
        <v>4</v>
      </c>
      <c r="E80">
        <v>6</v>
      </c>
      <c r="F80">
        <v>1</v>
      </c>
      <c r="G80">
        <v>0</v>
      </c>
      <c r="H80">
        <v>0</v>
      </c>
      <c r="I80">
        <v>2</v>
      </c>
      <c r="J80">
        <v>15</v>
      </c>
      <c r="K80">
        <v>0</v>
      </c>
      <c r="L80">
        <v>0</v>
      </c>
      <c r="M80">
        <v>2</v>
      </c>
      <c r="N80">
        <v>0</v>
      </c>
      <c r="O80">
        <v>1</v>
      </c>
      <c r="P80">
        <v>0</v>
      </c>
      <c r="Q80">
        <v>0</v>
      </c>
      <c r="R80">
        <v>0</v>
      </c>
      <c r="S80">
        <v>2</v>
      </c>
      <c r="T80">
        <v>6</v>
      </c>
      <c r="U80">
        <v>0</v>
      </c>
      <c r="V80">
        <v>0</v>
      </c>
      <c r="W80">
        <v>4</v>
      </c>
      <c r="X80">
        <v>2</v>
      </c>
      <c r="Y80">
        <v>0</v>
      </c>
      <c r="Z80">
        <v>0</v>
      </c>
      <c r="AA80">
        <v>3</v>
      </c>
      <c r="AB80">
        <v>0</v>
      </c>
      <c r="AC80">
        <v>2</v>
      </c>
      <c r="AD80">
        <v>0</v>
      </c>
      <c r="AE80">
        <v>0</v>
      </c>
      <c r="AF80">
        <v>15</v>
      </c>
      <c r="AG80">
        <v>0</v>
      </c>
      <c r="AH80">
        <v>0</v>
      </c>
    </row>
    <row r="81" spans="1:34" x14ac:dyDescent="0.3">
      <c r="A81" t="s">
        <v>442</v>
      </c>
      <c r="C81">
        <v>1</v>
      </c>
      <c r="D81">
        <v>6</v>
      </c>
      <c r="E81">
        <v>6</v>
      </c>
      <c r="F81">
        <v>2</v>
      </c>
      <c r="G81">
        <v>0</v>
      </c>
      <c r="H81">
        <v>0</v>
      </c>
      <c r="I81">
        <v>2</v>
      </c>
      <c r="J81">
        <v>15</v>
      </c>
      <c r="K81">
        <v>0</v>
      </c>
      <c r="L81">
        <v>0</v>
      </c>
      <c r="M81">
        <v>2</v>
      </c>
      <c r="N81">
        <v>0</v>
      </c>
      <c r="O81">
        <v>1</v>
      </c>
      <c r="P81">
        <v>0</v>
      </c>
      <c r="Q81">
        <v>1</v>
      </c>
      <c r="R81">
        <v>0</v>
      </c>
      <c r="S81">
        <v>2</v>
      </c>
      <c r="T81">
        <v>10</v>
      </c>
      <c r="U81">
        <v>0</v>
      </c>
      <c r="V81">
        <v>1</v>
      </c>
      <c r="W81">
        <v>7</v>
      </c>
      <c r="X81">
        <v>3</v>
      </c>
      <c r="Y81">
        <v>0</v>
      </c>
      <c r="Z81">
        <v>0</v>
      </c>
      <c r="AA81">
        <v>5</v>
      </c>
      <c r="AB81">
        <v>0</v>
      </c>
      <c r="AC81">
        <v>6</v>
      </c>
      <c r="AD81">
        <v>0</v>
      </c>
      <c r="AE81">
        <v>0</v>
      </c>
      <c r="AF81">
        <v>16</v>
      </c>
      <c r="AG81">
        <v>0</v>
      </c>
      <c r="AH81">
        <v>0</v>
      </c>
    </row>
    <row r="82" spans="1:34" x14ac:dyDescent="0.3">
      <c r="A82" t="s">
        <v>443</v>
      </c>
      <c r="C82">
        <v>1</v>
      </c>
      <c r="D82">
        <v>6</v>
      </c>
      <c r="E82">
        <v>6</v>
      </c>
      <c r="F82">
        <v>3</v>
      </c>
      <c r="G82">
        <v>0</v>
      </c>
      <c r="H82">
        <v>0</v>
      </c>
      <c r="I82">
        <v>2</v>
      </c>
      <c r="J82">
        <v>15</v>
      </c>
      <c r="K82">
        <v>0</v>
      </c>
      <c r="L82">
        <v>1</v>
      </c>
      <c r="M82">
        <v>2</v>
      </c>
      <c r="N82">
        <v>0</v>
      </c>
      <c r="O82">
        <v>1</v>
      </c>
      <c r="P82">
        <v>0</v>
      </c>
      <c r="Q82">
        <v>3</v>
      </c>
      <c r="R82">
        <v>0</v>
      </c>
      <c r="S82">
        <v>3</v>
      </c>
      <c r="T82">
        <v>16</v>
      </c>
      <c r="U82">
        <v>0</v>
      </c>
      <c r="V82">
        <v>2</v>
      </c>
      <c r="W82">
        <v>11</v>
      </c>
      <c r="X82">
        <v>4</v>
      </c>
      <c r="Y82">
        <v>15</v>
      </c>
      <c r="Z82">
        <v>0</v>
      </c>
      <c r="AA82">
        <v>6</v>
      </c>
      <c r="AB82">
        <v>0</v>
      </c>
      <c r="AC82">
        <v>11</v>
      </c>
      <c r="AD82">
        <v>1</v>
      </c>
      <c r="AE82">
        <v>0</v>
      </c>
      <c r="AF82">
        <v>17</v>
      </c>
      <c r="AG82">
        <v>0</v>
      </c>
      <c r="AH82">
        <v>1</v>
      </c>
    </row>
    <row r="83" spans="1:34" x14ac:dyDescent="0.3">
      <c r="A83" t="s">
        <v>444</v>
      </c>
      <c r="C83">
        <v>1</v>
      </c>
      <c r="D83">
        <v>6</v>
      </c>
      <c r="E83">
        <v>6</v>
      </c>
      <c r="F83">
        <v>4</v>
      </c>
      <c r="G83">
        <v>0</v>
      </c>
      <c r="H83">
        <v>0</v>
      </c>
      <c r="I83">
        <v>3</v>
      </c>
      <c r="J83">
        <v>15</v>
      </c>
      <c r="K83">
        <v>0</v>
      </c>
      <c r="L83">
        <v>3</v>
      </c>
      <c r="M83">
        <v>2</v>
      </c>
      <c r="N83">
        <v>3</v>
      </c>
      <c r="O83">
        <v>3</v>
      </c>
      <c r="P83">
        <v>0</v>
      </c>
      <c r="Q83">
        <v>7</v>
      </c>
      <c r="R83">
        <v>0</v>
      </c>
      <c r="S83">
        <v>5</v>
      </c>
      <c r="T83">
        <v>16</v>
      </c>
      <c r="U83">
        <v>18</v>
      </c>
      <c r="V83">
        <v>5</v>
      </c>
      <c r="W83">
        <v>15</v>
      </c>
      <c r="X83">
        <v>5</v>
      </c>
      <c r="Y83">
        <v>15</v>
      </c>
      <c r="Z83">
        <v>1</v>
      </c>
      <c r="AA83">
        <v>7</v>
      </c>
      <c r="AB83">
        <v>0</v>
      </c>
      <c r="AC83">
        <v>262</v>
      </c>
      <c r="AD83">
        <v>4</v>
      </c>
      <c r="AE83">
        <v>1</v>
      </c>
      <c r="AF83">
        <v>19</v>
      </c>
      <c r="AG83">
        <v>0</v>
      </c>
      <c r="AH83">
        <v>2</v>
      </c>
    </row>
    <row r="84" spans="1:34" x14ac:dyDescent="0.3">
      <c r="A84" t="s">
        <v>445</v>
      </c>
      <c r="B84">
        <v>1</v>
      </c>
      <c r="C84">
        <v>1</v>
      </c>
      <c r="D84">
        <v>7</v>
      </c>
      <c r="E84">
        <v>6</v>
      </c>
      <c r="F84">
        <v>6</v>
      </c>
      <c r="G84">
        <v>0</v>
      </c>
      <c r="H84">
        <v>1</v>
      </c>
      <c r="I84">
        <v>4</v>
      </c>
      <c r="J84">
        <v>15</v>
      </c>
      <c r="K84">
        <v>8</v>
      </c>
      <c r="L84">
        <v>9</v>
      </c>
      <c r="M84">
        <v>2</v>
      </c>
      <c r="N84">
        <v>5</v>
      </c>
      <c r="O84">
        <v>3</v>
      </c>
      <c r="P84">
        <v>0</v>
      </c>
      <c r="Q84">
        <v>17</v>
      </c>
      <c r="R84">
        <v>0</v>
      </c>
      <c r="S84">
        <v>7</v>
      </c>
      <c r="T84">
        <v>16</v>
      </c>
      <c r="U84">
        <v>18</v>
      </c>
      <c r="V84">
        <v>7</v>
      </c>
      <c r="W84">
        <v>16</v>
      </c>
      <c r="X84">
        <v>6</v>
      </c>
      <c r="Y84">
        <v>16</v>
      </c>
      <c r="Z84">
        <v>10</v>
      </c>
      <c r="AA84">
        <v>10</v>
      </c>
      <c r="AB84">
        <v>0</v>
      </c>
      <c r="AC84">
        <v>1063</v>
      </c>
      <c r="AD84">
        <v>11</v>
      </c>
      <c r="AE84">
        <v>1</v>
      </c>
      <c r="AF84">
        <v>20</v>
      </c>
      <c r="AG84">
        <v>0</v>
      </c>
      <c r="AH84">
        <v>3</v>
      </c>
    </row>
    <row r="85" spans="1:34" x14ac:dyDescent="0.3">
      <c r="A85" t="s">
        <v>446</v>
      </c>
      <c r="B85">
        <v>49</v>
      </c>
      <c r="C85">
        <v>1</v>
      </c>
      <c r="D85">
        <v>8</v>
      </c>
      <c r="E85">
        <v>6</v>
      </c>
      <c r="F85">
        <v>7</v>
      </c>
      <c r="G85">
        <v>0</v>
      </c>
      <c r="H85">
        <v>1</v>
      </c>
      <c r="I85">
        <v>5</v>
      </c>
      <c r="J85">
        <v>25</v>
      </c>
      <c r="K85">
        <v>8</v>
      </c>
      <c r="L85">
        <v>10</v>
      </c>
      <c r="M85">
        <v>2</v>
      </c>
      <c r="N85">
        <v>30</v>
      </c>
      <c r="O85">
        <v>13</v>
      </c>
      <c r="P85">
        <v>0</v>
      </c>
      <c r="Q85">
        <v>31</v>
      </c>
      <c r="R85">
        <v>0</v>
      </c>
      <c r="S85">
        <v>9</v>
      </c>
      <c r="T85">
        <v>17</v>
      </c>
      <c r="U85">
        <v>18</v>
      </c>
      <c r="V85">
        <v>10</v>
      </c>
      <c r="W85">
        <v>21</v>
      </c>
      <c r="X85">
        <v>7</v>
      </c>
      <c r="Y85">
        <v>17</v>
      </c>
      <c r="Z85">
        <v>14</v>
      </c>
      <c r="AA85">
        <v>11</v>
      </c>
      <c r="AB85">
        <v>0</v>
      </c>
      <c r="AC85">
        <v>1252</v>
      </c>
      <c r="AD85">
        <v>13</v>
      </c>
      <c r="AE85">
        <v>2</v>
      </c>
      <c r="AF85">
        <v>22</v>
      </c>
      <c r="AG85">
        <v>0</v>
      </c>
      <c r="AH85">
        <v>4</v>
      </c>
    </row>
    <row r="86" spans="1:34" x14ac:dyDescent="0.3">
      <c r="A86" t="s">
        <v>447</v>
      </c>
      <c r="B86">
        <v>219</v>
      </c>
      <c r="C86">
        <v>3</v>
      </c>
      <c r="D86">
        <v>10</v>
      </c>
      <c r="E86">
        <v>6</v>
      </c>
      <c r="F86">
        <v>9</v>
      </c>
      <c r="G86">
        <v>0</v>
      </c>
      <c r="H86">
        <v>3</v>
      </c>
      <c r="I86">
        <v>5</v>
      </c>
      <c r="J86">
        <v>39</v>
      </c>
      <c r="K86">
        <v>8</v>
      </c>
      <c r="L86">
        <v>12</v>
      </c>
      <c r="M86">
        <v>2</v>
      </c>
      <c r="N86">
        <v>34</v>
      </c>
      <c r="O86">
        <v>13</v>
      </c>
      <c r="P86">
        <v>0</v>
      </c>
      <c r="Q86">
        <v>32</v>
      </c>
      <c r="R86">
        <v>0</v>
      </c>
      <c r="S86">
        <v>11</v>
      </c>
      <c r="T86">
        <v>18</v>
      </c>
      <c r="U86">
        <v>35</v>
      </c>
      <c r="V86">
        <v>13</v>
      </c>
      <c r="W86">
        <v>36</v>
      </c>
      <c r="X86">
        <v>8</v>
      </c>
      <c r="Y86">
        <v>18</v>
      </c>
      <c r="Z86">
        <v>19</v>
      </c>
      <c r="AA86">
        <v>43</v>
      </c>
      <c r="AB86">
        <v>0</v>
      </c>
      <c r="AC86">
        <v>1974</v>
      </c>
      <c r="AD86">
        <v>19</v>
      </c>
      <c r="AE86">
        <v>3</v>
      </c>
      <c r="AF86">
        <v>24</v>
      </c>
      <c r="AG86">
        <v>0</v>
      </c>
      <c r="AH86">
        <v>5</v>
      </c>
    </row>
    <row r="87" spans="1:34" x14ac:dyDescent="0.3">
      <c r="A87" t="s">
        <v>448</v>
      </c>
      <c r="B87">
        <v>400</v>
      </c>
      <c r="C87">
        <v>3</v>
      </c>
      <c r="D87">
        <v>47</v>
      </c>
      <c r="E87">
        <v>6</v>
      </c>
      <c r="F87">
        <v>12</v>
      </c>
      <c r="G87">
        <v>0</v>
      </c>
      <c r="H87">
        <v>5</v>
      </c>
      <c r="I87">
        <v>8</v>
      </c>
      <c r="J87">
        <v>160</v>
      </c>
      <c r="K87">
        <v>10</v>
      </c>
      <c r="L87">
        <v>12</v>
      </c>
      <c r="M87">
        <v>2</v>
      </c>
      <c r="N87">
        <v>39</v>
      </c>
      <c r="O87">
        <v>13</v>
      </c>
      <c r="P87">
        <v>0</v>
      </c>
      <c r="Q87">
        <v>39</v>
      </c>
      <c r="R87">
        <v>2</v>
      </c>
      <c r="S87">
        <v>13</v>
      </c>
      <c r="T87">
        <v>19</v>
      </c>
      <c r="U87">
        <v>35</v>
      </c>
      <c r="V87">
        <v>15</v>
      </c>
      <c r="W87">
        <v>75</v>
      </c>
      <c r="X87">
        <v>9</v>
      </c>
      <c r="Y87">
        <v>19</v>
      </c>
      <c r="Z87">
        <v>27</v>
      </c>
      <c r="AA87">
        <v>113</v>
      </c>
      <c r="AB87">
        <v>4</v>
      </c>
      <c r="AC87">
        <v>3147</v>
      </c>
      <c r="AD87">
        <v>22</v>
      </c>
      <c r="AE87">
        <v>3</v>
      </c>
      <c r="AF87">
        <v>46</v>
      </c>
      <c r="AG87">
        <v>0</v>
      </c>
      <c r="AH87">
        <v>6</v>
      </c>
    </row>
    <row r="88" spans="1:34" x14ac:dyDescent="0.3">
      <c r="A88" t="s">
        <v>449</v>
      </c>
      <c r="B88">
        <v>423</v>
      </c>
      <c r="C88">
        <v>3</v>
      </c>
      <c r="D88">
        <v>62</v>
      </c>
      <c r="E88">
        <v>8</v>
      </c>
      <c r="F88">
        <v>14</v>
      </c>
      <c r="G88">
        <v>0</v>
      </c>
      <c r="H88">
        <v>19</v>
      </c>
      <c r="I88">
        <v>13</v>
      </c>
      <c r="J88">
        <v>744</v>
      </c>
      <c r="K88">
        <v>18</v>
      </c>
      <c r="L88">
        <v>12</v>
      </c>
      <c r="M88">
        <v>2</v>
      </c>
      <c r="N88">
        <v>63</v>
      </c>
      <c r="O88">
        <v>13</v>
      </c>
      <c r="P88">
        <v>1</v>
      </c>
      <c r="Q88">
        <v>105</v>
      </c>
      <c r="R88">
        <v>3</v>
      </c>
      <c r="S88">
        <v>33</v>
      </c>
      <c r="T88">
        <v>19</v>
      </c>
      <c r="U88">
        <v>87</v>
      </c>
      <c r="V88">
        <v>15</v>
      </c>
      <c r="W88">
        <v>93</v>
      </c>
      <c r="X88">
        <v>27</v>
      </c>
      <c r="Y88">
        <v>19</v>
      </c>
      <c r="Z88">
        <v>31</v>
      </c>
      <c r="AA88">
        <v>155</v>
      </c>
      <c r="AB88">
        <v>4</v>
      </c>
      <c r="AC88">
        <v>4401</v>
      </c>
      <c r="AD88">
        <v>26</v>
      </c>
      <c r="AE88">
        <v>3</v>
      </c>
      <c r="AF88">
        <v>48</v>
      </c>
      <c r="AG88">
        <v>1</v>
      </c>
      <c r="AH88">
        <v>11</v>
      </c>
    </row>
    <row r="89" spans="1:34" x14ac:dyDescent="0.3">
      <c r="A89" t="s">
        <v>450</v>
      </c>
      <c r="B89">
        <v>423</v>
      </c>
      <c r="C89">
        <v>3</v>
      </c>
      <c r="D89">
        <v>62</v>
      </c>
      <c r="E89">
        <v>8</v>
      </c>
      <c r="F89">
        <v>14</v>
      </c>
      <c r="G89">
        <v>0</v>
      </c>
      <c r="H89">
        <v>20</v>
      </c>
      <c r="I89">
        <v>13</v>
      </c>
      <c r="J89">
        <v>1641</v>
      </c>
      <c r="K89">
        <v>20</v>
      </c>
      <c r="L89">
        <v>12</v>
      </c>
      <c r="M89">
        <v>2</v>
      </c>
      <c r="N89">
        <v>63</v>
      </c>
      <c r="O89">
        <v>13</v>
      </c>
      <c r="P89">
        <v>1</v>
      </c>
      <c r="Q89">
        <v>106</v>
      </c>
      <c r="R89">
        <v>3</v>
      </c>
      <c r="S89">
        <v>34</v>
      </c>
      <c r="T89">
        <v>19</v>
      </c>
      <c r="U89">
        <v>88</v>
      </c>
      <c r="V89">
        <v>55</v>
      </c>
      <c r="W89">
        <v>145</v>
      </c>
      <c r="X89">
        <v>27</v>
      </c>
      <c r="Y89">
        <v>28</v>
      </c>
      <c r="Z89">
        <v>31</v>
      </c>
      <c r="AA89">
        <v>155</v>
      </c>
      <c r="AB89">
        <v>4</v>
      </c>
      <c r="AC89">
        <v>4405</v>
      </c>
      <c r="AD89">
        <v>26</v>
      </c>
      <c r="AE89">
        <v>3</v>
      </c>
      <c r="AF89">
        <v>82</v>
      </c>
      <c r="AG89">
        <v>96</v>
      </c>
      <c r="AH89">
        <v>11</v>
      </c>
    </row>
    <row r="92" spans="1:34" x14ac:dyDescent="0.3">
      <c r="A92" t="s">
        <v>453</v>
      </c>
      <c r="B92">
        <f>PEARSON(Table13[Algeria],B80:B89)</f>
        <v>0.91581649669292431</v>
      </c>
      <c r="C92">
        <f>PEARSON(Table13[Benin],C80:C89)</f>
        <v>0.99322787415063518</v>
      </c>
      <c r="D92">
        <f>PEARSON(Table13[Burkina Faso],D80:D89)</f>
        <v>0.56740316480299324</v>
      </c>
      <c r="E92">
        <f>PEARSON(Table13[Cabo Verde],E80:E89)</f>
        <v>0.54200873569157226</v>
      </c>
      <c r="F92">
        <f>PEARSON(Table13[Cameroon],F80:F89)</f>
        <v>0.85779952648313962</v>
      </c>
      <c r="G92" t="e">
        <f>PEARSON(Table13[Chad],G80:G89)</f>
        <v>#DIV/0!</v>
      </c>
      <c r="H92">
        <f>PEARSON(Table13[Congo DR],H80:H89)</f>
        <v>1</v>
      </c>
      <c r="I92">
        <f>PEARSON(Table13[Cote d Ivoire],I80:I89)</f>
        <v>1.973729821555834E-16</v>
      </c>
      <c r="J92">
        <f>PEARSON(Table13[Egypt],J80:J89)</f>
        <v>0.96631502368347144</v>
      </c>
      <c r="K92">
        <f>PEARSON(Table13[Eritrea],K80:K89)</f>
        <v>0.98058067569092022</v>
      </c>
      <c r="L92" t="e">
        <f>PEARSON(Table13[Ethiopia],L80:L89)</f>
        <v>#DIV/0!</v>
      </c>
      <c r="M92" t="e">
        <f>PEARSON(Table13[Gambia],M80:M89)</f>
        <v>#DIV/0!</v>
      </c>
      <c r="N92">
        <f>PEARSON(Table13[Ghana],N80:N89)</f>
        <v>0.90688205846222314</v>
      </c>
      <c r="O92" t="e">
        <f>PEARSON(Table13[Guinea],O80:O89)</f>
        <v>#DIV/0!</v>
      </c>
      <c r="P92">
        <f>PEARSON(Table13[Guinea Bissau],P80:P89)</f>
        <v>1</v>
      </c>
      <c r="Q92">
        <f>PEARSON(Table13[Kenya],Q80:Q89)</f>
        <v>0.74187115257655278</v>
      </c>
      <c r="R92">
        <f>PEARSON(Table13[Liberia],R80:R89)</f>
        <v>0.99999999999999989</v>
      </c>
      <c r="S92">
        <f>PEARSON(Table13[Madagascar],S80:S89)</f>
        <v>0.90115761167569619</v>
      </c>
      <c r="T92">
        <f>PEARSON(Table13[Mali],T80:T89)</f>
        <v>0.86022257341610064</v>
      </c>
      <c r="U92">
        <f>PEARSON(Table13[Mauritania],U80:U89)</f>
        <v>0.68919380229906324</v>
      </c>
      <c r="V92">
        <f>PEARSON(Table13[Mozambique],V80:V89)</f>
        <v>0.31255915119775002</v>
      </c>
      <c r="W92">
        <f>PEARSON(Table13[Namibia],W80:W89)</f>
        <v>0.55938927053640231</v>
      </c>
      <c r="X92">
        <f>PEARSON(Table13[Niger],X80:X89)</f>
        <v>0.9438236541989693</v>
      </c>
      <c r="Y92">
        <f>PEARSON(Table13[Nigeria],Y80:Y89)</f>
        <v>0.83175004096563421</v>
      </c>
      <c r="Z92">
        <f>PEARSON(Table13[Rwanda],Z80:Z89)</f>
        <v>0.93476990150929573</v>
      </c>
      <c r="AA92">
        <f>PEARSON(Table13[Senegal],AA80:AA89)</f>
        <v>0.81763740032166055</v>
      </c>
      <c r="AB92">
        <f>PEARSON(Table13[Sierra Leone],AB80:AB89)</f>
        <v>1.0000000000000002</v>
      </c>
      <c r="AC92">
        <f>PEARSON(Table13[South Africa],AC80:AC89)</f>
        <v>0.91137723504553714</v>
      </c>
      <c r="AD92">
        <f>PEARSON(Table13[Tanzania],AD80:AD89)</f>
        <v>0.95413628047489496</v>
      </c>
      <c r="AE92" t="e">
        <f>PEARSON(Table13[Togo],AE80:AE89)</f>
        <v>#DIV/0!</v>
      </c>
      <c r="AF92">
        <f>PEARSON(Table13[Uganda],AF80:AF89)</f>
        <v>0.86515092838482865</v>
      </c>
      <c r="AG92">
        <f>PEARSON(Table13[Zambia],AG80:AG89)</f>
        <v>0.71887325617180964</v>
      </c>
      <c r="AH92" t="e">
        <f>PEARSON(Table13[Zimbabwe],AH80:AH89)</f>
        <v>#DIV/0!</v>
      </c>
    </row>
    <row r="96" spans="1:34" x14ac:dyDescent="0.3">
      <c r="B96">
        <f>B11/B89</f>
        <v>0.51796690307328608</v>
      </c>
      <c r="C96">
        <f t="shared" ref="C96:AH96" si="6">C11/C89</f>
        <v>0.26200000000000001</v>
      </c>
      <c r="D96">
        <f t="shared" si="6"/>
        <v>1.2629032258064516E-2</v>
      </c>
      <c r="E96">
        <f t="shared" si="6"/>
        <v>2.325E-2</v>
      </c>
      <c r="F96">
        <f>F11/F89</f>
        <v>1.703642857142857</v>
      </c>
      <c r="G96" t="e">
        <f t="shared" si="6"/>
        <v>#DIV/0!</v>
      </c>
      <c r="H96">
        <f t="shared" si="6"/>
        <v>5.6599999999999998E-2</v>
      </c>
      <c r="I96">
        <f t="shared" si="6"/>
        <v>1.6769230769230769E-2</v>
      </c>
      <c r="J96">
        <f t="shared" si="6"/>
        <v>6.2035344302254717E-3</v>
      </c>
      <c r="K96">
        <f t="shared" si="6"/>
        <v>0.13</v>
      </c>
      <c r="L96">
        <f t="shared" si="6"/>
        <v>1.4999999999999998E-3</v>
      </c>
      <c r="M96">
        <f t="shared" si="6"/>
        <v>0.03</v>
      </c>
      <c r="N96">
        <f t="shared" si="6"/>
        <v>1.119047619047619E-2</v>
      </c>
      <c r="O96">
        <f t="shared" si="6"/>
        <v>5.9230769230769233E-3</v>
      </c>
      <c r="P96">
        <f t="shared" si="6"/>
        <v>0.92</v>
      </c>
      <c r="Q96">
        <f t="shared" si="6"/>
        <v>1.6547169811320754E-2</v>
      </c>
      <c r="R96">
        <f t="shared" si="6"/>
        <v>8.4666666666666668E-2</v>
      </c>
      <c r="S96">
        <f t="shared" si="6"/>
        <v>1.3647058823529413E-2</v>
      </c>
      <c r="T96">
        <f t="shared" si="6"/>
        <v>0.31205263157894736</v>
      </c>
      <c r="U96">
        <f t="shared" si="6"/>
        <v>1.7386363636363636E-3</v>
      </c>
      <c r="V96">
        <f t="shared" si="6"/>
        <v>2.4199999999999999E-2</v>
      </c>
      <c r="W96">
        <f t="shared" si="6"/>
        <v>3.4068965517241377E-3</v>
      </c>
      <c r="X96">
        <f t="shared" si="6"/>
        <v>6.1111111111111114E-3</v>
      </c>
      <c r="Y96">
        <f t="shared" si="6"/>
        <v>9.0642857142857136E-2</v>
      </c>
      <c r="Z96">
        <f t="shared" si="6"/>
        <v>0.11629032258064516</v>
      </c>
      <c r="AA96">
        <f t="shared" si="6"/>
        <v>1.2961290322580645E-2</v>
      </c>
      <c r="AB96">
        <f t="shared" si="6"/>
        <v>4.9500000000000002E-2</v>
      </c>
      <c r="AC96">
        <f t="shared" si="6"/>
        <v>7.4914869466515327E-6</v>
      </c>
      <c r="AD96">
        <f t="shared" si="6"/>
        <v>1.8769230769230767E-2</v>
      </c>
      <c r="AE96">
        <f t="shared" si="6"/>
        <v>0.23333333333333331</v>
      </c>
      <c r="AF96">
        <f t="shared" si="6"/>
        <v>3.0707317073170728E-2</v>
      </c>
      <c r="AG96">
        <f t="shared" si="6"/>
        <v>1.9270833333333334E-3</v>
      </c>
      <c r="AH96">
        <f t="shared" si="6"/>
        <v>9.0000000000000011E-3</v>
      </c>
    </row>
    <row r="99" spans="21:21" x14ac:dyDescent="0.3">
      <c r="U99" t="s">
        <v>163</v>
      </c>
    </row>
    <row r="100" spans="21:21" x14ac:dyDescent="0.3">
      <c r="U100" t="s">
        <v>121</v>
      </c>
    </row>
    <row r="101" spans="21:21" x14ac:dyDescent="0.3">
      <c r="U101" t="s">
        <v>145</v>
      </c>
    </row>
    <row r="102" spans="21:21" x14ac:dyDescent="0.3">
      <c r="U102" t="s">
        <v>373</v>
      </c>
    </row>
    <row r="103" spans="21:21" x14ac:dyDescent="0.3">
      <c r="U103" t="s">
        <v>261</v>
      </c>
    </row>
    <row r="104" spans="21:21" x14ac:dyDescent="0.3">
      <c r="U104" t="s">
        <v>335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4AD0-A0B1-42FB-AD28-86CE9F662D50}">
  <dimension ref="A1:AZ99"/>
  <sheetViews>
    <sheetView tabSelected="1" topLeftCell="A59" zoomScaleNormal="100" workbookViewId="0">
      <selection activeCell="B86" sqref="B86:AZ86"/>
    </sheetView>
  </sheetViews>
  <sheetFormatPr defaultRowHeight="14.4" x14ac:dyDescent="0.3"/>
  <cols>
    <col min="2" max="2" width="12.6640625" bestFit="1" customWidth="1"/>
    <col min="3" max="3" width="11" bestFit="1" customWidth="1"/>
    <col min="5" max="5" width="12" bestFit="1" customWidth="1"/>
  </cols>
  <sheetData>
    <row r="1" spans="1:52" ht="18" x14ac:dyDescent="0.3">
      <c r="A1" s="8"/>
      <c r="B1" s="8" t="s">
        <v>63</v>
      </c>
      <c r="C1" s="8" t="s">
        <v>1</v>
      </c>
      <c r="D1" s="8" t="s">
        <v>64</v>
      </c>
      <c r="E1" s="8" t="s">
        <v>2</v>
      </c>
      <c r="F1" s="8" t="s">
        <v>65</v>
      </c>
      <c r="G1" s="8" t="s">
        <v>3</v>
      </c>
      <c r="H1" s="8" t="s">
        <v>4</v>
      </c>
      <c r="I1" s="8" t="s">
        <v>66</v>
      </c>
      <c r="J1" s="8" t="s">
        <v>5</v>
      </c>
      <c r="K1" s="8" t="s">
        <v>67</v>
      </c>
      <c r="L1" s="8" t="s">
        <v>6</v>
      </c>
      <c r="M1" s="8" t="s">
        <v>68</v>
      </c>
      <c r="N1" s="8" t="s">
        <v>7</v>
      </c>
      <c r="O1" s="8" t="s">
        <v>8</v>
      </c>
      <c r="P1" s="8" t="s">
        <v>69</v>
      </c>
      <c r="Q1" s="8" t="s">
        <v>9</v>
      </c>
      <c r="R1" s="8" t="s">
        <v>70</v>
      </c>
      <c r="S1" s="8" t="s">
        <v>10</v>
      </c>
      <c r="T1" s="8" t="s">
        <v>71</v>
      </c>
      <c r="U1" s="8" t="s">
        <v>11</v>
      </c>
      <c r="V1" s="8" t="s">
        <v>12</v>
      </c>
      <c r="W1" s="8" t="s">
        <v>13</v>
      </c>
      <c r="X1" s="8" t="s">
        <v>14</v>
      </c>
      <c r="Y1" s="8" t="s">
        <v>15</v>
      </c>
      <c r="Z1" s="8" t="s">
        <v>72</v>
      </c>
      <c r="AA1" s="8" t="s">
        <v>16</v>
      </c>
      <c r="AB1" s="8" t="s">
        <v>17</v>
      </c>
      <c r="AC1" s="8" t="s">
        <v>73</v>
      </c>
      <c r="AD1" s="8" t="s">
        <v>18</v>
      </c>
      <c r="AE1" s="8" t="s">
        <v>19</v>
      </c>
      <c r="AF1" s="8" t="s">
        <v>74</v>
      </c>
      <c r="AG1" s="8" t="s">
        <v>75</v>
      </c>
      <c r="AH1" s="8" t="s">
        <v>20</v>
      </c>
      <c r="AI1" s="8" t="s">
        <v>21</v>
      </c>
      <c r="AJ1" s="8" t="s">
        <v>22</v>
      </c>
      <c r="AK1" s="8" t="s">
        <v>23</v>
      </c>
      <c r="AL1" s="8" t="s">
        <v>24</v>
      </c>
      <c r="AM1" s="8" t="s">
        <v>76</v>
      </c>
      <c r="AN1" s="8" t="s">
        <v>25</v>
      </c>
      <c r="AO1" s="8" t="s">
        <v>77</v>
      </c>
      <c r="AP1" s="8" t="s">
        <v>26</v>
      </c>
      <c r="AQ1" s="8" t="s">
        <v>78</v>
      </c>
      <c r="AR1" s="8" t="s">
        <v>27</v>
      </c>
      <c r="AS1" s="8" t="s">
        <v>79</v>
      </c>
      <c r="AT1" s="8" t="s">
        <v>80</v>
      </c>
      <c r="AU1" s="8" t="s">
        <v>28</v>
      </c>
      <c r="AV1" s="8" t="s">
        <v>29</v>
      </c>
      <c r="AW1" s="8" t="s">
        <v>81</v>
      </c>
      <c r="AX1" s="8" t="s">
        <v>30</v>
      </c>
      <c r="AY1" s="8" t="s">
        <v>31</v>
      </c>
      <c r="AZ1" s="8" t="s">
        <v>32</v>
      </c>
    </row>
    <row r="2" spans="1:52" x14ac:dyDescent="0.3">
      <c r="A2" s="9">
        <v>2010</v>
      </c>
      <c r="B2" s="11"/>
      <c r="C2" s="11"/>
      <c r="D2" s="11"/>
      <c r="E2" s="10">
        <v>7.0000000000000001E-3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0">
        <v>4.5830000000000002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0">
        <v>1.3160000000000001</v>
      </c>
      <c r="AX2" s="10">
        <v>9.2999999999999999E-2</v>
      </c>
      <c r="AY2" s="11"/>
      <c r="AZ2" s="11"/>
    </row>
    <row r="3" spans="1:52" x14ac:dyDescent="0.3">
      <c r="A3" s="9">
        <v>2011</v>
      </c>
      <c r="B3" s="11"/>
      <c r="C3" s="11"/>
      <c r="D3" s="11"/>
      <c r="E3" s="10">
        <v>2.7E-2</v>
      </c>
      <c r="F3" s="11"/>
      <c r="G3" s="11"/>
      <c r="H3" s="11"/>
      <c r="I3" s="11"/>
      <c r="J3" s="11"/>
      <c r="K3" s="11"/>
      <c r="L3" s="10">
        <v>2.1999999999999999E-2</v>
      </c>
      <c r="M3" s="11"/>
      <c r="N3" s="11"/>
      <c r="O3" s="11"/>
      <c r="P3" s="11"/>
      <c r="Q3" s="11"/>
      <c r="R3" s="11"/>
      <c r="S3" s="10">
        <v>0.25600000000000001</v>
      </c>
      <c r="T3" s="11"/>
      <c r="U3" s="11"/>
      <c r="V3" s="11"/>
      <c r="W3" s="11"/>
      <c r="X3" s="11"/>
      <c r="Y3" s="10">
        <v>0.40799999999999997</v>
      </c>
      <c r="Z3" s="11"/>
      <c r="AA3" s="11"/>
      <c r="AB3" s="11"/>
      <c r="AC3" s="10">
        <v>5.0999999999999997E-2</v>
      </c>
      <c r="AD3" s="11"/>
      <c r="AE3" s="11"/>
      <c r="AF3" s="10">
        <v>4.9000000000000002E-2</v>
      </c>
      <c r="AG3" s="10">
        <v>4.5830000000000002</v>
      </c>
      <c r="AH3" s="11"/>
      <c r="AI3" s="11"/>
      <c r="AJ3" s="11"/>
      <c r="AK3" s="10">
        <v>2.1999999999999999E-2</v>
      </c>
      <c r="AL3" s="10">
        <v>5.6000000000000001E-2</v>
      </c>
      <c r="AM3" s="11"/>
      <c r="AN3" s="11"/>
      <c r="AO3" s="11"/>
      <c r="AP3" s="11"/>
      <c r="AQ3" s="11"/>
      <c r="AR3" s="11"/>
      <c r="AS3" s="11"/>
      <c r="AT3" s="11"/>
      <c r="AU3" s="10">
        <v>0.27200000000000002</v>
      </c>
      <c r="AV3" s="11"/>
      <c r="AW3" s="10">
        <v>1.35</v>
      </c>
      <c r="AX3" s="10">
        <v>0.26</v>
      </c>
      <c r="AY3" s="11"/>
      <c r="AZ3" s="10">
        <v>0.17199999999999999</v>
      </c>
    </row>
    <row r="4" spans="1:52" x14ac:dyDescent="0.3">
      <c r="A4" s="9">
        <v>2012</v>
      </c>
      <c r="B4" s="11"/>
      <c r="C4" s="11"/>
      <c r="D4" s="11"/>
      <c r="E4" s="10">
        <v>8.7999999999999995E-2</v>
      </c>
      <c r="F4" s="11"/>
      <c r="G4" s="11"/>
      <c r="H4" s="11"/>
      <c r="I4" s="11"/>
      <c r="J4" s="11"/>
      <c r="K4" s="11"/>
      <c r="L4" s="10">
        <v>8.5999999999999993E-2</v>
      </c>
      <c r="M4" s="11"/>
      <c r="N4" s="11"/>
      <c r="O4" s="11"/>
      <c r="P4" s="11"/>
      <c r="Q4" s="11"/>
      <c r="R4" s="11"/>
      <c r="S4" s="10">
        <v>0.97499999999999998</v>
      </c>
      <c r="T4" s="11"/>
      <c r="U4" s="11"/>
      <c r="V4" s="11"/>
      <c r="W4" s="11"/>
      <c r="X4" s="11"/>
      <c r="Y4" s="10">
        <v>1.556</v>
      </c>
      <c r="Z4" s="10">
        <v>9.7000000000000003E-2</v>
      </c>
      <c r="AA4" s="11"/>
      <c r="AB4" s="11"/>
      <c r="AC4" s="10">
        <v>8.1000000000000003E-2</v>
      </c>
      <c r="AD4" s="11"/>
      <c r="AE4" s="11"/>
      <c r="AF4" s="10">
        <v>8.6999999999999994E-2</v>
      </c>
      <c r="AG4" s="10">
        <v>4.5830000000000002</v>
      </c>
      <c r="AH4" s="11"/>
      <c r="AI4" s="11"/>
      <c r="AJ4" s="11"/>
      <c r="AK4" s="10">
        <v>8.5999999999999993E-2</v>
      </c>
      <c r="AL4" s="10">
        <v>0.21199999999999999</v>
      </c>
      <c r="AM4" s="11"/>
      <c r="AN4" s="11"/>
      <c r="AO4" s="11"/>
      <c r="AP4" s="11"/>
      <c r="AQ4" s="11"/>
      <c r="AR4" s="11"/>
      <c r="AS4" s="11"/>
      <c r="AT4" s="11"/>
      <c r="AU4" s="10">
        <v>1.0309999999999999</v>
      </c>
      <c r="AV4" s="11"/>
      <c r="AW4" s="10">
        <v>1.45</v>
      </c>
      <c r="AX4" s="10">
        <v>0.56299999999999994</v>
      </c>
      <c r="AY4" s="11"/>
      <c r="AZ4" s="10">
        <v>0.89</v>
      </c>
    </row>
    <row r="5" spans="1:52" x14ac:dyDescent="0.3">
      <c r="A5" s="9">
        <v>2013</v>
      </c>
      <c r="B5" s="11"/>
      <c r="C5" s="11"/>
      <c r="D5" s="11"/>
      <c r="E5" s="10">
        <v>0.23</v>
      </c>
      <c r="F5" s="10">
        <v>0.01</v>
      </c>
      <c r="G5" s="11"/>
      <c r="H5" s="11"/>
      <c r="I5" s="11"/>
      <c r="J5" s="11"/>
      <c r="K5" s="11"/>
      <c r="L5" s="10">
        <v>0.28399999999999997</v>
      </c>
      <c r="M5" s="11"/>
      <c r="N5" s="11"/>
      <c r="O5" s="11"/>
      <c r="P5" s="11"/>
      <c r="Q5" s="11"/>
      <c r="R5" s="11"/>
      <c r="S5" s="10">
        <v>3.1709999999999998</v>
      </c>
      <c r="T5" s="11"/>
      <c r="U5" s="11"/>
      <c r="V5" s="10">
        <v>0.14399999999999999</v>
      </c>
      <c r="W5" s="11"/>
      <c r="X5" s="10">
        <v>5.0999999999999997E-2</v>
      </c>
      <c r="Y5" s="10">
        <v>5.0599999999999996</v>
      </c>
      <c r="Z5" s="10">
        <v>9.7000000000000003E-2</v>
      </c>
      <c r="AA5" s="11"/>
      <c r="AB5" s="11"/>
      <c r="AC5" s="10">
        <v>0.14399999999999999</v>
      </c>
      <c r="AD5" s="10">
        <v>7.0000000000000007E-2</v>
      </c>
      <c r="AE5" s="11"/>
      <c r="AF5" s="10">
        <v>0.126</v>
      </c>
      <c r="AG5" s="10">
        <v>4.5830000000000002</v>
      </c>
      <c r="AH5" s="10">
        <v>0.01</v>
      </c>
      <c r="AI5" s="11"/>
      <c r="AJ5" s="11"/>
      <c r="AK5" s="10">
        <v>0.748</v>
      </c>
      <c r="AL5" s="10">
        <v>0.69199999999999995</v>
      </c>
      <c r="AM5" s="11"/>
      <c r="AN5" s="10">
        <v>4.9000000000000002E-2</v>
      </c>
      <c r="AO5" s="11"/>
      <c r="AP5" s="11"/>
      <c r="AQ5" s="11"/>
      <c r="AR5" s="10">
        <v>0.26500000000000001</v>
      </c>
      <c r="AS5" s="11"/>
      <c r="AT5" s="11"/>
      <c r="AU5" s="10">
        <v>3.3540000000000001</v>
      </c>
      <c r="AV5" s="11"/>
      <c r="AW5" s="10">
        <v>1.45</v>
      </c>
      <c r="AX5" s="10">
        <v>1.2949999999999999</v>
      </c>
      <c r="AY5" s="11"/>
      <c r="AZ5" s="10">
        <v>1.9159999999999999</v>
      </c>
    </row>
    <row r="6" spans="1:52" x14ac:dyDescent="0.3">
      <c r="A6" s="9">
        <v>2014</v>
      </c>
      <c r="B6" s="11"/>
      <c r="C6" s="11"/>
      <c r="D6" s="11"/>
      <c r="E6" s="10">
        <v>0.41099999999999998</v>
      </c>
      <c r="F6" s="10">
        <v>2.3E-2</v>
      </c>
      <c r="G6" s="11"/>
      <c r="H6" s="11"/>
      <c r="I6" s="11"/>
      <c r="J6" s="11"/>
      <c r="K6" s="11"/>
      <c r="L6" s="10">
        <v>0.503</v>
      </c>
      <c r="M6" s="11"/>
      <c r="N6" s="11"/>
      <c r="O6" s="11"/>
      <c r="P6" s="11"/>
      <c r="Q6" s="11"/>
      <c r="R6" s="11"/>
      <c r="S6" s="10">
        <v>5.6040000000000001</v>
      </c>
      <c r="T6" s="11"/>
      <c r="U6" s="11"/>
      <c r="V6" s="10">
        <v>0.14599999999999999</v>
      </c>
      <c r="W6" s="11"/>
      <c r="X6" s="10">
        <v>0.10199999999999999</v>
      </c>
      <c r="Y6" s="10">
        <v>9.0069999999999997</v>
      </c>
      <c r="Z6" s="10">
        <v>9.7000000000000003E-2</v>
      </c>
      <c r="AA6" s="11"/>
      <c r="AB6" s="11"/>
      <c r="AC6" s="12">
        <v>0.22212999999999999</v>
      </c>
      <c r="AD6" s="10">
        <v>0.14000000000000001</v>
      </c>
      <c r="AE6" s="11"/>
      <c r="AF6" s="10">
        <v>0.107</v>
      </c>
      <c r="AG6" s="10">
        <v>4.5830000000000002</v>
      </c>
      <c r="AH6" s="10">
        <v>3.1E-2</v>
      </c>
      <c r="AI6" s="11"/>
      <c r="AJ6" s="10">
        <v>1.4999999999999999E-2</v>
      </c>
      <c r="AK6" s="10">
        <v>1.431</v>
      </c>
      <c r="AL6" s="10">
        <v>1.2350000000000001</v>
      </c>
      <c r="AM6" s="11"/>
      <c r="AN6" s="10">
        <v>9.7000000000000003E-2</v>
      </c>
      <c r="AO6" s="11"/>
      <c r="AP6" s="11"/>
      <c r="AQ6" s="11"/>
      <c r="AR6" s="10">
        <v>0.53</v>
      </c>
      <c r="AS6" s="11"/>
      <c r="AT6" s="10">
        <v>0</v>
      </c>
      <c r="AU6" s="10">
        <v>10.724</v>
      </c>
      <c r="AV6" s="11"/>
      <c r="AW6" s="10">
        <v>1.45</v>
      </c>
      <c r="AX6" s="10">
        <v>2.1709999999999998</v>
      </c>
      <c r="AY6" s="11"/>
      <c r="AZ6" s="10">
        <v>2.0760000000000001</v>
      </c>
    </row>
    <row r="7" spans="1:52" x14ac:dyDescent="0.3">
      <c r="A7" s="9">
        <v>2015</v>
      </c>
      <c r="B7" s="11"/>
      <c r="C7" s="10">
        <v>6.4000000000000001E-2</v>
      </c>
      <c r="D7" s="11"/>
      <c r="E7" s="10">
        <v>0.63700000000000001</v>
      </c>
      <c r="F7" s="10">
        <v>2.9000000000000001E-2</v>
      </c>
      <c r="G7" s="11"/>
      <c r="H7" s="11"/>
      <c r="I7" s="11"/>
      <c r="J7" s="11"/>
      <c r="K7" s="11"/>
      <c r="L7" s="10">
        <v>0.56699999999999995</v>
      </c>
      <c r="M7" s="11"/>
      <c r="N7" s="10">
        <v>5.5E-2</v>
      </c>
      <c r="O7" s="11"/>
      <c r="P7" s="11"/>
      <c r="Q7" s="11"/>
      <c r="R7" s="11"/>
      <c r="S7" s="10">
        <v>6.3319999999999999</v>
      </c>
      <c r="T7" s="11"/>
      <c r="U7" s="11"/>
      <c r="V7" s="10">
        <v>0.19900000000000001</v>
      </c>
      <c r="W7" s="11"/>
      <c r="X7" s="10">
        <v>0.152</v>
      </c>
      <c r="Y7" s="10">
        <v>11.256</v>
      </c>
      <c r="Z7" s="10">
        <v>9.7000000000000003E-2</v>
      </c>
      <c r="AA7" s="10">
        <v>2.4E-2</v>
      </c>
      <c r="AB7" s="11"/>
      <c r="AC7" s="10">
        <v>0.56799999999999995</v>
      </c>
      <c r="AD7" s="10">
        <v>0.32600000000000001</v>
      </c>
      <c r="AE7" s="11"/>
      <c r="AF7" s="10">
        <v>0.13400000000000001</v>
      </c>
      <c r="AG7" s="10">
        <v>15.856999999999999</v>
      </c>
      <c r="AH7" s="10">
        <v>3.1E-2</v>
      </c>
      <c r="AI7" s="11"/>
      <c r="AJ7" s="10">
        <v>1.4999999999999999E-2</v>
      </c>
      <c r="AK7" s="10">
        <v>2.258</v>
      </c>
      <c r="AL7" s="10">
        <v>1.8149999999999999</v>
      </c>
      <c r="AM7" s="11"/>
      <c r="AN7" s="10">
        <v>0.30299999999999999</v>
      </c>
      <c r="AO7" s="11"/>
      <c r="AP7" s="10">
        <v>0.129</v>
      </c>
      <c r="AQ7" s="11"/>
      <c r="AR7" s="10">
        <v>0.85199999999999998</v>
      </c>
      <c r="AS7" s="11"/>
      <c r="AT7" s="10">
        <v>0</v>
      </c>
      <c r="AU7" s="10">
        <v>12.16</v>
      </c>
      <c r="AV7" s="11"/>
      <c r="AW7" s="10">
        <v>1.45</v>
      </c>
      <c r="AX7" s="10">
        <v>4.0869999999999997</v>
      </c>
      <c r="AY7" s="10">
        <v>0.20799999999999999</v>
      </c>
      <c r="AZ7" s="10">
        <v>1.861</v>
      </c>
    </row>
    <row r="8" spans="1:52" x14ac:dyDescent="0.3">
      <c r="A8" s="9">
        <v>2016</v>
      </c>
      <c r="B8" s="11"/>
      <c r="C8" s="10">
        <v>0.246</v>
      </c>
      <c r="D8" s="11"/>
      <c r="E8" s="10">
        <v>0.64700000000000002</v>
      </c>
      <c r="F8" s="10">
        <v>1.9E-2</v>
      </c>
      <c r="G8" s="11"/>
      <c r="H8" s="10">
        <v>8.8999999999999996E-2</v>
      </c>
      <c r="I8" s="11"/>
      <c r="J8" s="11"/>
      <c r="K8" s="11"/>
      <c r="L8" s="10">
        <v>0.44500000000000001</v>
      </c>
      <c r="M8" s="11"/>
      <c r="N8" s="10">
        <v>0.14099999999999999</v>
      </c>
      <c r="O8" s="10">
        <v>4.8890000000000002</v>
      </c>
      <c r="P8" s="11"/>
      <c r="Q8" s="11"/>
      <c r="R8" s="11"/>
      <c r="S8" s="10">
        <v>5.3810000000000002</v>
      </c>
      <c r="T8" s="11"/>
      <c r="U8" s="10">
        <v>2E-3</v>
      </c>
      <c r="V8" s="10">
        <v>0.38600000000000001</v>
      </c>
      <c r="W8" s="11"/>
      <c r="X8" s="10">
        <v>0.20300000000000001</v>
      </c>
      <c r="Y8" s="10">
        <v>11.974</v>
      </c>
      <c r="Z8" s="10">
        <v>9.7000000000000003E-2</v>
      </c>
      <c r="AA8" s="10">
        <v>5.1999999999999998E-2</v>
      </c>
      <c r="AB8" s="10">
        <v>4.1000000000000002E-2</v>
      </c>
      <c r="AC8" s="10">
        <v>0.80200000000000005</v>
      </c>
      <c r="AD8" s="10">
        <v>0.47899999999999998</v>
      </c>
      <c r="AE8" s="11"/>
      <c r="AF8" s="10">
        <v>0.23</v>
      </c>
      <c r="AG8" s="10">
        <v>15.856999999999999</v>
      </c>
      <c r="AH8" s="10">
        <v>8.4000000000000005E-2</v>
      </c>
      <c r="AI8" s="10">
        <v>0.01</v>
      </c>
      <c r="AJ8" s="10">
        <v>1.4999999999999999E-2</v>
      </c>
      <c r="AK8" s="10">
        <v>3.2120000000000002</v>
      </c>
      <c r="AL8" s="10">
        <v>6.9589999999999996</v>
      </c>
      <c r="AM8" s="11"/>
      <c r="AN8" s="10">
        <v>0.434</v>
      </c>
      <c r="AO8" s="11"/>
      <c r="AP8" s="10">
        <v>0.17699999999999999</v>
      </c>
      <c r="AQ8" s="10">
        <v>2.3E-2</v>
      </c>
      <c r="AR8" s="10">
        <v>1.1359999999999999</v>
      </c>
      <c r="AS8" s="11"/>
      <c r="AT8" s="10">
        <v>0</v>
      </c>
      <c r="AU8" s="10">
        <v>17.437999999999999</v>
      </c>
      <c r="AV8" s="10">
        <v>2E-3</v>
      </c>
      <c r="AW8" s="10">
        <v>1.8</v>
      </c>
      <c r="AX8" s="10">
        <v>8.7520000000000007</v>
      </c>
      <c r="AY8" s="10">
        <v>0.29399999999999998</v>
      </c>
      <c r="AZ8" s="10">
        <v>1.349</v>
      </c>
    </row>
    <row r="9" spans="1:52" x14ac:dyDescent="0.3">
      <c r="A9" s="9">
        <v>2017</v>
      </c>
      <c r="B9" s="10">
        <v>1E-3</v>
      </c>
      <c r="C9" s="10">
        <v>0.27700000000000002</v>
      </c>
      <c r="D9" s="11"/>
      <c r="E9" s="10">
        <v>0.70699999999999996</v>
      </c>
      <c r="F9" s="10">
        <v>6.0000000000000001E-3</v>
      </c>
      <c r="G9" s="11"/>
      <c r="H9" s="10">
        <v>0.13300000000000001</v>
      </c>
      <c r="I9" s="11"/>
      <c r="J9" s="11"/>
      <c r="K9" s="11"/>
      <c r="L9" s="10">
        <v>0.78400000000000003</v>
      </c>
      <c r="M9" s="11"/>
      <c r="N9" s="10">
        <v>0.23799999999999999</v>
      </c>
      <c r="O9" s="10">
        <v>4.8890000000000002</v>
      </c>
      <c r="P9" s="11"/>
      <c r="Q9" s="11"/>
      <c r="R9" s="11"/>
      <c r="S9" s="10">
        <v>3.8039999999999998</v>
      </c>
      <c r="T9" s="11"/>
      <c r="U9" s="10">
        <v>4.0000000000000001E-3</v>
      </c>
      <c r="V9" s="10">
        <v>0.84799999999999998</v>
      </c>
      <c r="W9" s="11"/>
      <c r="X9" s="10">
        <v>0.254</v>
      </c>
      <c r="Y9" s="10">
        <v>15.135</v>
      </c>
      <c r="Z9" s="11"/>
      <c r="AA9" s="10">
        <v>0.158</v>
      </c>
      <c r="AB9" s="10">
        <v>2.1549999999999998</v>
      </c>
      <c r="AC9" s="10">
        <v>0.97499999999999998</v>
      </c>
      <c r="AD9" s="10">
        <v>0.78200000000000003</v>
      </c>
      <c r="AE9" s="11"/>
      <c r="AF9" s="10">
        <v>0.311</v>
      </c>
      <c r="AG9" s="10">
        <v>15.856999999999999</v>
      </c>
      <c r="AH9" s="10">
        <v>0.14299999999999999</v>
      </c>
      <c r="AI9" s="10">
        <v>5.2999999999999999E-2</v>
      </c>
      <c r="AJ9" s="10">
        <v>7.0000000000000001E-3</v>
      </c>
      <c r="AK9" s="10">
        <v>8.6709999999999994</v>
      </c>
      <c r="AL9" s="10">
        <v>11.586</v>
      </c>
      <c r="AM9" s="11"/>
      <c r="AN9" s="10">
        <v>0.72399999999999998</v>
      </c>
      <c r="AO9" s="11"/>
      <c r="AP9" s="10">
        <v>0.25800000000000001</v>
      </c>
      <c r="AQ9" s="10">
        <v>5.1999999999999998E-2</v>
      </c>
      <c r="AR9" s="10">
        <v>1.601</v>
      </c>
      <c r="AS9" s="11"/>
      <c r="AT9" s="11"/>
      <c r="AU9" s="10">
        <v>20.582000000000001</v>
      </c>
      <c r="AV9" s="10">
        <v>1.4E-2</v>
      </c>
      <c r="AW9" s="10">
        <v>1.8</v>
      </c>
      <c r="AX9" s="10">
        <v>10.308999999999999</v>
      </c>
      <c r="AY9" s="10">
        <v>0.42399999999999999</v>
      </c>
      <c r="AZ9" s="10">
        <v>1.2030000000000001</v>
      </c>
    </row>
    <row r="10" spans="1:52" x14ac:dyDescent="0.3">
      <c r="A10" s="9">
        <v>2018</v>
      </c>
      <c r="B10" s="10">
        <v>5.0000000000000001E-3</v>
      </c>
      <c r="C10" s="10">
        <v>0.248</v>
      </c>
      <c r="D10" s="11"/>
      <c r="E10" s="10">
        <v>0.54100000000000004</v>
      </c>
      <c r="F10" s="10">
        <v>5.0000000000000001E-3</v>
      </c>
      <c r="G10" s="10">
        <v>5.0000000000000001E-3</v>
      </c>
      <c r="H10" s="10">
        <v>0.27300000000000002</v>
      </c>
      <c r="I10" s="10">
        <v>5.0000000000000001E-3</v>
      </c>
      <c r="J10" s="10">
        <v>1.7000000000000001E-2</v>
      </c>
      <c r="K10" s="11"/>
      <c r="L10" s="10">
        <v>0.78400000000000003</v>
      </c>
      <c r="M10" s="11"/>
      <c r="N10" s="10">
        <v>1.9930000000000001</v>
      </c>
      <c r="O10" s="10">
        <v>4.8890000000000002</v>
      </c>
      <c r="P10" s="11"/>
      <c r="Q10" s="11"/>
      <c r="R10" s="11"/>
      <c r="S10" s="10">
        <v>3.6080000000000001</v>
      </c>
      <c r="T10" s="10">
        <v>5.0000000000000001E-3</v>
      </c>
      <c r="U10" s="10">
        <v>8.9999999999999993E-3</v>
      </c>
      <c r="V10" s="10">
        <v>0.875</v>
      </c>
      <c r="W10" s="10">
        <v>5.0000000000000001E-3</v>
      </c>
      <c r="X10" s="10">
        <v>0.25900000000000001</v>
      </c>
      <c r="Y10" s="10">
        <v>24.523</v>
      </c>
      <c r="Z10" s="11"/>
      <c r="AA10" s="10">
        <v>0.152</v>
      </c>
      <c r="AB10" s="10">
        <v>2.2290000000000001</v>
      </c>
      <c r="AC10" s="10">
        <v>0.73499999999999999</v>
      </c>
      <c r="AD10" s="10">
        <v>0.753</v>
      </c>
      <c r="AE10" s="10">
        <v>5.0000000000000001E-3</v>
      </c>
      <c r="AF10" s="10">
        <v>0.35599999999999998</v>
      </c>
      <c r="AG10" s="10">
        <v>15.856999999999999</v>
      </c>
      <c r="AH10" s="10">
        <v>0.14799999999999999</v>
      </c>
      <c r="AI10" s="10">
        <v>8.7999999999999995E-2</v>
      </c>
      <c r="AJ10" s="10">
        <v>0.02</v>
      </c>
      <c r="AK10" s="10">
        <v>13.217000000000001</v>
      </c>
      <c r="AL10" s="10">
        <v>18.611000000000001</v>
      </c>
      <c r="AM10" s="11"/>
      <c r="AN10" s="10">
        <v>0.82299999999999995</v>
      </c>
      <c r="AO10" s="11"/>
      <c r="AP10" s="10">
        <v>0.13400000000000001</v>
      </c>
      <c r="AQ10" s="10">
        <v>0.42699999999999999</v>
      </c>
      <c r="AR10" s="10">
        <v>1.365</v>
      </c>
      <c r="AS10" s="10">
        <v>5.0000000000000001E-3</v>
      </c>
      <c r="AT10" s="11"/>
      <c r="AU10" s="10">
        <v>24.878</v>
      </c>
      <c r="AV10" s="10">
        <v>9.8000000000000004E-2</v>
      </c>
      <c r="AW10" s="10">
        <v>1.8</v>
      </c>
      <c r="AX10" s="10">
        <v>12.108000000000001</v>
      </c>
      <c r="AY10" s="10">
        <v>1.722</v>
      </c>
      <c r="AZ10" s="10">
        <v>1.42</v>
      </c>
    </row>
    <row r="11" spans="1:52" x14ac:dyDescent="0.3">
      <c r="A11" s="9">
        <v>2019</v>
      </c>
      <c r="B11" s="10">
        <v>4.3999999999999997E-2</v>
      </c>
      <c r="C11" s="10">
        <v>1.1379999999999999</v>
      </c>
      <c r="D11" s="10">
        <v>3.6999999999999998E-2</v>
      </c>
      <c r="E11" s="10">
        <v>1.5</v>
      </c>
      <c r="F11" s="10">
        <v>0.04</v>
      </c>
      <c r="G11" s="10">
        <v>8.1000000000000003E-2</v>
      </c>
      <c r="H11" s="10">
        <v>1.621</v>
      </c>
      <c r="I11" s="10">
        <v>4.2000000000000003E-2</v>
      </c>
      <c r="J11" s="10">
        <v>5.3999999999999999E-2</v>
      </c>
      <c r="K11" s="10">
        <v>3.5000000000000003E-2</v>
      </c>
      <c r="L11" s="10">
        <v>1.528</v>
      </c>
      <c r="M11" s="10">
        <v>3.6999999999999998E-2</v>
      </c>
      <c r="N11" s="10">
        <v>3.1749999999999998</v>
      </c>
      <c r="O11" s="10">
        <v>4.8890000000000002</v>
      </c>
      <c r="P11" s="10">
        <v>7.5999999999999998E-2</v>
      </c>
      <c r="Q11" s="10">
        <v>3.5000000000000003E-2</v>
      </c>
      <c r="R11" s="10">
        <v>3.6999999999999998E-2</v>
      </c>
      <c r="S11" s="10">
        <v>11.445</v>
      </c>
      <c r="T11" s="10">
        <v>4.2000000000000003E-2</v>
      </c>
      <c r="U11" s="10">
        <v>7.4999999999999997E-2</v>
      </c>
      <c r="V11" s="10">
        <v>1.2969999999999999</v>
      </c>
      <c r="W11" s="10">
        <v>0.153</v>
      </c>
      <c r="X11" s="10">
        <v>0.33500000000000002</v>
      </c>
      <c r="Y11" s="10">
        <v>39.418999999999997</v>
      </c>
      <c r="Z11" s="10">
        <v>3.6999999999999998E-2</v>
      </c>
      <c r="AA11" s="10">
        <v>0.20100000000000001</v>
      </c>
      <c r="AB11" s="10">
        <v>2.5609999999999999</v>
      </c>
      <c r="AC11" s="10">
        <v>0.96699999999999997</v>
      </c>
      <c r="AD11" s="10">
        <v>1.571</v>
      </c>
      <c r="AE11" s="10">
        <v>8.1000000000000003E-2</v>
      </c>
      <c r="AF11" s="10">
        <v>0.502</v>
      </c>
      <c r="AG11" s="10">
        <v>15.856999999999999</v>
      </c>
      <c r="AH11" s="10">
        <v>0.17799999999999999</v>
      </c>
      <c r="AI11" s="10">
        <v>0.115</v>
      </c>
      <c r="AJ11" s="10">
        <v>0.34499999999999997</v>
      </c>
      <c r="AK11" s="10">
        <v>18.273</v>
      </c>
      <c r="AL11" s="10">
        <v>18.97</v>
      </c>
      <c r="AM11" s="10">
        <v>7.5999999999999998E-2</v>
      </c>
      <c r="AN11" s="10">
        <v>1.351</v>
      </c>
      <c r="AO11" s="10">
        <v>0.22700000000000001</v>
      </c>
      <c r="AP11" s="10">
        <v>0.85299999999999998</v>
      </c>
      <c r="AQ11" s="10">
        <v>0.89500000000000002</v>
      </c>
      <c r="AR11" s="10">
        <v>1.3919999999999999</v>
      </c>
      <c r="AS11" s="10">
        <v>0.04</v>
      </c>
      <c r="AT11" s="11"/>
      <c r="AU11" s="10">
        <v>21.847999999999999</v>
      </c>
      <c r="AV11" s="10">
        <v>1.129</v>
      </c>
      <c r="AW11" s="10">
        <v>1.8</v>
      </c>
      <c r="AX11" s="10">
        <v>14.281000000000001</v>
      </c>
      <c r="AY11" s="10">
        <v>3.3580000000000001</v>
      </c>
      <c r="AZ11" s="10">
        <v>1.2629999999999999</v>
      </c>
    </row>
    <row r="13" spans="1:52" x14ac:dyDescent="0.3">
      <c r="B13" cm="1">
        <f t="array" ref="B13:C13">LINEST(B23:B25,B9:B11)</f>
        <v>-577369578274.6604</v>
      </c>
      <c r="C13">
        <v>113920889751.57767</v>
      </c>
    </row>
    <row r="14" spans="1:52" x14ac:dyDescent="0.3">
      <c r="A14" t="s">
        <v>403</v>
      </c>
      <c r="C14" cm="1">
        <f t="array" ref="C14:D14">LINEST(C21:C25, C7:C11)</f>
        <v>2214047389.5987344</v>
      </c>
      <c r="D14">
        <v>12039331999.864338</v>
      </c>
      <c r="E14" cm="1">
        <f t="array" ref="E14:F14">LINEST(E2:E11,E16:E25)</f>
        <v>1.7087184946240717E-10</v>
      </c>
      <c r="F14">
        <v>-1.7927360200511158</v>
      </c>
    </row>
    <row r="15" spans="1:52" x14ac:dyDescent="0.3">
      <c r="A15" t="s">
        <v>102</v>
      </c>
      <c r="B15" t="s">
        <v>107</v>
      </c>
      <c r="C15" t="s">
        <v>121</v>
      </c>
      <c r="D15" t="s">
        <v>136</v>
      </c>
      <c r="E15" t="s">
        <v>122</v>
      </c>
      <c r="F15" t="s">
        <v>119</v>
      </c>
      <c r="G15" t="s">
        <v>150</v>
      </c>
      <c r="H15" t="s">
        <v>145</v>
      </c>
      <c r="I15" t="s">
        <v>137</v>
      </c>
      <c r="J15" t="s">
        <v>332</v>
      </c>
      <c r="K15" t="s">
        <v>149</v>
      </c>
      <c r="L15" t="s">
        <v>146</v>
      </c>
      <c r="M15" t="s">
        <v>147</v>
      </c>
      <c r="N15" t="s">
        <v>144</v>
      </c>
      <c r="O15" t="s">
        <v>170</v>
      </c>
      <c r="P15" t="s">
        <v>191</v>
      </c>
      <c r="Q15" t="s">
        <v>172</v>
      </c>
      <c r="R15" t="s">
        <v>327</v>
      </c>
      <c r="S15" t="s">
        <v>175</v>
      </c>
      <c r="T15" t="s">
        <v>183</v>
      </c>
      <c r="U15" t="s">
        <v>189</v>
      </c>
      <c r="V15" t="s">
        <v>186</v>
      </c>
      <c r="W15" t="s">
        <v>188</v>
      </c>
      <c r="X15" t="s">
        <v>190</v>
      </c>
      <c r="Y15" t="s">
        <v>224</v>
      </c>
      <c r="Z15" t="s">
        <v>244</v>
      </c>
      <c r="AA15" t="s">
        <v>234</v>
      </c>
      <c r="AB15" t="s">
        <v>254</v>
      </c>
      <c r="AC15" t="s">
        <v>271</v>
      </c>
      <c r="AD15" t="s">
        <v>261</v>
      </c>
      <c r="AE15" t="s">
        <v>269</v>
      </c>
      <c r="AF15" t="s">
        <v>270</v>
      </c>
      <c r="AG15" t="s">
        <v>251</v>
      </c>
      <c r="AH15" t="s">
        <v>268</v>
      </c>
      <c r="AI15" t="s">
        <v>274</v>
      </c>
      <c r="AJ15" t="s">
        <v>276</v>
      </c>
      <c r="AK15" t="s">
        <v>277</v>
      </c>
      <c r="AL15" t="s">
        <v>306</v>
      </c>
      <c r="AM15" t="s">
        <v>322</v>
      </c>
      <c r="AN15" t="s">
        <v>310</v>
      </c>
      <c r="AO15" t="s">
        <v>329</v>
      </c>
      <c r="AP15" t="s">
        <v>313</v>
      </c>
      <c r="AQ15" t="s">
        <v>316</v>
      </c>
      <c r="AR15" t="s">
        <v>366</v>
      </c>
      <c r="AS15" t="s">
        <v>319</v>
      </c>
      <c r="AT15" t="s">
        <v>309</v>
      </c>
      <c r="AU15" t="s">
        <v>349</v>
      </c>
      <c r="AV15" t="s">
        <v>335</v>
      </c>
      <c r="AW15" t="s">
        <v>346</v>
      </c>
      <c r="AX15" t="s">
        <v>350</v>
      </c>
      <c r="AY15" t="s">
        <v>367</v>
      </c>
      <c r="AZ15" t="s">
        <v>368</v>
      </c>
    </row>
    <row r="16" spans="1:52" x14ac:dyDescent="0.3">
      <c r="A16">
        <v>2010</v>
      </c>
      <c r="B16">
        <v>83799496611</v>
      </c>
      <c r="C16">
        <v>9535344283</v>
      </c>
      <c r="D16">
        <v>12786654498</v>
      </c>
      <c r="E16">
        <v>10109618964</v>
      </c>
      <c r="F16">
        <v>2032135247</v>
      </c>
      <c r="G16">
        <v>1664310770</v>
      </c>
      <c r="H16">
        <v>27507499709</v>
      </c>
      <c r="I16">
        <v>2142591376</v>
      </c>
      <c r="J16">
        <v>10668102735</v>
      </c>
      <c r="K16">
        <v>907978723.5</v>
      </c>
      <c r="L16">
        <v>21565720044</v>
      </c>
      <c r="M16">
        <v>13135580695</v>
      </c>
      <c r="N16">
        <v>34936305297</v>
      </c>
      <c r="O16" s="13">
        <v>218984000000</v>
      </c>
      <c r="P16">
        <v>16314443429</v>
      </c>
      <c r="Q16">
        <v>1589515447</v>
      </c>
      <c r="R16">
        <v>4438778424</v>
      </c>
      <c r="S16">
        <v>29933790334</v>
      </c>
      <c r="T16">
        <v>14372591916</v>
      </c>
      <c r="U16">
        <v>1543292393</v>
      </c>
      <c r="V16">
        <v>32197272797</v>
      </c>
      <c r="W16">
        <v>6853467858</v>
      </c>
      <c r="X16">
        <v>849878424.20000005</v>
      </c>
      <c r="Y16">
        <v>45405587557</v>
      </c>
      <c r="Z16">
        <v>2234731974</v>
      </c>
      <c r="AA16">
        <v>1998000000</v>
      </c>
      <c r="AB16">
        <v>9982711338</v>
      </c>
      <c r="AC16">
        <v>6959655571</v>
      </c>
      <c r="AD16">
        <v>10689167195</v>
      </c>
      <c r="AE16">
        <v>5628882266</v>
      </c>
      <c r="AF16">
        <v>10003670690</v>
      </c>
      <c r="AG16">
        <v>93216746662</v>
      </c>
      <c r="AH16">
        <v>11104648673</v>
      </c>
      <c r="AI16">
        <v>11431334447</v>
      </c>
      <c r="AJ16">
        <v>7851191899</v>
      </c>
      <c r="AK16" s="13">
        <v>361457000000</v>
      </c>
      <c r="AL16">
        <v>6121234529</v>
      </c>
      <c r="AM16">
        <v>196652514.30000001</v>
      </c>
      <c r="AN16">
        <v>16121314671</v>
      </c>
      <c r="AO16">
        <v>969936525.29999995</v>
      </c>
      <c r="AP16">
        <v>2578026297</v>
      </c>
      <c r="AR16" s="13">
        <v>417365000000</v>
      </c>
      <c r="AS16">
        <v>14602072411</v>
      </c>
      <c r="AT16">
        <v>58962978034</v>
      </c>
      <c r="AU16">
        <v>32014249841</v>
      </c>
      <c r="AV16">
        <v>3429461495</v>
      </c>
      <c r="AW16">
        <v>46206331261</v>
      </c>
      <c r="AX16">
        <v>26673441667</v>
      </c>
      <c r="AY16">
        <v>20265559484</v>
      </c>
      <c r="AZ16">
        <v>12041655200</v>
      </c>
    </row>
    <row r="17" spans="1:52" x14ac:dyDescent="0.3">
      <c r="A17">
        <v>2011</v>
      </c>
      <c r="B17" s="13">
        <v>111790000000</v>
      </c>
      <c r="C17">
        <v>10693321954</v>
      </c>
      <c r="D17">
        <v>15351972361</v>
      </c>
      <c r="E17">
        <v>12080296644</v>
      </c>
      <c r="F17">
        <v>2235820868</v>
      </c>
      <c r="G17">
        <v>1865915544</v>
      </c>
      <c r="H17">
        <v>30630912185</v>
      </c>
      <c r="I17">
        <v>2437982840</v>
      </c>
      <c r="J17">
        <v>12172309523</v>
      </c>
      <c r="K17">
        <v>1023086184</v>
      </c>
      <c r="L17">
        <v>25839749199</v>
      </c>
      <c r="M17">
        <v>15634897273</v>
      </c>
      <c r="N17">
        <v>36693712825</v>
      </c>
      <c r="O17" s="13">
        <v>235990000000</v>
      </c>
      <c r="P17">
        <v>21357343682</v>
      </c>
      <c r="Q17">
        <v>2065001626</v>
      </c>
      <c r="R17">
        <v>4820499924</v>
      </c>
      <c r="S17">
        <v>31952763089</v>
      </c>
      <c r="T17">
        <v>18210308748</v>
      </c>
      <c r="U17">
        <v>1409694554</v>
      </c>
      <c r="V17">
        <v>39337314810</v>
      </c>
      <c r="W17">
        <v>6785137173</v>
      </c>
      <c r="X17">
        <v>1099818652</v>
      </c>
      <c r="Y17">
        <v>46869457318</v>
      </c>
      <c r="Z17">
        <v>2579421686</v>
      </c>
      <c r="AA17">
        <v>2398000000</v>
      </c>
      <c r="AB17">
        <v>11551819618</v>
      </c>
      <c r="AC17">
        <v>8004000737</v>
      </c>
      <c r="AD17">
        <v>12995113407</v>
      </c>
      <c r="AE17">
        <v>6764635687</v>
      </c>
      <c r="AF17">
        <v>11518393367</v>
      </c>
      <c r="AG17" s="13">
        <v>101370000000</v>
      </c>
      <c r="AH17">
        <v>14381552433</v>
      </c>
      <c r="AI17">
        <v>12523402329</v>
      </c>
      <c r="AJ17">
        <v>8772951262</v>
      </c>
      <c r="AK17" s="13">
        <v>404994000000</v>
      </c>
      <c r="AL17">
        <v>6881038270</v>
      </c>
      <c r="AM17">
        <v>231489270.09999999</v>
      </c>
      <c r="AN17">
        <v>17814284622</v>
      </c>
      <c r="AO17">
        <v>1065826670</v>
      </c>
      <c r="AP17">
        <v>2942546781</v>
      </c>
      <c r="AR17" s="13">
        <v>458202000000</v>
      </c>
      <c r="AS17">
        <v>14907308933</v>
      </c>
      <c r="AT17">
        <v>55018567211</v>
      </c>
      <c r="AU17">
        <v>34657139495</v>
      </c>
      <c r="AV17">
        <v>3872459250</v>
      </c>
      <c r="AW17">
        <v>48122838145</v>
      </c>
      <c r="AX17">
        <v>27871725206</v>
      </c>
      <c r="AY17">
        <v>23459515276</v>
      </c>
      <c r="AZ17">
        <v>14101920300</v>
      </c>
    </row>
    <row r="18" spans="1:52" x14ac:dyDescent="0.3">
      <c r="A18">
        <v>2012</v>
      </c>
      <c r="B18" s="13">
        <v>128053000000</v>
      </c>
      <c r="C18">
        <v>11141358945</v>
      </c>
      <c r="D18">
        <v>14380004175</v>
      </c>
      <c r="E18">
        <v>12561016091</v>
      </c>
      <c r="F18">
        <v>2333308099</v>
      </c>
      <c r="G18">
        <v>1741809809</v>
      </c>
      <c r="H18">
        <v>30155064574</v>
      </c>
      <c r="I18">
        <v>2510126699</v>
      </c>
      <c r="J18">
        <v>12367363678</v>
      </c>
      <c r="K18">
        <v>1015843369</v>
      </c>
      <c r="L18">
        <v>29306235826</v>
      </c>
      <c r="M18">
        <v>17693924573</v>
      </c>
      <c r="N18">
        <v>36302305578</v>
      </c>
      <c r="O18" s="13">
        <v>279117000000</v>
      </c>
      <c r="P18">
        <v>22388344124</v>
      </c>
      <c r="R18">
        <v>4886533033</v>
      </c>
      <c r="S18">
        <v>43310721414</v>
      </c>
      <c r="T18">
        <v>17170465294</v>
      </c>
      <c r="U18">
        <v>1415006238</v>
      </c>
      <c r="V18">
        <v>41270954737</v>
      </c>
      <c r="W18">
        <v>7638045254</v>
      </c>
      <c r="X18">
        <v>989271229.60000002</v>
      </c>
      <c r="Y18">
        <v>56396706006</v>
      </c>
      <c r="Z18">
        <v>2477702253</v>
      </c>
      <c r="AA18">
        <v>2791614000</v>
      </c>
      <c r="AB18">
        <v>11578974888</v>
      </c>
      <c r="AC18">
        <v>6028487929</v>
      </c>
      <c r="AD18">
        <v>12442036265</v>
      </c>
      <c r="AE18">
        <v>6728208836</v>
      </c>
      <c r="AF18">
        <v>11668685524</v>
      </c>
      <c r="AG18">
        <v>98266306615</v>
      </c>
      <c r="AH18">
        <v>16350804543</v>
      </c>
      <c r="AI18">
        <v>13042007432</v>
      </c>
      <c r="AJ18">
        <v>9426913349</v>
      </c>
      <c r="AK18" s="13">
        <v>455502000000</v>
      </c>
      <c r="AL18">
        <v>7650300320</v>
      </c>
      <c r="AM18">
        <v>250680845.69999999</v>
      </c>
      <c r="AN18">
        <v>17660871726</v>
      </c>
      <c r="AO18">
        <v>1060226126</v>
      </c>
      <c r="AP18">
        <v>3801862611</v>
      </c>
      <c r="AR18" s="13">
        <v>434401000000</v>
      </c>
      <c r="AS18">
        <v>11931472169</v>
      </c>
      <c r="AT18">
        <v>37632919967</v>
      </c>
      <c r="AU18">
        <v>39650530214</v>
      </c>
      <c r="AV18">
        <v>3873308389</v>
      </c>
      <c r="AW18">
        <v>47311196335</v>
      </c>
      <c r="AX18">
        <v>27305915761</v>
      </c>
      <c r="AY18">
        <v>25503060420</v>
      </c>
      <c r="AZ18">
        <v>17114849900</v>
      </c>
    </row>
    <row r="19" spans="1:52" x14ac:dyDescent="0.3">
      <c r="A19">
        <v>2013</v>
      </c>
      <c r="B19" s="13">
        <v>136710000000</v>
      </c>
      <c r="C19">
        <v>12517845732</v>
      </c>
      <c r="D19">
        <v>14901750991</v>
      </c>
      <c r="E19">
        <v>13444301139</v>
      </c>
      <c r="F19">
        <v>2451625333</v>
      </c>
      <c r="G19">
        <v>1850470042</v>
      </c>
      <c r="H19">
        <v>33728622819</v>
      </c>
      <c r="I19">
        <v>1691544192</v>
      </c>
      <c r="J19">
        <v>12953535496</v>
      </c>
      <c r="K19">
        <v>1116224161</v>
      </c>
      <c r="L19">
        <v>32679745298</v>
      </c>
      <c r="M19">
        <v>17953617927</v>
      </c>
      <c r="N19">
        <v>42760237561</v>
      </c>
      <c r="O19" s="13">
        <v>288434000000</v>
      </c>
      <c r="P19">
        <v>21948834290</v>
      </c>
      <c r="R19">
        <v>4597532030</v>
      </c>
      <c r="S19">
        <v>47648211133</v>
      </c>
      <c r="T19">
        <v>17595745653</v>
      </c>
      <c r="U19">
        <v>1375608956</v>
      </c>
      <c r="V19">
        <v>62823043706</v>
      </c>
      <c r="W19">
        <v>8376613843</v>
      </c>
      <c r="X19">
        <v>1046087418</v>
      </c>
      <c r="Y19">
        <v>61671425370</v>
      </c>
      <c r="Z19">
        <v>2367113170</v>
      </c>
      <c r="AA19">
        <v>3177198100</v>
      </c>
      <c r="AB19">
        <v>12423555269</v>
      </c>
      <c r="AC19">
        <v>5518880769</v>
      </c>
      <c r="AD19">
        <v>13242691430</v>
      </c>
      <c r="AE19">
        <v>7223063170</v>
      </c>
      <c r="AF19">
        <v>12129642296</v>
      </c>
      <c r="AG19" s="13">
        <v>106826000000</v>
      </c>
      <c r="AH19">
        <v>16974320551</v>
      </c>
      <c r="AI19">
        <v>12043276397</v>
      </c>
      <c r="AJ19">
        <v>10224897935</v>
      </c>
      <c r="AK19" s="13">
        <v>508693000000</v>
      </c>
      <c r="AL19">
        <v>7815599503</v>
      </c>
      <c r="AM19">
        <v>300554483.60000002</v>
      </c>
      <c r="AN19">
        <v>18918668644</v>
      </c>
      <c r="AO19">
        <v>1328157609</v>
      </c>
      <c r="AP19">
        <v>4920343195</v>
      </c>
      <c r="AQ19">
        <v>4574495667</v>
      </c>
      <c r="AR19" s="13">
        <v>400886000000</v>
      </c>
      <c r="AS19">
        <v>18426469017</v>
      </c>
      <c r="AT19">
        <v>43024018082</v>
      </c>
      <c r="AU19">
        <v>45680532614</v>
      </c>
      <c r="AV19">
        <v>4321655656</v>
      </c>
      <c r="AW19">
        <v>48683848564</v>
      </c>
      <c r="AX19">
        <v>28915786997</v>
      </c>
      <c r="AY19">
        <v>28037239463</v>
      </c>
      <c r="AZ19">
        <v>19091020000</v>
      </c>
    </row>
    <row r="20" spans="1:52" x14ac:dyDescent="0.3">
      <c r="A20">
        <v>2014</v>
      </c>
      <c r="B20" s="13">
        <v>145712000000</v>
      </c>
      <c r="C20">
        <v>13284528654</v>
      </c>
      <c r="D20">
        <v>15654660710</v>
      </c>
      <c r="E20">
        <v>13943016924</v>
      </c>
      <c r="F20">
        <v>2705783272</v>
      </c>
      <c r="G20">
        <v>1859898513</v>
      </c>
      <c r="H20">
        <v>36386546918</v>
      </c>
      <c r="I20">
        <v>1894813505</v>
      </c>
      <c r="J20">
        <v>13940768066</v>
      </c>
      <c r="K20">
        <v>1149587652</v>
      </c>
      <c r="L20">
        <v>35909040266</v>
      </c>
      <c r="M20">
        <v>17889079958</v>
      </c>
      <c r="N20">
        <v>48843008580</v>
      </c>
      <c r="O20" s="13">
        <v>305595000000</v>
      </c>
      <c r="P20">
        <v>21765453087</v>
      </c>
      <c r="R20">
        <v>4422968340</v>
      </c>
      <c r="S20">
        <v>55612228234</v>
      </c>
      <c r="T20">
        <v>18203968002</v>
      </c>
      <c r="U20">
        <v>1229460602</v>
      </c>
      <c r="V20">
        <v>54782847753</v>
      </c>
      <c r="W20">
        <v>8778473615</v>
      </c>
      <c r="X20">
        <v>1054915645</v>
      </c>
      <c r="Y20">
        <v>68285768554</v>
      </c>
      <c r="Z20">
        <v>2441053176</v>
      </c>
      <c r="AA20">
        <v>3225652000</v>
      </c>
      <c r="AB20">
        <v>12522957228</v>
      </c>
      <c r="AC20">
        <v>6047813437</v>
      </c>
      <c r="AD20">
        <v>14364937997</v>
      </c>
      <c r="AE20">
        <v>6592537782</v>
      </c>
      <c r="AF20">
        <v>12803445934</v>
      </c>
      <c r="AG20" s="13">
        <v>110081000000</v>
      </c>
      <c r="AH20">
        <v>17716084108</v>
      </c>
      <c r="AI20">
        <v>12435416060</v>
      </c>
      <c r="AJ20">
        <v>10862944204</v>
      </c>
      <c r="AK20" s="13">
        <v>546676000000</v>
      </c>
      <c r="AL20">
        <v>8241332517</v>
      </c>
      <c r="AM20">
        <v>346528329.19999999</v>
      </c>
      <c r="AN20">
        <v>19797254643</v>
      </c>
      <c r="AO20">
        <v>1343007845</v>
      </c>
      <c r="AP20">
        <v>5015157816</v>
      </c>
      <c r="AQ20">
        <v>5021956321</v>
      </c>
      <c r="AR20" s="13">
        <v>381199000000</v>
      </c>
      <c r="AS20">
        <v>13962212847</v>
      </c>
      <c r="AT20">
        <v>49516748618</v>
      </c>
      <c r="AU20">
        <v>49964788814</v>
      </c>
      <c r="AV20">
        <v>4574986537</v>
      </c>
      <c r="AW20">
        <v>50271342086</v>
      </c>
      <c r="AX20">
        <v>32612397758</v>
      </c>
      <c r="AY20">
        <v>27141023558</v>
      </c>
      <c r="AZ20">
        <v>19495519600</v>
      </c>
    </row>
    <row r="21" spans="1:52" x14ac:dyDescent="0.3">
      <c r="A21">
        <v>2015</v>
      </c>
      <c r="B21" s="13">
        <v>116194000000</v>
      </c>
      <c r="C21">
        <v>11388160958</v>
      </c>
      <c r="D21">
        <v>13578754072</v>
      </c>
      <c r="E21">
        <v>11832159276</v>
      </c>
      <c r="F21">
        <v>3104394858</v>
      </c>
      <c r="G21">
        <v>1596800287</v>
      </c>
      <c r="H21">
        <v>32210232912</v>
      </c>
      <c r="I21">
        <v>1695825708</v>
      </c>
      <c r="J21">
        <v>10950392220</v>
      </c>
      <c r="K21">
        <v>966029542</v>
      </c>
      <c r="L21">
        <v>37917704900</v>
      </c>
      <c r="M21">
        <v>11885478502</v>
      </c>
      <c r="N21">
        <v>45814637971</v>
      </c>
      <c r="O21" s="13">
        <v>329367000000</v>
      </c>
      <c r="P21">
        <v>13185496881</v>
      </c>
      <c r="R21">
        <v>4063245671</v>
      </c>
      <c r="S21">
        <v>64589334979</v>
      </c>
      <c r="T21">
        <v>14383107714</v>
      </c>
      <c r="U21">
        <v>1378176868</v>
      </c>
      <c r="V21">
        <v>49406568433</v>
      </c>
      <c r="W21">
        <v>8794202444</v>
      </c>
      <c r="X21">
        <v>1048229629</v>
      </c>
      <c r="Y21">
        <v>70120413329</v>
      </c>
      <c r="Z21">
        <v>2359759799</v>
      </c>
      <c r="AA21">
        <v>3227075700</v>
      </c>
      <c r="AB21">
        <v>11323020829</v>
      </c>
      <c r="AC21">
        <v>6373212641</v>
      </c>
      <c r="AD21">
        <v>13104764334</v>
      </c>
      <c r="AE21">
        <v>6166857629</v>
      </c>
      <c r="AF21">
        <v>11692287066</v>
      </c>
      <c r="AG21" s="13">
        <v>101180000000</v>
      </c>
      <c r="AH21">
        <v>15950969019</v>
      </c>
      <c r="AI21">
        <v>11335179562</v>
      </c>
      <c r="AJ21">
        <v>9683867894</v>
      </c>
      <c r="AK21" s="13">
        <v>486803000000</v>
      </c>
      <c r="AL21">
        <v>8539048448</v>
      </c>
      <c r="AM21">
        <v>316066072.30000001</v>
      </c>
      <c r="AN21">
        <v>17774766636</v>
      </c>
      <c r="AO21">
        <v>1377495054</v>
      </c>
      <c r="AP21">
        <v>4218723875</v>
      </c>
      <c r="AQ21">
        <v>5331761394</v>
      </c>
      <c r="AR21" s="13">
        <v>346710000000</v>
      </c>
      <c r="AS21">
        <v>11997800760</v>
      </c>
      <c r="AT21">
        <v>51726758677</v>
      </c>
      <c r="AU21">
        <v>47378599025</v>
      </c>
      <c r="AV21">
        <v>4180866177</v>
      </c>
      <c r="AW21">
        <v>45780069047</v>
      </c>
      <c r="AX21">
        <v>32387183845</v>
      </c>
      <c r="AY21">
        <v>21251216799</v>
      </c>
      <c r="AZ21">
        <v>19963120600</v>
      </c>
    </row>
    <row r="22" spans="1:52" x14ac:dyDescent="0.3">
      <c r="A22">
        <v>2016</v>
      </c>
      <c r="B22" s="13">
        <v>101124000000</v>
      </c>
      <c r="C22">
        <v>11821066153</v>
      </c>
      <c r="D22">
        <v>15082578065</v>
      </c>
      <c r="E22">
        <v>12833363370</v>
      </c>
      <c r="F22">
        <v>2732808557</v>
      </c>
      <c r="G22">
        <v>1662998678</v>
      </c>
      <c r="H22">
        <v>33814337900</v>
      </c>
      <c r="I22">
        <v>1825018191</v>
      </c>
      <c r="J22">
        <v>10097778354</v>
      </c>
      <c r="K22">
        <v>1012835518</v>
      </c>
      <c r="L22">
        <v>37134799975</v>
      </c>
      <c r="M22">
        <v>10215989995</v>
      </c>
      <c r="N22">
        <v>47964234560</v>
      </c>
      <c r="O22" s="13">
        <v>332442000000</v>
      </c>
      <c r="P22">
        <v>11240808847</v>
      </c>
      <c r="R22">
        <v>3816022047</v>
      </c>
      <c r="S22">
        <v>74296618481</v>
      </c>
      <c r="T22">
        <v>14023890620</v>
      </c>
      <c r="U22">
        <v>1484579844</v>
      </c>
      <c r="V22">
        <v>56165172899</v>
      </c>
      <c r="W22">
        <v>8595955581</v>
      </c>
      <c r="X22">
        <v>1179004941</v>
      </c>
      <c r="Y22">
        <v>74815121315</v>
      </c>
      <c r="Z22">
        <v>2114323794</v>
      </c>
      <c r="AA22">
        <v>3398419600</v>
      </c>
      <c r="AB22">
        <v>11848613735</v>
      </c>
      <c r="AC22">
        <v>5433040160</v>
      </c>
      <c r="AD22">
        <v>14026048691</v>
      </c>
      <c r="AE22">
        <v>6398744505</v>
      </c>
      <c r="AF22">
        <v>12232463656</v>
      </c>
      <c r="AG22" s="13">
        <v>103312000000</v>
      </c>
      <c r="AH22">
        <v>11936999283</v>
      </c>
      <c r="AI22">
        <v>10721994677</v>
      </c>
      <c r="AJ22">
        <v>10398862245</v>
      </c>
      <c r="AK22" s="13">
        <v>404650000000</v>
      </c>
      <c r="AL22">
        <v>8690485823</v>
      </c>
      <c r="AM22">
        <v>345495615</v>
      </c>
      <c r="AN22">
        <v>19040312815</v>
      </c>
      <c r="AO22">
        <v>1426651769</v>
      </c>
      <c r="AP22">
        <v>3674794530</v>
      </c>
      <c r="AQ22">
        <v>5529873480</v>
      </c>
      <c r="AR22" s="13">
        <v>323586000000</v>
      </c>
      <c r="AT22">
        <v>42630376000</v>
      </c>
      <c r="AU22">
        <v>49774021003</v>
      </c>
      <c r="AV22">
        <v>6031632168</v>
      </c>
      <c r="AW22">
        <v>44360775649</v>
      </c>
      <c r="AX22">
        <v>29203988815</v>
      </c>
      <c r="AY22">
        <v>20958412538</v>
      </c>
      <c r="AZ22">
        <v>20548678100</v>
      </c>
    </row>
    <row r="23" spans="1:52" x14ac:dyDescent="0.3">
      <c r="A23">
        <v>2017</v>
      </c>
      <c r="B23" s="13">
        <v>122124000000</v>
      </c>
      <c r="C23">
        <v>12701654743</v>
      </c>
      <c r="D23">
        <v>16088437675</v>
      </c>
      <c r="E23">
        <v>14106956830</v>
      </c>
      <c r="F23">
        <v>2748180474</v>
      </c>
      <c r="G23">
        <v>1768319144</v>
      </c>
      <c r="H23">
        <v>36098550142</v>
      </c>
      <c r="I23">
        <v>2072349794</v>
      </c>
      <c r="J23">
        <v>10000395242</v>
      </c>
      <c r="K23">
        <v>1077439663</v>
      </c>
      <c r="L23">
        <v>38019265626</v>
      </c>
      <c r="M23">
        <v>11090177747</v>
      </c>
      <c r="N23">
        <v>51588158718</v>
      </c>
      <c r="O23" s="13">
        <v>235734000000</v>
      </c>
      <c r="P23">
        <v>12200913888</v>
      </c>
      <c r="R23">
        <v>4402969226</v>
      </c>
      <c r="S23">
        <v>81770791971</v>
      </c>
      <c r="T23">
        <v>14929488771</v>
      </c>
      <c r="U23">
        <v>1504909753</v>
      </c>
      <c r="V23">
        <v>60406382899</v>
      </c>
      <c r="W23">
        <v>10324668267</v>
      </c>
      <c r="X23">
        <v>1350177128</v>
      </c>
      <c r="Y23">
        <v>82035800868</v>
      </c>
      <c r="Z23">
        <v>2306843529</v>
      </c>
      <c r="AA23">
        <v>3390703400</v>
      </c>
      <c r="AB23">
        <v>13176313594</v>
      </c>
      <c r="AC23">
        <v>8943543677</v>
      </c>
      <c r="AD23">
        <v>15365714371</v>
      </c>
      <c r="AE23">
        <v>6799075419</v>
      </c>
      <c r="AF23">
        <v>13259351418</v>
      </c>
      <c r="AG23" s="13">
        <v>109683000000</v>
      </c>
      <c r="AH23">
        <v>13219084261</v>
      </c>
      <c r="AI23">
        <v>12895153160</v>
      </c>
      <c r="AJ23">
        <v>11185102400</v>
      </c>
      <c r="AK23" s="13">
        <v>375746000000</v>
      </c>
      <c r="AL23">
        <v>9253098954</v>
      </c>
      <c r="AM23">
        <v>375614126.19999999</v>
      </c>
      <c r="AN23">
        <v>20996564752</v>
      </c>
      <c r="AO23">
        <v>1528242026</v>
      </c>
      <c r="AP23">
        <v>3719369107</v>
      </c>
      <c r="AQ23">
        <v>5609000000</v>
      </c>
      <c r="AR23" s="13">
        <v>381449000000</v>
      </c>
      <c r="AT23">
        <v>41283617976</v>
      </c>
      <c r="AU23">
        <v>53320625959</v>
      </c>
      <c r="AV23">
        <v>6395472574</v>
      </c>
      <c r="AW23">
        <v>42163974956</v>
      </c>
      <c r="AX23">
        <v>30744473912</v>
      </c>
      <c r="AY23">
        <v>25873601261</v>
      </c>
      <c r="AZ23">
        <v>17584890937</v>
      </c>
    </row>
    <row r="24" spans="1:52" x14ac:dyDescent="0.3">
      <c r="A24">
        <v>2018</v>
      </c>
      <c r="B24" s="13">
        <v>101353000000</v>
      </c>
      <c r="C24">
        <v>14262407012</v>
      </c>
      <c r="D24">
        <v>16914245098</v>
      </c>
      <c r="E24">
        <v>15890065020</v>
      </c>
      <c r="F24">
        <v>2668495743</v>
      </c>
      <c r="G24">
        <v>1966503223</v>
      </c>
      <c r="H24">
        <v>39973839065</v>
      </c>
      <c r="I24">
        <v>2220978978</v>
      </c>
      <c r="J24">
        <v>11239167048</v>
      </c>
      <c r="K24">
        <v>1188797575</v>
      </c>
      <c r="L24">
        <v>47146004587</v>
      </c>
      <c r="M24">
        <v>13670036996</v>
      </c>
      <c r="N24">
        <v>58011466451</v>
      </c>
      <c r="O24" s="13">
        <v>249713000000</v>
      </c>
      <c r="P24">
        <v>13097012189</v>
      </c>
      <c r="R24">
        <v>4665420239</v>
      </c>
      <c r="S24">
        <v>84269348327</v>
      </c>
      <c r="T24">
        <v>16867325127</v>
      </c>
      <c r="U24">
        <v>1670670669</v>
      </c>
      <c r="V24">
        <v>67299280680</v>
      </c>
      <c r="W24">
        <v>11857030337</v>
      </c>
      <c r="X24">
        <v>1504630121</v>
      </c>
      <c r="Y24">
        <v>92202956321</v>
      </c>
      <c r="Z24">
        <v>2514146888</v>
      </c>
      <c r="AA24">
        <v>3422754800</v>
      </c>
      <c r="AB24">
        <v>13760033097</v>
      </c>
      <c r="AC24">
        <v>9880675786</v>
      </c>
      <c r="AD24">
        <v>17070866299</v>
      </c>
      <c r="AE24">
        <v>7354430040</v>
      </c>
      <c r="AF24">
        <v>14181951059</v>
      </c>
      <c r="AG24" s="13">
        <v>118096000000</v>
      </c>
      <c r="AH24">
        <v>14845870051</v>
      </c>
      <c r="AI24">
        <v>13682062249</v>
      </c>
      <c r="AJ24">
        <v>12808660528</v>
      </c>
      <c r="AK24" s="13">
        <v>397190000000</v>
      </c>
      <c r="AL24">
        <v>9640280084</v>
      </c>
      <c r="AM24">
        <v>412253809.69999999</v>
      </c>
      <c r="AN24">
        <v>23116699808</v>
      </c>
      <c r="AO24">
        <v>1547690759</v>
      </c>
      <c r="AP24">
        <v>4085114794</v>
      </c>
      <c r="AQ24">
        <v>5850677296</v>
      </c>
      <c r="AR24" s="13">
        <v>404842000000</v>
      </c>
      <c r="AT24">
        <v>30964349685</v>
      </c>
      <c r="AU24">
        <v>57003713611</v>
      </c>
      <c r="AV24">
        <v>7112200725</v>
      </c>
      <c r="AW24">
        <v>42570270107</v>
      </c>
      <c r="AX24">
        <v>32927025573</v>
      </c>
      <c r="AY24">
        <v>26311590297</v>
      </c>
      <c r="AZ24">
        <v>18115543791</v>
      </c>
    </row>
    <row r="25" spans="1:52" x14ac:dyDescent="0.3">
      <c r="A25">
        <v>2019</v>
      </c>
      <c r="B25">
        <v>89417190341</v>
      </c>
      <c r="C25">
        <v>14391686633</v>
      </c>
      <c r="D25">
        <v>16593720656</v>
      </c>
      <c r="E25">
        <v>16178162030</v>
      </c>
      <c r="F25">
        <v>2631434363</v>
      </c>
      <c r="G25">
        <v>1981845741</v>
      </c>
      <c r="H25">
        <v>39670977333</v>
      </c>
      <c r="I25">
        <v>2220307369</v>
      </c>
      <c r="J25">
        <v>11314951343</v>
      </c>
      <c r="K25">
        <v>1192559739</v>
      </c>
      <c r="L25">
        <v>50400747050</v>
      </c>
      <c r="M25">
        <v>12750339023</v>
      </c>
      <c r="N25">
        <v>58539424930</v>
      </c>
      <c r="O25" s="13">
        <v>303081000000</v>
      </c>
      <c r="P25">
        <v>11417278045</v>
      </c>
      <c r="R25">
        <v>4495679481</v>
      </c>
      <c r="S25">
        <v>95912590628</v>
      </c>
      <c r="T25">
        <v>16874405840</v>
      </c>
      <c r="U25">
        <v>1812529105</v>
      </c>
      <c r="V25">
        <v>68337537816</v>
      </c>
      <c r="W25">
        <v>13513809258</v>
      </c>
      <c r="X25">
        <v>1439638443</v>
      </c>
      <c r="Y25" s="13">
        <v>100555000000</v>
      </c>
      <c r="Z25">
        <v>2366213069</v>
      </c>
      <c r="AA25">
        <v>3319596500</v>
      </c>
      <c r="AB25">
        <v>14104664515</v>
      </c>
      <c r="AC25">
        <v>11025357838</v>
      </c>
      <c r="AD25">
        <v>17280251194</v>
      </c>
      <c r="AE25">
        <v>7889662452</v>
      </c>
      <c r="AF25">
        <v>14045808843</v>
      </c>
      <c r="AG25" s="13">
        <v>119870000000</v>
      </c>
      <c r="AH25">
        <v>15384701798</v>
      </c>
      <c r="AI25">
        <v>12496781720</v>
      </c>
      <c r="AJ25">
        <v>12916455161</v>
      </c>
      <c r="AK25" s="13">
        <v>448120000000</v>
      </c>
      <c r="AL25">
        <v>10355974217</v>
      </c>
      <c r="AM25">
        <v>427425039.69999999</v>
      </c>
      <c r="AN25">
        <v>23306213742</v>
      </c>
      <c r="AO25">
        <v>1582841059</v>
      </c>
      <c r="AP25">
        <v>4076578543</v>
      </c>
      <c r="AQ25">
        <v>6476674592</v>
      </c>
      <c r="AR25" s="13">
        <v>387935000000</v>
      </c>
      <c r="AT25">
        <v>26155799325</v>
      </c>
      <c r="AU25">
        <v>61136873692</v>
      </c>
      <c r="AV25">
        <v>7220395248</v>
      </c>
      <c r="AW25">
        <v>41804581484</v>
      </c>
      <c r="AX25">
        <v>35353060634</v>
      </c>
      <c r="AY25">
        <v>23308667781</v>
      </c>
      <c r="AZ25">
        <v>19284289739</v>
      </c>
    </row>
    <row r="26" spans="1:52" x14ac:dyDescent="0.3">
      <c r="J26" s="13"/>
      <c r="R26" s="13"/>
      <c r="U26" s="13"/>
      <c r="AK26" s="13"/>
      <c r="AR26" s="13"/>
    </row>
    <row r="27" spans="1:52" x14ac:dyDescent="0.3">
      <c r="B27">
        <f t="shared" ref="B27:AG27" si="0">PEARSON(B2:B11,B16:B25)</f>
        <v>-0.82869533900913905</v>
      </c>
      <c r="C27">
        <f t="shared" si="0"/>
        <v>0.6825279090801365</v>
      </c>
      <c r="D27" t="e">
        <f t="shared" si="0"/>
        <v>#DIV/0!</v>
      </c>
      <c r="E27">
        <f t="shared" si="0"/>
        <v>0.70562203267600965</v>
      </c>
      <c r="F27">
        <f t="shared" si="0"/>
        <v>0.30835024351814239</v>
      </c>
      <c r="G27">
        <f t="shared" si="0"/>
        <v>1.0000000000000002</v>
      </c>
      <c r="H27">
        <f t="shared" si="0"/>
        <v>0.60143006102556784</v>
      </c>
      <c r="I27">
        <f t="shared" si="0"/>
        <v>-1.0000000000000002</v>
      </c>
      <c r="J27">
        <f t="shared" si="0"/>
        <v>1</v>
      </c>
      <c r="K27" t="e">
        <f t="shared" si="0"/>
        <v>#DIV/0!</v>
      </c>
      <c r="L27">
        <f t="shared" si="0"/>
        <v>0.93134027966472466</v>
      </c>
      <c r="M27" t="e">
        <f t="shared" si="0"/>
        <v>#DIV/0!</v>
      </c>
      <c r="N27">
        <f t="shared" si="0"/>
        <v>0.91575814254573817</v>
      </c>
      <c r="O27" t="e">
        <f t="shared" si="0"/>
        <v>#DIV/0!</v>
      </c>
      <c r="P27" t="e">
        <f t="shared" si="0"/>
        <v>#DIV/0!</v>
      </c>
      <c r="Q27" t="e">
        <f t="shared" si="0"/>
        <v>#DIV/0!</v>
      </c>
      <c r="R27" t="e">
        <f t="shared" si="0"/>
        <v>#DIV/0!</v>
      </c>
      <c r="S27">
        <f t="shared" si="0"/>
        <v>0.75057445016462532</v>
      </c>
      <c r="T27">
        <f t="shared" si="0"/>
        <v>1</v>
      </c>
      <c r="U27">
        <f t="shared" si="0"/>
        <v>0.8826697927941114</v>
      </c>
      <c r="V27">
        <f t="shared" si="0"/>
        <v>0.7495553313563863</v>
      </c>
      <c r="W27">
        <f t="shared" si="0"/>
        <v>1</v>
      </c>
      <c r="X27">
        <f t="shared" si="0"/>
        <v>0.89110923382829965</v>
      </c>
      <c r="Y27">
        <f t="shared" si="0"/>
        <v>0.95419171323627316</v>
      </c>
      <c r="Z27">
        <f t="shared" si="0"/>
        <v>-4.5709858371937348E-2</v>
      </c>
      <c r="AA27">
        <f t="shared" si="0"/>
        <v>0.41353580809282964</v>
      </c>
      <c r="AB27">
        <f t="shared" si="0"/>
        <v>0.96358712797589952</v>
      </c>
      <c r="AC27">
        <f t="shared" si="0"/>
        <v>0.58235503006094269</v>
      </c>
      <c r="AD27">
        <f t="shared" si="0"/>
        <v>0.84379465627999617</v>
      </c>
      <c r="AE27">
        <f t="shared" si="0"/>
        <v>1.0000000000000002</v>
      </c>
      <c r="AF27">
        <f t="shared" si="0"/>
        <v>0.88724529523982576</v>
      </c>
      <c r="AG27">
        <f t="shared" si="0"/>
        <v>0.52797212774866131</v>
      </c>
      <c r="AH27">
        <f t="shared" ref="AH27:AZ27" si="1">PEARSON(AH2:AH11,AH16:AH25)</f>
        <v>-0.51647824542881093</v>
      </c>
      <c r="AI27">
        <f t="shared" si="1"/>
        <v>0.70550315923863216</v>
      </c>
      <c r="AJ27">
        <f t="shared" si="1"/>
        <v>0.61152129288756574</v>
      </c>
      <c r="AK27">
        <f t="shared" si="1"/>
        <v>-0.37664897938386926</v>
      </c>
      <c r="AL27">
        <f t="shared" si="1"/>
        <v>0.9170343552138922</v>
      </c>
      <c r="AM27" t="e">
        <f t="shared" si="1"/>
        <v>#DIV/0!</v>
      </c>
      <c r="AN27">
        <f t="shared" si="1"/>
        <v>0.84363671281595776</v>
      </c>
      <c r="AO27" t="e">
        <f t="shared" si="1"/>
        <v>#DIV/0!</v>
      </c>
      <c r="AP27">
        <f t="shared" si="1"/>
        <v>0.15036948575454476</v>
      </c>
      <c r="AQ27">
        <f t="shared" si="1"/>
        <v>0.9873929087283172</v>
      </c>
      <c r="AR27">
        <f t="shared" si="1"/>
        <v>-5.6661283873590311E-2</v>
      </c>
      <c r="AS27" t="e">
        <f t="shared" si="1"/>
        <v>#DIV/0!</v>
      </c>
      <c r="AT27" t="e">
        <f t="shared" si="1"/>
        <v>#DIV/0!</v>
      </c>
      <c r="AU27">
        <f t="shared" si="1"/>
        <v>0.91885607262316038</v>
      </c>
      <c r="AV27">
        <f t="shared" si="1"/>
        <v>0.67674299009061223</v>
      </c>
      <c r="AW27">
        <f t="shared" si="1"/>
        <v>-0.82686277272204078</v>
      </c>
      <c r="AX27">
        <f t="shared" si="1"/>
        <v>0.73489532506297528</v>
      </c>
      <c r="AY27">
        <f t="shared" si="1"/>
        <v>0.27614163577336687</v>
      </c>
      <c r="AZ27">
        <f t="shared" si="1"/>
        <v>0.83931761524148651</v>
      </c>
    </row>
    <row r="28" spans="1:52" x14ac:dyDescent="0.3">
      <c r="A28" t="s">
        <v>404</v>
      </c>
    </row>
    <row r="29" spans="1:52" x14ac:dyDescent="0.3">
      <c r="A29" t="s">
        <v>102</v>
      </c>
      <c r="B29" t="s">
        <v>107</v>
      </c>
      <c r="C29" t="s">
        <v>121</v>
      </c>
      <c r="D29" t="s">
        <v>136</v>
      </c>
      <c r="E29" t="s">
        <v>122</v>
      </c>
      <c r="F29" t="s">
        <v>119</v>
      </c>
      <c r="G29" t="s">
        <v>150</v>
      </c>
      <c r="H29" t="s">
        <v>145</v>
      </c>
      <c r="I29" t="s">
        <v>137</v>
      </c>
      <c r="J29" t="s">
        <v>332</v>
      </c>
      <c r="K29" t="s">
        <v>149</v>
      </c>
      <c r="L29" t="s">
        <v>146</v>
      </c>
      <c r="M29" t="s">
        <v>147</v>
      </c>
      <c r="N29" t="s">
        <v>144</v>
      </c>
      <c r="O29" t="s">
        <v>170</v>
      </c>
      <c r="P29" t="s">
        <v>191</v>
      </c>
      <c r="Q29" t="s">
        <v>172</v>
      </c>
      <c r="R29" t="s">
        <v>327</v>
      </c>
      <c r="S29" t="s">
        <v>175</v>
      </c>
      <c r="T29" t="s">
        <v>183</v>
      </c>
      <c r="U29" t="s">
        <v>189</v>
      </c>
      <c r="V29" t="s">
        <v>186</v>
      </c>
      <c r="W29" t="s">
        <v>188</v>
      </c>
      <c r="X29" t="s">
        <v>190</v>
      </c>
      <c r="Y29" t="s">
        <v>224</v>
      </c>
      <c r="Z29" t="s">
        <v>244</v>
      </c>
      <c r="AA29" t="s">
        <v>234</v>
      </c>
      <c r="AB29" t="s">
        <v>254</v>
      </c>
      <c r="AC29" t="s">
        <v>271</v>
      </c>
      <c r="AD29" t="s">
        <v>261</v>
      </c>
      <c r="AE29" t="s">
        <v>269</v>
      </c>
      <c r="AF29" t="s">
        <v>270</v>
      </c>
      <c r="AG29" t="s">
        <v>251</v>
      </c>
      <c r="AH29" t="s">
        <v>268</v>
      </c>
      <c r="AI29" t="s">
        <v>274</v>
      </c>
      <c r="AJ29" t="s">
        <v>276</v>
      </c>
      <c r="AK29" t="s">
        <v>277</v>
      </c>
      <c r="AL29" t="s">
        <v>306</v>
      </c>
      <c r="AM29" t="s">
        <v>322</v>
      </c>
      <c r="AN29" t="s">
        <v>310</v>
      </c>
      <c r="AO29" t="s">
        <v>329</v>
      </c>
      <c r="AP29" t="s">
        <v>313</v>
      </c>
      <c r="AQ29" t="s">
        <v>316</v>
      </c>
      <c r="AR29" t="s">
        <v>366</v>
      </c>
      <c r="AS29" t="s">
        <v>319</v>
      </c>
      <c r="AT29" t="s">
        <v>309</v>
      </c>
      <c r="AU29" t="s">
        <v>349</v>
      </c>
      <c r="AV29" t="s">
        <v>335</v>
      </c>
      <c r="AW29" t="s">
        <v>346</v>
      </c>
      <c r="AX29" t="s">
        <v>350</v>
      </c>
      <c r="AY29" t="s">
        <v>367</v>
      </c>
      <c r="AZ29" t="s">
        <v>368</v>
      </c>
    </row>
    <row r="30" spans="1:52" x14ac:dyDescent="0.3">
      <c r="A30">
        <v>2010</v>
      </c>
      <c r="B30">
        <v>3587.8836449999999</v>
      </c>
      <c r="C30">
        <v>1036.5345150000001</v>
      </c>
      <c r="D30">
        <v>6434.8124850000004</v>
      </c>
      <c r="E30">
        <v>647.83609550000006</v>
      </c>
      <c r="F30">
        <v>234.23553889999999</v>
      </c>
      <c r="G30">
        <v>3378.323433</v>
      </c>
      <c r="H30">
        <v>1352.302275</v>
      </c>
      <c r="I30">
        <v>488.42173580000002</v>
      </c>
      <c r="J30">
        <v>892.56886970000005</v>
      </c>
      <c r="K30">
        <v>1316.491213</v>
      </c>
      <c r="L30">
        <v>334.02157770000002</v>
      </c>
      <c r="M30">
        <v>3073.5577840000001</v>
      </c>
      <c r="N30">
        <v>1701.475702</v>
      </c>
      <c r="O30">
        <v>2645.9687589999999</v>
      </c>
      <c r="P30">
        <v>17288.8426</v>
      </c>
      <c r="Q30">
        <v>501.35531700000001</v>
      </c>
      <c r="R30">
        <v>4168.4894029999996</v>
      </c>
      <c r="S30">
        <v>341.55412269999999</v>
      </c>
      <c r="T30">
        <v>8849.3226080000004</v>
      </c>
      <c r="U30">
        <v>860.63643390000004</v>
      </c>
      <c r="V30">
        <v>1299.3452119999999</v>
      </c>
      <c r="W30">
        <v>672.42493039999999</v>
      </c>
      <c r="X30">
        <v>558.17466809999996</v>
      </c>
      <c r="Y30">
        <v>1080.296184</v>
      </c>
      <c r="Z30">
        <v>1119.8436409999999</v>
      </c>
      <c r="AA30">
        <v>513.44556669999997</v>
      </c>
      <c r="AB30">
        <v>471.9592116</v>
      </c>
      <c r="AC30">
        <v>478.66868849999997</v>
      </c>
      <c r="AD30">
        <v>710.27424940000003</v>
      </c>
      <c r="AE30">
        <v>1610.921603</v>
      </c>
      <c r="AF30">
        <v>8000.376432</v>
      </c>
      <c r="AG30">
        <v>2839.9261200000001</v>
      </c>
      <c r="AH30">
        <v>471.90434329999999</v>
      </c>
      <c r="AI30">
        <v>5394.9967120000001</v>
      </c>
      <c r="AJ30">
        <v>476.86953219999998</v>
      </c>
      <c r="AK30">
        <v>2280.4373369999998</v>
      </c>
      <c r="AL30">
        <v>609.724917</v>
      </c>
      <c r="AM30">
        <v>1090.260763</v>
      </c>
      <c r="AN30">
        <v>1271.5832809999999</v>
      </c>
      <c r="AO30">
        <v>10804.68447</v>
      </c>
      <c r="AP30">
        <v>401.83487609999997</v>
      </c>
      <c r="AR30">
        <v>8148.9612020000004</v>
      </c>
      <c r="AS30">
        <v>1535.7068919999999</v>
      </c>
      <c r="AT30">
        <v>1338.443724</v>
      </c>
      <c r="AU30">
        <v>743.40366389999997</v>
      </c>
      <c r="AV30">
        <v>534.04478259999996</v>
      </c>
      <c r="AW30">
        <v>4344.64192</v>
      </c>
      <c r="AX30">
        <v>822.53937250000001</v>
      </c>
      <c r="AY30">
        <v>1489.459087</v>
      </c>
      <c r="AZ30">
        <v>948.33148100000005</v>
      </c>
    </row>
    <row r="31" spans="1:52" x14ac:dyDescent="0.3">
      <c r="A31">
        <v>2011</v>
      </c>
      <c r="B31">
        <v>4615.4682190000003</v>
      </c>
      <c r="C31">
        <v>1130.2732510000001</v>
      </c>
      <c r="D31">
        <v>7617.3100409999997</v>
      </c>
      <c r="E31">
        <v>751.17277039999999</v>
      </c>
      <c r="F31">
        <v>249.5779794</v>
      </c>
      <c r="G31">
        <v>3740.3741030000001</v>
      </c>
      <c r="H31">
        <v>1465.145788</v>
      </c>
      <c r="I31">
        <v>551.74972190000005</v>
      </c>
      <c r="J31">
        <v>984.73613049999994</v>
      </c>
      <c r="K31">
        <v>1447.945144</v>
      </c>
      <c r="L31">
        <v>387.08247699999998</v>
      </c>
      <c r="M31">
        <v>3557.5561699999998</v>
      </c>
      <c r="N31">
        <v>1744.938897</v>
      </c>
      <c r="O31">
        <v>2791.8107660000001</v>
      </c>
      <c r="P31">
        <v>21641.693899999998</v>
      </c>
      <c r="Q31">
        <v>642.50825880000002</v>
      </c>
      <c r="R31">
        <v>4496.6133609999997</v>
      </c>
      <c r="S31">
        <v>354.4795719</v>
      </c>
      <c r="T31">
        <v>10809.684950000001</v>
      </c>
      <c r="U31">
        <v>762.76311769999995</v>
      </c>
      <c r="V31">
        <v>1549.4627190000001</v>
      </c>
      <c r="W31">
        <v>651.1361134</v>
      </c>
      <c r="X31">
        <v>703.66056730000003</v>
      </c>
      <c r="Y31">
        <v>1085.4871519999999</v>
      </c>
      <c r="Z31">
        <v>1287.269536</v>
      </c>
      <c r="AA31">
        <v>596.89663529999996</v>
      </c>
      <c r="AB31">
        <v>531.2654321</v>
      </c>
      <c r="AC31">
        <v>534.95105020000005</v>
      </c>
      <c r="AD31">
        <v>837.60582099999999</v>
      </c>
      <c r="AE31">
        <v>1879.7724720000001</v>
      </c>
      <c r="AF31">
        <v>9197.0269719999997</v>
      </c>
      <c r="AG31">
        <v>3046.947854</v>
      </c>
      <c r="AH31">
        <v>594.58614709999995</v>
      </c>
      <c r="AI31">
        <v>5806.7482460000001</v>
      </c>
      <c r="AJ31">
        <v>512.59533499999998</v>
      </c>
      <c r="AK31">
        <v>2487.5980169999998</v>
      </c>
      <c r="AL31">
        <v>668.49467219999997</v>
      </c>
      <c r="AM31">
        <v>1254.541598</v>
      </c>
      <c r="AN31">
        <v>1366.7745010000001</v>
      </c>
      <c r="AO31">
        <v>12189.095160000001</v>
      </c>
      <c r="AP31">
        <v>448.33766209999999</v>
      </c>
      <c r="AR31">
        <v>8810.9306510000006</v>
      </c>
      <c r="AS31">
        <v>1516.404378</v>
      </c>
      <c r="AT31">
        <v>1366.410905</v>
      </c>
      <c r="AU31">
        <v>781.43389569999999</v>
      </c>
      <c r="AV31">
        <v>587.09749280000005</v>
      </c>
      <c r="AW31">
        <v>4479.930327</v>
      </c>
      <c r="AX31">
        <v>832.56907820000004</v>
      </c>
      <c r="AY31">
        <v>1672.9075350000001</v>
      </c>
      <c r="AZ31">
        <v>1093.653409</v>
      </c>
    </row>
    <row r="32" spans="1:52" x14ac:dyDescent="0.3">
      <c r="A32">
        <v>2012</v>
      </c>
      <c r="B32">
        <v>5100.0970269999998</v>
      </c>
      <c r="C32">
        <v>1145.1401049999999</v>
      </c>
      <c r="D32">
        <v>7050.573472</v>
      </c>
      <c r="E32">
        <v>758.00042699999995</v>
      </c>
      <c r="F32">
        <v>252.35887070000001</v>
      </c>
      <c r="G32">
        <v>3447.4830999999999</v>
      </c>
      <c r="H32">
        <v>1403.522915</v>
      </c>
      <c r="I32">
        <v>565.80120710000006</v>
      </c>
      <c r="J32">
        <v>967.35294880000004</v>
      </c>
      <c r="K32">
        <v>1403.3602519999999</v>
      </c>
      <c r="L32">
        <v>424.6003738</v>
      </c>
      <c r="M32">
        <v>3923.0935089999998</v>
      </c>
      <c r="N32">
        <v>1684.7815860000001</v>
      </c>
      <c r="O32">
        <v>3229.6856299999999</v>
      </c>
      <c r="P32">
        <v>21711.151590000001</v>
      </c>
      <c r="R32">
        <v>4527.5650390000001</v>
      </c>
      <c r="S32">
        <v>467.07787180000003</v>
      </c>
      <c r="T32">
        <v>9813.5057469999992</v>
      </c>
      <c r="U32">
        <v>742.77762859999996</v>
      </c>
      <c r="V32">
        <v>1587.5609320000001</v>
      </c>
      <c r="W32">
        <v>717.0505359</v>
      </c>
      <c r="X32">
        <v>616.37566400000003</v>
      </c>
      <c r="Y32">
        <v>1271.8153830000001</v>
      </c>
      <c r="Z32">
        <v>1229.6362320000001</v>
      </c>
      <c r="AA32">
        <v>675.01019180000003</v>
      </c>
      <c r="AB32">
        <v>518.15281270000003</v>
      </c>
      <c r="AC32">
        <v>391.56170520000001</v>
      </c>
      <c r="AD32">
        <v>778.62526949999994</v>
      </c>
      <c r="AE32">
        <v>1815.2189390000001</v>
      </c>
      <c r="AF32">
        <v>9291.2276189999993</v>
      </c>
      <c r="AG32">
        <v>2912.6582749999998</v>
      </c>
      <c r="AH32">
        <v>657.64467649999995</v>
      </c>
      <c r="AI32">
        <v>5942.2927399999999</v>
      </c>
      <c r="AJ32">
        <v>529.74445809999997</v>
      </c>
      <c r="AK32">
        <v>2723.8221910000002</v>
      </c>
      <c r="AL32">
        <v>725.16977029999998</v>
      </c>
      <c r="AM32">
        <v>1330.6201140000001</v>
      </c>
      <c r="AN32">
        <v>1317.779802</v>
      </c>
      <c r="AO32">
        <v>12006.68296</v>
      </c>
      <c r="AP32">
        <v>566.37823509999998</v>
      </c>
      <c r="AR32">
        <v>8222.197279</v>
      </c>
      <c r="AS32">
        <v>1179.7397109999999</v>
      </c>
      <c r="AT32">
        <v>1039.7620509999999</v>
      </c>
      <c r="AU32">
        <v>867.8574989</v>
      </c>
      <c r="AV32">
        <v>571.80672389999995</v>
      </c>
      <c r="AW32">
        <v>4361.6877359999999</v>
      </c>
      <c r="AX32">
        <v>790.13145059999999</v>
      </c>
      <c r="AY32">
        <v>1763.069442</v>
      </c>
      <c r="AZ32">
        <v>1304.9680109999999</v>
      </c>
    </row>
    <row r="33" spans="1:52" x14ac:dyDescent="0.3">
      <c r="A33">
        <v>2013</v>
      </c>
      <c r="B33">
        <v>5254.8811260000002</v>
      </c>
      <c r="C33">
        <v>1251.2097670000001</v>
      </c>
      <c r="D33">
        <v>7224.9127369999997</v>
      </c>
      <c r="E33">
        <v>787.46943829999998</v>
      </c>
      <c r="F33">
        <v>256.97565259999999</v>
      </c>
      <c r="G33">
        <v>3616.03557</v>
      </c>
      <c r="H33">
        <v>1527.7512569999999</v>
      </c>
      <c r="I33">
        <v>380.29791110000002</v>
      </c>
      <c r="J33">
        <v>979.8117426</v>
      </c>
      <c r="K33">
        <v>1505.3372919999999</v>
      </c>
      <c r="L33">
        <v>457.96374750000001</v>
      </c>
      <c r="M33">
        <v>3883.7468480000002</v>
      </c>
      <c r="N33">
        <v>1935.9468449999999</v>
      </c>
      <c r="O33">
        <v>3262.6575859999998</v>
      </c>
      <c r="P33">
        <v>20390.737270000001</v>
      </c>
      <c r="R33">
        <v>4230.1712660000003</v>
      </c>
      <c r="S33">
        <v>499.53153020000002</v>
      </c>
      <c r="T33">
        <v>9683.5816200000008</v>
      </c>
      <c r="U33">
        <v>700.51604220000002</v>
      </c>
      <c r="V33">
        <v>2361.0903239999998</v>
      </c>
      <c r="W33">
        <v>769.00316669999995</v>
      </c>
      <c r="X33">
        <v>634.66203910000002</v>
      </c>
      <c r="Y33">
        <v>1354.820833</v>
      </c>
      <c r="Z33">
        <v>1166.911756</v>
      </c>
      <c r="AA33">
        <v>747.86866010000006</v>
      </c>
      <c r="AB33">
        <v>541.06594370000005</v>
      </c>
      <c r="AC33">
        <v>348.42987369999997</v>
      </c>
      <c r="AD33">
        <v>805.03397959999995</v>
      </c>
      <c r="AE33">
        <v>1892.0940000000001</v>
      </c>
      <c r="AF33">
        <v>9637.0026500000004</v>
      </c>
      <c r="AG33">
        <v>3121.680081</v>
      </c>
      <c r="AH33">
        <v>664.07751040000005</v>
      </c>
      <c r="AI33">
        <v>5392.0949380000002</v>
      </c>
      <c r="AJ33">
        <v>552.56913899999995</v>
      </c>
      <c r="AK33">
        <v>2961.549422</v>
      </c>
      <c r="AL33">
        <v>722.89432850000003</v>
      </c>
      <c r="AM33">
        <v>1564.768548</v>
      </c>
      <c r="AN33">
        <v>1372.6657789999999</v>
      </c>
      <c r="AO33">
        <v>14765.67398</v>
      </c>
      <c r="AP33">
        <v>716.83582690000003</v>
      </c>
      <c r="AQ33">
        <v>350.16816180000001</v>
      </c>
      <c r="AR33">
        <v>7467.0791849999996</v>
      </c>
      <c r="AS33">
        <v>1779.4703649999999</v>
      </c>
      <c r="AT33">
        <v>1160.5355520000001</v>
      </c>
      <c r="AU33">
        <v>970.39960140000005</v>
      </c>
      <c r="AV33">
        <v>621.39885360000005</v>
      </c>
      <c r="AW33">
        <v>4444.816511</v>
      </c>
      <c r="AX33">
        <v>810.09039499999994</v>
      </c>
      <c r="AY33">
        <v>1878.3468109999999</v>
      </c>
      <c r="AZ33">
        <v>1429.9984609999999</v>
      </c>
    </row>
    <row r="34" spans="1:52" x14ac:dyDescent="0.3">
      <c r="A34">
        <v>2014</v>
      </c>
      <c r="B34">
        <v>5408.4116999999997</v>
      </c>
      <c r="C34">
        <v>1291.410185</v>
      </c>
      <c r="D34">
        <v>7495.2208659999997</v>
      </c>
      <c r="E34">
        <v>792.84623739999995</v>
      </c>
      <c r="F34">
        <v>274.85783620000001</v>
      </c>
      <c r="G34">
        <v>3588.6255839999999</v>
      </c>
      <c r="H34">
        <v>1604.214035</v>
      </c>
      <c r="I34">
        <v>424.44913170000001</v>
      </c>
      <c r="J34">
        <v>1020.287979</v>
      </c>
      <c r="K34">
        <v>1513.830379</v>
      </c>
      <c r="L34">
        <v>486.78709509999999</v>
      </c>
      <c r="M34">
        <v>3776.4855680000001</v>
      </c>
      <c r="N34">
        <v>2156.6458830000001</v>
      </c>
      <c r="O34">
        <v>3379.5579859999998</v>
      </c>
      <c r="P34">
        <v>19394.08066</v>
      </c>
      <c r="R34">
        <v>4039.159341</v>
      </c>
      <c r="S34">
        <v>566.92640289999997</v>
      </c>
      <c r="T34">
        <v>9663.4241099999999</v>
      </c>
      <c r="U34">
        <v>607.42990469999995</v>
      </c>
      <c r="V34">
        <v>2012.2642470000001</v>
      </c>
      <c r="W34">
        <v>787.23856439999997</v>
      </c>
      <c r="X34">
        <v>623.31309139999996</v>
      </c>
      <c r="Y34">
        <v>1462.2200519999999</v>
      </c>
      <c r="Z34">
        <v>1194.5756269999999</v>
      </c>
      <c r="AA34">
        <v>739.91193499999997</v>
      </c>
      <c r="AB34">
        <v>530.86103890000004</v>
      </c>
      <c r="AC34">
        <v>371.26952169999998</v>
      </c>
      <c r="AD34">
        <v>848.279043</v>
      </c>
      <c r="AE34">
        <v>1677.109019</v>
      </c>
      <c r="AF34">
        <v>10153.93822</v>
      </c>
      <c r="AG34">
        <v>3171.699192</v>
      </c>
      <c r="AH34">
        <v>673.96921199999997</v>
      </c>
      <c r="AI34">
        <v>5469.9013999999997</v>
      </c>
      <c r="AJ34">
        <v>564.5967488</v>
      </c>
      <c r="AK34">
        <v>3098.9857910000001</v>
      </c>
      <c r="AL34">
        <v>743.55903799999999</v>
      </c>
      <c r="AM34">
        <v>1770.467688</v>
      </c>
      <c r="AN34">
        <v>1396.6573390000001</v>
      </c>
      <c r="AO34">
        <v>14700.334339999999</v>
      </c>
      <c r="AP34">
        <v>714.69979569999998</v>
      </c>
      <c r="AQ34">
        <v>374.11478069999998</v>
      </c>
      <c r="AR34">
        <v>6988.8087390000001</v>
      </c>
      <c r="AS34">
        <v>1322.8203639999999</v>
      </c>
      <c r="AT34">
        <v>1303.8389549999999</v>
      </c>
      <c r="AU34">
        <v>1030.077648</v>
      </c>
      <c r="AV34">
        <v>640.93421960000001</v>
      </c>
      <c r="AW34">
        <v>4544.0166319999998</v>
      </c>
      <c r="AX34">
        <v>883.52874450000002</v>
      </c>
      <c r="AY34">
        <v>1762.427817</v>
      </c>
      <c r="AZ34">
        <v>1434.8962770000001</v>
      </c>
    </row>
    <row r="35" spans="1:52" x14ac:dyDescent="0.3">
      <c r="A35">
        <v>2015</v>
      </c>
      <c r="B35">
        <v>4166.9798330000003</v>
      </c>
      <c r="C35">
        <v>1076.7966980000001</v>
      </c>
      <c r="D35">
        <v>6402.910183</v>
      </c>
      <c r="E35">
        <v>653.32726809999997</v>
      </c>
      <c r="F35">
        <v>305.54965249999998</v>
      </c>
      <c r="G35">
        <v>3043.0313820000001</v>
      </c>
      <c r="H35">
        <v>1382.5097900000001</v>
      </c>
      <c r="I35">
        <v>377.42291770000003</v>
      </c>
      <c r="J35">
        <v>776.01975230000005</v>
      </c>
      <c r="K35">
        <v>1242.5856080000001</v>
      </c>
      <c r="L35">
        <v>497.31703909999999</v>
      </c>
      <c r="M35">
        <v>2447.5393079999999</v>
      </c>
      <c r="N35">
        <v>1972.5456830000001</v>
      </c>
      <c r="O35">
        <v>3562.9326580000002</v>
      </c>
      <c r="P35">
        <v>11283.39805</v>
      </c>
      <c r="R35">
        <v>3680.3494730000002</v>
      </c>
      <c r="S35">
        <v>640.54192309999996</v>
      </c>
      <c r="T35">
        <v>7384.7007039999999</v>
      </c>
      <c r="U35">
        <v>660.72357120000004</v>
      </c>
      <c r="V35">
        <v>1774.0747710000001</v>
      </c>
      <c r="W35">
        <v>769.25547540000002</v>
      </c>
      <c r="X35">
        <v>603.3993815</v>
      </c>
      <c r="Y35">
        <v>1464.554009</v>
      </c>
      <c r="Z35">
        <v>1146.0646879999999</v>
      </c>
      <c r="AA35">
        <v>721.58105049999995</v>
      </c>
      <c r="AB35">
        <v>467.23543160000003</v>
      </c>
      <c r="AC35">
        <v>380.5969877</v>
      </c>
      <c r="AD35">
        <v>751.47288660000004</v>
      </c>
      <c r="AE35">
        <v>1524.0717529999999</v>
      </c>
      <c r="AF35">
        <v>9260.4473030000008</v>
      </c>
      <c r="AG35">
        <v>2875.2579850000002</v>
      </c>
      <c r="AH35">
        <v>589.85905000000002</v>
      </c>
      <c r="AI35">
        <v>4896.6152599999996</v>
      </c>
      <c r="AJ35">
        <v>484.15313739999999</v>
      </c>
      <c r="AK35">
        <v>2687.4800559999999</v>
      </c>
      <c r="AL35">
        <v>751.07739260000005</v>
      </c>
      <c r="AM35">
        <v>1584.7756569999999</v>
      </c>
      <c r="AN35">
        <v>1219.249415</v>
      </c>
      <c r="AO35">
        <v>14745.34146</v>
      </c>
      <c r="AP35">
        <v>588.2288628</v>
      </c>
      <c r="AQ35">
        <v>386.437817</v>
      </c>
      <c r="AR35">
        <v>6259.8396810000004</v>
      </c>
      <c r="AS35">
        <v>1119.651437</v>
      </c>
      <c r="AT35">
        <v>1329.6359620000001</v>
      </c>
      <c r="AU35">
        <v>947.9333517</v>
      </c>
      <c r="AV35">
        <v>570.90996719999998</v>
      </c>
      <c r="AW35">
        <v>4094.8362870000001</v>
      </c>
      <c r="AX35">
        <v>847.26762889999998</v>
      </c>
      <c r="AY35">
        <v>1338.290927</v>
      </c>
      <c r="AZ35">
        <v>1445.069702</v>
      </c>
    </row>
    <row r="36" spans="1:52" x14ac:dyDescent="0.3">
      <c r="A36">
        <v>2016</v>
      </c>
      <c r="B36">
        <v>3506.073128</v>
      </c>
      <c r="C36">
        <v>1087.287331</v>
      </c>
      <c r="D36">
        <v>6982.9174919999996</v>
      </c>
      <c r="E36">
        <v>688.25069629999996</v>
      </c>
      <c r="F36">
        <v>260.56522080000002</v>
      </c>
      <c r="G36">
        <v>3130.9987529999999</v>
      </c>
      <c r="H36">
        <v>1413.2559570000001</v>
      </c>
      <c r="I36">
        <v>402.19164510000002</v>
      </c>
      <c r="J36">
        <v>693.44976740000004</v>
      </c>
      <c r="K36">
        <v>1273.0509520000001</v>
      </c>
      <c r="L36">
        <v>471.31882250000001</v>
      </c>
      <c r="M36">
        <v>2050.9934149999999</v>
      </c>
      <c r="N36">
        <v>2013.3814480000001</v>
      </c>
      <c r="O36">
        <v>3519.8732399999999</v>
      </c>
      <c r="P36">
        <v>9250.3164930000003</v>
      </c>
      <c r="R36">
        <v>3425.5319570000001</v>
      </c>
      <c r="S36">
        <v>717.12486980000006</v>
      </c>
      <c r="T36">
        <v>6984.4197119999999</v>
      </c>
      <c r="U36">
        <v>690.78049320000002</v>
      </c>
      <c r="V36">
        <v>1971.9569349999999</v>
      </c>
      <c r="W36">
        <v>732.29151190000005</v>
      </c>
      <c r="X36">
        <v>661.45783870000002</v>
      </c>
      <c r="Y36">
        <v>1525.2351920000001</v>
      </c>
      <c r="Z36">
        <v>1018.931093</v>
      </c>
      <c r="AA36">
        <v>740.91490599999997</v>
      </c>
      <c r="AB36">
        <v>475.95555680000001</v>
      </c>
      <c r="AC36">
        <v>315.77798710000002</v>
      </c>
      <c r="AD36">
        <v>780.72356950000005</v>
      </c>
      <c r="AE36">
        <v>1536.8548880000001</v>
      </c>
      <c r="AF36">
        <v>9681.6185669999995</v>
      </c>
      <c r="AG36">
        <v>2896.7221960000002</v>
      </c>
      <c r="AH36">
        <v>428.92667290000003</v>
      </c>
      <c r="AI36">
        <v>4546.986688</v>
      </c>
      <c r="AJ36">
        <v>500.21491129999998</v>
      </c>
      <c r="AK36">
        <v>2176.0027719999998</v>
      </c>
      <c r="AL36">
        <v>744.76074879999999</v>
      </c>
      <c r="AM36">
        <v>1700.0979970000001</v>
      </c>
      <c r="AN36">
        <v>1269.903294</v>
      </c>
      <c r="AO36">
        <v>15068.620349999999</v>
      </c>
      <c r="AP36">
        <v>501.4151655</v>
      </c>
      <c r="AQ36">
        <v>389.82206150000002</v>
      </c>
      <c r="AR36">
        <v>5756.965741</v>
      </c>
      <c r="AT36">
        <v>1069.8399569999999</v>
      </c>
      <c r="AU36">
        <v>966.50301660000002</v>
      </c>
      <c r="AV36">
        <v>803.15189339999995</v>
      </c>
      <c r="AW36">
        <v>3924.3633460000001</v>
      </c>
      <c r="AX36">
        <v>736.55984739999997</v>
      </c>
      <c r="AY36">
        <v>1280.8065429999999</v>
      </c>
      <c r="AZ36">
        <v>1464.5889569999999</v>
      </c>
    </row>
    <row r="37" spans="1:52" x14ac:dyDescent="0.3">
      <c r="A37">
        <v>2017</v>
      </c>
      <c r="B37">
        <v>4095.8100570000001</v>
      </c>
      <c r="C37">
        <v>1136.5938719999999</v>
      </c>
      <c r="D37">
        <v>7296.0921420000004</v>
      </c>
      <c r="E37">
        <v>734.99626799999999</v>
      </c>
      <c r="F37">
        <v>253.8263541</v>
      </c>
      <c r="G37">
        <v>3289.9022030000001</v>
      </c>
      <c r="H37">
        <v>1469.4475</v>
      </c>
      <c r="I37">
        <v>450.9006579</v>
      </c>
      <c r="J37">
        <v>665.94888490000005</v>
      </c>
      <c r="K37">
        <v>1323.8148430000001</v>
      </c>
      <c r="L37">
        <v>467.07423169999998</v>
      </c>
      <c r="M37">
        <v>2169.9915040000001</v>
      </c>
      <c r="N37">
        <v>2111.0265570000001</v>
      </c>
      <c r="O37">
        <v>2444.290387</v>
      </c>
      <c r="P37">
        <v>9667.8578010000001</v>
      </c>
      <c r="R37">
        <v>3914.4184839999998</v>
      </c>
      <c r="S37">
        <v>768.52301539999996</v>
      </c>
      <c r="T37">
        <v>7230.4349119999997</v>
      </c>
      <c r="U37">
        <v>679.75507170000003</v>
      </c>
      <c r="V37">
        <v>2074.2907329999998</v>
      </c>
      <c r="W37">
        <v>855.57527059999995</v>
      </c>
      <c r="X37">
        <v>738.54994490000001</v>
      </c>
      <c r="Y37">
        <v>1633.4912159999999</v>
      </c>
      <c r="Z37">
        <v>1102.9444100000001</v>
      </c>
      <c r="AA37">
        <v>721.08504400000004</v>
      </c>
      <c r="AB37">
        <v>515.29332339999996</v>
      </c>
      <c r="AC37">
        <v>506.13729439999997</v>
      </c>
      <c r="AD37">
        <v>830.02151530000003</v>
      </c>
      <c r="AE37">
        <v>1587.611263</v>
      </c>
      <c r="AF37">
        <v>10484.908359999999</v>
      </c>
      <c r="AG37">
        <v>3035.4544329999999</v>
      </c>
      <c r="AH37">
        <v>461.41509409999998</v>
      </c>
      <c r="AI37">
        <v>5367.1146740000004</v>
      </c>
      <c r="AJ37">
        <v>517.7715723</v>
      </c>
      <c r="AK37">
        <v>1968.565398</v>
      </c>
      <c r="AL37">
        <v>772.3169891</v>
      </c>
      <c r="AM37">
        <v>1813.8074340000001</v>
      </c>
      <c r="AN37">
        <v>1361.7019720000001</v>
      </c>
      <c r="AO37">
        <v>15945.264929999999</v>
      </c>
      <c r="AP37">
        <v>496.68229489999999</v>
      </c>
      <c r="AQ37">
        <v>384.46340140000001</v>
      </c>
      <c r="AR37">
        <v>6690.9398469999996</v>
      </c>
      <c r="AT37">
        <v>1011.521216</v>
      </c>
      <c r="AU37">
        <v>1004.9065880000001</v>
      </c>
      <c r="AV37">
        <v>830.74527669999998</v>
      </c>
      <c r="AW37">
        <v>3687.7774610000001</v>
      </c>
      <c r="AX37">
        <v>746.83075289999999</v>
      </c>
      <c r="AY37">
        <v>1535.1965740000001</v>
      </c>
      <c r="AZ37">
        <v>1235.189032</v>
      </c>
    </row>
    <row r="38" spans="1:52" x14ac:dyDescent="0.3">
      <c r="A38">
        <v>2018</v>
      </c>
      <c r="B38">
        <v>3289.6439949999999</v>
      </c>
      <c r="C38">
        <v>1241.825298</v>
      </c>
      <c r="D38">
        <v>7503.8785879999996</v>
      </c>
      <c r="E38">
        <v>804.50053779999996</v>
      </c>
      <c r="F38">
        <v>238.783467</v>
      </c>
      <c r="G38">
        <v>3616.4645369999998</v>
      </c>
      <c r="H38">
        <v>1585.240534</v>
      </c>
      <c r="I38">
        <v>475.9538139</v>
      </c>
      <c r="J38">
        <v>726.15100710000002</v>
      </c>
      <c r="K38">
        <v>1428.290463</v>
      </c>
      <c r="L38">
        <v>560.80735819999995</v>
      </c>
      <c r="M38">
        <v>2606.615331</v>
      </c>
      <c r="N38">
        <v>2314.0509579999998</v>
      </c>
      <c r="O38">
        <v>2537.1251849999999</v>
      </c>
      <c r="P38">
        <v>10005.61679</v>
      </c>
      <c r="R38">
        <v>4105.8936830000002</v>
      </c>
      <c r="S38">
        <v>771.52486629999999</v>
      </c>
      <c r="T38">
        <v>7959.007267</v>
      </c>
      <c r="U38">
        <v>732.72072730000002</v>
      </c>
      <c r="V38">
        <v>2260.8605670000002</v>
      </c>
      <c r="W38">
        <v>955.11128110000004</v>
      </c>
      <c r="X38">
        <v>802.76738509999996</v>
      </c>
      <c r="Y38">
        <v>1794.091175</v>
      </c>
      <c r="Z38">
        <v>1192.48432</v>
      </c>
      <c r="AA38">
        <v>710.26599839999994</v>
      </c>
      <c r="AB38">
        <v>523.94597139999996</v>
      </c>
      <c r="AC38">
        <v>544.59343539999998</v>
      </c>
      <c r="AD38">
        <v>894.8047765</v>
      </c>
      <c r="AE38">
        <v>1670.2041650000001</v>
      </c>
      <c r="AF38">
        <v>11208.34382</v>
      </c>
      <c r="AG38">
        <v>3226.982794</v>
      </c>
      <c r="AH38">
        <v>503.31792519999999</v>
      </c>
      <c r="AI38">
        <v>5588.3928640000004</v>
      </c>
      <c r="AJ38">
        <v>570.72392200000002</v>
      </c>
      <c r="AK38">
        <v>2027.7785490000001</v>
      </c>
      <c r="AL38">
        <v>783.63716280000006</v>
      </c>
      <c r="AM38">
        <v>1953.5132570000001</v>
      </c>
      <c r="AN38">
        <v>1458.0690930000001</v>
      </c>
      <c r="AO38">
        <v>15994.81986</v>
      </c>
      <c r="AP38">
        <v>533.99153330000001</v>
      </c>
      <c r="AQ38">
        <v>389.83139549999999</v>
      </c>
      <c r="AR38">
        <v>7005.095413</v>
      </c>
      <c r="AT38">
        <v>740.74676699999998</v>
      </c>
      <c r="AU38">
        <v>1042.8387560000001</v>
      </c>
      <c r="AV38">
        <v>901.52301690000002</v>
      </c>
      <c r="AW38">
        <v>3680.892597</v>
      </c>
      <c r="AX38">
        <v>770.60078429999999</v>
      </c>
      <c r="AY38">
        <v>1516.368371</v>
      </c>
      <c r="AZ38">
        <v>1254.642265</v>
      </c>
    </row>
    <row r="39" spans="1:52" x14ac:dyDescent="0.3">
      <c r="A39">
        <v>2019</v>
      </c>
      <c r="B39">
        <v>2809.626088</v>
      </c>
      <c r="C39">
        <v>1219.515506</v>
      </c>
      <c r="D39">
        <v>7203.0642209999996</v>
      </c>
      <c r="E39">
        <v>796.11520680000001</v>
      </c>
      <c r="F39">
        <v>228.2135892</v>
      </c>
      <c r="G39">
        <v>3603.7752409999998</v>
      </c>
      <c r="H39">
        <v>1533.0956880000001</v>
      </c>
      <c r="I39">
        <v>467.9080323</v>
      </c>
      <c r="J39">
        <v>709.54004320000001</v>
      </c>
      <c r="K39">
        <v>1401.542312</v>
      </c>
      <c r="L39">
        <v>580.71687059999999</v>
      </c>
      <c r="M39">
        <v>2369.7294940000002</v>
      </c>
      <c r="N39">
        <v>2276.332394</v>
      </c>
      <c r="O39">
        <v>3019.092283</v>
      </c>
      <c r="P39">
        <v>8419.9333360000001</v>
      </c>
      <c r="R39">
        <v>3915.6434669999999</v>
      </c>
      <c r="S39">
        <v>855.76088519999996</v>
      </c>
      <c r="T39">
        <v>7766.9965540000003</v>
      </c>
      <c r="U39">
        <v>772.04591419999997</v>
      </c>
      <c r="V39">
        <v>2246.6255780000001</v>
      </c>
      <c r="W39">
        <v>1058.143368</v>
      </c>
      <c r="X39">
        <v>749.45374700000002</v>
      </c>
      <c r="Y39">
        <v>1912.6478669999999</v>
      </c>
      <c r="Z39">
        <v>1113.3721399999999</v>
      </c>
      <c r="AA39">
        <v>672.34049919999995</v>
      </c>
      <c r="AB39">
        <v>522.98952429999997</v>
      </c>
      <c r="AC39">
        <v>591.84638959999995</v>
      </c>
      <c r="AD39">
        <v>879.0431873</v>
      </c>
      <c r="AE39">
        <v>1743.302901</v>
      </c>
      <c r="AF39">
        <v>11097.16898</v>
      </c>
      <c r="AG39">
        <v>3235.0006600000002</v>
      </c>
      <c r="AH39">
        <v>506.64163910000002</v>
      </c>
      <c r="AI39">
        <v>5009.6859039999999</v>
      </c>
      <c r="AJ39">
        <v>554.09938929999998</v>
      </c>
      <c r="AK39">
        <v>2229.8586519999999</v>
      </c>
      <c r="AL39">
        <v>820.14928859999998</v>
      </c>
      <c r="AM39">
        <v>1987.579702</v>
      </c>
      <c r="AN39">
        <v>1430.1482590000001</v>
      </c>
      <c r="AO39">
        <v>16213.48076</v>
      </c>
      <c r="AP39">
        <v>521.75483670000006</v>
      </c>
      <c r="AQ39">
        <v>419.3948077</v>
      </c>
      <c r="AR39">
        <v>6624.7618650000004</v>
      </c>
      <c r="AT39">
        <v>610.92786149999995</v>
      </c>
      <c r="AU39">
        <v>1085.8848599999999</v>
      </c>
      <c r="AV39">
        <v>893.35245410000005</v>
      </c>
      <c r="AW39">
        <v>3574.6540239999999</v>
      </c>
      <c r="AX39">
        <v>798.58573409999997</v>
      </c>
      <c r="AY39">
        <v>1305.001031</v>
      </c>
      <c r="AZ39">
        <v>1316.7406570000001</v>
      </c>
    </row>
    <row r="41" spans="1:52" x14ac:dyDescent="0.3">
      <c r="B41">
        <f t="shared" ref="B41:AG41" si="2">PEARSON(B2:B11,B30:B39)</f>
        <v>-0.83388910810199168</v>
      </c>
      <c r="C41">
        <f t="shared" si="2"/>
        <v>0.57363432655444802</v>
      </c>
      <c r="D41" t="e">
        <f t="shared" si="2"/>
        <v>#DIV/0!</v>
      </c>
      <c r="E41">
        <f t="shared" si="2"/>
        <v>0.22590368307433431</v>
      </c>
      <c r="F41">
        <f t="shared" si="2"/>
        <v>0.12890097150186083</v>
      </c>
      <c r="G41">
        <f t="shared" si="2"/>
        <v>-1.0000000000000002</v>
      </c>
      <c r="H41">
        <f t="shared" si="2"/>
        <v>0.39267487382373295</v>
      </c>
      <c r="I41">
        <f t="shared" si="2"/>
        <v>-1</v>
      </c>
      <c r="J41">
        <f t="shared" si="2"/>
        <v>-0.99999999999999978</v>
      </c>
      <c r="K41" t="e">
        <f t="shared" si="2"/>
        <v>#DIV/0!</v>
      </c>
      <c r="L41">
        <f t="shared" si="2"/>
        <v>0.89023758420166876</v>
      </c>
      <c r="M41" t="e">
        <f t="shared" si="2"/>
        <v>#DIV/0!</v>
      </c>
      <c r="N41">
        <f t="shared" si="2"/>
        <v>0.88550428211698795</v>
      </c>
      <c r="O41" t="e">
        <f t="shared" si="2"/>
        <v>#DIV/0!</v>
      </c>
      <c r="P41" t="e">
        <f t="shared" si="2"/>
        <v>#DIV/0!</v>
      </c>
      <c r="Q41" t="e">
        <f t="shared" si="2"/>
        <v>#DIV/0!</v>
      </c>
      <c r="R41" t="e">
        <f t="shared" si="2"/>
        <v>#DIV/0!</v>
      </c>
      <c r="S41">
        <f t="shared" si="2"/>
        <v>0.74934882185390517</v>
      </c>
      <c r="T41">
        <f t="shared" si="2"/>
        <v>-1.0000000000000002</v>
      </c>
      <c r="U41">
        <f t="shared" si="2"/>
        <v>0.87834223378880183</v>
      </c>
      <c r="V41">
        <f t="shared" si="2"/>
        <v>0.3976242272667681</v>
      </c>
      <c r="W41">
        <f t="shared" si="2"/>
        <v>1</v>
      </c>
      <c r="X41">
        <f t="shared" si="2"/>
        <v>0.80394125315871201</v>
      </c>
      <c r="Y41">
        <f t="shared" si="2"/>
        <v>0.94492861956237184</v>
      </c>
      <c r="Z41">
        <f t="shared" si="2"/>
        <v>0.21030324869127395</v>
      </c>
      <c r="AA41">
        <f t="shared" si="2"/>
        <v>-0.75487519999797048</v>
      </c>
      <c r="AB41">
        <f t="shared" si="2"/>
        <v>0.98834960872771271</v>
      </c>
      <c r="AC41">
        <f t="shared" si="2"/>
        <v>0.36965569164567907</v>
      </c>
      <c r="AD41">
        <f t="shared" si="2"/>
        <v>0.56178273419034463</v>
      </c>
      <c r="AE41">
        <f t="shared" si="2"/>
        <v>1</v>
      </c>
      <c r="AF41">
        <f t="shared" si="2"/>
        <v>0.88074203202857537</v>
      </c>
      <c r="AG41">
        <f t="shared" si="2"/>
        <v>0.12454611899628779</v>
      </c>
      <c r="AH41">
        <f t="shared" ref="AH41:AZ41" si="3">PEARSON(AH2:AH11,AH30:AH39)</f>
        <v>-0.74607615029609387</v>
      </c>
      <c r="AI41">
        <f t="shared" si="3"/>
        <v>0.54467769317436243</v>
      </c>
      <c r="AJ41">
        <f t="shared" si="3"/>
        <v>0.31194144611691155</v>
      </c>
      <c r="AK41">
        <f t="shared" si="3"/>
        <v>-0.67058193422498946</v>
      </c>
      <c r="AL41">
        <f t="shared" si="3"/>
        <v>0.84502436787865942</v>
      </c>
      <c r="AM41" t="e">
        <f t="shared" si="3"/>
        <v>#DIV/0!</v>
      </c>
      <c r="AN41">
        <f t="shared" si="3"/>
        <v>0.44502252192783698</v>
      </c>
      <c r="AO41" t="e">
        <f t="shared" si="3"/>
        <v>#DIV/0!</v>
      </c>
      <c r="AP41">
        <f t="shared" si="3"/>
        <v>-0.22532894270125312</v>
      </c>
      <c r="AQ41">
        <f t="shared" si="3"/>
        <v>0.91294108008488883</v>
      </c>
      <c r="AR41">
        <f t="shared" si="3"/>
        <v>-0.41790725353853558</v>
      </c>
      <c r="AS41" t="e">
        <f t="shared" si="3"/>
        <v>#DIV/0!</v>
      </c>
      <c r="AT41" t="e">
        <f t="shared" si="3"/>
        <v>#DIV/0!</v>
      </c>
      <c r="AU41">
        <f t="shared" si="3"/>
        <v>0.80469115271877212</v>
      </c>
      <c r="AV41">
        <f t="shared" si="3"/>
        <v>0.56798296203653054</v>
      </c>
      <c r="AW41">
        <f t="shared" si="3"/>
        <v>-0.9056563436276055</v>
      </c>
      <c r="AX41">
        <f t="shared" si="3"/>
        <v>-0.5830935026538735</v>
      </c>
      <c r="AY41">
        <f t="shared" si="3"/>
        <v>-0.12177542106943227</v>
      </c>
      <c r="AZ41">
        <f t="shared" si="3"/>
        <v>0.84344386759070655</v>
      </c>
    </row>
    <row r="43" spans="1:52" x14ac:dyDescent="0.3">
      <c r="A43" t="s">
        <v>102</v>
      </c>
      <c r="B43" t="s">
        <v>107</v>
      </c>
      <c r="C43" t="s">
        <v>121</v>
      </c>
      <c r="D43" t="s">
        <v>136</v>
      </c>
      <c r="E43" t="s">
        <v>122</v>
      </c>
      <c r="F43" t="s">
        <v>119</v>
      </c>
      <c r="G43" t="s">
        <v>150</v>
      </c>
      <c r="H43" t="s">
        <v>145</v>
      </c>
      <c r="I43" t="s">
        <v>137</v>
      </c>
      <c r="J43" t="s">
        <v>332</v>
      </c>
      <c r="K43" t="s">
        <v>149</v>
      </c>
      <c r="L43" t="s">
        <v>146</v>
      </c>
      <c r="M43" t="s">
        <v>147</v>
      </c>
      <c r="N43" t="s">
        <v>144</v>
      </c>
      <c r="O43" t="s">
        <v>170</v>
      </c>
      <c r="P43" t="s">
        <v>191</v>
      </c>
      <c r="Q43" t="s">
        <v>172</v>
      </c>
      <c r="R43" t="s">
        <v>327</v>
      </c>
      <c r="S43" t="s">
        <v>175</v>
      </c>
      <c r="T43" t="s">
        <v>183</v>
      </c>
      <c r="U43" t="s">
        <v>189</v>
      </c>
      <c r="V43" t="s">
        <v>186</v>
      </c>
      <c r="W43" t="s">
        <v>188</v>
      </c>
      <c r="X43" t="s">
        <v>190</v>
      </c>
      <c r="Y43" t="s">
        <v>224</v>
      </c>
      <c r="Z43" t="s">
        <v>244</v>
      </c>
      <c r="AA43" t="s">
        <v>234</v>
      </c>
      <c r="AB43" t="s">
        <v>254</v>
      </c>
      <c r="AC43" t="s">
        <v>271</v>
      </c>
      <c r="AD43" t="s">
        <v>261</v>
      </c>
      <c r="AE43" t="s">
        <v>269</v>
      </c>
      <c r="AF43" t="s">
        <v>270</v>
      </c>
      <c r="AG43" t="s">
        <v>251</v>
      </c>
      <c r="AH43" t="s">
        <v>268</v>
      </c>
      <c r="AI43" t="s">
        <v>274</v>
      </c>
      <c r="AJ43" t="s">
        <v>276</v>
      </c>
      <c r="AK43" t="s">
        <v>277</v>
      </c>
      <c r="AL43" t="s">
        <v>306</v>
      </c>
      <c r="AM43" t="s">
        <v>322</v>
      </c>
      <c r="AN43" t="s">
        <v>310</v>
      </c>
      <c r="AO43" t="s">
        <v>329</v>
      </c>
      <c r="AP43" t="s">
        <v>313</v>
      </c>
      <c r="AQ43" t="s">
        <v>316</v>
      </c>
      <c r="AR43" t="s">
        <v>366</v>
      </c>
      <c r="AS43" t="s">
        <v>319</v>
      </c>
      <c r="AT43" t="s">
        <v>309</v>
      </c>
      <c r="AU43" t="s">
        <v>349</v>
      </c>
      <c r="AV43" t="s">
        <v>335</v>
      </c>
      <c r="AW43" t="s">
        <v>346</v>
      </c>
      <c r="AX43" t="s">
        <v>350</v>
      </c>
      <c r="AY43" t="s">
        <v>367</v>
      </c>
      <c r="AZ43" t="s">
        <v>368</v>
      </c>
    </row>
    <row r="44" spans="1:52" x14ac:dyDescent="0.3">
      <c r="A44">
        <v>2010</v>
      </c>
      <c r="B44">
        <v>34.89563751</v>
      </c>
      <c r="C44">
        <v>34.200000760000002</v>
      </c>
      <c r="D44">
        <v>52.017780299999998</v>
      </c>
      <c r="E44">
        <v>13.100000380000001</v>
      </c>
      <c r="F44">
        <v>5.3000001909999996</v>
      </c>
      <c r="G44">
        <v>81.099998470000003</v>
      </c>
      <c r="H44">
        <v>52.759555820000003</v>
      </c>
      <c r="I44">
        <v>9.8000001910000005</v>
      </c>
      <c r="J44">
        <v>6.4000000950000002</v>
      </c>
      <c r="K44">
        <v>69.807708739999995</v>
      </c>
      <c r="L44">
        <v>12.744050980000001</v>
      </c>
      <c r="M44">
        <v>39.788620000000002</v>
      </c>
      <c r="N44">
        <v>58.301467899999999</v>
      </c>
      <c r="O44">
        <v>99.394554139999997</v>
      </c>
      <c r="P44">
        <v>66.157264710000007</v>
      </c>
      <c r="Q44">
        <v>40.183120729999999</v>
      </c>
      <c r="R44">
        <v>45.552337649999998</v>
      </c>
      <c r="S44">
        <v>25.409936900000002</v>
      </c>
      <c r="T44">
        <v>89.461723329999998</v>
      </c>
      <c r="U44">
        <v>46.655277249999997</v>
      </c>
      <c r="V44">
        <v>64.199996949999999</v>
      </c>
      <c r="W44">
        <v>27.955623630000002</v>
      </c>
      <c r="X44">
        <v>6</v>
      </c>
      <c r="Y44">
        <v>19.200000760000002</v>
      </c>
      <c r="Z44">
        <v>17</v>
      </c>
      <c r="AA44">
        <v>5.1626644129999999</v>
      </c>
      <c r="AB44">
        <v>12.30000019</v>
      </c>
      <c r="AC44">
        <v>8.6999998089999995</v>
      </c>
      <c r="AD44">
        <v>26.91205025</v>
      </c>
      <c r="AE44">
        <v>33.95951462</v>
      </c>
      <c r="AF44">
        <v>99.690002440000001</v>
      </c>
      <c r="AG44">
        <v>92.671379090000002</v>
      </c>
      <c r="AH44">
        <v>18.802736280000001</v>
      </c>
      <c r="AI44">
        <v>44.610736850000002</v>
      </c>
      <c r="AJ44">
        <v>13.277492519999999</v>
      </c>
      <c r="AK44">
        <v>48</v>
      </c>
      <c r="AL44">
        <v>9.6999998089999995</v>
      </c>
      <c r="AM44">
        <v>61.372158050000003</v>
      </c>
      <c r="AN44">
        <v>56.5</v>
      </c>
      <c r="AO44">
        <v>97</v>
      </c>
      <c r="AP44">
        <v>11.462173460000001</v>
      </c>
      <c r="AQ44">
        <v>52.163345339999999</v>
      </c>
      <c r="AR44">
        <v>82.900001529999997</v>
      </c>
      <c r="AS44">
        <v>1.5</v>
      </c>
      <c r="AT44">
        <v>38.039775849999998</v>
      </c>
      <c r="AU44">
        <v>14.80000019</v>
      </c>
      <c r="AV44">
        <v>30.791744229999999</v>
      </c>
      <c r="AW44">
        <v>99.5</v>
      </c>
      <c r="AX44">
        <v>12.100000380000001</v>
      </c>
      <c r="AY44">
        <v>22</v>
      </c>
      <c r="AZ44">
        <v>38.782550809999996</v>
      </c>
    </row>
    <row r="45" spans="1:52" x14ac:dyDescent="0.3">
      <c r="A45">
        <v>2011</v>
      </c>
      <c r="B45">
        <v>34.599998470000003</v>
      </c>
      <c r="C45">
        <v>36.900001529999997</v>
      </c>
      <c r="D45">
        <v>53.240001679999999</v>
      </c>
      <c r="E45">
        <v>14.80841446</v>
      </c>
      <c r="F45">
        <v>6.1226840019999997</v>
      </c>
      <c r="G45">
        <v>82.356246949999999</v>
      </c>
      <c r="H45">
        <v>53.700000760000002</v>
      </c>
      <c r="I45">
        <v>10.246647830000001</v>
      </c>
      <c r="J45">
        <v>8.9799995419999998</v>
      </c>
      <c r="K45">
        <v>69.425804139999997</v>
      </c>
      <c r="L45">
        <v>13.3884449</v>
      </c>
      <c r="M45">
        <v>40.721691130000004</v>
      </c>
      <c r="N45">
        <v>55.799999239999998</v>
      </c>
      <c r="O45">
        <v>99.4521637</v>
      </c>
      <c r="P45">
        <v>66.099998470000003</v>
      </c>
      <c r="Q45">
        <v>41.316501619999997</v>
      </c>
      <c r="R45">
        <v>51.148006440000003</v>
      </c>
      <c r="S45">
        <v>23</v>
      </c>
      <c r="T45">
        <v>88.85956573</v>
      </c>
      <c r="U45">
        <v>48.247085570000003</v>
      </c>
      <c r="V45">
        <v>64.062561040000006</v>
      </c>
      <c r="W45">
        <v>29.27708054</v>
      </c>
      <c r="X45">
        <v>13.399911879999999</v>
      </c>
      <c r="Y45">
        <v>36.035655980000001</v>
      </c>
      <c r="Z45">
        <v>22.405441280000002</v>
      </c>
      <c r="AA45">
        <v>4.0999999049999998</v>
      </c>
      <c r="AB45">
        <v>14.30000019</v>
      </c>
      <c r="AC45">
        <v>7.5999999049999998</v>
      </c>
      <c r="AD45">
        <v>28.684453959999999</v>
      </c>
      <c r="AE45">
        <v>35.166320800000001</v>
      </c>
      <c r="AF45">
        <v>99.599998470000003</v>
      </c>
      <c r="AG45">
        <v>93.446434019999998</v>
      </c>
      <c r="AH45">
        <v>20.200000760000002</v>
      </c>
      <c r="AI45">
        <v>42.299999239999998</v>
      </c>
      <c r="AJ45">
        <v>14.30000019</v>
      </c>
      <c r="AK45">
        <v>55.900001529999997</v>
      </c>
      <c r="AL45">
        <v>10.80000019</v>
      </c>
      <c r="AM45">
        <v>62.511142730000003</v>
      </c>
      <c r="AN45">
        <v>56.5</v>
      </c>
      <c r="AO45">
        <v>98.147964479999999</v>
      </c>
      <c r="AP45">
        <v>14.19999981</v>
      </c>
      <c r="AQ45">
        <v>51.968112949999998</v>
      </c>
      <c r="AR45">
        <v>83.599998470000003</v>
      </c>
      <c r="AS45">
        <v>2.684684753</v>
      </c>
      <c r="AT45">
        <v>39.820804600000002</v>
      </c>
      <c r="AU45">
        <v>14.19999981</v>
      </c>
      <c r="AV45">
        <v>39.700000760000002</v>
      </c>
      <c r="AW45">
        <v>99.5</v>
      </c>
      <c r="AX45">
        <v>14.600000380000001</v>
      </c>
      <c r="AY45">
        <v>28.15900993</v>
      </c>
      <c r="AZ45">
        <v>36.900001529999997</v>
      </c>
    </row>
    <row r="46" spans="1:52" x14ac:dyDescent="0.3">
      <c r="A46">
        <v>2012</v>
      </c>
      <c r="B46">
        <v>37.131320950000003</v>
      </c>
      <c r="C46">
        <v>38.400001529999997</v>
      </c>
      <c r="D46">
        <v>56.018814089999999</v>
      </c>
      <c r="E46">
        <v>15.11799431</v>
      </c>
      <c r="F46">
        <v>6.5</v>
      </c>
      <c r="G46">
        <v>83.358764649999998</v>
      </c>
      <c r="H46">
        <v>55.03915405</v>
      </c>
      <c r="I46">
        <v>10.8688612</v>
      </c>
      <c r="J46">
        <v>7.8354058269999998</v>
      </c>
      <c r="K46">
        <v>69.300003050000001</v>
      </c>
      <c r="L46">
        <v>15.399999619999999</v>
      </c>
      <c r="M46">
        <v>41.599998470000003</v>
      </c>
      <c r="N46">
        <v>55.799999239999998</v>
      </c>
      <c r="O46">
        <v>99.699996949999999</v>
      </c>
      <c r="P46">
        <v>65.735946659999996</v>
      </c>
      <c r="Q46">
        <v>42.467948909999997</v>
      </c>
      <c r="R46">
        <v>54.3662262</v>
      </c>
      <c r="S46">
        <v>28.898519520000001</v>
      </c>
      <c r="T46">
        <v>89.300003050000001</v>
      </c>
      <c r="U46">
        <v>49.827930449999997</v>
      </c>
      <c r="V46">
        <v>56.509998320000001</v>
      </c>
      <c r="W46">
        <v>26.200000760000002</v>
      </c>
      <c r="X46">
        <v>14.80388546</v>
      </c>
      <c r="Y46">
        <v>37.990966800000002</v>
      </c>
      <c r="Z46">
        <v>20.559999470000001</v>
      </c>
      <c r="AA46">
        <v>9.1074724200000006</v>
      </c>
      <c r="AB46">
        <v>18.700000760000002</v>
      </c>
      <c r="AC46">
        <v>7.4000000950000002</v>
      </c>
      <c r="AD46">
        <v>25.600000380000001</v>
      </c>
      <c r="AE46">
        <v>36.362159730000002</v>
      </c>
      <c r="AF46">
        <v>99.56861877</v>
      </c>
      <c r="AG46">
        <v>94.210517879999998</v>
      </c>
      <c r="AH46">
        <v>21.23260689</v>
      </c>
      <c r="AI46">
        <v>46.631858829999999</v>
      </c>
      <c r="AJ46">
        <v>14.399999619999999</v>
      </c>
      <c r="AK46">
        <v>53.231243130000003</v>
      </c>
      <c r="AL46">
        <v>17.5</v>
      </c>
      <c r="AM46">
        <v>57.900001529999997</v>
      </c>
      <c r="AN46">
        <v>56.5</v>
      </c>
      <c r="AO46">
        <v>98.391365050000005</v>
      </c>
      <c r="AP46">
        <v>16.976510999999999</v>
      </c>
      <c r="AQ46">
        <v>51.761917109999999</v>
      </c>
      <c r="AR46">
        <v>85.300003050000001</v>
      </c>
      <c r="AS46">
        <v>3.1363611219999998</v>
      </c>
      <c r="AT46">
        <v>41.591995240000003</v>
      </c>
      <c r="AU46">
        <v>15.30000019</v>
      </c>
      <c r="AV46">
        <v>38.998062130000001</v>
      </c>
      <c r="AW46">
        <v>99.5</v>
      </c>
      <c r="AX46">
        <v>20.319271090000001</v>
      </c>
      <c r="AY46">
        <v>29.012725830000001</v>
      </c>
      <c r="AZ46">
        <v>44</v>
      </c>
    </row>
    <row r="47" spans="1:52" x14ac:dyDescent="0.3">
      <c r="A47">
        <v>2013</v>
      </c>
      <c r="B47">
        <v>38.278030399999999</v>
      </c>
      <c r="C47">
        <v>34.691219330000003</v>
      </c>
      <c r="D47">
        <v>57.991920469999997</v>
      </c>
      <c r="E47">
        <v>15.40564251</v>
      </c>
      <c r="F47">
        <v>6.9000000950000002</v>
      </c>
      <c r="G47">
        <v>84.339347840000002</v>
      </c>
      <c r="H47">
        <v>56.207813260000002</v>
      </c>
      <c r="I47">
        <v>11.46914101</v>
      </c>
      <c r="J47">
        <v>8.1265583039999996</v>
      </c>
      <c r="K47">
        <v>69.768447879999997</v>
      </c>
      <c r="L47">
        <v>14.733200070000001</v>
      </c>
      <c r="M47">
        <v>42.543972019999998</v>
      </c>
      <c r="N47">
        <v>61.362590789999999</v>
      </c>
      <c r="O47">
        <v>99.850387569999995</v>
      </c>
      <c r="P47">
        <v>65.820808409999998</v>
      </c>
      <c r="Q47">
        <v>43.63922882</v>
      </c>
      <c r="R47">
        <v>57.562515259999998</v>
      </c>
      <c r="S47">
        <v>30.671672820000001</v>
      </c>
      <c r="T47">
        <v>86.400001529999997</v>
      </c>
      <c r="U47">
        <v>51.5</v>
      </c>
      <c r="V47">
        <v>70.699996949999999</v>
      </c>
      <c r="W47">
        <v>31.975957869999998</v>
      </c>
      <c r="X47">
        <v>16.227689739999999</v>
      </c>
      <c r="Y47">
        <v>39.966106410000002</v>
      </c>
      <c r="Z47">
        <v>26.7660141</v>
      </c>
      <c r="AA47">
        <v>9.8000001910000005</v>
      </c>
      <c r="AB47">
        <v>12.899999619999999</v>
      </c>
      <c r="AC47">
        <v>9</v>
      </c>
      <c r="AD47">
        <v>32.28522873</v>
      </c>
      <c r="AE47">
        <v>37.536064150000001</v>
      </c>
      <c r="AF47">
        <v>99.480506899999995</v>
      </c>
      <c r="AG47">
        <v>97.199996949999999</v>
      </c>
      <c r="AH47">
        <v>22.420127870000002</v>
      </c>
      <c r="AI47">
        <v>47.400001529999997</v>
      </c>
      <c r="AJ47">
        <v>15.1700058</v>
      </c>
      <c r="AK47">
        <v>55.599998470000003</v>
      </c>
      <c r="AL47">
        <v>15.19999981</v>
      </c>
      <c r="AM47">
        <v>64.845077509999996</v>
      </c>
      <c r="AN47">
        <v>57</v>
      </c>
      <c r="AO47">
        <v>98</v>
      </c>
      <c r="AP47">
        <v>13.5</v>
      </c>
      <c r="AQ47">
        <v>51.533790590000002</v>
      </c>
      <c r="AR47">
        <v>85.199996949999999</v>
      </c>
      <c r="AS47">
        <v>3.607868195</v>
      </c>
      <c r="AT47">
        <v>43.343517300000002</v>
      </c>
      <c r="AU47">
        <v>16.399999619999999</v>
      </c>
      <c r="AV47">
        <v>40.831367489999998</v>
      </c>
      <c r="AW47">
        <v>99.699996949999999</v>
      </c>
      <c r="AX47">
        <v>13.899999619999999</v>
      </c>
      <c r="AY47">
        <v>29.886272429999998</v>
      </c>
      <c r="AZ47">
        <v>40.498374939999998</v>
      </c>
    </row>
    <row r="48" spans="1:52" x14ac:dyDescent="0.3">
      <c r="A48">
        <v>2014</v>
      </c>
      <c r="B48">
        <v>32</v>
      </c>
      <c r="C48">
        <v>34.099998470000003</v>
      </c>
      <c r="D48">
        <v>59.952995299999998</v>
      </c>
      <c r="E48">
        <v>19.200000760000002</v>
      </c>
      <c r="F48">
        <v>7</v>
      </c>
      <c r="G48">
        <v>85.307907099999994</v>
      </c>
      <c r="H48">
        <v>56.799999239999998</v>
      </c>
      <c r="I48">
        <v>12.05739689</v>
      </c>
      <c r="J48">
        <v>8.4056854249999997</v>
      </c>
      <c r="K48">
        <v>72.162796020000002</v>
      </c>
      <c r="L48">
        <v>13.5</v>
      </c>
      <c r="M48">
        <v>43.432121279999997</v>
      </c>
      <c r="N48">
        <v>61.900001529999997</v>
      </c>
      <c r="O48">
        <v>99.800003050000001</v>
      </c>
      <c r="P48">
        <v>65.923469539999999</v>
      </c>
      <c r="Q48">
        <v>44.828311919999997</v>
      </c>
      <c r="R48">
        <v>65</v>
      </c>
      <c r="S48">
        <v>27.200000760000002</v>
      </c>
      <c r="T48">
        <v>86.964309689999993</v>
      </c>
      <c r="U48">
        <v>52.933727259999998</v>
      </c>
      <c r="V48">
        <v>78.300003050000001</v>
      </c>
      <c r="W48">
        <v>33.353118899999998</v>
      </c>
      <c r="X48">
        <v>17.200000760000002</v>
      </c>
      <c r="Y48">
        <v>36</v>
      </c>
      <c r="Z48">
        <v>27.799999239999998</v>
      </c>
      <c r="AA48">
        <v>9.3999996190000008</v>
      </c>
      <c r="AB48">
        <v>22.23507309</v>
      </c>
      <c r="AC48">
        <v>11.899999619999999</v>
      </c>
      <c r="AD48">
        <v>34.113338470000002</v>
      </c>
      <c r="AE48">
        <v>38.799999239999998</v>
      </c>
      <c r="AF48">
        <v>99.380371089999997</v>
      </c>
      <c r="AG48">
        <v>91.599998470000003</v>
      </c>
      <c r="AH48">
        <v>24.799999239999998</v>
      </c>
      <c r="AI48">
        <v>48.728515629999997</v>
      </c>
      <c r="AJ48">
        <v>15.77054214</v>
      </c>
      <c r="AK48">
        <v>54.048229220000003</v>
      </c>
      <c r="AL48">
        <v>19.799999239999998</v>
      </c>
      <c r="AM48">
        <v>68.599998470000003</v>
      </c>
      <c r="AN48">
        <v>61</v>
      </c>
      <c r="AO48">
        <v>100</v>
      </c>
      <c r="AP48">
        <v>18.666030880000001</v>
      </c>
      <c r="AQ48">
        <v>51.293636319999997</v>
      </c>
      <c r="AR48">
        <v>85.900001529999997</v>
      </c>
      <c r="AS48">
        <v>4.0971837039999999</v>
      </c>
      <c r="AT48">
        <v>44.900001529999997</v>
      </c>
      <c r="AU48">
        <v>23.5</v>
      </c>
      <c r="AV48">
        <v>45.700000760000002</v>
      </c>
      <c r="AW48">
        <v>99.800003050000001</v>
      </c>
      <c r="AX48">
        <v>20.399999619999999</v>
      </c>
      <c r="AY48">
        <v>27.899999619999999</v>
      </c>
      <c r="AZ48">
        <v>32.299999239999998</v>
      </c>
    </row>
    <row r="49" spans="1:52" x14ac:dyDescent="0.3">
      <c r="A49">
        <v>2015</v>
      </c>
      <c r="B49">
        <v>42</v>
      </c>
      <c r="C49">
        <v>29.620000839999999</v>
      </c>
      <c r="D49">
        <v>62.130001069999999</v>
      </c>
      <c r="E49">
        <v>16.076974870000001</v>
      </c>
      <c r="F49">
        <v>8.4276523589999996</v>
      </c>
      <c r="G49">
        <v>86.357841489999998</v>
      </c>
      <c r="H49">
        <v>58.595592500000002</v>
      </c>
      <c r="I49">
        <v>12.7270298</v>
      </c>
      <c r="J49">
        <v>7.6999998090000004</v>
      </c>
      <c r="K49">
        <v>74.571983340000003</v>
      </c>
      <c r="L49">
        <v>16.14824295</v>
      </c>
      <c r="M49">
        <v>44.401649480000003</v>
      </c>
      <c r="N49">
        <v>62.599998470000003</v>
      </c>
      <c r="O49">
        <v>99.300003050000001</v>
      </c>
      <c r="P49">
        <v>66.040977479999995</v>
      </c>
      <c r="Q49">
        <v>46.032241820000003</v>
      </c>
      <c r="R49">
        <v>64.012413019999997</v>
      </c>
      <c r="S49">
        <v>29</v>
      </c>
      <c r="T49">
        <v>87.376861570000003</v>
      </c>
      <c r="U49">
        <v>54.561988829999997</v>
      </c>
      <c r="V49">
        <v>74.078842159999994</v>
      </c>
      <c r="W49">
        <v>34.745120999999997</v>
      </c>
      <c r="X49">
        <v>20.053153989999998</v>
      </c>
      <c r="Y49">
        <v>41.599998470000003</v>
      </c>
      <c r="Z49">
        <v>31.677333829999998</v>
      </c>
      <c r="AA49">
        <v>15.16173553</v>
      </c>
      <c r="AB49">
        <v>23.005933760000001</v>
      </c>
      <c r="AC49">
        <v>10.80000019</v>
      </c>
      <c r="AD49">
        <v>37.599998470000003</v>
      </c>
      <c r="AE49">
        <v>39.5</v>
      </c>
      <c r="AF49">
        <v>99.361610409999997</v>
      </c>
      <c r="AG49">
        <v>97.300003050000001</v>
      </c>
      <c r="AH49">
        <v>24</v>
      </c>
      <c r="AI49">
        <v>51.599998470000003</v>
      </c>
      <c r="AJ49">
        <v>16.600000380000001</v>
      </c>
      <c r="AK49">
        <v>52.5</v>
      </c>
      <c r="AL49">
        <v>22.799999239999998</v>
      </c>
      <c r="AM49">
        <v>67.249298100000004</v>
      </c>
      <c r="AN49">
        <v>60.5</v>
      </c>
      <c r="AO49">
        <v>100</v>
      </c>
      <c r="AP49">
        <v>19.534536360000001</v>
      </c>
      <c r="AQ49">
        <v>51.13486099</v>
      </c>
      <c r="AR49">
        <v>85.300003050000001</v>
      </c>
      <c r="AS49">
        <v>4.6013398170000004</v>
      </c>
      <c r="AT49">
        <v>46.903106690000001</v>
      </c>
      <c r="AU49">
        <v>26.170637129999999</v>
      </c>
      <c r="AV49">
        <v>44.647590639999997</v>
      </c>
      <c r="AW49">
        <v>99.900001529999997</v>
      </c>
      <c r="AX49">
        <v>18.5</v>
      </c>
      <c r="AY49">
        <v>31.100000380000001</v>
      </c>
      <c r="AZ49">
        <v>33.700000760000002</v>
      </c>
    </row>
    <row r="50" spans="1:52" x14ac:dyDescent="0.3">
      <c r="A50">
        <v>2016</v>
      </c>
      <c r="B50">
        <v>41.813129429999996</v>
      </c>
      <c r="C50">
        <v>37.09524536</v>
      </c>
      <c r="D50">
        <v>64.175056459999993</v>
      </c>
      <c r="E50">
        <v>16.64105606</v>
      </c>
      <c r="F50">
        <v>9.3484096529999992</v>
      </c>
      <c r="G50">
        <v>87.544929499999995</v>
      </c>
      <c r="H50">
        <v>59.808776860000002</v>
      </c>
      <c r="I50">
        <v>13.53381634</v>
      </c>
      <c r="J50">
        <v>9.2638473510000008</v>
      </c>
      <c r="K50">
        <v>76.993041989999995</v>
      </c>
      <c r="L50">
        <v>17.041837690000001</v>
      </c>
      <c r="M50">
        <v>45.508327479999998</v>
      </c>
      <c r="N50">
        <v>64.300003050000001</v>
      </c>
      <c r="O50">
        <v>100</v>
      </c>
      <c r="P50">
        <v>66.170356749999996</v>
      </c>
      <c r="Q50">
        <v>47.248039249999998</v>
      </c>
      <c r="R50">
        <v>63.430000309999997</v>
      </c>
      <c r="S50">
        <v>42.900001529999997</v>
      </c>
      <c r="T50">
        <v>88.203826899999996</v>
      </c>
      <c r="U50">
        <v>56.327407839999999</v>
      </c>
      <c r="V50">
        <v>79.300003050000001</v>
      </c>
      <c r="W50">
        <v>33.5</v>
      </c>
      <c r="X50">
        <v>22.968791960000001</v>
      </c>
      <c r="Y50">
        <v>53.099998470000003</v>
      </c>
      <c r="Z50">
        <v>35.07159042</v>
      </c>
      <c r="AA50">
        <v>17.700000760000002</v>
      </c>
      <c r="AB50">
        <v>22.899999619999999</v>
      </c>
      <c r="AC50">
        <v>11</v>
      </c>
      <c r="AD50">
        <v>38.789821619999998</v>
      </c>
      <c r="AE50">
        <v>41.32161713</v>
      </c>
      <c r="AF50">
        <v>99.480010989999997</v>
      </c>
      <c r="AG50">
        <v>97.800003050000001</v>
      </c>
      <c r="AH50">
        <v>26.246521000000001</v>
      </c>
      <c r="AI50">
        <v>49.700000760000002</v>
      </c>
      <c r="AJ50">
        <v>17.27152061</v>
      </c>
      <c r="AK50">
        <v>59.299999239999998</v>
      </c>
      <c r="AL50">
        <v>29.370000839999999</v>
      </c>
      <c r="AM50">
        <v>69.320518489999998</v>
      </c>
      <c r="AN50">
        <v>64.5</v>
      </c>
      <c r="AO50">
        <v>100</v>
      </c>
      <c r="AP50">
        <v>20.299999239999998</v>
      </c>
      <c r="AQ50">
        <v>51.113235469999999</v>
      </c>
      <c r="AR50">
        <v>83.900001529999997</v>
      </c>
      <c r="AS50">
        <v>5.1173677440000001</v>
      </c>
      <c r="AT50">
        <v>48.849403379999998</v>
      </c>
      <c r="AU50">
        <v>32.799999239999998</v>
      </c>
      <c r="AV50">
        <v>46.765010830000001</v>
      </c>
      <c r="AW50">
        <v>100</v>
      </c>
      <c r="AX50">
        <v>26.700000760000002</v>
      </c>
      <c r="AY50">
        <v>35.425453189999999</v>
      </c>
      <c r="AZ50">
        <v>42.56172943</v>
      </c>
    </row>
    <row r="51" spans="1:52" x14ac:dyDescent="0.3">
      <c r="A51">
        <v>2017</v>
      </c>
      <c r="B51">
        <v>43.01325989</v>
      </c>
      <c r="C51">
        <v>34.5</v>
      </c>
      <c r="D51">
        <v>67.400001529999997</v>
      </c>
      <c r="E51">
        <v>17.21404266</v>
      </c>
      <c r="F51">
        <v>9.3000001910000005</v>
      </c>
      <c r="G51">
        <v>88.690963749999995</v>
      </c>
      <c r="H51">
        <v>61.030864719999997</v>
      </c>
      <c r="I51">
        <v>14.299541469999999</v>
      </c>
      <c r="J51">
        <v>10.899999619999999</v>
      </c>
      <c r="K51">
        <v>79.423004149999997</v>
      </c>
      <c r="L51">
        <v>17.91650963</v>
      </c>
      <c r="M51">
        <v>46.573947910000001</v>
      </c>
      <c r="N51">
        <v>65.599998470000003</v>
      </c>
      <c r="O51">
        <v>100</v>
      </c>
      <c r="P51">
        <v>66.308639529999994</v>
      </c>
      <c r="Q51">
        <v>48.472743989999998</v>
      </c>
      <c r="R51">
        <v>73.5</v>
      </c>
      <c r="S51">
        <v>44.299999239999998</v>
      </c>
      <c r="T51">
        <v>86.269996640000002</v>
      </c>
      <c r="U51">
        <v>56.200000760000002</v>
      </c>
      <c r="V51">
        <v>79</v>
      </c>
      <c r="W51">
        <v>35.400001529999997</v>
      </c>
      <c r="X51">
        <v>26</v>
      </c>
      <c r="Y51">
        <v>55.976409910000001</v>
      </c>
      <c r="Z51">
        <v>33.700000760000002</v>
      </c>
      <c r="AA51">
        <v>24.200000760000002</v>
      </c>
      <c r="AB51">
        <v>24.100000380000001</v>
      </c>
      <c r="AC51">
        <v>12.69999981</v>
      </c>
      <c r="AD51">
        <v>34.77999878</v>
      </c>
      <c r="AE51">
        <v>42.900001529999997</v>
      </c>
      <c r="AF51">
        <v>99.61000061</v>
      </c>
      <c r="AG51">
        <v>100</v>
      </c>
      <c r="AH51">
        <v>24.299999239999998</v>
      </c>
      <c r="AI51">
        <v>52.5</v>
      </c>
      <c r="AJ51">
        <v>18.04952621</v>
      </c>
      <c r="AK51">
        <v>54.400001529999997</v>
      </c>
      <c r="AL51">
        <v>34.099998470000003</v>
      </c>
      <c r="AM51">
        <v>74.269996640000002</v>
      </c>
      <c r="AN51">
        <v>61.700000760000002</v>
      </c>
      <c r="AO51">
        <v>100</v>
      </c>
      <c r="AP51">
        <v>23.399999619999999</v>
      </c>
      <c r="AQ51">
        <v>52.099998470000003</v>
      </c>
      <c r="AR51">
        <v>84.400001529999997</v>
      </c>
      <c r="AS51">
        <v>4.1999998090000004</v>
      </c>
      <c r="AT51">
        <v>50.754718779999997</v>
      </c>
      <c r="AU51">
        <v>32.251174929999998</v>
      </c>
      <c r="AV51">
        <v>48</v>
      </c>
      <c r="AW51">
        <v>100</v>
      </c>
      <c r="AX51">
        <v>32.521152499999999</v>
      </c>
      <c r="AY51">
        <v>40.299999239999998</v>
      </c>
      <c r="AZ51">
        <v>44.178634639999999</v>
      </c>
    </row>
    <row r="52" spans="1:52" x14ac:dyDescent="0.3">
      <c r="A52">
        <v>2018</v>
      </c>
      <c r="B52">
        <v>45.290000919999997</v>
      </c>
      <c r="C52">
        <v>39.246917719999999</v>
      </c>
      <c r="D52">
        <v>68.229263309999993</v>
      </c>
      <c r="E52">
        <v>14.399999619999999</v>
      </c>
      <c r="F52">
        <v>10.884908680000001</v>
      </c>
      <c r="G52">
        <v>90.411750789999999</v>
      </c>
      <c r="H52">
        <v>62.200000760000002</v>
      </c>
      <c r="I52">
        <v>14.842375759999999</v>
      </c>
      <c r="J52">
        <v>10.11404037</v>
      </c>
      <c r="K52">
        <v>81.858909609999998</v>
      </c>
      <c r="L52">
        <v>18.568290709999999</v>
      </c>
      <c r="M52">
        <v>47.416675570000002</v>
      </c>
      <c r="N52">
        <v>67.147392269999997</v>
      </c>
      <c r="O52">
        <v>100</v>
      </c>
      <c r="P52">
        <v>66.452857969999997</v>
      </c>
      <c r="Q52">
        <v>49.703384399999997</v>
      </c>
      <c r="R52">
        <v>73.915779110000003</v>
      </c>
      <c r="S52">
        <v>44.940601350000001</v>
      </c>
      <c r="T52">
        <v>89.881515500000006</v>
      </c>
      <c r="U52">
        <v>60.299999239999998</v>
      </c>
      <c r="V52">
        <v>80.400001529999997</v>
      </c>
      <c r="W52">
        <v>45</v>
      </c>
      <c r="X52">
        <v>28.49505615</v>
      </c>
      <c r="Y52">
        <v>61.284572599999997</v>
      </c>
      <c r="Z52">
        <v>47</v>
      </c>
      <c r="AA52">
        <v>22.87913322</v>
      </c>
      <c r="AB52">
        <v>36.5</v>
      </c>
      <c r="AC52">
        <v>18.020000459999999</v>
      </c>
      <c r="AD52">
        <v>50.900001529999997</v>
      </c>
      <c r="AE52">
        <v>44.3121376</v>
      </c>
      <c r="AF52">
        <v>99.448844910000005</v>
      </c>
      <c r="AG52">
        <v>98.099998470000003</v>
      </c>
      <c r="AH52">
        <v>31.100000380000001</v>
      </c>
      <c r="AI52">
        <v>54.002895359999997</v>
      </c>
      <c r="AJ52">
        <v>17.600000380000001</v>
      </c>
      <c r="AK52">
        <v>56.5</v>
      </c>
      <c r="AL52">
        <v>36.968151089999999</v>
      </c>
      <c r="AM52">
        <v>71</v>
      </c>
      <c r="AN52">
        <v>66</v>
      </c>
      <c r="AO52">
        <v>100</v>
      </c>
      <c r="AP52">
        <v>26.100000380000001</v>
      </c>
      <c r="AQ52">
        <v>50.764976500000003</v>
      </c>
      <c r="AR52">
        <v>84.699996949999999</v>
      </c>
      <c r="AS52">
        <v>6.1731696129999998</v>
      </c>
      <c r="AT52">
        <v>52.447002410000003</v>
      </c>
      <c r="AU52">
        <v>35.048023219999997</v>
      </c>
      <c r="AV52">
        <v>50</v>
      </c>
      <c r="AW52">
        <v>99.800003050000001</v>
      </c>
      <c r="AX52">
        <v>41.91999817</v>
      </c>
      <c r="AY52">
        <v>40.317890169999998</v>
      </c>
      <c r="AZ52">
        <v>45.572647089999997</v>
      </c>
    </row>
    <row r="53" spans="1:52" x14ac:dyDescent="0.3">
      <c r="A53">
        <v>2019</v>
      </c>
      <c r="B53">
        <v>45.64279938</v>
      </c>
      <c r="C53">
        <v>40.328689580000002</v>
      </c>
      <c r="D53">
        <v>69.959739690000006</v>
      </c>
      <c r="E53">
        <v>18.37485504</v>
      </c>
      <c r="F53">
        <v>11.356528279999999</v>
      </c>
      <c r="G53">
        <v>91.400001529999997</v>
      </c>
      <c r="H53">
        <v>63.489879610000003</v>
      </c>
      <c r="I53">
        <v>14.30000019</v>
      </c>
      <c r="J53">
        <v>8.3999996190000008</v>
      </c>
      <c r="K53">
        <v>84.297775270000002</v>
      </c>
      <c r="L53">
        <v>19.100000380000001</v>
      </c>
      <c r="M53">
        <v>48.407474520000001</v>
      </c>
      <c r="N53">
        <v>68.459556579999997</v>
      </c>
      <c r="O53">
        <v>100</v>
      </c>
      <c r="P53">
        <v>66.600044249999996</v>
      </c>
      <c r="Q53">
        <v>50.936992650000001</v>
      </c>
      <c r="R53">
        <v>76.869438169999995</v>
      </c>
      <c r="S53">
        <v>48.063591000000002</v>
      </c>
      <c r="T53">
        <v>90.726295469999997</v>
      </c>
      <c r="U53">
        <v>62.099998470000003</v>
      </c>
      <c r="V53">
        <v>83.5</v>
      </c>
      <c r="W53">
        <v>42.200000760000002</v>
      </c>
      <c r="X53">
        <v>30.961557389999999</v>
      </c>
      <c r="Y53">
        <v>69.699996949999999</v>
      </c>
      <c r="Z53">
        <v>44.500209810000001</v>
      </c>
      <c r="AA53">
        <v>23.100000380000001</v>
      </c>
      <c r="AB53">
        <v>31.040000920000001</v>
      </c>
      <c r="AC53">
        <v>11.19999981</v>
      </c>
      <c r="AD53">
        <v>47.836277010000003</v>
      </c>
      <c r="AE53">
        <v>45.830032350000003</v>
      </c>
      <c r="AF53">
        <v>100</v>
      </c>
      <c r="AG53">
        <v>99.599998470000003</v>
      </c>
      <c r="AH53">
        <v>29.674449920000001</v>
      </c>
      <c r="AI53">
        <v>55.177089690000003</v>
      </c>
      <c r="AJ53">
        <v>18.974571229999999</v>
      </c>
      <c r="AK53">
        <v>55.400001529999997</v>
      </c>
      <c r="AL53">
        <v>40.368606569999997</v>
      </c>
      <c r="AM53">
        <v>74.967201230000001</v>
      </c>
      <c r="AN53">
        <v>70.400001529999997</v>
      </c>
      <c r="AO53">
        <v>100</v>
      </c>
      <c r="AP53">
        <v>22.700000760000002</v>
      </c>
      <c r="AQ53">
        <v>49.200000760000002</v>
      </c>
      <c r="AR53">
        <v>85</v>
      </c>
      <c r="AS53">
        <v>6.7070069309999996</v>
      </c>
      <c r="AT53">
        <v>53.962539669999998</v>
      </c>
      <c r="AU53">
        <v>37.659687040000001</v>
      </c>
      <c r="AV53">
        <v>52.363109590000001</v>
      </c>
      <c r="AW53">
        <v>100</v>
      </c>
      <c r="AX53">
        <v>41.299999239999998</v>
      </c>
      <c r="AY53">
        <v>43</v>
      </c>
      <c r="AZ53">
        <v>46.781475069999999</v>
      </c>
    </row>
    <row r="55" spans="1:52" x14ac:dyDescent="0.3">
      <c r="B55">
        <f t="shared" ref="B55:AG55" si="4">PEARSON(B2:B11,B44:B53)</f>
        <v>0.66820858533497574</v>
      </c>
      <c r="C55">
        <f t="shared" si="4"/>
        <v>0.66991659488447008</v>
      </c>
      <c r="D55" t="e">
        <f t="shared" si="4"/>
        <v>#DIV/0!</v>
      </c>
      <c r="E55">
        <f t="shared" si="4"/>
        <v>0.6539944049249794</v>
      </c>
      <c r="F55">
        <f t="shared" si="4"/>
        <v>0.18140867391764051</v>
      </c>
      <c r="G55">
        <f t="shared" si="4"/>
        <v>1.0000000000000002</v>
      </c>
      <c r="H55">
        <f t="shared" si="4"/>
        <v>0.84404055880982742</v>
      </c>
      <c r="I55">
        <f t="shared" si="4"/>
        <v>-1.0000000000000002</v>
      </c>
      <c r="J55">
        <f t="shared" si="4"/>
        <v>-1</v>
      </c>
      <c r="K55" t="e">
        <f t="shared" si="4"/>
        <v>#DIV/0!</v>
      </c>
      <c r="L55">
        <f t="shared" si="4"/>
        <v>0.79345331786752782</v>
      </c>
      <c r="M55" t="e">
        <f t="shared" si="4"/>
        <v>#DIV/0!</v>
      </c>
      <c r="N55">
        <f t="shared" si="4"/>
        <v>0.90496156259819971</v>
      </c>
      <c r="O55" t="e">
        <f t="shared" si="4"/>
        <v>#DIV/0!</v>
      </c>
      <c r="P55" t="e">
        <f t="shared" si="4"/>
        <v>#DIV/0!</v>
      </c>
      <c r="Q55" t="e">
        <f t="shared" si="4"/>
        <v>#DIV/0!</v>
      </c>
      <c r="R55" t="e">
        <f t="shared" si="4"/>
        <v>#DIV/0!</v>
      </c>
      <c r="S55">
        <f t="shared" si="4"/>
        <v>0.56533414298357498</v>
      </c>
      <c r="T55">
        <f t="shared" si="4"/>
        <v>1.0000000000000002</v>
      </c>
      <c r="U55">
        <f t="shared" si="4"/>
        <v>0.81176379412328536</v>
      </c>
      <c r="V55">
        <f t="shared" si="4"/>
        <v>0.80014806720727027</v>
      </c>
      <c r="W55">
        <f t="shared" si="4"/>
        <v>-1</v>
      </c>
      <c r="X55">
        <f t="shared" si="4"/>
        <v>0.98410734277273959</v>
      </c>
      <c r="Y55">
        <f t="shared" si="4"/>
        <v>0.92415819254123721</v>
      </c>
      <c r="Z55">
        <f t="shared" si="4"/>
        <v>-0.80254301438065301</v>
      </c>
      <c r="AA55">
        <f t="shared" si="4"/>
        <v>0.94807273726786379</v>
      </c>
      <c r="AB55">
        <f t="shared" si="4"/>
        <v>0.62386764291913899</v>
      </c>
      <c r="AC55">
        <f t="shared" si="4"/>
        <v>0.61596664106372379</v>
      </c>
      <c r="AD55">
        <f t="shared" si="4"/>
        <v>0.72123434679163256</v>
      </c>
      <c r="AE55">
        <f t="shared" si="4"/>
        <v>1</v>
      </c>
      <c r="AF55">
        <f t="shared" si="4"/>
        <v>0.64399390066582562</v>
      </c>
      <c r="AG55">
        <f t="shared" si="4"/>
        <v>0.8393851395842854</v>
      </c>
      <c r="AH55">
        <f t="shared" ref="AH55:AZ55" si="5">PEARSON(AH2:AH11,AH44:AH53)</f>
        <v>0.77926395239001645</v>
      </c>
      <c r="AI55">
        <f t="shared" si="5"/>
        <v>0.99379821687133052</v>
      </c>
      <c r="AJ55">
        <f t="shared" si="5"/>
        <v>0.69247547289130384</v>
      </c>
      <c r="AK55">
        <f t="shared" si="5"/>
        <v>0.17992893864844481</v>
      </c>
      <c r="AL55">
        <f t="shared" si="5"/>
        <v>0.94565956987652988</v>
      </c>
      <c r="AM55" t="e">
        <f t="shared" si="5"/>
        <v>#DIV/0!</v>
      </c>
      <c r="AN55">
        <f t="shared" si="5"/>
        <v>0.90187969540988666</v>
      </c>
      <c r="AO55" t="e">
        <f t="shared" si="5"/>
        <v>#DIV/0!</v>
      </c>
      <c r="AP55">
        <f t="shared" si="5"/>
        <v>7.9952046531252943E-2</v>
      </c>
      <c r="AQ55">
        <f t="shared" si="5"/>
        <v>-0.92654758316300312</v>
      </c>
      <c r="AR55">
        <f t="shared" si="5"/>
        <v>-0.63639536067256186</v>
      </c>
      <c r="AS55">
        <f t="shared" si="5"/>
        <v>1.0000000000000002</v>
      </c>
      <c r="AT55" t="e">
        <f t="shared" si="5"/>
        <v>#DIV/0!</v>
      </c>
      <c r="AU55">
        <f t="shared" si="5"/>
        <v>0.9820305675855977</v>
      </c>
      <c r="AV55">
        <f t="shared" si="5"/>
        <v>0.87721114346273976</v>
      </c>
      <c r="AW55">
        <f t="shared" si="5"/>
        <v>0.80529433926856264</v>
      </c>
      <c r="AX55">
        <f t="shared" si="5"/>
        <v>0.95548732085202737</v>
      </c>
      <c r="AY55">
        <f t="shared" si="5"/>
        <v>0.75511381582210835</v>
      </c>
      <c r="AZ55">
        <f t="shared" si="5"/>
        <v>-0.30583734682093866</v>
      </c>
    </row>
    <row r="58" spans="1:52" x14ac:dyDescent="0.3">
      <c r="B58" t="s">
        <v>107</v>
      </c>
      <c r="C58" t="s">
        <v>121</v>
      </c>
      <c r="D58" t="s">
        <v>136</v>
      </c>
      <c r="E58" t="s">
        <v>122</v>
      </c>
      <c r="F58" t="s">
        <v>119</v>
      </c>
      <c r="G58" t="s">
        <v>150</v>
      </c>
      <c r="H58" t="s">
        <v>145</v>
      </c>
      <c r="I58" t="s">
        <v>137</v>
      </c>
      <c r="J58" t="s">
        <v>332</v>
      </c>
      <c r="K58" t="s">
        <v>149</v>
      </c>
      <c r="L58" t="s">
        <v>146</v>
      </c>
      <c r="M58" t="s">
        <v>147</v>
      </c>
      <c r="N58" t="s">
        <v>144</v>
      </c>
      <c r="O58" t="s">
        <v>170</v>
      </c>
      <c r="P58" t="s">
        <v>191</v>
      </c>
      <c r="Q58" t="s">
        <v>172</v>
      </c>
      <c r="R58" t="s">
        <v>327</v>
      </c>
      <c r="S58" t="s">
        <v>175</v>
      </c>
      <c r="T58" t="s">
        <v>183</v>
      </c>
      <c r="U58" t="s">
        <v>189</v>
      </c>
      <c r="V58" t="s">
        <v>186</v>
      </c>
      <c r="W58" t="s">
        <v>188</v>
      </c>
      <c r="X58" t="s">
        <v>190</v>
      </c>
      <c r="Y58" t="s">
        <v>224</v>
      </c>
      <c r="Z58" t="s">
        <v>244</v>
      </c>
      <c r="AA58" t="s">
        <v>234</v>
      </c>
      <c r="AB58" t="s">
        <v>254</v>
      </c>
      <c r="AC58" t="s">
        <v>271</v>
      </c>
      <c r="AD58" t="s">
        <v>261</v>
      </c>
      <c r="AE58" t="s">
        <v>269</v>
      </c>
      <c r="AF58" t="s">
        <v>270</v>
      </c>
      <c r="AG58" t="s">
        <v>251</v>
      </c>
      <c r="AH58" t="s">
        <v>268</v>
      </c>
      <c r="AI58" t="s">
        <v>274</v>
      </c>
      <c r="AJ58" t="s">
        <v>276</v>
      </c>
      <c r="AK58" t="s">
        <v>277</v>
      </c>
      <c r="AL58" t="s">
        <v>306</v>
      </c>
      <c r="AM58" t="s">
        <v>322</v>
      </c>
      <c r="AN58" t="s">
        <v>310</v>
      </c>
      <c r="AO58" t="s">
        <v>329</v>
      </c>
      <c r="AP58" t="s">
        <v>313</v>
      </c>
      <c r="AQ58" t="s">
        <v>316</v>
      </c>
      <c r="AR58" t="s">
        <v>366</v>
      </c>
      <c r="AS58" t="s">
        <v>319</v>
      </c>
      <c r="AT58" t="s">
        <v>309</v>
      </c>
      <c r="AU58" t="s">
        <v>349</v>
      </c>
      <c r="AV58" t="s">
        <v>335</v>
      </c>
      <c r="AW58" t="s">
        <v>346</v>
      </c>
      <c r="AX58" t="s">
        <v>350</v>
      </c>
      <c r="AY58" t="s">
        <v>367</v>
      </c>
      <c r="AZ58" t="s">
        <v>368</v>
      </c>
    </row>
    <row r="59" spans="1:52" ht="18" x14ac:dyDescent="0.3">
      <c r="A59" s="9" t="s">
        <v>454</v>
      </c>
      <c r="B59" s="10">
        <v>4.3999999999999997E-2</v>
      </c>
      <c r="C59" s="10">
        <v>1.1379999999999999</v>
      </c>
      <c r="D59" s="10">
        <v>3.6999999999999998E-2</v>
      </c>
      <c r="E59" s="10">
        <v>1.5</v>
      </c>
      <c r="F59" s="10">
        <v>0.04</v>
      </c>
      <c r="G59" s="10">
        <v>8.1000000000000003E-2</v>
      </c>
      <c r="H59" s="10">
        <v>1.621</v>
      </c>
      <c r="I59" s="10">
        <v>4.2000000000000003E-2</v>
      </c>
      <c r="J59" s="10">
        <v>5.3999999999999999E-2</v>
      </c>
      <c r="K59" s="10">
        <v>3.5000000000000003E-2</v>
      </c>
      <c r="L59" s="10">
        <v>1.528</v>
      </c>
      <c r="M59" s="10">
        <v>3.6999999999999998E-2</v>
      </c>
      <c r="N59" s="10">
        <v>3.1749999999999998</v>
      </c>
      <c r="O59" s="10">
        <v>4.8890000000000002</v>
      </c>
      <c r="P59" s="10">
        <v>7.5999999999999998E-2</v>
      </c>
      <c r="Q59" s="10">
        <v>3.5000000000000003E-2</v>
      </c>
      <c r="R59" s="10">
        <v>3.6999999999999998E-2</v>
      </c>
      <c r="S59" s="10">
        <v>11.445</v>
      </c>
      <c r="T59" s="10">
        <v>4.2000000000000003E-2</v>
      </c>
      <c r="U59" s="10">
        <v>7.4999999999999997E-2</v>
      </c>
      <c r="V59" s="10">
        <v>1.2969999999999999</v>
      </c>
      <c r="W59" s="10">
        <v>0.153</v>
      </c>
      <c r="X59" s="10">
        <v>0.33500000000000002</v>
      </c>
      <c r="Y59" s="10">
        <v>39.418999999999997</v>
      </c>
      <c r="Z59" s="10">
        <v>3.6999999999999998E-2</v>
      </c>
      <c r="AA59" s="10">
        <v>0.20100000000000001</v>
      </c>
      <c r="AB59" s="10">
        <v>2.5609999999999999</v>
      </c>
      <c r="AC59" s="10">
        <v>0.96699999999999997</v>
      </c>
      <c r="AD59" s="10">
        <v>1.571</v>
      </c>
      <c r="AE59" s="10">
        <v>8.1000000000000003E-2</v>
      </c>
      <c r="AF59" s="10">
        <v>0.502</v>
      </c>
      <c r="AG59" s="10">
        <v>15.856999999999999</v>
      </c>
      <c r="AH59" s="10">
        <v>0.17799999999999999</v>
      </c>
      <c r="AI59" s="10">
        <v>0.115</v>
      </c>
      <c r="AJ59" s="10">
        <v>0.34499999999999997</v>
      </c>
      <c r="AK59" s="10">
        <v>18.273</v>
      </c>
      <c r="AL59" s="10">
        <v>18.97</v>
      </c>
      <c r="AM59" s="10">
        <v>7.5999999999999998E-2</v>
      </c>
      <c r="AN59" s="10">
        <v>1.351</v>
      </c>
      <c r="AO59" s="10">
        <v>0.22700000000000001</v>
      </c>
      <c r="AP59" s="10">
        <v>0.85299999999999998</v>
      </c>
      <c r="AQ59" s="10">
        <v>0.89500000000000002</v>
      </c>
      <c r="AR59" s="10">
        <v>1.3919999999999999</v>
      </c>
      <c r="AS59" s="10">
        <v>0.04</v>
      </c>
      <c r="AT59" s="11"/>
      <c r="AU59" s="10">
        <v>21.847999999999999</v>
      </c>
      <c r="AV59" s="10">
        <v>1.129</v>
      </c>
      <c r="AW59" s="10">
        <v>1.8</v>
      </c>
      <c r="AX59" s="10">
        <v>14.281000000000001</v>
      </c>
      <c r="AY59" s="10">
        <v>3.3580000000000001</v>
      </c>
      <c r="AZ59" s="10">
        <v>1.2629999999999999</v>
      </c>
    </row>
    <row r="60" spans="1:52" x14ac:dyDescent="0.3">
      <c r="A60" t="s">
        <v>455</v>
      </c>
      <c r="B60">
        <v>45.64279938</v>
      </c>
      <c r="C60">
        <v>40.328689580000002</v>
      </c>
      <c r="D60">
        <v>69.959739690000006</v>
      </c>
      <c r="E60">
        <v>18.37485504</v>
      </c>
      <c r="F60">
        <v>11.356528279999999</v>
      </c>
      <c r="G60">
        <v>91.400001529999997</v>
      </c>
      <c r="H60">
        <v>63.489879610000003</v>
      </c>
      <c r="I60">
        <v>14.30000019</v>
      </c>
      <c r="J60">
        <v>8.3999996190000008</v>
      </c>
      <c r="K60">
        <v>84.297775270000002</v>
      </c>
      <c r="L60">
        <v>19.100000380000001</v>
      </c>
      <c r="M60">
        <v>48.407474520000001</v>
      </c>
      <c r="N60">
        <v>68.459556579999997</v>
      </c>
      <c r="O60">
        <v>100</v>
      </c>
      <c r="P60">
        <v>66.600044249999996</v>
      </c>
      <c r="Q60">
        <v>50.936992650000001</v>
      </c>
      <c r="R60">
        <v>76.869438169999995</v>
      </c>
      <c r="S60">
        <v>48.063591000000002</v>
      </c>
      <c r="T60">
        <v>90.726295469999997</v>
      </c>
      <c r="U60">
        <v>62.099998470000003</v>
      </c>
      <c r="V60">
        <v>83.5</v>
      </c>
      <c r="W60">
        <v>42.200000760000002</v>
      </c>
      <c r="X60">
        <v>30.961557389999999</v>
      </c>
      <c r="Y60">
        <v>69.699996949999999</v>
      </c>
      <c r="Z60">
        <v>44.500209810000001</v>
      </c>
      <c r="AA60">
        <v>23.100000380000001</v>
      </c>
      <c r="AB60">
        <v>31.040000920000001</v>
      </c>
      <c r="AC60">
        <v>11.19999981</v>
      </c>
      <c r="AD60">
        <v>47.836277010000003</v>
      </c>
      <c r="AE60">
        <v>45.830032350000003</v>
      </c>
      <c r="AF60">
        <v>100</v>
      </c>
      <c r="AG60">
        <v>99.599998470000003</v>
      </c>
      <c r="AH60">
        <v>29.674449920000001</v>
      </c>
      <c r="AI60">
        <v>55.177089690000003</v>
      </c>
      <c r="AJ60">
        <v>18.974571229999999</v>
      </c>
      <c r="AK60">
        <v>55.400001529999997</v>
      </c>
      <c r="AL60">
        <v>40.368606569999997</v>
      </c>
      <c r="AM60">
        <v>74.967201230000001</v>
      </c>
      <c r="AN60">
        <v>70.400001529999997</v>
      </c>
      <c r="AO60">
        <v>100</v>
      </c>
      <c r="AP60">
        <v>22.700000760000002</v>
      </c>
      <c r="AQ60">
        <v>49.200000760000002</v>
      </c>
      <c r="AR60">
        <v>85</v>
      </c>
      <c r="AS60">
        <v>6.7070069309999996</v>
      </c>
      <c r="AT60">
        <v>53.962539669999998</v>
      </c>
      <c r="AU60">
        <v>37.659687040000001</v>
      </c>
      <c r="AV60">
        <v>52.363109590000001</v>
      </c>
      <c r="AW60">
        <v>100</v>
      </c>
      <c r="AX60">
        <v>41.299999239999998</v>
      </c>
      <c r="AY60">
        <v>43</v>
      </c>
      <c r="AZ60">
        <v>46.781475069999999</v>
      </c>
    </row>
    <row r="63" spans="1:52" x14ac:dyDescent="0.3">
      <c r="A63" t="s">
        <v>440</v>
      </c>
      <c r="B63" t="s">
        <v>107</v>
      </c>
      <c r="C63" t="s">
        <v>121</v>
      </c>
      <c r="D63" t="s">
        <v>136</v>
      </c>
      <c r="E63" t="s">
        <v>122</v>
      </c>
      <c r="F63" t="s">
        <v>119</v>
      </c>
      <c r="G63" t="s">
        <v>150</v>
      </c>
      <c r="H63" t="s">
        <v>145</v>
      </c>
      <c r="I63" t="s">
        <v>137</v>
      </c>
      <c r="J63" t="s">
        <v>332</v>
      </c>
      <c r="K63" t="s">
        <v>149</v>
      </c>
      <c r="L63" t="s">
        <v>452</v>
      </c>
      <c r="M63" t="s">
        <v>456</v>
      </c>
      <c r="N63" t="s">
        <v>144</v>
      </c>
      <c r="O63" t="s">
        <v>371</v>
      </c>
      <c r="P63" t="s">
        <v>191</v>
      </c>
      <c r="Q63" t="s">
        <v>172</v>
      </c>
      <c r="R63" t="s">
        <v>327</v>
      </c>
      <c r="S63" t="s">
        <v>175</v>
      </c>
      <c r="T63" t="s">
        <v>183</v>
      </c>
      <c r="U63" t="s">
        <v>372</v>
      </c>
      <c r="V63" t="s">
        <v>186</v>
      </c>
      <c r="W63" t="s">
        <v>188</v>
      </c>
      <c r="X63" t="s">
        <v>373</v>
      </c>
      <c r="Y63" t="s">
        <v>224</v>
      </c>
      <c r="Z63" t="s">
        <v>244</v>
      </c>
      <c r="AA63" t="s">
        <v>234</v>
      </c>
      <c r="AB63" t="s">
        <v>254</v>
      </c>
      <c r="AC63" t="s">
        <v>271</v>
      </c>
      <c r="AD63" t="s">
        <v>261</v>
      </c>
      <c r="AE63" t="s">
        <v>269</v>
      </c>
      <c r="AF63" t="s">
        <v>270</v>
      </c>
      <c r="AG63" t="s">
        <v>251</v>
      </c>
      <c r="AH63" t="s">
        <v>268</v>
      </c>
      <c r="AI63" t="s">
        <v>274</v>
      </c>
      <c r="AJ63" t="s">
        <v>276</v>
      </c>
      <c r="AK63" t="s">
        <v>277</v>
      </c>
      <c r="AL63" t="s">
        <v>306</v>
      </c>
      <c r="AM63" s="33" t="s">
        <v>322</v>
      </c>
      <c r="AN63" t="s">
        <v>310</v>
      </c>
      <c r="AO63" t="s">
        <v>329</v>
      </c>
      <c r="AP63" t="s">
        <v>313</v>
      </c>
      <c r="AQ63" t="s">
        <v>316</v>
      </c>
      <c r="AR63" t="s">
        <v>366</v>
      </c>
      <c r="AS63" t="s">
        <v>319</v>
      </c>
      <c r="AT63" t="s">
        <v>309</v>
      </c>
      <c r="AU63" t="s">
        <v>349</v>
      </c>
      <c r="AV63" t="s">
        <v>335</v>
      </c>
      <c r="AW63" t="s">
        <v>346</v>
      </c>
      <c r="AX63" t="s">
        <v>350</v>
      </c>
      <c r="AY63" t="s">
        <v>367</v>
      </c>
      <c r="AZ63" t="s">
        <v>368</v>
      </c>
    </row>
    <row r="64" spans="1:52" x14ac:dyDescent="0.3">
      <c r="A64" t="s">
        <v>441</v>
      </c>
      <c r="B64">
        <v>7</v>
      </c>
      <c r="C64">
        <v>0</v>
      </c>
      <c r="D64">
        <v>0</v>
      </c>
      <c r="E64">
        <v>4</v>
      </c>
      <c r="F64">
        <v>1</v>
      </c>
      <c r="G64">
        <v>6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15</v>
      </c>
      <c r="P64">
        <v>0</v>
      </c>
      <c r="Q64">
        <v>0</v>
      </c>
      <c r="R64">
        <v>1</v>
      </c>
      <c r="S64">
        <v>0</v>
      </c>
      <c r="T64">
        <v>1</v>
      </c>
      <c r="U64">
        <v>2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2</v>
      </c>
      <c r="AC64">
        <v>1</v>
      </c>
      <c r="AD64">
        <v>6</v>
      </c>
      <c r="AE64">
        <v>0</v>
      </c>
      <c r="AF64">
        <v>0</v>
      </c>
      <c r="AG64">
        <v>14</v>
      </c>
      <c r="AH64">
        <v>0</v>
      </c>
      <c r="AI64">
        <v>4</v>
      </c>
      <c r="AJ64">
        <v>2</v>
      </c>
      <c r="AK64">
        <v>0</v>
      </c>
      <c r="AL64">
        <v>0</v>
      </c>
      <c r="AM64">
        <v>0</v>
      </c>
      <c r="AN64">
        <v>3</v>
      </c>
      <c r="AO64">
        <v>0</v>
      </c>
      <c r="AP64">
        <v>0</v>
      </c>
      <c r="AQ64">
        <v>0</v>
      </c>
      <c r="AR64">
        <v>2</v>
      </c>
      <c r="AS64">
        <v>0</v>
      </c>
      <c r="AT64">
        <v>2</v>
      </c>
      <c r="AU64">
        <v>0</v>
      </c>
      <c r="AV64">
        <v>0</v>
      </c>
      <c r="AW64">
        <v>2</v>
      </c>
      <c r="AX64">
        <v>15</v>
      </c>
      <c r="AY64">
        <v>0</v>
      </c>
      <c r="AZ64">
        <v>0</v>
      </c>
    </row>
    <row r="65" spans="1:52" ht="12" customHeight="1" x14ac:dyDescent="0.3">
      <c r="A65" t="s">
        <v>442</v>
      </c>
      <c r="B65">
        <v>8</v>
      </c>
      <c r="C65">
        <v>1</v>
      </c>
      <c r="D65">
        <v>0</v>
      </c>
      <c r="E65">
        <v>6</v>
      </c>
      <c r="F65">
        <v>1</v>
      </c>
      <c r="G65">
        <v>6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15</v>
      </c>
      <c r="P65">
        <v>0</v>
      </c>
      <c r="Q65">
        <v>0</v>
      </c>
      <c r="R65">
        <v>1</v>
      </c>
      <c r="S65">
        <v>0</v>
      </c>
      <c r="T65">
        <v>1</v>
      </c>
      <c r="U65">
        <v>2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2</v>
      </c>
      <c r="AC65">
        <v>2</v>
      </c>
      <c r="AD65">
        <v>10</v>
      </c>
      <c r="AE65">
        <v>0</v>
      </c>
      <c r="AF65">
        <v>0</v>
      </c>
      <c r="AG65">
        <v>14</v>
      </c>
      <c r="AH65">
        <v>1</v>
      </c>
      <c r="AI65">
        <v>7</v>
      </c>
      <c r="AJ65">
        <v>3</v>
      </c>
      <c r="AK65">
        <v>0</v>
      </c>
      <c r="AL65">
        <v>0</v>
      </c>
      <c r="AM65">
        <v>0</v>
      </c>
      <c r="AN65">
        <v>5</v>
      </c>
      <c r="AO65">
        <v>0</v>
      </c>
      <c r="AP65">
        <v>0</v>
      </c>
      <c r="AQ65">
        <v>0</v>
      </c>
      <c r="AR65">
        <v>6</v>
      </c>
      <c r="AS65">
        <v>0</v>
      </c>
      <c r="AT65">
        <v>4</v>
      </c>
      <c r="AU65">
        <v>0</v>
      </c>
      <c r="AV65">
        <v>0</v>
      </c>
      <c r="AW65">
        <v>3</v>
      </c>
      <c r="AX65">
        <v>16</v>
      </c>
      <c r="AY65">
        <v>0</v>
      </c>
      <c r="AZ65">
        <v>0</v>
      </c>
    </row>
    <row r="66" spans="1:52" ht="13.8" customHeight="1" x14ac:dyDescent="0.3">
      <c r="A66" t="s">
        <v>443</v>
      </c>
      <c r="B66">
        <v>10</v>
      </c>
      <c r="C66">
        <v>1</v>
      </c>
      <c r="D66">
        <v>2</v>
      </c>
      <c r="E66">
        <v>6</v>
      </c>
      <c r="F66">
        <v>2</v>
      </c>
      <c r="G66">
        <v>6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15</v>
      </c>
      <c r="P66">
        <v>0</v>
      </c>
      <c r="Q66">
        <v>0</v>
      </c>
      <c r="R66">
        <v>1</v>
      </c>
      <c r="S66">
        <v>1</v>
      </c>
      <c r="T66">
        <v>1</v>
      </c>
      <c r="U66">
        <v>2</v>
      </c>
      <c r="V66">
        <v>0</v>
      </c>
      <c r="W66">
        <v>1</v>
      </c>
      <c r="X66">
        <v>0</v>
      </c>
      <c r="Y66">
        <v>3</v>
      </c>
      <c r="Z66">
        <v>0</v>
      </c>
      <c r="AA66">
        <v>0</v>
      </c>
      <c r="AB66">
        <v>3</v>
      </c>
      <c r="AC66">
        <v>3</v>
      </c>
      <c r="AD66">
        <v>16</v>
      </c>
      <c r="AE66">
        <v>0</v>
      </c>
      <c r="AF66">
        <v>1</v>
      </c>
      <c r="AG66">
        <v>15</v>
      </c>
      <c r="AH66">
        <v>2</v>
      </c>
      <c r="AI66">
        <v>11</v>
      </c>
      <c r="AJ66">
        <v>4</v>
      </c>
      <c r="AK66">
        <v>15</v>
      </c>
      <c r="AL66">
        <v>0</v>
      </c>
      <c r="AM66">
        <v>0</v>
      </c>
      <c r="AN66">
        <v>6</v>
      </c>
      <c r="AO66">
        <v>0</v>
      </c>
      <c r="AP66">
        <v>0</v>
      </c>
      <c r="AQ66">
        <v>0</v>
      </c>
      <c r="AR66">
        <v>11</v>
      </c>
      <c r="AS66">
        <v>0</v>
      </c>
      <c r="AT66">
        <v>8</v>
      </c>
      <c r="AU66">
        <v>1</v>
      </c>
      <c r="AV66">
        <v>0</v>
      </c>
      <c r="AW66">
        <v>6</v>
      </c>
      <c r="AX66">
        <v>17</v>
      </c>
      <c r="AY66">
        <v>0</v>
      </c>
      <c r="AZ66">
        <v>1</v>
      </c>
    </row>
    <row r="67" spans="1:52" x14ac:dyDescent="0.3">
      <c r="A67" t="s">
        <v>444</v>
      </c>
      <c r="B67">
        <v>11</v>
      </c>
      <c r="C67">
        <v>1</v>
      </c>
      <c r="D67">
        <v>2</v>
      </c>
      <c r="E67">
        <v>6</v>
      </c>
      <c r="F67">
        <v>3</v>
      </c>
      <c r="G67">
        <v>6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15</v>
      </c>
      <c r="P67">
        <v>0</v>
      </c>
      <c r="Q67">
        <v>0</v>
      </c>
      <c r="R67">
        <v>1</v>
      </c>
      <c r="S67">
        <v>3</v>
      </c>
      <c r="T67">
        <v>1</v>
      </c>
      <c r="U67">
        <v>2</v>
      </c>
      <c r="V67">
        <v>3</v>
      </c>
      <c r="W67">
        <v>3</v>
      </c>
      <c r="X67">
        <v>0</v>
      </c>
      <c r="Y67">
        <v>7</v>
      </c>
      <c r="Z67">
        <v>0</v>
      </c>
      <c r="AA67">
        <v>0</v>
      </c>
      <c r="AB67">
        <v>5</v>
      </c>
      <c r="AC67">
        <v>5</v>
      </c>
      <c r="AD67">
        <v>16</v>
      </c>
      <c r="AE67">
        <v>18</v>
      </c>
      <c r="AF67">
        <v>2</v>
      </c>
      <c r="AG67">
        <v>15</v>
      </c>
      <c r="AH67">
        <v>5</v>
      </c>
      <c r="AI67">
        <v>15</v>
      </c>
      <c r="AJ67">
        <v>5</v>
      </c>
      <c r="AK67">
        <v>15</v>
      </c>
      <c r="AL67">
        <v>1</v>
      </c>
      <c r="AM67">
        <v>0</v>
      </c>
      <c r="AN67">
        <v>7</v>
      </c>
      <c r="AO67">
        <v>0</v>
      </c>
      <c r="AP67">
        <v>0</v>
      </c>
      <c r="AQ67">
        <v>0</v>
      </c>
      <c r="AR67">
        <v>262</v>
      </c>
      <c r="AS67">
        <v>0</v>
      </c>
      <c r="AT67">
        <v>8</v>
      </c>
      <c r="AU67">
        <v>4</v>
      </c>
      <c r="AV67">
        <v>1</v>
      </c>
      <c r="AW67">
        <v>10</v>
      </c>
      <c r="AX67">
        <v>19</v>
      </c>
      <c r="AY67">
        <v>0</v>
      </c>
      <c r="AZ67">
        <v>2</v>
      </c>
    </row>
    <row r="68" spans="1:52" x14ac:dyDescent="0.3">
      <c r="A68" t="s">
        <v>445</v>
      </c>
      <c r="B68">
        <v>12</v>
      </c>
      <c r="C68">
        <v>1</v>
      </c>
      <c r="D68">
        <v>2</v>
      </c>
      <c r="E68">
        <v>7</v>
      </c>
      <c r="F68">
        <v>3</v>
      </c>
      <c r="G68">
        <v>6</v>
      </c>
      <c r="H68">
        <v>6</v>
      </c>
      <c r="I68">
        <v>0</v>
      </c>
      <c r="J68">
        <v>0</v>
      </c>
      <c r="K68">
        <v>0</v>
      </c>
      <c r="L68">
        <v>1</v>
      </c>
      <c r="M68">
        <v>0</v>
      </c>
      <c r="N68">
        <v>4</v>
      </c>
      <c r="O68">
        <v>15</v>
      </c>
      <c r="P68">
        <v>0</v>
      </c>
      <c r="Q68">
        <v>8</v>
      </c>
      <c r="R68">
        <v>1</v>
      </c>
      <c r="S68">
        <v>9</v>
      </c>
      <c r="T68">
        <v>1</v>
      </c>
      <c r="U68">
        <v>2</v>
      </c>
      <c r="V68">
        <v>5</v>
      </c>
      <c r="W68">
        <v>3</v>
      </c>
      <c r="X68">
        <v>0</v>
      </c>
      <c r="Y68">
        <v>17</v>
      </c>
      <c r="Z68">
        <v>0</v>
      </c>
      <c r="AA68">
        <v>0</v>
      </c>
      <c r="AB68">
        <v>7</v>
      </c>
      <c r="AC68">
        <v>8</v>
      </c>
      <c r="AD68">
        <v>16</v>
      </c>
      <c r="AE68">
        <v>18</v>
      </c>
      <c r="AF68">
        <v>18</v>
      </c>
      <c r="AG68">
        <v>20</v>
      </c>
      <c r="AH68">
        <v>7</v>
      </c>
      <c r="AI68">
        <v>16</v>
      </c>
      <c r="AJ68">
        <v>6</v>
      </c>
      <c r="AK68">
        <v>16</v>
      </c>
      <c r="AL68">
        <v>10</v>
      </c>
      <c r="AM68">
        <v>0</v>
      </c>
      <c r="AN68">
        <v>10</v>
      </c>
      <c r="AO68">
        <v>1</v>
      </c>
      <c r="AP68">
        <v>0</v>
      </c>
      <c r="AQ68">
        <v>0</v>
      </c>
      <c r="AR68">
        <v>1063</v>
      </c>
      <c r="AS68">
        <v>0</v>
      </c>
      <c r="AT68">
        <v>8</v>
      </c>
      <c r="AU68">
        <v>11</v>
      </c>
      <c r="AV68">
        <v>1</v>
      </c>
      <c r="AW68">
        <v>17</v>
      </c>
      <c r="AX68">
        <v>20</v>
      </c>
      <c r="AY68">
        <v>0</v>
      </c>
      <c r="AZ68">
        <v>3</v>
      </c>
    </row>
    <row r="69" spans="1:52" x14ac:dyDescent="0.3">
      <c r="A69" t="s">
        <v>446</v>
      </c>
      <c r="B69">
        <v>13</v>
      </c>
      <c r="C69">
        <v>1</v>
      </c>
      <c r="D69">
        <v>2</v>
      </c>
      <c r="E69">
        <v>8</v>
      </c>
      <c r="F69">
        <v>3</v>
      </c>
      <c r="G69">
        <v>6</v>
      </c>
      <c r="H69">
        <v>7</v>
      </c>
      <c r="I69">
        <v>0</v>
      </c>
      <c r="J69">
        <v>0</v>
      </c>
      <c r="K69">
        <v>0</v>
      </c>
      <c r="L69">
        <v>1</v>
      </c>
      <c r="M69">
        <v>0</v>
      </c>
      <c r="N69">
        <v>5</v>
      </c>
      <c r="O69">
        <v>25</v>
      </c>
      <c r="P69">
        <v>0</v>
      </c>
      <c r="Q69">
        <v>8</v>
      </c>
      <c r="R69">
        <v>1</v>
      </c>
      <c r="S69">
        <v>10</v>
      </c>
      <c r="T69">
        <v>1</v>
      </c>
      <c r="U69">
        <v>2</v>
      </c>
      <c r="V69">
        <v>30</v>
      </c>
      <c r="W69">
        <v>13</v>
      </c>
      <c r="X69">
        <v>0</v>
      </c>
      <c r="Y69">
        <v>31</v>
      </c>
      <c r="Z69">
        <v>0</v>
      </c>
      <c r="AA69">
        <v>0</v>
      </c>
      <c r="AB69">
        <v>9</v>
      </c>
      <c r="AC69">
        <v>12</v>
      </c>
      <c r="AD69">
        <v>17</v>
      </c>
      <c r="AE69">
        <v>18</v>
      </c>
      <c r="AF69">
        <v>19</v>
      </c>
      <c r="AG69">
        <v>20</v>
      </c>
      <c r="AH69">
        <v>10</v>
      </c>
      <c r="AI69">
        <v>21</v>
      </c>
      <c r="AJ69">
        <v>7</v>
      </c>
      <c r="AK69">
        <v>17</v>
      </c>
      <c r="AL69">
        <v>14</v>
      </c>
      <c r="AM69">
        <v>0</v>
      </c>
      <c r="AN69">
        <v>11</v>
      </c>
      <c r="AO69">
        <v>1</v>
      </c>
      <c r="AP69">
        <v>0</v>
      </c>
      <c r="AQ69">
        <v>0</v>
      </c>
      <c r="AR69">
        <v>1252</v>
      </c>
      <c r="AS69">
        <v>0</v>
      </c>
      <c r="AT69">
        <v>11</v>
      </c>
      <c r="AU69">
        <v>13</v>
      </c>
      <c r="AV69">
        <v>2</v>
      </c>
      <c r="AW69">
        <v>28</v>
      </c>
      <c r="AX69">
        <v>22</v>
      </c>
      <c r="AY69">
        <v>0</v>
      </c>
      <c r="AZ69">
        <v>4</v>
      </c>
    </row>
    <row r="70" spans="1:52" x14ac:dyDescent="0.3">
      <c r="A70" t="s">
        <v>447</v>
      </c>
      <c r="B70">
        <v>13</v>
      </c>
      <c r="C70">
        <v>3</v>
      </c>
      <c r="D70">
        <v>3</v>
      </c>
      <c r="E70">
        <v>10</v>
      </c>
      <c r="F70">
        <v>4</v>
      </c>
      <c r="G70">
        <v>6</v>
      </c>
      <c r="H70">
        <v>9</v>
      </c>
      <c r="I70">
        <v>0</v>
      </c>
      <c r="J70">
        <v>0</v>
      </c>
      <c r="K70">
        <v>0</v>
      </c>
      <c r="L70">
        <v>3</v>
      </c>
      <c r="M70">
        <v>0</v>
      </c>
      <c r="N70">
        <v>5</v>
      </c>
      <c r="O70">
        <v>39</v>
      </c>
      <c r="P70">
        <v>0</v>
      </c>
      <c r="Q70">
        <v>8</v>
      </c>
      <c r="R70">
        <v>1</v>
      </c>
      <c r="S70">
        <v>12</v>
      </c>
      <c r="T70">
        <v>1</v>
      </c>
      <c r="U70">
        <v>2</v>
      </c>
      <c r="V70">
        <v>34</v>
      </c>
      <c r="W70">
        <v>13</v>
      </c>
      <c r="X70">
        <v>0</v>
      </c>
      <c r="Y70">
        <v>32</v>
      </c>
      <c r="Z70">
        <v>0</v>
      </c>
      <c r="AA70">
        <v>0</v>
      </c>
      <c r="AB70">
        <v>11</v>
      </c>
      <c r="AC70">
        <v>12</v>
      </c>
      <c r="AD70">
        <v>18</v>
      </c>
      <c r="AE70">
        <v>35</v>
      </c>
      <c r="AF70">
        <v>27</v>
      </c>
      <c r="AG70">
        <v>22</v>
      </c>
      <c r="AH70">
        <v>13</v>
      </c>
      <c r="AI70">
        <v>36</v>
      </c>
      <c r="AJ70">
        <v>8</v>
      </c>
      <c r="AK70">
        <v>18</v>
      </c>
      <c r="AL70">
        <v>19</v>
      </c>
      <c r="AM70">
        <v>0</v>
      </c>
      <c r="AN70">
        <v>43</v>
      </c>
      <c r="AO70">
        <v>2</v>
      </c>
      <c r="AP70">
        <v>0</v>
      </c>
      <c r="AQ70">
        <v>5</v>
      </c>
      <c r="AR70">
        <v>1974</v>
      </c>
      <c r="AS70">
        <v>0</v>
      </c>
      <c r="AT70">
        <v>12</v>
      </c>
      <c r="AU70">
        <v>19</v>
      </c>
      <c r="AV70">
        <v>3</v>
      </c>
      <c r="AW70">
        <v>41</v>
      </c>
      <c r="AX70">
        <v>24</v>
      </c>
      <c r="AY70">
        <v>0</v>
      </c>
      <c r="AZ70">
        <v>5</v>
      </c>
    </row>
    <row r="71" spans="1:52" x14ac:dyDescent="0.3">
      <c r="A71" t="s">
        <v>448</v>
      </c>
      <c r="B71">
        <v>13</v>
      </c>
      <c r="C71">
        <v>3</v>
      </c>
      <c r="D71">
        <v>3</v>
      </c>
      <c r="E71">
        <v>47</v>
      </c>
      <c r="F71">
        <v>5</v>
      </c>
      <c r="G71">
        <v>6</v>
      </c>
      <c r="H71">
        <v>12</v>
      </c>
      <c r="I71">
        <v>0</v>
      </c>
      <c r="J71">
        <v>0</v>
      </c>
      <c r="K71">
        <v>0</v>
      </c>
      <c r="L71">
        <v>5</v>
      </c>
      <c r="M71">
        <v>1</v>
      </c>
      <c r="N71">
        <v>8</v>
      </c>
      <c r="O71">
        <v>160</v>
      </c>
      <c r="P71">
        <v>0</v>
      </c>
      <c r="Q71">
        <v>10</v>
      </c>
      <c r="R71">
        <v>1</v>
      </c>
      <c r="S71">
        <v>12</v>
      </c>
      <c r="T71">
        <v>1</v>
      </c>
      <c r="U71">
        <v>2</v>
      </c>
      <c r="V71">
        <v>39</v>
      </c>
      <c r="W71">
        <v>13</v>
      </c>
      <c r="X71">
        <v>0</v>
      </c>
      <c r="Y71">
        <v>39</v>
      </c>
      <c r="Z71">
        <v>0</v>
      </c>
      <c r="AA71">
        <v>2</v>
      </c>
      <c r="AB71">
        <v>13</v>
      </c>
      <c r="AC71">
        <v>19</v>
      </c>
      <c r="AD71">
        <v>19</v>
      </c>
      <c r="AE71">
        <v>35</v>
      </c>
      <c r="AF71">
        <v>29</v>
      </c>
      <c r="AG71">
        <v>24</v>
      </c>
      <c r="AH71">
        <v>15</v>
      </c>
      <c r="AI71">
        <v>75</v>
      </c>
      <c r="AJ71">
        <v>9</v>
      </c>
      <c r="AK71">
        <v>19</v>
      </c>
      <c r="AL71">
        <v>27</v>
      </c>
      <c r="AM71">
        <v>0</v>
      </c>
      <c r="AN71">
        <v>113</v>
      </c>
      <c r="AO71">
        <v>3</v>
      </c>
      <c r="AP71">
        <v>4</v>
      </c>
      <c r="AQ71">
        <v>7</v>
      </c>
      <c r="AR71">
        <v>3147</v>
      </c>
      <c r="AS71">
        <v>0</v>
      </c>
      <c r="AT71">
        <v>13</v>
      </c>
      <c r="AU71">
        <v>22</v>
      </c>
      <c r="AV71">
        <v>3</v>
      </c>
      <c r="AW71">
        <v>51</v>
      </c>
      <c r="AX71">
        <v>46</v>
      </c>
      <c r="AY71">
        <v>0</v>
      </c>
      <c r="AZ71">
        <v>6</v>
      </c>
    </row>
    <row r="72" spans="1:52" x14ac:dyDescent="0.3">
      <c r="A72" t="s">
        <v>449</v>
      </c>
      <c r="B72">
        <v>13</v>
      </c>
      <c r="C72">
        <v>3</v>
      </c>
      <c r="D72">
        <v>4</v>
      </c>
      <c r="E72">
        <v>62</v>
      </c>
      <c r="F72">
        <v>5</v>
      </c>
      <c r="G72">
        <v>8</v>
      </c>
      <c r="H72">
        <v>14</v>
      </c>
      <c r="I72">
        <v>0</v>
      </c>
      <c r="J72">
        <v>0</v>
      </c>
      <c r="K72">
        <v>0</v>
      </c>
      <c r="L72">
        <v>19</v>
      </c>
      <c r="M72">
        <v>1</v>
      </c>
      <c r="N72">
        <v>13</v>
      </c>
      <c r="O72">
        <v>744</v>
      </c>
      <c r="P72">
        <v>0</v>
      </c>
      <c r="Q72">
        <v>18</v>
      </c>
      <c r="R72">
        <v>1</v>
      </c>
      <c r="S72">
        <v>12</v>
      </c>
      <c r="T72">
        <v>1</v>
      </c>
      <c r="U72">
        <v>2</v>
      </c>
      <c r="V72">
        <v>63</v>
      </c>
      <c r="W72">
        <v>13</v>
      </c>
      <c r="X72">
        <v>1</v>
      </c>
      <c r="Y72">
        <v>105</v>
      </c>
      <c r="Z72">
        <v>0</v>
      </c>
      <c r="AA72">
        <v>3</v>
      </c>
      <c r="AB72">
        <v>33</v>
      </c>
      <c r="AC72">
        <v>23</v>
      </c>
      <c r="AD72">
        <v>19</v>
      </c>
      <c r="AE72">
        <v>87</v>
      </c>
      <c r="AF72">
        <v>67</v>
      </c>
      <c r="AG72">
        <v>204</v>
      </c>
      <c r="AH72">
        <v>15</v>
      </c>
      <c r="AI72">
        <v>93</v>
      </c>
      <c r="AJ72">
        <v>27</v>
      </c>
      <c r="AK72">
        <v>19</v>
      </c>
      <c r="AL72">
        <v>31</v>
      </c>
      <c r="AM72">
        <v>0</v>
      </c>
      <c r="AN72">
        <v>155</v>
      </c>
      <c r="AO72">
        <v>4</v>
      </c>
      <c r="AP72">
        <v>4</v>
      </c>
      <c r="AQ72">
        <v>7</v>
      </c>
      <c r="AR72">
        <v>4401</v>
      </c>
      <c r="AS72">
        <v>1</v>
      </c>
      <c r="AT72">
        <v>13</v>
      </c>
      <c r="AU72">
        <v>26</v>
      </c>
      <c r="AV72">
        <v>3</v>
      </c>
      <c r="AW72">
        <v>64</v>
      </c>
      <c r="AX72">
        <v>48</v>
      </c>
      <c r="AY72">
        <v>1</v>
      </c>
      <c r="AZ72">
        <v>11</v>
      </c>
    </row>
    <row r="73" spans="1:52" x14ac:dyDescent="0.3">
      <c r="A73" t="s">
        <v>450</v>
      </c>
      <c r="B73">
        <v>13</v>
      </c>
      <c r="C73">
        <v>3</v>
      </c>
      <c r="D73">
        <v>6</v>
      </c>
      <c r="E73">
        <v>62</v>
      </c>
      <c r="F73">
        <v>5</v>
      </c>
      <c r="G73">
        <v>8</v>
      </c>
      <c r="H73">
        <v>14</v>
      </c>
      <c r="I73">
        <v>0</v>
      </c>
      <c r="J73">
        <v>0</v>
      </c>
      <c r="K73">
        <v>0</v>
      </c>
      <c r="L73">
        <v>20</v>
      </c>
      <c r="M73">
        <v>1</v>
      </c>
      <c r="N73">
        <v>13</v>
      </c>
      <c r="O73">
        <v>1641</v>
      </c>
      <c r="P73">
        <v>0</v>
      </c>
      <c r="Q73">
        <v>20</v>
      </c>
      <c r="R73">
        <v>1</v>
      </c>
      <c r="S73">
        <v>12</v>
      </c>
      <c r="T73">
        <v>1</v>
      </c>
      <c r="U73">
        <v>2</v>
      </c>
      <c r="V73">
        <v>63</v>
      </c>
      <c r="W73">
        <v>13</v>
      </c>
      <c r="X73">
        <v>1</v>
      </c>
      <c r="Y73">
        <v>106</v>
      </c>
      <c r="Z73">
        <v>0</v>
      </c>
      <c r="AA73">
        <v>3</v>
      </c>
      <c r="AB73">
        <v>34</v>
      </c>
      <c r="AC73">
        <v>23</v>
      </c>
      <c r="AD73">
        <v>19</v>
      </c>
      <c r="AE73">
        <v>88</v>
      </c>
      <c r="AF73">
        <v>83</v>
      </c>
      <c r="AG73">
        <v>204</v>
      </c>
      <c r="AH73">
        <v>55</v>
      </c>
      <c r="AI73">
        <v>145</v>
      </c>
      <c r="AJ73">
        <v>27</v>
      </c>
      <c r="AK73">
        <v>28</v>
      </c>
      <c r="AL73">
        <v>31</v>
      </c>
      <c r="AM73">
        <v>0</v>
      </c>
      <c r="AN73">
        <v>155</v>
      </c>
      <c r="AO73">
        <v>4</v>
      </c>
      <c r="AP73">
        <v>4</v>
      </c>
      <c r="AQ73">
        <v>7</v>
      </c>
      <c r="AR73">
        <v>4405</v>
      </c>
      <c r="AS73">
        <v>1</v>
      </c>
      <c r="AT73">
        <v>19</v>
      </c>
      <c r="AU73">
        <v>26</v>
      </c>
      <c r="AV73">
        <v>3</v>
      </c>
      <c r="AW73">
        <v>80</v>
      </c>
      <c r="AX73">
        <v>82</v>
      </c>
      <c r="AY73">
        <v>96</v>
      </c>
      <c r="AZ73">
        <v>11</v>
      </c>
    </row>
    <row r="76" spans="1:52" x14ac:dyDescent="0.3">
      <c r="A76" t="s">
        <v>457</v>
      </c>
    </row>
    <row r="77" spans="1:52" x14ac:dyDescent="0.3">
      <c r="A77">
        <v>2010</v>
      </c>
      <c r="B77" cm="1">
        <f t="array" ref="B77:B86">B2:B11/B64:B73</f>
        <v>0</v>
      </c>
      <c r="C77" t="e" cm="1">
        <f t="array" ref="C77:C86">C2:C11/C64:C73</f>
        <v>#DIV/0!</v>
      </c>
      <c r="D77" t="e" cm="1">
        <f t="array" ref="D77:D86">D2:D11/D64:D73</f>
        <v>#DIV/0!</v>
      </c>
      <c r="E77" cm="1">
        <f t="array" ref="E77:E86">E2:E11/E64:E73</f>
        <v>1.75E-3</v>
      </c>
      <c r="F77" cm="1">
        <f t="array" ref="F77:F86">F2:F11/F64:F73</f>
        <v>0</v>
      </c>
      <c r="G77" cm="1">
        <f t="array" ref="G77:G86">G2:G11/G64:G73</f>
        <v>0</v>
      </c>
      <c r="H77" cm="1">
        <f t="array" ref="H77:H86">H2:H11/H64:H73</f>
        <v>0</v>
      </c>
      <c r="I77" t="e" cm="1">
        <f t="array" ref="I77:I86">I2:I11/I64:I73</f>
        <v>#DIV/0!</v>
      </c>
      <c r="J77" t="e" cm="1">
        <f t="array" ref="J77:J86">J2:J11/J64:J73</f>
        <v>#DIV/0!</v>
      </c>
      <c r="K77" t="e" cm="1">
        <f t="array" ref="K77:K86">K2:K11/K64:K73</f>
        <v>#DIV/0!</v>
      </c>
      <c r="L77" t="e" cm="1">
        <f t="array" ref="L77:L86">L2:L11/L64:L73</f>
        <v>#DIV/0!</v>
      </c>
      <c r="M77" t="e" cm="1">
        <f t="array" ref="M77:M86">M2:M11/M64:M73</f>
        <v>#DIV/0!</v>
      </c>
      <c r="N77" cm="1">
        <f t="array" ref="N77:N86">N2:N11/N64:N73</f>
        <v>0</v>
      </c>
      <c r="O77" cm="1">
        <f t="array" ref="O77:O86">O2:O11/O64:O73</f>
        <v>0</v>
      </c>
      <c r="P77" t="e" cm="1">
        <f t="array" ref="P77:P86">P2:P11/P64:P73</f>
        <v>#DIV/0!</v>
      </c>
      <c r="Q77" t="e" cm="1">
        <f t="array" ref="Q77:Q86">Q2:Q11/Q64:Q73</f>
        <v>#DIV/0!</v>
      </c>
      <c r="R77" cm="1">
        <f t="array" ref="R77:R86">R2:R11/R64:R73</f>
        <v>0</v>
      </c>
      <c r="S77" t="e" cm="1">
        <f t="array" ref="S77:S86">S2:S11/S64:S73</f>
        <v>#DIV/0!</v>
      </c>
      <c r="T77" cm="1">
        <f t="array" ref="T77:T86">T2:T11/T64:T73</f>
        <v>0</v>
      </c>
      <c r="U77" cm="1">
        <f t="array" ref="U77:U86">U2:U11/U64:U73</f>
        <v>0</v>
      </c>
      <c r="V77" t="e" cm="1">
        <f t="array" ref="V77:V86">V2:V11/V64:V73</f>
        <v>#DIV/0!</v>
      </c>
      <c r="W77" cm="1">
        <f t="array" ref="W77:W86">W2:W11/W64:W73</f>
        <v>0</v>
      </c>
      <c r="X77" t="e" cm="1">
        <f t="array" ref="X77:X86">X2:X11/X64:X73</f>
        <v>#DIV/0!</v>
      </c>
      <c r="Y77" t="e" cm="1">
        <f t="array" ref="Y77:Y86">Y2:Y11/Y64:Y73</f>
        <v>#DIV/0!</v>
      </c>
      <c r="Z77" t="e" cm="1">
        <f t="array" ref="Z77:Z86">Z2:Z11/Z64:Z73</f>
        <v>#DIV/0!</v>
      </c>
      <c r="AA77" t="e" cm="1">
        <f t="array" ref="AA77:AA86">AA2:AA11/AA64:AA73</f>
        <v>#DIV/0!</v>
      </c>
      <c r="AB77" cm="1">
        <f t="array" ref="AB77:AB86">AB2:AB11/AB64:AB73</f>
        <v>0</v>
      </c>
      <c r="AC77" cm="1">
        <f t="array" ref="AC77:AC86">AC2:AC11/AC64:AC73</f>
        <v>0</v>
      </c>
      <c r="AD77" cm="1">
        <f t="array" ref="AD77:AD86">AD2:AD11/AD64:AD73</f>
        <v>0</v>
      </c>
      <c r="AE77" t="e" cm="1">
        <f t="array" ref="AE77:AE86">AE2:AE11/AE64:AE73</f>
        <v>#DIV/0!</v>
      </c>
      <c r="AF77" t="e" cm="1">
        <f t="array" ref="AF77:AF86">AF2:AF11/AF64:AF73</f>
        <v>#DIV/0!</v>
      </c>
      <c r="AG77" cm="1">
        <f t="array" ref="AG77:AG86">AG2:AG11/AG64:AG73</f>
        <v>0.32735714285714285</v>
      </c>
      <c r="AH77" t="e" cm="1">
        <f t="array" ref="AH77:AH86">AH2:AH11/AH64:AH73</f>
        <v>#DIV/0!</v>
      </c>
      <c r="AI77" cm="1">
        <f t="array" ref="AI77:AI86">AI2:AI11/AI64:AI73</f>
        <v>0</v>
      </c>
      <c r="AJ77" cm="1">
        <f t="array" ref="AJ77:AJ86">AJ2:AJ11/AJ64:AJ73</f>
        <v>0</v>
      </c>
      <c r="AK77" t="e" cm="1">
        <f t="array" ref="AK77:AK86">AK2:AK11/AK64:AK73</f>
        <v>#DIV/0!</v>
      </c>
      <c r="AL77" t="e" cm="1">
        <f t="array" ref="AL77:AL86">AL2:AL11/AL64:AL73</f>
        <v>#DIV/0!</v>
      </c>
      <c r="AM77" t="e" cm="1">
        <f t="array" ref="AM77:AM86">AM2:AM11/AM64:AM73</f>
        <v>#DIV/0!</v>
      </c>
      <c r="AN77" cm="1">
        <f t="array" ref="AN77:AN86">AN2:AN11/AN64:AN73</f>
        <v>0</v>
      </c>
      <c r="AO77" t="e" cm="1">
        <f t="array" ref="AO77:AO86">AO2:AO11/AO64:AO73</f>
        <v>#DIV/0!</v>
      </c>
      <c r="AP77" t="e" cm="1">
        <f t="array" ref="AP77:AP86">AP2:AP11/AP64:AP73</f>
        <v>#DIV/0!</v>
      </c>
      <c r="AQ77" t="e" cm="1">
        <f t="array" ref="AQ77:AQ86">AQ2:AQ11/AQ64:AQ73</f>
        <v>#DIV/0!</v>
      </c>
      <c r="AR77" cm="1">
        <f t="array" ref="AR77:AR86">AR2:AR11/AR64:AR73</f>
        <v>0</v>
      </c>
      <c r="AS77" t="e" cm="1">
        <f t="array" ref="AS77:AS86">AS2:AS11/AS64:AS73</f>
        <v>#DIV/0!</v>
      </c>
      <c r="AT77" cm="1">
        <f t="array" ref="AT77:AT86">AT2:AT11/AT64:AT73</f>
        <v>0</v>
      </c>
      <c r="AU77" t="e" cm="1">
        <f t="array" ref="AU77:AU86">AU2:AU11/AU64:AU73</f>
        <v>#DIV/0!</v>
      </c>
      <c r="AV77" t="e" cm="1">
        <f t="array" ref="AV77:AV86">AV2:AV11/AV64:AV73</f>
        <v>#DIV/0!</v>
      </c>
      <c r="AW77" cm="1">
        <f t="array" ref="AW77:AW86">AW2:AW11/AW64:AW73</f>
        <v>0.65800000000000003</v>
      </c>
      <c r="AX77" cm="1">
        <f t="array" ref="AX77:AX86">AX2:AX11/AX64:AX73</f>
        <v>6.1999999999999998E-3</v>
      </c>
      <c r="AY77" t="e" cm="1">
        <f t="array" ref="AY77:AY86">AY2:AY11/AY64:AY73</f>
        <v>#DIV/0!</v>
      </c>
      <c r="AZ77" t="e" cm="1">
        <f t="array" ref="AZ77:AZ86">AZ2:AZ11/AZ64:AZ73</f>
        <v>#DIV/0!</v>
      </c>
    </row>
    <row r="78" spans="1:52" x14ac:dyDescent="0.3">
      <c r="A78">
        <v>2011</v>
      </c>
      <c r="B78">
        <v>0</v>
      </c>
      <c r="C78">
        <v>0</v>
      </c>
      <c r="D78" t="e">
        <v>#DIV/0!</v>
      </c>
      <c r="E78">
        <v>4.4999999999999997E-3</v>
      </c>
      <c r="F78">
        <v>0</v>
      </c>
      <c r="G78">
        <v>0</v>
      </c>
      <c r="H78">
        <v>0</v>
      </c>
      <c r="I78" t="e">
        <v>#DIV/0!</v>
      </c>
      <c r="J78" t="e">
        <v>#DIV/0!</v>
      </c>
      <c r="K78" t="e">
        <v>#DIV/0!</v>
      </c>
      <c r="L78" t="e">
        <v>#DIV/0!</v>
      </c>
      <c r="M78" t="e">
        <v>#DIV/0!</v>
      </c>
      <c r="N78">
        <v>0</v>
      </c>
      <c r="O78">
        <v>0</v>
      </c>
      <c r="P78" t="e">
        <v>#DIV/0!</v>
      </c>
      <c r="Q78" t="e">
        <v>#DIV/0!</v>
      </c>
      <c r="R78">
        <v>0</v>
      </c>
      <c r="S78" t="e">
        <v>#DIV/0!</v>
      </c>
      <c r="T78">
        <v>0</v>
      </c>
      <c r="U78">
        <v>0</v>
      </c>
      <c r="V78" t="e">
        <v>#DIV/0!</v>
      </c>
      <c r="W78">
        <v>0</v>
      </c>
      <c r="X78" t="e">
        <v>#DIV/0!</v>
      </c>
      <c r="Y78">
        <v>0.40799999999999997</v>
      </c>
      <c r="Z78" t="e">
        <v>#DIV/0!</v>
      </c>
      <c r="AA78" t="e">
        <v>#DIV/0!</v>
      </c>
      <c r="AB78">
        <v>0</v>
      </c>
      <c r="AC78">
        <v>2.5499999999999998E-2</v>
      </c>
      <c r="AD78">
        <v>0</v>
      </c>
      <c r="AE78" t="e">
        <v>#DIV/0!</v>
      </c>
      <c r="AF78" t="e">
        <v>#DIV/0!</v>
      </c>
      <c r="AG78">
        <v>0.32735714285714285</v>
      </c>
      <c r="AH78">
        <v>0</v>
      </c>
      <c r="AI78">
        <v>0</v>
      </c>
      <c r="AJ78">
        <v>0</v>
      </c>
      <c r="AK78" t="e">
        <v>#DIV/0!</v>
      </c>
      <c r="AL78" t="e">
        <v>#DIV/0!</v>
      </c>
      <c r="AM78" t="e">
        <v>#DIV/0!</v>
      </c>
      <c r="AN78">
        <v>0</v>
      </c>
      <c r="AO78" t="e">
        <v>#DIV/0!</v>
      </c>
      <c r="AP78" t="e">
        <v>#DIV/0!</v>
      </c>
      <c r="AQ78" t="e">
        <v>#DIV/0!</v>
      </c>
      <c r="AR78">
        <v>0</v>
      </c>
      <c r="AS78" t="e">
        <v>#DIV/0!</v>
      </c>
      <c r="AT78">
        <v>0</v>
      </c>
      <c r="AU78" t="e">
        <v>#DIV/0!</v>
      </c>
      <c r="AV78" t="e">
        <v>#DIV/0!</v>
      </c>
      <c r="AW78">
        <v>0.45</v>
      </c>
      <c r="AX78">
        <v>1.6250000000000001E-2</v>
      </c>
      <c r="AY78" t="e">
        <v>#DIV/0!</v>
      </c>
      <c r="AZ78" t="e">
        <v>#DIV/0!</v>
      </c>
    </row>
    <row r="79" spans="1:52" x14ac:dyDescent="0.3">
      <c r="A79">
        <v>2012</v>
      </c>
      <c r="B79">
        <v>0</v>
      </c>
      <c r="C79">
        <v>0</v>
      </c>
      <c r="D79">
        <v>0</v>
      </c>
      <c r="E79">
        <v>1.4666666666666666E-2</v>
      </c>
      <c r="F79">
        <v>0</v>
      </c>
      <c r="G79">
        <v>0</v>
      </c>
      <c r="H79">
        <v>0</v>
      </c>
      <c r="I79" t="e">
        <v>#DIV/0!</v>
      </c>
      <c r="J79" t="e">
        <v>#DIV/0!</v>
      </c>
      <c r="K79" t="e">
        <v>#DIV/0!</v>
      </c>
      <c r="L79" t="e">
        <v>#DIV/0!</v>
      </c>
      <c r="M79" t="e">
        <v>#DIV/0!</v>
      </c>
      <c r="N79">
        <v>0</v>
      </c>
      <c r="O79">
        <v>0</v>
      </c>
      <c r="P79" t="e">
        <v>#DIV/0!</v>
      </c>
      <c r="Q79" t="e">
        <v>#DIV/0!</v>
      </c>
      <c r="R79">
        <v>0</v>
      </c>
      <c r="S79">
        <v>0.97499999999999998</v>
      </c>
      <c r="T79">
        <v>0</v>
      </c>
      <c r="U79">
        <v>0</v>
      </c>
      <c r="V79" t="e">
        <v>#DIV/0!</v>
      </c>
      <c r="W79">
        <v>0</v>
      </c>
      <c r="X79" t="e">
        <v>#DIV/0!</v>
      </c>
      <c r="Y79">
        <v>0.51866666666666672</v>
      </c>
      <c r="Z79" t="e">
        <v>#DIV/0!</v>
      </c>
      <c r="AA79" t="e">
        <v>#DIV/0!</v>
      </c>
      <c r="AB79">
        <v>0</v>
      </c>
      <c r="AC79">
        <v>2.7E-2</v>
      </c>
      <c r="AD79">
        <v>0</v>
      </c>
      <c r="AE79" t="e">
        <v>#DIV/0!</v>
      </c>
      <c r="AF79">
        <v>8.6999999999999994E-2</v>
      </c>
      <c r="AG79">
        <v>0.30553333333333332</v>
      </c>
      <c r="AH79">
        <v>0</v>
      </c>
      <c r="AI79">
        <v>0</v>
      </c>
      <c r="AJ79">
        <v>0</v>
      </c>
      <c r="AK79">
        <v>5.7333333333333325E-3</v>
      </c>
      <c r="AL79" t="e">
        <v>#DIV/0!</v>
      </c>
      <c r="AM79" t="e">
        <v>#DIV/0!</v>
      </c>
      <c r="AN79">
        <v>0</v>
      </c>
      <c r="AO79" t="e">
        <v>#DIV/0!</v>
      </c>
      <c r="AP79" t="e">
        <v>#DIV/0!</v>
      </c>
      <c r="AQ79" t="e">
        <v>#DIV/0!</v>
      </c>
      <c r="AR79">
        <v>0</v>
      </c>
      <c r="AS79" t="e">
        <v>#DIV/0!</v>
      </c>
      <c r="AT79">
        <v>0</v>
      </c>
      <c r="AU79">
        <v>1.0309999999999999</v>
      </c>
      <c r="AV79" t="e">
        <v>#DIV/0!</v>
      </c>
      <c r="AW79">
        <v>0.24166666666666667</v>
      </c>
      <c r="AX79">
        <v>3.3117647058823529E-2</v>
      </c>
      <c r="AY79" t="e">
        <v>#DIV/0!</v>
      </c>
      <c r="AZ79">
        <v>0.89</v>
      </c>
    </row>
    <row r="80" spans="1:52" x14ac:dyDescent="0.3">
      <c r="A80">
        <v>2013</v>
      </c>
      <c r="B80">
        <v>0</v>
      </c>
      <c r="C80">
        <v>0</v>
      </c>
      <c r="D80">
        <v>0</v>
      </c>
      <c r="E80">
        <v>3.8333333333333337E-2</v>
      </c>
      <c r="F80">
        <v>3.3333333333333335E-3</v>
      </c>
      <c r="G80">
        <v>0</v>
      </c>
      <c r="H80">
        <v>0</v>
      </c>
      <c r="I80" t="e">
        <v>#DIV/0!</v>
      </c>
      <c r="J80" t="e">
        <v>#DIV/0!</v>
      </c>
      <c r="K80" t="e">
        <v>#DIV/0!</v>
      </c>
      <c r="L80" t="e">
        <v>#DIV/0!</v>
      </c>
      <c r="M80" t="e">
        <v>#DIV/0!</v>
      </c>
      <c r="N80">
        <v>0</v>
      </c>
      <c r="O80">
        <v>0</v>
      </c>
      <c r="P80" t="e">
        <v>#DIV/0!</v>
      </c>
      <c r="Q80" t="e">
        <v>#DIV/0!</v>
      </c>
      <c r="R80">
        <v>0</v>
      </c>
      <c r="S80">
        <v>1.0569999999999999</v>
      </c>
      <c r="T80">
        <v>0</v>
      </c>
      <c r="U80">
        <v>0</v>
      </c>
      <c r="V80">
        <v>4.7999999999999994E-2</v>
      </c>
      <c r="W80">
        <v>0</v>
      </c>
      <c r="X80" t="e">
        <v>#DIV/0!</v>
      </c>
      <c r="Y80">
        <v>0.72285714285714275</v>
      </c>
      <c r="Z80" t="e">
        <v>#DIV/0!</v>
      </c>
      <c r="AA80" t="e">
        <v>#DIV/0!</v>
      </c>
      <c r="AB80">
        <v>0</v>
      </c>
      <c r="AC80">
        <v>2.8799999999999999E-2</v>
      </c>
      <c r="AD80">
        <v>4.3750000000000004E-3</v>
      </c>
      <c r="AE80">
        <v>0</v>
      </c>
      <c r="AF80">
        <v>6.3E-2</v>
      </c>
      <c r="AG80">
        <v>0.30553333333333332</v>
      </c>
      <c r="AH80">
        <v>2E-3</v>
      </c>
      <c r="AI80">
        <v>0</v>
      </c>
      <c r="AJ80">
        <v>0</v>
      </c>
      <c r="AK80">
        <v>4.9866666666666663E-2</v>
      </c>
      <c r="AL80">
        <v>0.69199999999999995</v>
      </c>
      <c r="AM80" t="e">
        <v>#DIV/0!</v>
      </c>
      <c r="AN80">
        <v>7.0000000000000001E-3</v>
      </c>
      <c r="AO80" t="e">
        <v>#DIV/0!</v>
      </c>
      <c r="AP80" t="e">
        <v>#DIV/0!</v>
      </c>
      <c r="AQ80" t="e">
        <v>#DIV/0!</v>
      </c>
      <c r="AR80">
        <v>1.0114503816793894E-3</v>
      </c>
      <c r="AS80" t="e">
        <v>#DIV/0!</v>
      </c>
      <c r="AT80">
        <v>0</v>
      </c>
      <c r="AU80">
        <v>0.83850000000000002</v>
      </c>
      <c r="AV80">
        <v>0</v>
      </c>
      <c r="AW80">
        <v>0.14499999999999999</v>
      </c>
      <c r="AX80">
        <v>6.8157894736842098E-2</v>
      </c>
      <c r="AY80" t="e">
        <v>#DIV/0!</v>
      </c>
      <c r="AZ80">
        <v>0.95799999999999996</v>
      </c>
    </row>
    <row r="81" spans="1:52" x14ac:dyDescent="0.3">
      <c r="A81">
        <v>2014</v>
      </c>
      <c r="B81">
        <v>0</v>
      </c>
      <c r="C81">
        <v>0</v>
      </c>
      <c r="D81">
        <v>0</v>
      </c>
      <c r="E81">
        <v>5.8714285714285712E-2</v>
      </c>
      <c r="F81">
        <v>7.6666666666666662E-3</v>
      </c>
      <c r="G81">
        <v>0</v>
      </c>
      <c r="H81">
        <v>0</v>
      </c>
      <c r="I81" t="e">
        <v>#DIV/0!</v>
      </c>
      <c r="J81" t="e">
        <v>#DIV/0!</v>
      </c>
      <c r="K81" t="e">
        <v>#DIV/0!</v>
      </c>
      <c r="L81">
        <v>0.503</v>
      </c>
      <c r="M81" t="e">
        <v>#DIV/0!</v>
      </c>
      <c r="N81">
        <v>0</v>
      </c>
      <c r="O81">
        <v>0</v>
      </c>
      <c r="P81" t="e">
        <v>#DIV/0!</v>
      </c>
      <c r="Q81">
        <v>0</v>
      </c>
      <c r="R81">
        <v>0</v>
      </c>
      <c r="S81">
        <v>0.6226666666666667</v>
      </c>
      <c r="T81">
        <v>0</v>
      </c>
      <c r="U81">
        <v>0</v>
      </c>
      <c r="V81">
        <v>2.9199999999999997E-2</v>
      </c>
      <c r="W81">
        <v>0</v>
      </c>
      <c r="X81" t="e">
        <v>#DIV/0!</v>
      </c>
      <c r="Y81">
        <v>0.52982352941176469</v>
      </c>
      <c r="Z81" t="e">
        <v>#DIV/0!</v>
      </c>
      <c r="AA81" t="e">
        <v>#DIV/0!</v>
      </c>
      <c r="AB81">
        <v>0</v>
      </c>
      <c r="AC81">
        <v>2.7766249999999999E-2</v>
      </c>
      <c r="AD81">
        <v>8.7500000000000008E-3</v>
      </c>
      <c r="AE81">
        <v>0</v>
      </c>
      <c r="AF81">
        <v>5.944444444444444E-3</v>
      </c>
      <c r="AG81">
        <v>0.22915000000000002</v>
      </c>
      <c r="AH81">
        <v>4.4285714285714284E-3</v>
      </c>
      <c r="AI81">
        <v>0</v>
      </c>
      <c r="AJ81">
        <v>2.5000000000000001E-3</v>
      </c>
      <c r="AK81">
        <v>8.9437500000000003E-2</v>
      </c>
      <c r="AL81">
        <v>0.12350000000000001</v>
      </c>
      <c r="AM81" t="e">
        <v>#DIV/0!</v>
      </c>
      <c r="AN81">
        <v>9.7000000000000003E-3</v>
      </c>
      <c r="AO81">
        <v>0</v>
      </c>
      <c r="AP81" t="e">
        <v>#DIV/0!</v>
      </c>
      <c r="AQ81" t="e">
        <v>#DIV/0!</v>
      </c>
      <c r="AR81">
        <v>4.9858889934148638E-4</v>
      </c>
      <c r="AS81" t="e">
        <v>#DIV/0!</v>
      </c>
      <c r="AT81">
        <v>0</v>
      </c>
      <c r="AU81">
        <v>0.97490909090909095</v>
      </c>
      <c r="AV81">
        <v>0</v>
      </c>
      <c r="AW81">
        <v>8.5294117647058826E-2</v>
      </c>
      <c r="AX81">
        <v>0.10854999999999999</v>
      </c>
      <c r="AY81" t="e">
        <v>#DIV/0!</v>
      </c>
      <c r="AZ81">
        <v>0.69200000000000006</v>
      </c>
    </row>
    <row r="82" spans="1:52" x14ac:dyDescent="0.3">
      <c r="A82">
        <v>2015</v>
      </c>
      <c r="B82">
        <v>0</v>
      </c>
      <c r="C82">
        <v>6.4000000000000001E-2</v>
      </c>
      <c r="D82">
        <v>0</v>
      </c>
      <c r="E82">
        <v>7.9625000000000001E-2</v>
      </c>
      <c r="F82">
        <v>9.6666666666666672E-3</v>
      </c>
      <c r="G82">
        <v>0</v>
      </c>
      <c r="H82">
        <v>0</v>
      </c>
      <c r="I82" t="e">
        <v>#DIV/0!</v>
      </c>
      <c r="J82" t="e">
        <v>#DIV/0!</v>
      </c>
      <c r="K82" t="e">
        <v>#DIV/0!</v>
      </c>
      <c r="L82">
        <v>0.56699999999999995</v>
      </c>
      <c r="M82" t="e">
        <v>#DIV/0!</v>
      </c>
      <c r="N82">
        <v>1.0999999999999999E-2</v>
      </c>
      <c r="O82">
        <v>0</v>
      </c>
      <c r="P82" t="e">
        <v>#DIV/0!</v>
      </c>
      <c r="Q82">
        <v>0</v>
      </c>
      <c r="R82">
        <v>0</v>
      </c>
      <c r="S82">
        <v>0.63319999999999999</v>
      </c>
      <c r="T82">
        <v>0</v>
      </c>
      <c r="U82">
        <v>0</v>
      </c>
      <c r="V82">
        <v>6.633333333333334E-3</v>
      </c>
      <c r="W82">
        <v>0</v>
      </c>
      <c r="X82" t="e">
        <v>#DIV/0!</v>
      </c>
      <c r="Y82">
        <v>0.36309677419354841</v>
      </c>
      <c r="Z82" t="e">
        <v>#DIV/0!</v>
      </c>
      <c r="AA82" t="e">
        <v>#DIV/0!</v>
      </c>
      <c r="AB82">
        <v>0</v>
      </c>
      <c r="AC82">
        <v>4.7333333333333331E-2</v>
      </c>
      <c r="AD82">
        <v>1.9176470588235295E-2</v>
      </c>
      <c r="AE82">
        <v>0</v>
      </c>
      <c r="AF82">
        <v>7.0526315789473685E-3</v>
      </c>
      <c r="AG82">
        <v>0.79284999999999994</v>
      </c>
      <c r="AH82">
        <v>3.0999999999999999E-3</v>
      </c>
      <c r="AI82">
        <v>0</v>
      </c>
      <c r="AJ82">
        <v>2.142857142857143E-3</v>
      </c>
      <c r="AK82">
        <v>0.1328235294117647</v>
      </c>
      <c r="AL82">
        <v>0.12964285714285714</v>
      </c>
      <c r="AM82" t="e">
        <v>#DIV/0!</v>
      </c>
      <c r="AN82">
        <v>2.7545454545454543E-2</v>
      </c>
      <c r="AO82">
        <v>0</v>
      </c>
      <c r="AP82" t="e">
        <v>#DIV/0!</v>
      </c>
      <c r="AQ82" t="e">
        <v>#DIV/0!</v>
      </c>
      <c r="AR82">
        <v>6.8051118210862621E-4</v>
      </c>
      <c r="AS82" t="e">
        <v>#DIV/0!</v>
      </c>
      <c r="AT82">
        <v>0</v>
      </c>
      <c r="AU82">
        <v>0.93538461538461537</v>
      </c>
      <c r="AV82">
        <v>0</v>
      </c>
      <c r="AW82">
        <v>5.1785714285714282E-2</v>
      </c>
      <c r="AX82">
        <v>0.18577272727272726</v>
      </c>
      <c r="AY82" t="e">
        <v>#DIV/0!</v>
      </c>
      <c r="AZ82">
        <v>0.46525</v>
      </c>
    </row>
    <row r="83" spans="1:52" x14ac:dyDescent="0.3">
      <c r="A83">
        <v>2016</v>
      </c>
      <c r="B83">
        <v>0</v>
      </c>
      <c r="C83">
        <v>8.2000000000000003E-2</v>
      </c>
      <c r="D83">
        <v>0</v>
      </c>
      <c r="E83">
        <v>6.4700000000000008E-2</v>
      </c>
      <c r="F83">
        <v>4.7499999999999999E-3</v>
      </c>
      <c r="G83">
        <v>0</v>
      </c>
      <c r="H83">
        <v>9.888888888888888E-3</v>
      </c>
      <c r="I83" t="e">
        <v>#DIV/0!</v>
      </c>
      <c r="J83" t="e">
        <v>#DIV/0!</v>
      </c>
      <c r="K83" t="e">
        <v>#DIV/0!</v>
      </c>
      <c r="L83">
        <v>0.14833333333333334</v>
      </c>
      <c r="M83" t="e">
        <v>#DIV/0!</v>
      </c>
      <c r="N83">
        <v>2.8199999999999996E-2</v>
      </c>
      <c r="O83">
        <v>0.12535897435897436</v>
      </c>
      <c r="P83" t="e">
        <v>#DIV/0!</v>
      </c>
      <c r="Q83">
        <v>0</v>
      </c>
      <c r="R83">
        <v>0</v>
      </c>
      <c r="S83">
        <v>0.44841666666666669</v>
      </c>
      <c r="T83">
        <v>0</v>
      </c>
      <c r="U83">
        <v>1E-3</v>
      </c>
      <c r="V83">
        <v>1.1352941176470588E-2</v>
      </c>
      <c r="W83">
        <v>0</v>
      </c>
      <c r="X83" t="e">
        <v>#DIV/0!</v>
      </c>
      <c r="Y83">
        <v>0.37418750000000001</v>
      </c>
      <c r="Z83" t="e">
        <v>#DIV/0!</v>
      </c>
      <c r="AA83" t="e">
        <v>#DIV/0!</v>
      </c>
      <c r="AB83">
        <v>3.7272727272727275E-3</v>
      </c>
      <c r="AC83">
        <v>6.6833333333333342E-2</v>
      </c>
      <c r="AD83">
        <v>2.661111111111111E-2</v>
      </c>
      <c r="AE83">
        <v>0</v>
      </c>
      <c r="AF83">
        <v>8.518518518518519E-3</v>
      </c>
      <c r="AG83">
        <v>0.72077272727272723</v>
      </c>
      <c r="AH83">
        <v>6.4615384615384621E-3</v>
      </c>
      <c r="AI83">
        <v>2.7777777777777778E-4</v>
      </c>
      <c r="AJ83">
        <v>1.8749999999999999E-3</v>
      </c>
      <c r="AK83">
        <v>0.17844444444444446</v>
      </c>
      <c r="AL83">
        <v>0.36626315789473685</v>
      </c>
      <c r="AM83" t="e">
        <v>#DIV/0!</v>
      </c>
      <c r="AN83">
        <v>1.0093023255813953E-2</v>
      </c>
      <c r="AO83">
        <v>0</v>
      </c>
      <c r="AP83" t="e">
        <v>#DIV/0!</v>
      </c>
      <c r="AQ83">
        <v>4.5999999999999999E-3</v>
      </c>
      <c r="AR83">
        <v>5.7548125633232014E-4</v>
      </c>
      <c r="AS83" t="e">
        <v>#DIV/0!</v>
      </c>
      <c r="AT83">
        <v>0</v>
      </c>
      <c r="AU83">
        <v>0.91778947368421049</v>
      </c>
      <c r="AV83">
        <v>6.6666666666666664E-4</v>
      </c>
      <c r="AW83">
        <v>4.3902439024390248E-2</v>
      </c>
      <c r="AX83">
        <v>0.36466666666666669</v>
      </c>
      <c r="AY83" t="e">
        <v>#DIV/0!</v>
      </c>
      <c r="AZ83">
        <v>0.26979999999999998</v>
      </c>
    </row>
    <row r="84" spans="1:52" x14ac:dyDescent="0.3">
      <c r="A84">
        <v>2017</v>
      </c>
      <c r="B84">
        <v>7.6923076923076926E-5</v>
      </c>
      <c r="C84">
        <v>9.2333333333333337E-2</v>
      </c>
      <c r="D84">
        <v>0</v>
      </c>
      <c r="E84">
        <v>1.5042553191489361E-2</v>
      </c>
      <c r="F84">
        <v>1.2000000000000001E-3</v>
      </c>
      <c r="G84">
        <v>0</v>
      </c>
      <c r="H84">
        <v>1.1083333333333334E-2</v>
      </c>
      <c r="I84" t="e">
        <v>#DIV/0!</v>
      </c>
      <c r="J84" t="e">
        <v>#DIV/0!</v>
      </c>
      <c r="K84" t="e">
        <v>#DIV/0!</v>
      </c>
      <c r="L84">
        <v>0.15679999999999999</v>
      </c>
      <c r="M84">
        <v>0</v>
      </c>
      <c r="N84">
        <v>2.9749999999999999E-2</v>
      </c>
      <c r="O84">
        <v>3.055625E-2</v>
      </c>
      <c r="P84" t="e">
        <v>#DIV/0!</v>
      </c>
      <c r="Q84">
        <v>0</v>
      </c>
      <c r="R84">
        <v>0</v>
      </c>
      <c r="S84">
        <v>0.317</v>
      </c>
      <c r="T84">
        <v>0</v>
      </c>
      <c r="U84">
        <v>2E-3</v>
      </c>
      <c r="V84">
        <v>2.1743589743589743E-2</v>
      </c>
      <c r="W84">
        <v>0</v>
      </c>
      <c r="X84" t="e">
        <v>#DIV/0!</v>
      </c>
      <c r="Y84">
        <v>0.3880769230769231</v>
      </c>
      <c r="Z84" t="e">
        <v>#DIV/0!</v>
      </c>
      <c r="AA84">
        <v>7.9000000000000001E-2</v>
      </c>
      <c r="AB84">
        <v>0.16576923076923075</v>
      </c>
      <c r="AC84">
        <v>5.131578947368421E-2</v>
      </c>
      <c r="AD84">
        <v>4.1157894736842109E-2</v>
      </c>
      <c r="AE84">
        <v>0</v>
      </c>
      <c r="AF84">
        <v>1.0724137931034482E-2</v>
      </c>
      <c r="AG84">
        <v>0.66070833333333334</v>
      </c>
      <c r="AH84">
        <v>9.5333333333333329E-3</v>
      </c>
      <c r="AI84">
        <v>7.0666666666666664E-4</v>
      </c>
      <c r="AJ84">
        <v>7.7777777777777784E-4</v>
      </c>
      <c r="AK84">
        <v>0.45636842105263153</v>
      </c>
      <c r="AL84">
        <v>0.42911111111111111</v>
      </c>
      <c r="AM84" t="e">
        <v>#DIV/0!</v>
      </c>
      <c r="AN84">
        <v>6.407079646017699E-3</v>
      </c>
      <c r="AO84">
        <v>0</v>
      </c>
      <c r="AP84">
        <v>6.4500000000000002E-2</v>
      </c>
      <c r="AQ84">
        <v>7.4285714285714285E-3</v>
      </c>
      <c r="AR84">
        <v>5.0873848109310449E-4</v>
      </c>
      <c r="AS84" t="e">
        <v>#DIV/0!</v>
      </c>
      <c r="AT84">
        <v>0</v>
      </c>
      <c r="AU84">
        <v>0.93554545454545457</v>
      </c>
      <c r="AV84">
        <v>4.6666666666666671E-3</v>
      </c>
      <c r="AW84">
        <v>3.5294117647058823E-2</v>
      </c>
      <c r="AX84">
        <v>0.22410869565217389</v>
      </c>
      <c r="AY84" t="e">
        <v>#DIV/0!</v>
      </c>
      <c r="AZ84">
        <v>0.20050000000000001</v>
      </c>
    </row>
    <row r="85" spans="1:52" x14ac:dyDescent="0.3">
      <c r="A85">
        <v>2018</v>
      </c>
      <c r="B85">
        <v>3.8461538461538462E-4</v>
      </c>
      <c r="C85">
        <v>8.2666666666666666E-2</v>
      </c>
      <c r="D85">
        <v>0</v>
      </c>
      <c r="E85">
        <v>8.7258064516129042E-3</v>
      </c>
      <c r="F85">
        <v>1E-3</v>
      </c>
      <c r="G85">
        <v>6.2500000000000001E-4</v>
      </c>
      <c r="H85">
        <v>1.95E-2</v>
      </c>
      <c r="I85" t="e">
        <v>#DIV/0!</v>
      </c>
      <c r="J85" t="e">
        <v>#DIV/0!</v>
      </c>
      <c r="K85" t="e">
        <v>#DIV/0!</v>
      </c>
      <c r="L85">
        <v>4.1263157894736842E-2</v>
      </c>
      <c r="M85">
        <v>0</v>
      </c>
      <c r="N85">
        <v>0.15330769230769231</v>
      </c>
      <c r="O85">
        <v>6.5712365591397851E-3</v>
      </c>
      <c r="P85" t="e">
        <v>#DIV/0!</v>
      </c>
      <c r="Q85">
        <v>0</v>
      </c>
      <c r="R85">
        <v>0</v>
      </c>
      <c r="S85">
        <v>0.30066666666666669</v>
      </c>
      <c r="T85">
        <v>5.0000000000000001E-3</v>
      </c>
      <c r="U85">
        <v>4.4999999999999997E-3</v>
      </c>
      <c r="V85">
        <v>1.3888888888888888E-2</v>
      </c>
      <c r="W85">
        <v>3.8461538461538462E-4</v>
      </c>
      <c r="X85">
        <v>0.25900000000000001</v>
      </c>
      <c r="Y85">
        <v>0.23355238095238096</v>
      </c>
      <c r="Z85" t="e">
        <v>#DIV/0!</v>
      </c>
      <c r="AA85">
        <v>5.0666666666666665E-2</v>
      </c>
      <c r="AB85">
        <v>6.7545454545454547E-2</v>
      </c>
      <c r="AC85">
        <v>3.1956521739130432E-2</v>
      </c>
      <c r="AD85">
        <v>3.963157894736842E-2</v>
      </c>
      <c r="AE85">
        <v>5.747126436781609E-5</v>
      </c>
      <c r="AF85">
        <v>5.313432835820895E-3</v>
      </c>
      <c r="AG85">
        <v>7.773039215686274E-2</v>
      </c>
      <c r="AH85">
        <v>9.8666666666666659E-3</v>
      </c>
      <c r="AI85">
        <v>9.4623655913978486E-4</v>
      </c>
      <c r="AJ85">
        <v>7.407407407407407E-4</v>
      </c>
      <c r="AK85">
        <v>0.69563157894736849</v>
      </c>
      <c r="AL85">
        <v>0.60035483870967743</v>
      </c>
      <c r="AM85" t="e">
        <v>#DIV/0!</v>
      </c>
      <c r="AN85">
        <v>5.3096774193548387E-3</v>
      </c>
      <c r="AO85">
        <v>0</v>
      </c>
      <c r="AP85">
        <v>3.3500000000000002E-2</v>
      </c>
      <c r="AQ85">
        <v>6.0999999999999999E-2</v>
      </c>
      <c r="AR85">
        <v>3.1015678254942057E-4</v>
      </c>
      <c r="AS85">
        <v>5.0000000000000001E-3</v>
      </c>
      <c r="AT85">
        <v>0</v>
      </c>
      <c r="AU85">
        <v>0.9568461538461539</v>
      </c>
      <c r="AV85">
        <v>3.266666666666667E-2</v>
      </c>
      <c r="AW85">
        <v>2.8125000000000001E-2</v>
      </c>
      <c r="AX85">
        <v>0.25225000000000003</v>
      </c>
      <c r="AY85">
        <v>1.722</v>
      </c>
      <c r="AZ85">
        <v>0.12909090909090909</v>
      </c>
    </row>
    <row r="86" spans="1:52" x14ac:dyDescent="0.3">
      <c r="A86">
        <v>2019</v>
      </c>
      <c r="B86">
        <v>3.3846153846153844E-3</v>
      </c>
      <c r="C86">
        <v>0.3793333333333333</v>
      </c>
      <c r="D86">
        <v>6.1666666666666667E-3</v>
      </c>
      <c r="E86">
        <v>2.4193548387096774E-2</v>
      </c>
      <c r="F86">
        <v>8.0000000000000002E-3</v>
      </c>
      <c r="G86">
        <v>1.0125E-2</v>
      </c>
      <c r="H86">
        <v>0.11578571428571428</v>
      </c>
      <c r="I86" t="e">
        <v>#DIV/0!</v>
      </c>
      <c r="J86" t="e">
        <v>#DIV/0!</v>
      </c>
      <c r="K86" t="e">
        <v>#DIV/0!</v>
      </c>
      <c r="L86">
        <v>7.6399999999999996E-2</v>
      </c>
      <c r="M86">
        <v>3.6999999999999998E-2</v>
      </c>
      <c r="N86">
        <v>0.24423076923076922</v>
      </c>
      <c r="O86">
        <v>2.9792809262644731E-3</v>
      </c>
      <c r="P86" t="e">
        <v>#DIV/0!</v>
      </c>
      <c r="Q86">
        <v>1.7500000000000003E-3</v>
      </c>
      <c r="R86">
        <v>3.6999999999999998E-2</v>
      </c>
      <c r="S86">
        <v>0.95374999999999999</v>
      </c>
      <c r="T86">
        <v>4.2000000000000003E-2</v>
      </c>
      <c r="U86">
        <v>3.7499999999999999E-2</v>
      </c>
      <c r="V86">
        <v>2.0587301587301585E-2</v>
      </c>
      <c r="W86">
        <v>1.176923076923077E-2</v>
      </c>
      <c r="X86">
        <v>0.33500000000000002</v>
      </c>
      <c r="Y86">
        <v>0.37187735849056602</v>
      </c>
      <c r="Z86" t="e">
        <v>#DIV/0!</v>
      </c>
      <c r="AA86">
        <v>6.7000000000000004E-2</v>
      </c>
      <c r="AB86">
        <v>7.5323529411764706E-2</v>
      </c>
      <c r="AC86">
        <v>4.2043478260869564E-2</v>
      </c>
      <c r="AD86">
        <v>8.2684210526315791E-2</v>
      </c>
      <c r="AE86">
        <v>9.2045454545454548E-4</v>
      </c>
      <c r="AF86">
        <v>6.048192771084337E-3</v>
      </c>
      <c r="AG86">
        <v>7.773039215686274E-2</v>
      </c>
      <c r="AH86">
        <v>3.2363636363636362E-3</v>
      </c>
      <c r="AI86">
        <v>7.9310344827586215E-4</v>
      </c>
      <c r="AJ86">
        <v>1.2777777777777777E-2</v>
      </c>
      <c r="AK86">
        <v>0.65260714285714283</v>
      </c>
      <c r="AL86">
        <v>0.61193548387096774</v>
      </c>
      <c r="AM86" t="e">
        <v>#DIV/0!</v>
      </c>
      <c r="AN86">
        <v>8.7161290322580638E-3</v>
      </c>
      <c r="AO86">
        <v>5.6750000000000002E-2</v>
      </c>
      <c r="AP86">
        <v>0.21325</v>
      </c>
      <c r="AQ86">
        <v>0.12785714285714286</v>
      </c>
      <c r="AR86">
        <v>3.1600454029511918E-4</v>
      </c>
      <c r="AS86">
        <v>0.04</v>
      </c>
      <c r="AT86">
        <v>0</v>
      </c>
      <c r="AU86">
        <v>0.84030769230769231</v>
      </c>
      <c r="AV86">
        <v>0.37633333333333335</v>
      </c>
      <c r="AW86">
        <v>2.2499999999999999E-2</v>
      </c>
      <c r="AX86">
        <v>0.17415853658536587</v>
      </c>
      <c r="AY86">
        <v>3.4979166666666665E-2</v>
      </c>
      <c r="AZ86">
        <v>0.11481818181818181</v>
      </c>
    </row>
    <row r="90" spans="1:52" x14ac:dyDescent="0.3">
      <c r="S90" t="s">
        <v>175</v>
      </c>
      <c r="AI90" t="s">
        <v>121</v>
      </c>
    </row>
    <row r="91" spans="1:52" x14ac:dyDescent="0.3">
      <c r="AI91" t="s">
        <v>144</v>
      </c>
    </row>
    <row r="92" spans="1:52" x14ac:dyDescent="0.3">
      <c r="AI92" t="s">
        <v>175</v>
      </c>
    </row>
    <row r="93" spans="1:52" x14ac:dyDescent="0.3">
      <c r="AI93" t="s">
        <v>373</v>
      </c>
    </row>
    <row r="94" spans="1:52" x14ac:dyDescent="0.3">
      <c r="AI94" t="s">
        <v>224</v>
      </c>
    </row>
    <row r="95" spans="1:52" x14ac:dyDescent="0.3">
      <c r="AI95" t="s">
        <v>277</v>
      </c>
    </row>
    <row r="96" spans="1:52" x14ac:dyDescent="0.3">
      <c r="AI96" t="s">
        <v>306</v>
      </c>
    </row>
    <row r="97" spans="35:35" x14ac:dyDescent="0.3">
      <c r="AI97" t="s">
        <v>313</v>
      </c>
    </row>
    <row r="98" spans="35:35" x14ac:dyDescent="0.3">
      <c r="AI98" t="s">
        <v>349</v>
      </c>
    </row>
    <row r="99" spans="35:35" x14ac:dyDescent="0.3">
      <c r="AI99" t="s">
        <v>335</v>
      </c>
    </row>
  </sheetData>
  <sortState xmlns:xlrd2="http://schemas.microsoft.com/office/spreadsheetml/2017/richdata2" columnSort="1" ref="A43:AZ53">
    <sortCondition ref="A43:AZ43"/>
  </sortState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3C94F12-20F9-426F-AD1C-F8B43931D53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A87181C-1275-47C0-9200-519DB74B8F51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8546A838-71BB-4209-AD04-7388E7C2A647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Sheet5</vt:lpstr>
      <vt:lpstr>Mini-Grid data</vt:lpstr>
      <vt:lpstr>Solar lights and SHS data</vt:lpstr>
      <vt:lpstr>GDP</vt:lpstr>
      <vt:lpstr>GDP per Capita</vt:lpstr>
      <vt:lpstr>Access to electricity</vt:lpstr>
      <vt:lpstr>Analysis Mini-grid GDP</vt:lpstr>
      <vt:lpstr>Analysis SHS GDP</vt:lpstr>
      <vt:lpstr>'Access to electricity'!Criteria</vt:lpstr>
      <vt:lpstr>GDP!Criteria</vt:lpstr>
      <vt:lpstr>'GDP per Capita'!Criteria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Retattino</dc:creator>
  <cp:lastModifiedBy>AlbinAbrink</cp:lastModifiedBy>
  <dcterms:created xsi:type="dcterms:W3CDTF">2015-06-05T18:19:34Z</dcterms:created>
  <dcterms:modified xsi:type="dcterms:W3CDTF">2022-09-08T13:13:30Z</dcterms:modified>
</cp:coreProperties>
</file>