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Index" sheetId="2" r:id="rId6"/>
    <sheet state="visible" name="👑 Nations" sheetId="3" r:id="rId7"/>
    <sheet state="visible" name="👪 Families" sheetId="4" r:id="rId8"/>
    <sheet state="visible" name="🎓 Archetypes" sheetId="5" r:id="rId9"/>
    <sheet state="visible" name="👑👪🎓 Nations, Families, and A" sheetId="6" r:id="rId10"/>
    <sheet state="visible" name="💼 Jobs" sheetId="7" r:id="rId11"/>
    <sheet state="visible" name="❤️ Opinion" sheetId="8" r:id="rId12"/>
    <sheet state="hidden" name="👑Cognomens" sheetId="9" r:id="rId13"/>
    <sheet state="visible" name="👑Cognomens (Tracker)" sheetId="10" r:id="rId14"/>
    <sheet state="visible" name="🧬 Trait Inheritance" sheetId="11" r:id="rId15"/>
    <sheet state="visible" name="🎓 Study Events" sheetId="12" r:id="rId16"/>
    <sheet state="visible" name="🌾 Harvest Events" sheetId="13" r:id="rId17"/>
    <sheet state="visible" name="⛏️ Rural Improvements" sheetId="14" r:id="rId18"/>
    <sheet state="visible" name="🏡 Urban Buildings" sheetId="15" r:id="rId19"/>
    <sheet state="visible" name="🔱 Shrines" sheetId="16" r:id="rId20"/>
    <sheet state="visible" name="🕍 World Religion Buildings" sheetId="17" r:id="rId21"/>
    <sheet state="visible" name="🙏 Theologies" sheetId="18" r:id="rId22"/>
    <sheet state="visible" name="🏛️ Wonders" sheetId="19" r:id="rId23"/>
    <sheet state="visible" name="⚖️ Laws" sheetId="20" r:id="rId24"/>
    <sheet state="hidden" name="🔮Technologies" sheetId="21" r:id="rId25"/>
    <sheet state="visible" name="🔮Tech " sheetId="22" r:id="rId26"/>
    <sheet state="visible" name="🧭 Tech Priority Queue" sheetId="23" r:id="rId27"/>
    <sheet state="hidden" name="🧭 Tech Priority Queue Outdated" sheetId="24" r:id="rId28"/>
    <sheet state="visible" name="👨‍🌾 Specialists" sheetId="25" r:id="rId29"/>
    <sheet state="visible" name="⏩ Hurrying Production" sheetId="26" r:id="rId30"/>
    <sheet state="visible" name="🎖️ Promotions" sheetId="27" r:id="rId31"/>
    <sheet state="visible" name="⚔️ Combat Damage Formula" sheetId="28" r:id="rId32"/>
    <sheet state="visible" name="⚔️ Unit Counters at-a-glance" sheetId="29" r:id="rId33"/>
    <sheet state="visible" name="⚔️ Unit Damage &amp; Counters" sheetId="30" r:id="rId34"/>
    <sheet state="visible" name="📈 Rally  Hold Court  Steal Res" sheetId="31" r:id="rId35"/>
    <sheet state="visible" name="🙏 Religious Conversion Mechani" sheetId="32" r:id="rId36"/>
    <sheet state="visible" name="🟣 Wisdom Base" sheetId="33" r:id="rId37"/>
    <sheet state="visible" name="🧡 Charisma Base" sheetId="34" r:id="rId38"/>
    <sheet state="visible" name="🔺 Courage Base" sheetId="35" r:id="rId39"/>
    <sheet state="visible" name="⚡ Discipline Base" sheetId="36" r:id="rId40"/>
    <sheet state="visible" name="🟣 Wisdom CM" sheetId="37" r:id="rId41"/>
    <sheet state="visible" name="🧡 Charisma CM" sheetId="38" r:id="rId42"/>
    <sheet state="visible" name="🔺 Courage CM" sheetId="39" r:id="rId43"/>
    <sheet state="visible" name="⚡ Discipline CM" sheetId="40" r:id="rId44"/>
  </sheets>
  <definedNames>
    <definedName name="court_base">'📈 Rally  Hold Court  Steal Res'!$J$3</definedName>
    <definedName name="steal_base">'📈 Rally  Hold Court  Steal Res'!$K$3</definedName>
    <definedName name="court_per">'📈 Rally  Hold Court  Steal Res'!$J$4</definedName>
    <definedName name="rally_per">'📈 Rally  Hold Court  Steal Res'!$I$4</definedName>
    <definedName name="rally_base">'📈 Rally  Hold Court  Steal Res'!$I$3</definedName>
    <definedName name="steal_per">'📈 Rally  Hold Court  Steal Res'!$K$4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tc={2f6ffc6e-0823-46d9-9318-6ed5e0f3a719}</author>
  </authors>
  <commentList>
    <comment authorId="0" xr:uid="{2f6ffc6e-0823-46d9-9318-6ed5e0f3a719}" ref="A1">
      <text>
        <t xml:space="preserve">[Threaded comment]
 Your version of Excel allows you to read this threaded comment; however, any edits to it will get removed if the file is opened in a newer version of Excel. Learn more: https://go.microsoft.com/fwlink/?linkid=870924
Comment:
	Citizenship prereq removed
</t>
      </text>
    </comment>
  </commentList>
</comments>
</file>

<file path=xl/sharedStrings.xml><?xml version="1.0" encoding="utf-8"?>
<sst xmlns="http://schemas.openxmlformats.org/spreadsheetml/2006/main" count="6001" uniqueCount="2675">
  <si>
    <t>Key</t>
  </si>
  <si>
    <t>Nations</t>
  </si>
  <si>
    <t>Stats</t>
  </si>
  <si>
    <t>Yields</t>
  </si>
  <si>
    <t>Conceptual</t>
  </si>
  <si>
    <t>Tier Lists</t>
  </si>
  <si>
    <t>Assyria</t>
  </si>
  <si>
    <t>Wisdom</t>
  </si>
  <si>
    <t>Science</t>
  </si>
  <si>
    <t>Military Utility</t>
  </si>
  <si>
    <t>S = Best</t>
  </si>
  <si>
    <t>Babylonia</t>
  </si>
  <si>
    <t>Charisma</t>
  </si>
  <si>
    <t>Civics</t>
  </si>
  <si>
    <t>Economic Utility</t>
  </si>
  <si>
    <t>A</t>
  </si>
  <si>
    <t>Carthage</t>
  </si>
  <si>
    <t>Courage</t>
  </si>
  <si>
    <t>Training</t>
  </si>
  <si>
    <t>B</t>
  </si>
  <si>
    <t>Egypt</t>
  </si>
  <si>
    <t>Discipline</t>
  </si>
  <si>
    <t>Money</t>
  </si>
  <si>
    <t>C</t>
  </si>
  <si>
    <t>Greece</t>
  </si>
  <si>
    <t>Food</t>
  </si>
  <si>
    <t>D</t>
  </si>
  <si>
    <t>Persia</t>
  </si>
  <si>
    <t>Iron</t>
  </si>
  <si>
    <t>F = Worst</t>
  </si>
  <si>
    <t>Rome</t>
  </si>
  <si>
    <t>Stone</t>
  </si>
  <si>
    <t>Hatti</t>
  </si>
  <si>
    <t>Wood</t>
  </si>
  <si>
    <t>Kush</t>
  </si>
  <si>
    <t>Culture</t>
  </si>
  <si>
    <t>Aksum</t>
  </si>
  <si>
    <t>Growth</t>
  </si>
  <si>
    <t>Maurya</t>
  </si>
  <si>
    <t>Orders</t>
  </si>
  <si>
    <t>Tamilakam</t>
  </si>
  <si>
    <t>Discontent</t>
  </si>
  <si>
    <t>Yuezhi</t>
  </si>
  <si>
    <t>Happiness</t>
  </si>
  <si>
    <t>Maintenance</t>
  </si>
  <si>
    <r>
      <rPr/>
      <t xml:space="preserve">Please see the </t>
    </r>
    <r>
      <rPr>
        <b/>
        <color rgb="FF1155CC"/>
        <u/>
      </rPr>
      <t xml:space="preserve">Index </t>
    </r>
    <r>
      <rPr/>
      <t>tab</t>
    </r>
    <r>
      <rPr>
        <b/>
      </rPr>
      <t xml:space="preserve"> </t>
    </r>
    <r>
      <rPr/>
      <t>for an overview of what you can find in this spreadsheet</t>
    </r>
  </si>
  <si>
    <t>This spreadsheet is also accessible via:</t>
  </si>
  <si>
    <t>https://tinyurl.com/oldworldspreadsheet</t>
  </si>
  <si>
    <t>I also made a tech tree calculator, accessible at:</t>
  </si>
  <si>
    <t>https://alcaras.github.io/owtt/</t>
  </si>
  <si>
    <t>If you haven't already, check out the amazing</t>
  </si>
  <si>
    <t>official Old World game manual</t>
  </si>
  <si>
    <t>community discord</t>
  </si>
  <si>
    <t>Old World wiki</t>
  </si>
  <si>
    <t>See something wrong or have a suggestion? Let me know!</t>
  </si>
  <si>
    <t>/u/alcaras on reddit</t>
  </si>
  <si>
    <t>Discord: contact any of our maintainers: alcaras, Fimbulvetr, Siontific, fluffybunny, or Klass Koalas</t>
  </si>
  <si>
    <r>
      <rPr>
        <color rgb="FF1155CC"/>
        <u/>
      </rPr>
      <t>alcaras</t>
    </r>
    <r>
      <rPr/>
      <t xml:space="preserve"> on youtube</t>
    </r>
  </si>
  <si>
    <r>
      <rPr>
        <color rgb="FF1155CC"/>
        <u/>
      </rPr>
      <t xml:space="preserve">siontific </t>
    </r>
    <r>
      <rPr/>
      <t>on youtube</t>
    </r>
  </si>
  <si>
    <t>Version History (significant updates)</t>
  </si>
  <si>
    <t>Nation Colours updated to better align with in game colours, prepped for incoming Empires of Indus nations, pre release info included</t>
  </si>
  <si>
    <r>
      <rPr/>
      <t xml:space="preserve">Added an </t>
    </r>
    <r>
      <rPr>
        <b/>
        <color rgb="FF1155CC"/>
        <u/>
      </rPr>
      <t xml:space="preserve">Index </t>
    </r>
    <r>
      <rPr/>
      <t>tab (ty FitlthyRobot for the suggestion)</t>
    </r>
  </si>
  <si>
    <r>
      <rPr/>
      <t xml:space="preserve">Added </t>
    </r>
    <r>
      <rPr>
        <color rgb="FF1155CC"/>
        <u/>
      </rPr>
      <t>Harvest Events</t>
    </r>
  </si>
  <si>
    <r>
      <rPr/>
      <t xml:space="preserve">Added </t>
    </r>
    <r>
      <rPr>
        <color rgb="FF1155CC"/>
        <u/>
      </rPr>
      <t>Cognomens (Tracker)</t>
    </r>
    <r>
      <rPr/>
      <t xml:space="preserve"> tab -- you can make a copy and use in your own game</t>
    </r>
  </si>
  <si>
    <t>Added Aksum</t>
  </si>
  <si>
    <t>General housekeeping: Hid outdated tech/priority sheets, updated some wonder notes and corrected some missed details from the last few game updates</t>
  </si>
  <si>
    <t>Some Balance changes based on the latest patches (Shrines, Laws, etc.)</t>
  </si>
  <si>
    <t>Added Laws tab (ty for the suggestion Siontific)</t>
  </si>
  <si>
    <t>Updated Tech Priority Queue; added Theologies tab; updated tier list rankings for Wonders</t>
  </si>
  <si>
    <r>
      <rPr>
        <rFont val="Arial"/>
      </rPr>
      <t xml:space="preserve">Updates for </t>
    </r>
    <r>
      <rPr>
        <rFont val="Arial"/>
        <color rgb="FF1155CC"/>
        <u/>
      </rPr>
      <t>Wonder</t>
    </r>
    <r>
      <rPr>
        <rFont val="Arial"/>
      </rPr>
      <t xml:space="preserve"> rebalancing in </t>
    </r>
    <r>
      <rPr>
        <rFont val="Arial"/>
        <color rgb="FF1155CC"/>
        <u/>
      </rPr>
      <t>Update #125</t>
    </r>
  </si>
  <si>
    <t>Replaced "Discontent" with "Happiness" yields; Added Shrine of Serapis; some Balance changes, some Formatting (thanks Artem)</t>
  </si>
  <si>
    <t>Added DLC Wonders, added Hurry cost calculation details, added "Technologies" tab, added "Religious Conversion Mechanics" for characters (thanks Fimbulvetr)</t>
  </si>
  <si>
    <t>Added a "Pillage yield" columns; some Balance changes, some Spreadsheet Formatting (thanks Artem)</t>
  </si>
  <si>
    <t>Added Kush, Balance changes (thanks Fimbulvetr)</t>
  </si>
  <si>
    <t>Minor Family Balance Changes (thank you Fimbulvetr)</t>
  </si>
  <si>
    <t>Updated for Family Balance Changes (thank you Fimbulvetr!)</t>
  </si>
  <si>
    <t>Added the Opinion tab (thank you /u/vanbrands!)</t>
  </si>
  <si>
    <t>Added the Study Events tab (thank you Frederik!)</t>
  </si>
  <si>
    <t>Updated the Wisdom, Civics, Courage, and Discipline scaling charts to encompass Governors, Generals, Council Members, and Agents (ty Frederik for the suggestion)</t>
  </si>
  <si>
    <t>30 Sept 2022</t>
  </si>
  <si>
    <t>Added a Unit Counters at-a-glance tab and a Unit Damage &amp; Counters tab</t>
  </si>
  <si>
    <t>29 Sept 2022</t>
  </si>
  <si>
    <t>Added a Nations, Families, and Archetype Tendencies tab</t>
  </si>
  <si>
    <t>Updates for 1.0.62020 Release 08/03/2022</t>
  </si>
  <si>
    <t>Added Specialists tab, Combat Damage Formula tab, and re-added the Rally Troops / Hold Court / Steal Research scaling tab (thank you Siontific for the inspiraiton). Added emojis to each tab name for easier scannability.</t>
  </si>
  <si>
    <t>Updates for the latest patch; updated tech priority queue</t>
  </si>
  <si>
    <t>Added World Religion Buildings and renamed Buildings Urban Buildings (credit: Artem_pod_nogtem). Icons for all buildings and improvements now!</t>
  </si>
  <si>
    <t>Added Rural Improvemetns tab and updated Buildings tab (credit: Artem_pod_nogtem)</t>
  </si>
  <si>
    <t>Added Promotions tab</t>
  </si>
  <si>
    <t>Updated Tech Priority Queue for the latest patch.</t>
  </si>
  <si>
    <t>Incorporated a revised / expanded building tab from Artem_pod_nogtem; removed some out-of-date duplicate tabs</t>
  </si>
  <si>
    <t>Many data corrections (thank you Artem_pod_nogtem for messaging about each of these!)</t>
  </si>
  <si>
    <t>Added Trait Inheritance (credit: Frederik)</t>
  </si>
  <si>
    <t>Added Buildings (credit: Outis)</t>
  </si>
  <si>
    <t>Added Hatti</t>
  </si>
  <si>
    <t>Added tech priority queue tab; added wonder priority for MP; added shrines tab</t>
  </si>
  <si>
    <t>Updates for accuracy, current for release 1.0.58388 (3/16/2022)</t>
  </si>
  <si>
    <t>Added the new Wisdom, Charisma, Courage, Discipline Curves. Added some additional family views for luxuries and opinions/archetypes</t>
  </si>
  <si>
    <t>Added Wonders tab, current for release 1.0.55500 (10/16/2021)</t>
  </si>
  <si>
    <t>Initial release, current for release 1.0.54532 (8/25/2021)</t>
  </si>
  <si>
    <t>da</t>
  </si>
  <si>
    <t>What you can find there</t>
  </si>
  <si>
    <t>👑 Nations</t>
  </si>
  <si>
    <t>A comparative overview of all the nations, their UUs, starting techs, etc.</t>
  </si>
  <si>
    <t>👪 Families</t>
  </si>
  <si>
    <t>A comparative overview of all the families, their bonuses, preferences, etc.</t>
  </si>
  <si>
    <t>🎓 Archetypes</t>
  </si>
  <si>
    <t>A comparative overview of all the archetypes and what they do</t>
  </si>
  <si>
    <t>💼 Jobs</t>
  </si>
  <si>
    <t>Which archetypes can do which jobs?</t>
  </si>
  <si>
    <t>👑👪🎓 Nations, Families, and Archetype Tendencies</t>
  </si>
  <si>
    <t>Which archetypes are more prevalent in families, and how are those families across nations?</t>
  </si>
  <si>
    <t>❤️ Opinion</t>
  </si>
  <si>
    <t>What's the impact of positive or negative opinion?</t>
  </si>
  <si>
    <t>👑Cognomens (Tracker)</t>
  </si>
  <si>
    <t>Make a copy of this sheet and use it to track progress toward cognomens</t>
  </si>
  <si>
    <t>🧬 Trait Inheritance</t>
  </si>
  <si>
    <t>Characters can inherit a trait based on a mother or father's trait -- this is how it works</t>
  </si>
  <si>
    <t>🎓 Study Events</t>
  </si>
  <si>
    <t>Events possible from being a student or being tutored</t>
  </si>
  <si>
    <t>🌾 Harvest Events</t>
  </si>
  <si>
    <t>(Incomplete) list of events from harvesting</t>
  </si>
  <si>
    <t>⛏️ Rural Improvements</t>
  </si>
  <si>
    <t>All the rural improvements</t>
  </si>
  <si>
    <t>🏡 Urban Buildings</t>
  </si>
  <si>
    <t>All the urban buildings</t>
  </si>
  <si>
    <t>🔱 Shrines</t>
  </si>
  <si>
    <t>Comparative overview of shrines</t>
  </si>
  <si>
    <t>🕍 World Religion Buildings</t>
  </si>
  <si>
    <t>Monasteries, Temples, Cathedrals</t>
  </si>
  <si>
    <t>🙏 Theologies</t>
  </si>
  <si>
    <t>Theologies for World Religions</t>
  </si>
  <si>
    <t>🏛️ Wonders</t>
  </si>
  <si>
    <t>List of all the wonders, what they do, what it costs to build, and MP tier list for Wonders</t>
  </si>
  <si>
    <t>⚖️ Laws</t>
  </si>
  <si>
    <t>Overview of all the law pairs and recommendations</t>
  </si>
  <si>
    <t>🔮Tech</t>
  </si>
  <si>
    <t>All the techs</t>
  </si>
  <si>
    <t>🧭 Tech Priority Queue</t>
  </si>
  <si>
    <t>A starter tech priority order</t>
  </si>
  <si>
    <t>👨‍🌾 Specialists</t>
  </si>
  <si>
    <t>All the specialists</t>
  </si>
  <si>
    <t>⏩ Hurrying Production</t>
  </si>
  <si>
    <t>Rushing production and how the product queue works, including production queue decay</t>
  </si>
  <si>
    <t>🎖️ Promotions</t>
  </si>
  <si>
    <t>All the promotions</t>
  </si>
  <si>
    <t>⚔️ Combat Damage Formula</t>
  </si>
  <si>
    <t>Combat damage visualization</t>
  </si>
  <si>
    <t>⚔️ Unit Counters at-a-glance</t>
  </si>
  <si>
    <t>Quick reference for "I see a lot of X -- what should I build to counter it?"</t>
  </si>
  <si>
    <t>⚔️ Unit Damage &amp; Counters</t>
  </si>
  <si>
    <t>Comprehensive data viz of all the damage / counters</t>
  </si>
  <si>
    <t>📈 Rally / Hold Court / Steal Research Scaling</t>
  </si>
  <si>
    <t>How rally troops, hold court, and steal research scale as game turn / # of cities changes</t>
  </si>
  <si>
    <t>🙏 Religious Conversion Mechanics</t>
  </si>
  <si>
    <t>How family conversion works</t>
  </si>
  <si>
    <t>🟣 Wisdom [Base]</t>
  </si>
  <si>
    <t>Scaling for wisdom in the base game</t>
  </si>
  <si>
    <t>🧡 Charisma [Base]</t>
  </si>
  <si>
    <t>Scaling for charisma in the base game</t>
  </si>
  <si>
    <t>🔺 Courage [Base]</t>
  </si>
  <si>
    <t>Scaling for courage in the base game</t>
  </si>
  <si>
    <t>⚡ Discipline [Base]</t>
  </si>
  <si>
    <t>Scaling for disciple in the base game</t>
  </si>
  <si>
    <t>🟣 Wisdom [CM]</t>
  </si>
  <si>
    <t>Scaling for wisdom with competitive mode on</t>
  </si>
  <si>
    <t>🧡 Charisma [CM]</t>
  </si>
  <si>
    <t>Scaling for charisma with competitive mode on</t>
  </si>
  <si>
    <t>🔺 Courage [CM]</t>
  </si>
  <si>
    <t>Scaling for courage with competitive mode on</t>
  </si>
  <si>
    <t>⚡ Discipline [CM]</t>
  </si>
  <si>
    <t>Scaling for disciple with competitive mode on</t>
  </si>
  <si>
    <t xml:space="preserve"> </t>
  </si>
  <si>
    <t>Supremacy</t>
  </si>
  <si>
    <t>Bonus 1</t>
  </si>
  <si>
    <t>+2 Orders/Kill</t>
  </si>
  <si>
    <t>+1 Sci/City</t>
  </si>
  <si>
    <t>New Cities: +200 Civics</t>
  </si>
  <si>
    <t>Unlocks Olympiad</t>
  </si>
  <si>
    <t>anyone can build Forts</t>
  </si>
  <si>
    <t>Mint Coin (+money +legitimacy)</t>
  </si>
  <si>
    <t>1 Horse in each city</t>
  </si>
  <si>
    <t>Bonus 2</t>
  </si>
  <si>
    <t>Units start with Focus 1</t>
  </si>
  <si>
    <t>+2 Culture/Treasury</t>
  </si>
  <si>
    <t>Can Hire Mercs from Tribes</t>
  </si>
  <si>
    <t>anyone can chop</t>
  </si>
  <si>
    <t>+50% Shrines</t>
  </si>
  <si>
    <t>Elephants add Ivory (with camp)</t>
  </si>
  <si>
    <t>-50% Training Mission Costs</t>
  </si>
  <si>
    <t>Steppe Riders</t>
  </si>
  <si>
    <t>Bonus 3</t>
  </si>
  <si>
    <t>no hill movement penalty</t>
  </si>
  <si>
    <t>Kushite Pyramids</t>
  </si>
  <si>
    <t>Stele (civic and yield boost)</t>
  </si>
  <si>
    <t xml:space="preserve">☸️Found Buddhism☸️ </t>
  </si>
  <si>
    <t>Vassalize Tribe / +Ally Fatigue</t>
  </si>
  <si>
    <t xml:space="preserve">🕉️Shrines Spread Hinduism </t>
  </si>
  <si>
    <t>Shrine 1</t>
  </si>
  <si>
    <t>Shrine 2</t>
  </si>
  <si>
    <t>Shrine 3</t>
  </si>
  <si>
    <t>Shrine 4</t>
  </si>
  <si>
    <t>UU</t>
  </si>
  <si>
    <t>Battering Ram / Siege Tower</t>
  </si>
  <si>
    <t>Akkadian / Cimmerian Archer</t>
  </si>
  <si>
    <t>African / Turreted Elephant</t>
  </si>
  <si>
    <t>Light Chariot / Mounted Lancer</t>
  </si>
  <si>
    <t>Hoplite / Phalangite</t>
  </si>
  <si>
    <t>Three-Man Chariot</t>
  </si>
  <si>
    <t>Palton Cav. / Cataphract Archer</t>
  </si>
  <si>
    <t>Hastatus / Legionary</t>
  </si>
  <si>
    <t>Medjay Archer / Beja Archer</t>
  </si>
  <si>
    <t>D'mt / Shotelai</t>
  </si>
  <si>
    <t>Armoured / Assault Elephant</t>
  </si>
  <si>
    <t>Javelin Elephant / E. Archer</t>
  </si>
  <si>
    <t>Kushan Cavalry / Warlord</t>
  </si>
  <si>
    <t>UU traits</t>
  </si>
  <si>
    <t>Melee Siege Assault</t>
  </si>
  <si>
    <t>Ranged Splash</t>
  </si>
  <si>
    <t>Elephant  Panic  Rout</t>
  </si>
  <si>
    <t>Ranged Horse</t>
  </si>
  <si>
    <t>Polearm  Pierce  Formation</t>
  </si>
  <si>
    <t>Melee Rout Circle Horse</t>
  </si>
  <si>
    <t>Ranged Horse Rout</t>
  </si>
  <si>
    <t>Melee Infantry Testudo Centurion</t>
  </si>
  <si>
    <t>Ranged Infantry Volley</t>
  </si>
  <si>
    <t>Melee Infantry Disarm</t>
  </si>
  <si>
    <t>Elephant  Panic  Assault</t>
  </si>
  <si>
    <t>Elephant Panic Cleave Formidable</t>
  </si>
  <si>
    <t>Melee Horse Rout Charge</t>
  </si>
  <si>
    <t>UU cost</t>
  </si>
  <si>
    <t>100 wood, 50/100 iron</t>
  </si>
  <si>
    <t>150/200 wood</t>
  </si>
  <si>
    <t>100 food, 50/100 wood</t>
  </si>
  <si>
    <t>100 iron, 50/100 wood</t>
  </si>
  <si>
    <t>100 iron, 50/100 food</t>
  </si>
  <si>
    <t>150/200 iron</t>
  </si>
  <si>
    <t>100 food, 50/100 iron</t>
  </si>
  <si>
    <t>UU upkeep</t>
  </si>
  <si>
    <t>-4/-6 food</t>
  </si>
  <si>
    <t>-2 food, -2/-4 iron</t>
  </si>
  <si>
    <t>-2 food, -2/4 wood</t>
  </si>
  <si>
    <t>UU move/sight</t>
  </si>
  <si>
    <t>1 move, 3 vision</t>
  </si>
  <si>
    <t>2 moves, 3 range, 4 vision</t>
  </si>
  <si>
    <t>2 move, 4 vision</t>
  </si>
  <si>
    <t>4 move, 2 range, 6 vision</t>
  </si>
  <si>
    <t>3 move, 5 vision</t>
  </si>
  <si>
    <t>3 move, 1 range, 4 vision</t>
  </si>
  <si>
    <t>2 move, 5 vision</t>
  </si>
  <si>
    <t>2 move, 1 range, 5 vision</t>
  </si>
  <si>
    <t>3 move, 6 vision</t>
  </si>
  <si>
    <t>UU6 Card</t>
  </si>
  <si>
    <t>Strong Culture</t>
  </si>
  <si>
    <t>UU8 x2 Card</t>
  </si>
  <si>
    <t>Legendary Culture</t>
  </si>
  <si>
    <t>Tech 1</t>
  </si>
  <si>
    <t>Trapping</t>
  </si>
  <si>
    <t>Ironworking</t>
  </si>
  <si>
    <t>Husbandry</t>
  </si>
  <si>
    <t>Tech 2</t>
  </si>
  <si>
    <t>Administration</t>
  </si>
  <si>
    <t>Divination</t>
  </si>
  <si>
    <t>Stonecutting</t>
  </si>
  <si>
    <t>Military Drill</t>
  </si>
  <si>
    <t>Tech 3</t>
  </si>
  <si>
    <t>Rhetoric</t>
  </si>
  <si>
    <t>Aristocracy</t>
  </si>
  <si>
    <t>Labor Force</t>
  </si>
  <si>
    <t>Drama</t>
  </si>
  <si>
    <t>Polis</t>
  </si>
  <si>
    <t>Family 1</t>
  </si>
  <si>
    <t>Champions</t>
  </si>
  <si>
    <t>Hunters</t>
  </si>
  <si>
    <t>Riders</t>
  </si>
  <si>
    <t>Artisans</t>
  </si>
  <si>
    <t>Family 2</t>
  </si>
  <si>
    <t>Landowners</t>
  </si>
  <si>
    <t>Patrons</t>
  </si>
  <si>
    <t>Traders</t>
  </si>
  <si>
    <t>Family 3</t>
  </si>
  <si>
    <t>Clerics</t>
  </si>
  <si>
    <t>Family 4</t>
  </si>
  <si>
    <t>Sages</t>
  </si>
  <si>
    <t>Statesmen</t>
  </si>
  <si>
    <t>Family 5</t>
  </si>
  <si>
    <t>Family 6</t>
  </si>
  <si>
    <t>Leader</t>
  </si>
  <si>
    <t>Educated Zealot (22)</t>
  </si>
  <si>
    <t>Prosperous Scholar (27)</t>
  </si>
  <si>
    <t>Cunning Diplomat (23)</t>
  </si>
  <si>
    <t>Inspiring Builder (35)</t>
  </si>
  <si>
    <t>Bold Commander (39)</t>
  </si>
  <si>
    <t>Robust Judge (22)</t>
  </si>
  <si>
    <t>Tough Hero (26)</t>
  </si>
  <si>
    <t>Ruthless Tactician (22)</t>
  </si>
  <si>
    <t>Swift Hero (34)</t>
  </si>
  <si>
    <t>Pious Commander (22)</t>
  </si>
  <si>
    <t>Compassionate Tactician (27)</t>
  </si>
  <si>
    <t>Intelligent Orator</t>
  </si>
  <si>
    <t>Bold Schemer (28)</t>
  </si>
  <si>
    <t>Spouse</t>
  </si>
  <si>
    <t>Insane Diplomat (24)</t>
  </si>
  <si>
    <t>Debauched Schemer (32)</t>
  </si>
  <si>
    <t>Witty Judge (21)</t>
  </si>
  <si>
    <t>Strict Judge ( 22) / Pious Scholar (26)</t>
  </si>
  <si>
    <t>Son (5)</t>
  </si>
  <si>
    <t>Heir 1</t>
  </si>
  <si>
    <t>brother, Pious Hero (27)</t>
  </si>
  <si>
    <t>daughter (9)</t>
  </si>
  <si>
    <t>daughter (12)</t>
  </si>
  <si>
    <t>son, Bold Hero (13)</t>
  </si>
  <si>
    <t>grandpa, Bitter Schemer (65)</t>
  </si>
  <si>
    <t>brother, Bold Schemer (22)</t>
  </si>
  <si>
    <t>son, Sickly (6)</t>
  </si>
  <si>
    <t>son (3)</t>
  </si>
  <si>
    <t>Heir 2</t>
  </si>
  <si>
    <t>son (2)</t>
  </si>
  <si>
    <t>stepston (9)</t>
  </si>
  <si>
    <t>sister-in-law, Builder (26)</t>
  </si>
  <si>
    <t>City Bonus 1</t>
  </si>
  <si>
    <t>(Family workers can add multiple road per year)</t>
  </si>
  <si>
    <t>City Bonus 2</t>
  </si>
  <si>
    <t>Always Connected</t>
  </si>
  <si>
    <t>+25% Culture / Precious Resource</t>
  </si>
  <si>
    <t>Urban Improv on Sand</t>
  </si>
  <si>
    <t>City Bonus 3</t>
  </si>
  <si>
    <t>Literature Luxury</t>
  </si>
  <si>
    <t>Seat Bonus</t>
  </si>
  <si>
    <t>Unlocks Hunt</t>
  </si>
  <si>
    <t>Unlocks Projects:
"Import Horses /Camels / Elephants"
(any city)</t>
  </si>
  <si>
    <t>Unlocks Decree</t>
  </si>
  <si>
    <t>-</t>
  </si>
  <si>
    <t>+2 Happiness Level/Culture Event</t>
  </si>
  <si>
    <t>-2 Years Urban Improvements</t>
  </si>
  <si>
    <t>Can Buy Tiles</t>
  </si>
  <si>
    <t>-50% Disciple Build Time for State Religion; can build Christian and Manichaeism disciples after the religions are founded without being present</t>
  </si>
  <si>
    <t>Unlocks Caravan, builds a Fair</t>
  </si>
  <si>
    <t>Seat Founding</t>
  </si>
  <si>
    <t>Gain 400 Civics</t>
  </si>
  <si>
    <t>Discover Random Tech</t>
  </si>
  <si>
    <t>Free Divine Rule Law</t>
  </si>
  <si>
    <t>Opinion 1</t>
  </si>
  <si>
    <t>Largest Military (+40)</t>
  </si>
  <si>
    <t>Defended Cities (+20)</t>
  </si>
  <si>
    <t>Foreign Spouse (-40)</t>
  </si>
  <si>
    <t>Unmarried Leader (-20)</t>
  </si>
  <si>
    <t>Tribal Spouse (-40)</t>
  </si>
  <si>
    <t>Patron Leader or Heir (+20)</t>
  </si>
  <si>
    <t>Leader under 18 yo (-20)</t>
  </si>
  <si>
    <t>Holy Cities (+20)</t>
  </si>
  <si>
    <t>Connected Cities (+10)</t>
  </si>
  <si>
    <t>Opinion 2</t>
  </si>
  <si>
    <t>Smallest Military (-40)</t>
  </si>
  <si>
    <t>Hostile Tribal Units in Territory (-20)</t>
  </si>
  <si>
    <t>Each General (+10)</t>
  </si>
  <si>
    <t>Not on Council (-20)</t>
  </si>
  <si>
    <t>Most Specialists (+40)</t>
  </si>
  <si>
    <t>Each Governor (+10)</t>
  </si>
  <si>
    <t>Most Cities (+40)</t>
  </si>
  <si>
    <t>City w/o Religion (-20)</t>
  </si>
  <si>
    <t>Damaged Cities (-20)</t>
  </si>
  <si>
    <t>Opinion 3</t>
  </si>
  <si>
    <t>Wonders (+20)</t>
  </si>
  <si>
    <t>Fewest Cities (-40)</t>
  </si>
  <si>
    <t>Lux 1 (-10/City)</t>
  </si>
  <si>
    <t>Wine</t>
  </si>
  <si>
    <t>Fur</t>
  </si>
  <si>
    <t>Salt</t>
  </si>
  <si>
    <t>Gems</t>
  </si>
  <si>
    <t>Honey</t>
  </si>
  <si>
    <t>Incense</t>
  </si>
  <si>
    <t>Olives</t>
  </si>
  <si>
    <t>Lux 2 (-10/City)</t>
  </si>
  <si>
    <t>Dyes</t>
  </si>
  <si>
    <t>Pearls</t>
  </si>
  <si>
    <t>Lavender</t>
  </si>
  <si>
    <t>Favored Building</t>
  </si>
  <si>
    <t>Each Citadel (+10)</t>
  </si>
  <si>
    <t>Each Range (+5)</t>
  </si>
  <si>
    <t>Each Barracks (+5)</t>
  </si>
  <si>
    <t>Each Palace (+20)</t>
  </si>
  <si>
    <t>Each University (+20)</t>
  </si>
  <si>
    <t>Each Heated Baths (+20)</t>
  </si>
  <si>
    <t>Each Amphitheater (+10)</t>
  </si>
  <si>
    <t>Each Town (+5)</t>
  </si>
  <si>
    <t>Each Cathedral (+20)</t>
  </si>
  <si>
    <t>Each Fair (+20)</t>
  </si>
  <si>
    <t>Pref Law (+20 opinion)</t>
  </si>
  <si>
    <t>Volunteers</t>
  </si>
  <si>
    <t>Exploration</t>
  </si>
  <si>
    <t>Vassalage</t>
  </si>
  <si>
    <t>Constitution</t>
  </si>
  <si>
    <t>Freedom</t>
  </si>
  <si>
    <t>Calligraphy</t>
  </si>
  <si>
    <t>Guilds</t>
  </si>
  <si>
    <t>Serfdom</t>
  </si>
  <si>
    <t>Divine Rule</t>
  </si>
  <si>
    <t>Trade League, Monetary Reform</t>
  </si>
  <si>
    <t>Archetype 1</t>
  </si>
  <si>
    <t>10x Hero</t>
  </si>
  <si>
    <t>10x Tactician</t>
  </si>
  <si>
    <t>10x Zealot</t>
  </si>
  <si>
    <t>10x Judge</t>
  </si>
  <si>
    <t>10x Scholar</t>
  </si>
  <si>
    <t>10x Orator</t>
  </si>
  <si>
    <t>10x Schemer</t>
  </si>
  <si>
    <t>10x Builder</t>
  </si>
  <si>
    <t>10x Diplomat</t>
  </si>
  <si>
    <t>Archetype 2</t>
  </si>
  <si>
    <t>10x Commander</t>
  </si>
  <si>
    <t>5x Hero</t>
  </si>
  <si>
    <t>5x Commander</t>
  </si>
  <si>
    <t>5x Diplomat</t>
  </si>
  <si>
    <t>5x Builder</t>
  </si>
  <si>
    <t>5x Judge</t>
  </si>
  <si>
    <t>5x Orator</t>
  </si>
  <si>
    <t>Archetype 3</t>
  </si>
  <si>
    <t>5x Schemer</t>
  </si>
  <si>
    <t>5x Tactician</t>
  </si>
  <si>
    <t>5x Scholar</t>
  </si>
  <si>
    <t>Civ 1</t>
  </si>
  <si>
    <t>Civ 2</t>
  </si>
  <si>
    <t>Civ 3</t>
  </si>
  <si>
    <t>Civ 4</t>
  </si>
  <si>
    <t>Civ 5</t>
  </si>
  <si>
    <t>Civ 6</t>
  </si>
  <si>
    <t>Civ 7</t>
  </si>
  <si>
    <t>🎖️Generals:</t>
  </si>
  <si>
    <t>📜Governors:</t>
  </si>
  <si>
    <t>Schemer:</t>
  </si>
  <si>
    <t>Archetypes</t>
  </si>
  <si>
    <t>Commander</t>
  </si>
  <si>
    <t>Hero</t>
  </si>
  <si>
    <t>Tactician</t>
  </si>
  <si>
    <t>Zealot</t>
  </si>
  <si>
    <t>Builder</t>
  </si>
  <si>
    <t>Diplomat</t>
  </si>
  <si>
    <t>Judge</t>
  </si>
  <si>
    <t>Orator</t>
  </si>
  <si>
    <t>Scholar</t>
  </si>
  <si>
    <t>Schemer</t>
  </si>
  <si>
    <t>Job 1</t>
  </si>
  <si>
    <t>General</t>
  </si>
  <si>
    <t>Governor</t>
  </si>
  <si>
    <t>Spymaster</t>
  </si>
  <si>
    <t>Job 2</t>
  </si>
  <si>
    <t>Ambassador</t>
  </si>
  <si>
    <t>Agent</t>
  </si>
  <si>
    <t>Chancellor</t>
  </si>
  <si>
    <t>Leader Bonus 1</t>
  </si>
  <si>
    <t>Can add Urban Tile for 10 Stone</t>
  </si>
  <si>
    <t>All Foreign/Tribal Leader Opinions (+60)</t>
  </si>
  <si>
    <t>All Religion Opinions (+40)</t>
  </si>
  <si>
    <t>Use -2 Legitimacy to Buy +10 Orders</t>
  </si>
  <si>
    <t>Leader Bonus 2</t>
  </si>
  <si>
    <t>Infantry +10% Defense</t>
  </si>
  <si>
    <t>Units Heal while Pillaging</t>
  </si>
  <si>
    <t>(+60) Opinion for Leader's Religion</t>
  </si>
  <si>
    <t>Multiple Workers / Construction</t>
  </si>
  <si>
    <t>Can Form
National Alliance</t>
  </si>
  <si>
    <t>Can Upgrade Improvements</t>
  </si>
  <si>
    <t>Recruit Tribal Mercs with Legitimacy</t>
  </si>
  <si>
    <t>Redraw Techs</t>
  </si>
  <si>
    <t>Leader Bonus 3</t>
  </si>
  <si>
    <t>Can Form
Tribal Alliance</t>
  </si>
  <si>
    <t>Scouts are Invisible</t>
  </si>
  <si>
    <t>Leader Mission</t>
  </si>
  <si>
    <t>Hold Court</t>
  </si>
  <si>
    <t>Tutor Child</t>
  </si>
  <si>
    <t>Adopt Child</t>
  </si>
  <si>
    <t>Leader General Bonus</t>
  </si>
  <si>
    <t>Launch Offensive</t>
  </si>
  <si>
    <t>Can apply "Enlist Next" for 400 civics</t>
  </si>
  <si>
    <t>General Bonus</t>
  </si>
  <si>
    <t>Heal in Neutral Territory</t>
  </si>
  <si>
    <t>Unit cannot die with &gt;1 HP</t>
  </si>
  <si>
    <t>Governor Bonus</t>
  </si>
  <si>
    <t>-1 Turn to Build Improvements</t>
  </si>
  <si>
    <t>Family Opinion (+40) that owns the city</t>
  </si>
  <si>
    <t>Hurry Projects and Specialists with Money</t>
  </si>
  <si>
    <t>Inquiry</t>
  </si>
  <si>
    <t>Agent Bonus</t>
  </si>
  <si>
    <t>Favored Law(s) (+20)</t>
  </si>
  <si>
    <t>Autarky</t>
  </si>
  <si>
    <t>Epics</t>
  </si>
  <si>
    <t>Professional Army</t>
  </si>
  <si>
    <t>Holy War</t>
  </si>
  <si>
    <t>Slavery</t>
  </si>
  <si>
    <t>Colonies</t>
  </si>
  <si>
    <t>Legal Code</t>
  </si>
  <si>
    <t>Tyranny</t>
  </si>
  <si>
    <t>Engineering</t>
  </si>
  <si>
    <t>Coin Debasement, Elites</t>
  </si>
  <si>
    <t>Opposite Arc (-60)</t>
  </si>
  <si>
    <t>Stat Bonus</t>
  </si>
  <si>
    <t>2 courage</t>
  </si>
  <si>
    <t>3 courage</t>
  </si>
  <si>
    <t>2 wisdom</t>
  </si>
  <si>
    <t>4 courage</t>
  </si>
  <si>
    <t>3 discipline</t>
  </si>
  <si>
    <t>3 charisma</t>
  </si>
  <si>
    <t>2 charisma</t>
  </si>
  <si>
    <t>4 charisma</t>
  </si>
  <si>
    <t>3 wisdom</t>
  </si>
  <si>
    <t>4 wisdom</t>
  </si>
  <si>
    <t>2 discipline</t>
  </si>
  <si>
    <t>Stat Malus</t>
  </si>
  <si>
    <t>-1 wisdom</t>
  </si>
  <si>
    <t>-1 discipline</t>
  </si>
  <si>
    <t>-1 courage</t>
  </si>
  <si>
    <t>Heir Education 1</t>
  </si>
  <si>
    <t>Tactics</t>
  </si>
  <si>
    <t>Politics</t>
  </si>
  <si>
    <t>Philosophy</t>
  </si>
  <si>
    <t>Heir Education 2</t>
  </si>
  <si>
    <t>Commerce</t>
  </si>
  <si>
    <t>Common in families</t>
  </si>
  <si>
    <t>Champions (10x)</t>
  </si>
  <si>
    <t>Hunters (10x)</t>
  </si>
  <si>
    <t>Riders (10x)</t>
  </si>
  <si>
    <t>Landowners (10x)</t>
  </si>
  <si>
    <t>Traders (10x)</t>
  </si>
  <si>
    <t>Statesmen (10x)</t>
  </si>
  <si>
    <t>Patrons (10x)</t>
  </si>
  <si>
    <t>Sages (10x)</t>
  </si>
  <si>
    <t>Artisans (10x)</t>
  </si>
  <si>
    <t>Statesmen (5x)</t>
  </si>
  <si>
    <t>Riders (5x)</t>
  </si>
  <si>
    <t>Clerics (10x)</t>
  </si>
  <si>
    <t>Patrons (5x)</t>
  </si>
  <si>
    <t>Sages (5x)</t>
  </si>
  <si>
    <t>Artisans (5x)</t>
  </si>
  <si>
    <t>Hunters (5x)</t>
  </si>
  <si>
    <t>Clerics (5x)</t>
  </si>
  <si>
    <t>Landowners (5x)</t>
  </si>
  <si>
    <t>Traders (5x)</t>
  </si>
  <si>
    <t>Court Soldier</t>
  </si>
  <si>
    <t>Soldier</t>
  </si>
  <si>
    <t>Court Minister</t>
  </si>
  <si>
    <t>Minister</t>
  </si>
  <si>
    <t>Court Merchant</t>
  </si>
  <si>
    <t>Merchant</t>
  </si>
  <si>
    <t>Court Scholar</t>
  </si>
  <si>
    <t>🎖️General (+20% STR for adjacent identical units)</t>
  </si>
  <si>
    <t>📜 Ambassador</t>
  </si>
  <si>
    <t>🎖️General (heal in neutral territory)</t>
  </si>
  <si>
    <t>🥷Agent</t>
  </si>
  <si>
    <t>🎖️General (melee counterattack)</t>
  </si>
  <si>
    <t>🕵🏼‍♂️ Spymaster</t>
  </si>
  <si>
    <t>🎖️General (cannot die unless at exactly 1 hp)</t>
  </si>
  <si>
    <t>🌿Chancellor</t>
  </si>
  <si>
    <t>🏛️Governor (-1 Turn for Improvements)</t>
  </si>
  <si>
    <t>🏛️Governor (+Family Opinion)</t>
  </si>
  <si>
    <t>🏛️Governor (Hurry Specialists/Projects)</t>
  </si>
  <si>
    <t>🏛️Governor (+1 Happiness/Culture Level)</t>
  </si>
  <si>
    <t>🏛️Governor (Inquiry)</t>
  </si>
  <si>
    <t>🕵🏼‍♂️Spymaster</t>
  </si>
  <si>
    <t>🥷Agent (+20% Yields)</t>
  </si>
  <si>
    <t>This chart easily shows which archetypes are available for which families for each nation -- and importantly, which archetypes have no easy source for each nation.</t>
  </si>
  <si>
    <t>This is a subtle but important aspect of Old World.</t>
  </si>
  <si>
    <t>Every family has Archetype Tendencies. If not influenced by the player (e.g. through heir education; see Jobs tab), families will tend to have characters of these archetypes.</t>
  </si>
  <si>
    <t>These tendencies are 10x as likely for one or two archetypes and 5x as likely for two archetypes.</t>
  </si>
  <si>
    <t>For example, the Landowner family is 10x as likely to get Builders. That means you'll often see Landowner Builders when you have a Landowner family.</t>
  </si>
  <si>
    <t>This fits in with nations in that not every nation has access to every family -- so, as Persia, for example, you'll rarely see Builders since none of your possible families have tendencies for them.</t>
  </si>
  <si>
    <t>Or, as Egypt, if you don't take Riders, you won't have many characters that can serve as Agents, since you won't have many Schemer or Hero characters.</t>
  </si>
  <si>
    <t>As you think about your governors, generals, and the composition of your council, it's important to keep these family archetype tendencies in mind.</t>
  </si>
  <si>
    <t>Cells in dark gray have none of the four families for that nation having an archetype tendency for that archetype.</t>
  </si>
  <si>
    <t>Keep in mind you can have 3 of the four families so if there's only a single family for that archetype for your nation, and you don't have that family... you rarely see that archetype.</t>
  </si>
  <si>
    <t>CMDR</t>
  </si>
  <si>
    <t>HERO</t>
  </si>
  <si>
    <t>TACT</t>
  </si>
  <si>
    <t>ZEAL</t>
  </si>
  <si>
    <t>BLDR</t>
  </si>
  <si>
    <t>DIPL</t>
  </si>
  <si>
    <t>JUDG</t>
  </si>
  <si>
    <t>ORAT</t>
  </si>
  <si>
    <t>SCHL</t>
  </si>
  <si>
    <t>SCHM</t>
  </si>
  <si>
    <t>Courtiers</t>
  </si>
  <si>
    <t>Research %</t>
  </si>
  <si>
    <t>Civics %</t>
  </si>
  <si>
    <t>Training %</t>
  </si>
  <si>
    <t>Gold %</t>
  </si>
  <si>
    <t>CRIT</t>
  </si>
  <si>
    <t>DEF</t>
  </si>
  <si>
    <t>ATK</t>
  </si>
  <si>
    <t>XP</t>
  </si>
  <si>
    <t>Culture / City</t>
  </si>
  <si>
    <t>Foreign Opinion</t>
  </si>
  <si>
    <t>Tribe Opinion</t>
  </si>
  <si>
    <t>Religion Opinion</t>
  </si>
  <si>
    <t>Growth / City</t>
  </si>
  <si>
    <t>Gold</t>
  </si>
  <si>
    <t>Family Opinion</t>
  </si>
  <si>
    <t>Heir Education</t>
  </si>
  <si>
    <t>Opinion Level</t>
  </si>
  <si>
    <t>Furious</t>
  </si>
  <si>
    <t>Angry</t>
  </si>
  <si>
    <t>Upset</t>
  </si>
  <si>
    <t>Cautious</t>
  </si>
  <si>
    <t>Pleased</t>
  </si>
  <si>
    <t>Friendly</t>
  </si>
  <si>
    <t>Score</t>
  </si>
  <si>
    <t>-200 or lower</t>
  </si>
  <si>
    <t>-199 / -100</t>
  </si>
  <si>
    <t>-99 / -1</t>
  </si>
  <si>
    <t>0 / 99</t>
  </si>
  <si>
    <t>100 / 199</t>
  </si>
  <si>
    <t>200 or higher</t>
  </si>
  <si>
    <t>Family</t>
  </si>
  <si>
    <t>City</t>
  </si>
  <si>
    <t>50% Maint.
-20% Civics
-20% Train.
Rebel: +10% (Unable to hurry production)</t>
  </si>
  <si>
    <t>+20% Maint.
-10% Civics
-10% Train.
Rebel: +5%</t>
  </si>
  <si>
    <t>+10% Maint.</t>
  </si>
  <si>
    <t>-10% Maint.</t>
  </si>
  <si>
    <t>-20% Maint. (Orator leader: +1 order)</t>
  </si>
  <si>
    <t>Units</t>
  </si>
  <si>
    <t>-20%</t>
  </si>
  <si>
    <t>-10%</t>
  </si>
  <si>
    <t>-5%</t>
  </si>
  <si>
    <t>+5%</t>
  </si>
  <si>
    <t>+10%</t>
  </si>
  <si>
    <t>Religion</t>
  </si>
  <si>
    <t>+3 Disc.</t>
  </si>
  <si>
    <t>+2 Disc.</t>
  </si>
  <si>
    <t>+1 Disc.</t>
  </si>
  <si>
    <t>+1 Happ.</t>
  </si>
  <si>
    <t>+2 Happ.</t>
  </si>
  <si>
    <t>Character</t>
  </si>
  <si>
    <t>Birth</t>
  </si>
  <si>
    <t>-100%</t>
  </si>
  <si>
    <t>-50%</t>
  </si>
  <si>
    <t>-25%</t>
  </si>
  <si>
    <t>+25%</t>
  </si>
  <si>
    <t>+50%</t>
  </si>
  <si>
    <t>Mission Cost</t>
  </si>
  <si>
    <t>+100%</t>
  </si>
  <si>
    <t>+1 Growth</t>
  </si>
  <si>
    <t>+2 Growth</t>
  </si>
  <si>
    <t>-200%</t>
  </si>
  <si>
    <t>Nation</t>
  </si>
  <si>
    <t>War</t>
  </si>
  <si>
    <t>60%</t>
  </si>
  <si>
    <t>40%</t>
  </si>
  <si>
    <t>30%</t>
  </si>
  <si>
    <t>20%</t>
  </si>
  <si>
    <t>10%</t>
  </si>
  <si>
    <t>Truce</t>
  </si>
  <si>
    <t>50%</t>
  </si>
  <si>
    <t>Peace</t>
  </si>
  <si>
    <t>End Alliance</t>
  </si>
  <si>
    <t>15%</t>
  </si>
  <si>
    <t>5%</t>
  </si>
  <si>
    <t>Start Alliance</t>
  </si>
  <si>
    <t>Tribe</t>
  </si>
  <si>
    <t>100%</t>
  </si>
  <si>
    <t>80%</t>
  </si>
  <si>
    <t>Settle/Mercenary Cost</t>
  </si>
  <si>
    <t>Thank you /u/vanbrands for contributing this!</t>
  </si>
  <si>
    <t>https://www.reddit.com/r/OldWorldGame/comments/114inek/opinion_overview/</t>
  </si>
  <si>
    <t>via /u/fluffybunny:
Friendly character yields indeed +100% and Angry -100%.
Worth noting that for negative stats, the sign is reversed 
i.e. Friendly characters with negative stats give no penalty and pleased give -50% penalty.
Furious is -200%, so positive stats now give a negative amount and negative stats give triple the penalty.</t>
  </si>
  <si>
    <t>Note religion opinion bonus caps out at +200 -- so if you have +333 from a religion, the impact on family opinion caps at +200.</t>
  </si>
  <si>
    <t>Main Line</t>
  </si>
  <si>
    <t>Side Tracks</t>
  </si>
  <si>
    <t>Legitimacy</t>
  </si>
  <si>
    <t>Cognomens</t>
  </si>
  <si>
    <t>Cognomen</t>
  </si>
  <si>
    <t>Threshold</t>
  </si>
  <si>
    <t>the New</t>
  </si>
  <si>
    <t>Able</t>
  </si>
  <si>
    <t xml:space="preserve">the Founder </t>
  </si>
  <si>
    <t>(automatic for first ruler)</t>
  </si>
  <si>
    <t>Just</t>
  </si>
  <si>
    <t>Good</t>
  </si>
  <si>
    <t>Strong</t>
  </si>
  <si>
    <t>Cognomens: Units Killed</t>
  </si>
  <si>
    <t>Points</t>
  </si>
  <si>
    <t>Noble</t>
  </si>
  <si>
    <t xml:space="preserve">Military Units Killed </t>
  </si>
  <si>
    <t>Glorious</t>
  </si>
  <si>
    <t>Military Units Killed (as General)</t>
  </si>
  <si>
    <t>Magnificent</t>
  </si>
  <si>
    <t>Units Lost</t>
  </si>
  <si>
    <t>Great</t>
  </si>
  <si>
    <t>Thresholds</t>
  </si>
  <si>
    <t>units killed</t>
  </si>
  <si>
    <t>units killed as general (also counts as a unit killed)</t>
  </si>
  <si>
    <t>Warrior</t>
  </si>
  <si>
    <t>Task</t>
  </si>
  <si>
    <t>Drillmaster</t>
  </si>
  <si>
    <t>Ambitions Achieved</t>
  </si>
  <si>
    <t>Valiant</t>
  </si>
  <si>
    <t>Legacies Achieved</t>
  </si>
  <si>
    <t>Mighty</t>
  </si>
  <si>
    <t>Tribes Contacted</t>
  </si>
  <si>
    <t>Victorius</t>
  </si>
  <si>
    <t>Tribal Sites Cleared</t>
  </si>
  <si>
    <t>Lion</t>
  </si>
  <si>
    <t>Tribal Peace</t>
  </si>
  <si>
    <t>Invincible</t>
  </si>
  <si>
    <t>Tribal Alliances Formed</t>
  </si>
  <si>
    <t>Nations Contacted</t>
  </si>
  <si>
    <t>National Peace</t>
  </si>
  <si>
    <t>Cognomens: Units Training / Promotion</t>
  </si>
  <si>
    <t>National Alliances Formed</t>
  </si>
  <si>
    <t>Units Trained</t>
  </si>
  <si>
    <t>Caravans Arrived</t>
  </si>
  <si>
    <t>Units Promoted</t>
  </si>
  <si>
    <t>Capitals Captured</t>
  </si>
  <si>
    <t>units needed</t>
  </si>
  <si>
    <t>Cities Founded</t>
  </si>
  <si>
    <t>Capable</t>
  </si>
  <si>
    <t>Cities Captured</t>
  </si>
  <si>
    <t>Ready</t>
  </si>
  <si>
    <t>Cities Recaptured</t>
  </si>
  <si>
    <t>Cities Lost</t>
  </si>
  <si>
    <t>Courtiers Added</t>
  </si>
  <si>
    <t>Cognomens: Tribal Site Clearing</t>
  </si>
  <si>
    <t>Improvements Finished</t>
  </si>
  <si>
    <t>Improvements Repaired</t>
  </si>
  <si>
    <t>sites needed</t>
  </si>
  <si>
    <t>Landmarks Discovered</t>
  </si>
  <si>
    <t>Destroyer</t>
  </si>
  <si>
    <t>Landmarks Named</t>
  </si>
  <si>
    <t>Avenger</t>
  </si>
  <si>
    <t>World Religions Fouinded</t>
  </si>
  <si>
    <t>White Death</t>
  </si>
  <si>
    <t>Religion Spread</t>
  </si>
  <si>
    <t>Ruins Explored</t>
  </si>
  <si>
    <t>Specialists Trained</t>
  </si>
  <si>
    <t>Cognomens: Alliances and Peace</t>
  </si>
  <si>
    <t>Techs Discovered</t>
  </si>
  <si>
    <t>Theologies Established</t>
  </si>
  <si>
    <t>Tribal Alliances</t>
  </si>
  <si>
    <t>Tiles Revealed</t>
  </si>
  <si>
    <t>National Alliances</t>
  </si>
  <si>
    <t>peaces needed</t>
  </si>
  <si>
    <t>Military Units Killed</t>
  </si>
  <si>
    <t>Intercessor</t>
  </si>
  <si>
    <t>Peacemaker</t>
  </si>
  <si>
    <t>Wonders Finished</t>
  </si>
  <si>
    <t>Years Reigned</t>
  </si>
  <si>
    <t>Cognomens: Conquest</t>
  </si>
  <si>
    <t>cities needed</t>
  </si>
  <si>
    <t>Conquerer</t>
  </si>
  <si>
    <t>Subjugator</t>
  </si>
  <si>
    <t>Cognomens: City Reconquest</t>
  </si>
  <si>
    <t>Restorer</t>
  </si>
  <si>
    <t>Liberator</t>
  </si>
  <si>
    <t>Cognomens: Founding Cities</t>
  </si>
  <si>
    <t>Settler</t>
  </si>
  <si>
    <t>Pioneer</t>
  </si>
  <si>
    <t>Cognomens: Courtiers + Specialists</t>
  </si>
  <si>
    <t>courtiers needed</t>
  </si>
  <si>
    <t>specialists needed</t>
  </si>
  <si>
    <t>Ambitious</t>
  </si>
  <si>
    <t>Brilliant</t>
  </si>
  <si>
    <t>Beloved</t>
  </si>
  <si>
    <t>Cognomens: Repairing Improvements</t>
  </si>
  <si>
    <t>repairs needed</t>
  </si>
  <si>
    <t>Rebuilder</t>
  </si>
  <si>
    <t>Cognomens: Building Wonders + Improvements</t>
  </si>
  <si>
    <t>improvements</t>
  </si>
  <si>
    <t>wonders needed</t>
  </si>
  <si>
    <t>Mason</t>
  </si>
  <si>
    <t>Architect</t>
  </si>
  <si>
    <t>Keystone</t>
  </si>
  <si>
    <t>Fountainhead</t>
  </si>
  <si>
    <t>Cognomens: Religions + Theologies</t>
  </si>
  <si>
    <t>World Religions Founded</t>
  </si>
  <si>
    <t>religions founded</t>
  </si>
  <si>
    <t>spread</t>
  </si>
  <si>
    <t>theologies</t>
  </si>
  <si>
    <t>Devout</t>
  </si>
  <si>
    <t>Holy</t>
  </si>
  <si>
    <t>Cognomens: Exploration</t>
  </si>
  <si>
    <t>also counts as discovered</t>
  </si>
  <si>
    <t>Explorer</t>
  </si>
  <si>
    <t>Intrepid</t>
  </si>
  <si>
    <t>Cognomens: Techs Discovered</t>
  </si>
  <si>
    <t>techs needed</t>
  </si>
  <si>
    <t>Learned</t>
  </si>
  <si>
    <t>Enlightened</t>
  </si>
  <si>
    <t>Wise</t>
  </si>
  <si>
    <t>Cognomens: Years Reigned</t>
  </si>
  <si>
    <t>years needed</t>
  </si>
  <si>
    <t>Old</t>
  </si>
  <si>
    <t>Ancient</t>
  </si>
  <si>
    <t>Make a copy to use for your own game (on the tab menu: copy to -&gt; New Spreadsheet)</t>
  </si>
  <si>
    <t>Main Line Cognomens</t>
  </si>
  <si>
    <t>Liberator: Cities Recaptured (2000)</t>
  </si>
  <si>
    <t>Note: Thresholds increase by 5% each leader for all cognomen</t>
  </si>
  <si>
    <t>Progress</t>
  </si>
  <si>
    <t>Percent</t>
  </si>
  <si>
    <t>You can find these stats in the timeline screen (F5) by hovering over your leader's portrait</t>
  </si>
  <si>
    <t>How many?</t>
  </si>
  <si>
    <t>Things Your Leader Has Done</t>
  </si>
  <si>
    <t>Side Track Points</t>
  </si>
  <si>
    <t>Pioneer: Cities Founded (1000)</t>
  </si>
  <si>
    <t>Beloved: Courtiers Added (1000) + Specialists Trained (100)</t>
  </si>
  <si>
    <r>
      <rPr>
        <rFont val="Arial"/>
        <b/>
        <i/>
        <color rgb="FFEFEFEF"/>
      </rPr>
      <t>Invincible:</t>
    </r>
    <r>
      <rPr>
        <rFont val="Arial"/>
        <i/>
        <color rgb="FFEFEFEF"/>
      </rPr>
      <t xml:space="preserve"> Units Killed (200), Units Killed as General (200), not Units Lost (-200)</t>
    </r>
  </si>
  <si>
    <t>Rebuilder: Improvements Repaired (200)</t>
  </si>
  <si>
    <t>Victorious</t>
  </si>
  <si>
    <t>Fountainhead: Wonders Finished (2000), Improvements Finished (200)</t>
  </si>
  <si>
    <t>Ready: Units Trained (200), Units Promoted (200)</t>
  </si>
  <si>
    <r>
      <rPr>
        <rFont val="Arial"/>
        <b/>
        <i/>
        <color rgb="FFEFEFEF"/>
      </rPr>
      <t>White Death</t>
    </r>
    <r>
      <rPr>
        <rFont val="Arial"/>
        <i/>
        <color rgb="FFEFEFEF"/>
      </rPr>
      <t>: Tribal Sites Cleared (500)</t>
    </r>
  </si>
  <si>
    <t>Holy: World Religions Founded (1500), Religion Sprad (200), Theologies Established (1000)</t>
  </si>
  <si>
    <t>Intrepid: Tribes Contacted (100), Nations Contacted (100), Caravans Arrived (200)</t>
  </si>
  <si>
    <t>Peacemaker: Tribal / National Peace (1000), Tribal / National Alliance (2000)</t>
  </si>
  <si>
    <t>Landmarks Discovered (200), Landmarks Named (300), Ruins Explored (100), Tiles Revealed (1)</t>
  </si>
  <si>
    <r>
      <rPr>
        <rFont val="Arial"/>
        <b/>
        <i/>
        <color rgb="FFEFEFEF"/>
      </rPr>
      <t>Subjugator</t>
    </r>
    <r>
      <rPr>
        <rFont val="Arial"/>
        <i/>
        <color rgb="FFEFEFEF"/>
      </rPr>
      <t>: Capitals Captured (2000), Cities Captured (2000)</t>
    </r>
  </si>
  <si>
    <t>Wise: Techs Discovered (500)</t>
  </si>
  <si>
    <t>Ancient: Years Reigned (100)</t>
  </si>
  <si>
    <t>The "Mother/Father's Disposition" events can have traits inherit based on other traits</t>
  </si>
  <si>
    <t>This event usually fires once during childhood</t>
  </si>
  <si>
    <t>Credit to Frederik for compiling and sharing this table!</t>
  </si>
  <si>
    <t>Colors correspond to Frederik's subjective rating -- green = good, red = bad, yellow = mixed, dark red = very bad</t>
  </si>
  <si>
    <t>Parent Trait</t>
  </si>
  <si>
    <t>Inheritance Trait 1</t>
  </si>
  <si>
    <t>Inheritance Trait 2</t>
  </si>
  <si>
    <t>Inheritance Trait 3</t>
  </si>
  <si>
    <t>Unused</t>
  </si>
  <si>
    <t>Vigilant</t>
  </si>
  <si>
    <t>Eloquent</t>
  </si>
  <si>
    <t>Inspiring</t>
  </si>
  <si>
    <t>Heckler</t>
  </si>
  <si>
    <t>Bold</t>
  </si>
  <si>
    <t>Tough</t>
  </si>
  <si>
    <t>Bloodthirsty</t>
  </si>
  <si>
    <t>Robust</t>
  </si>
  <si>
    <t>Intelligent</t>
  </si>
  <si>
    <t>Cunning</t>
  </si>
  <si>
    <t>Corrupt</t>
  </si>
  <si>
    <t>Frugal</t>
  </si>
  <si>
    <t>Prosperous</t>
  </si>
  <si>
    <t>Extravagant</t>
  </si>
  <si>
    <t>Rightous</t>
  </si>
  <si>
    <t>Pious</t>
  </si>
  <si>
    <t>Intolerant</t>
  </si>
  <si>
    <t>Witty</t>
  </si>
  <si>
    <t>Uncouth</t>
  </si>
  <si>
    <t>Loyal</t>
  </si>
  <si>
    <t>Righteous</t>
  </si>
  <si>
    <t>Educated</t>
  </si>
  <si>
    <t>Slothful</t>
  </si>
  <si>
    <t>Compassionate</t>
  </si>
  <si>
    <t>Foolish</t>
  </si>
  <si>
    <t>Humble</t>
  </si>
  <si>
    <t>Timid</t>
  </si>
  <si>
    <t>Gracious</t>
  </si>
  <si>
    <t>Affable</t>
  </si>
  <si>
    <t>Wanton</t>
  </si>
  <si>
    <t>Exotic</t>
  </si>
  <si>
    <t>Infamous</t>
  </si>
  <si>
    <t>Romantic</t>
  </si>
  <si>
    <t xml:space="preserve">Wanton </t>
  </si>
  <si>
    <t>Debauched</t>
  </si>
  <si>
    <t>Ruthless</t>
  </si>
  <si>
    <t>Fierce</t>
  </si>
  <si>
    <t>Cruel</t>
  </si>
  <si>
    <t>Proud</t>
  </si>
  <si>
    <t>Warlike</t>
  </si>
  <si>
    <t>Swift</t>
  </si>
  <si>
    <t>Bloodthisty</t>
  </si>
  <si>
    <t>Brave</t>
  </si>
  <si>
    <t>Strict</t>
  </si>
  <si>
    <t>Insane</t>
  </si>
  <si>
    <t>Spoiled</t>
  </si>
  <si>
    <t>Divine</t>
  </si>
  <si>
    <t>Greedy</t>
  </si>
  <si>
    <t>Bitter</t>
  </si>
  <si>
    <t>Drunk</t>
  </si>
  <si>
    <t>Superstitious</t>
  </si>
  <si>
    <t>Slouthful</t>
  </si>
  <si>
    <t>Miserable</t>
  </si>
  <si>
    <r>
      <rPr>
        <rFont val="Arial"/>
        <b/>
        <color theme="1"/>
      </rPr>
      <t>[X|Y|Z]</t>
    </r>
    <r>
      <rPr>
        <rFont val="Arial"/>
        <color theme="1"/>
      </rPr>
      <t xml:space="preserve"> - random choice between X, Y and Z </t>
    </r>
  </si>
  <si>
    <r>
      <rPr>
        <rFont val="Arial"/>
        <b/>
        <color theme="1"/>
      </rPr>
      <t>Repeat</t>
    </r>
    <r>
      <rPr>
        <rFont val="Arial"/>
        <color theme="1"/>
      </rPr>
      <t xml:space="preserve"> - the minimum number of turns between when an Event triggers and when it is allowed to trigger again. If -1, the Event can only trigger once per game.</t>
    </r>
  </si>
  <si>
    <r>
      <rPr>
        <rFont val="Arial"/>
        <b/>
        <color theme="1"/>
      </rPr>
      <t>Weight</t>
    </r>
    <r>
      <rPr>
        <rFont val="Arial"/>
        <color theme="1"/>
      </rPr>
      <t xml:space="preserve"> - weight used when randomly picking events to trigger. An Event with a weight of 2 is twice as likely to get picked as an Event with a weight of 1.(0 is the default value of the field, which turns off the event.)</t>
    </r>
  </si>
  <si>
    <r>
      <rPr>
        <rFont val="Arial"/>
        <b/>
        <color theme="1"/>
      </rPr>
      <t>Chance</t>
    </r>
    <r>
      <rPr>
        <rFont val="Arial"/>
        <color theme="1"/>
      </rPr>
      <t xml:space="preserve"> - probability of this Event being added to the possible Event pool (on the current turn only) if it meets the other prereqs. Values are from 1-100 (0 is ignored).
For example, if this is set to 75, there is only a 75% chance that the Event will be added to the Event pool (Use this in conjunction with iWeight to lower probabilities.)</t>
    </r>
  </si>
  <si>
    <t>Name</t>
  </si>
  <si>
    <t>Choice 1</t>
  </si>
  <si>
    <t>Choice 2</t>
  </si>
  <si>
    <t>Choice 3</t>
  </si>
  <si>
    <t>Choice 4</t>
  </si>
  <si>
    <t>Fix changes</t>
  </si>
  <si>
    <t>Repeat</t>
  </si>
  <si>
    <t>Weight</t>
  </si>
  <si>
    <t>Chance</t>
  </si>
  <si>
    <t>Comment</t>
  </si>
  <si>
    <t>Generic</t>
  </si>
  <si>
    <t>Positive</t>
  </si>
  <si>
    <t>Study Rivals</t>
  </si>
  <si>
    <t xml:space="preserve"> +1 wisdom
-75 civics</t>
  </si>
  <si>
    <t xml:space="preserve"> +2 wisdom
-200 money</t>
  </si>
  <si>
    <t xml:space="preserve"> +Humble
-2 legitimacy</t>
  </si>
  <si>
    <t xml:space="preserve"> +conspiring with leader
rival -1 courage</t>
  </si>
  <si>
    <t>requires teenager of similar age as "rival"</t>
  </si>
  <si>
    <t>Friendly Visit</t>
  </si>
  <si>
    <t xml:space="preserve"> +60 EXP</t>
  </si>
  <si>
    <t xml:space="preserve"> +1 charisma</t>
  </si>
  <si>
    <t>Good News</t>
  </si>
  <si>
    <t xml:space="preserve"> +1 wisdom</t>
  </si>
  <si>
    <t xml:space="preserve"> +Affable</t>
  </si>
  <si>
    <t>Peaceable Kingdom</t>
  </si>
  <si>
    <t xml:space="preserve"> +Cultivator</t>
  </si>
  <si>
    <t xml:space="preserve"> +Pathfinder</t>
  </si>
  <si>
    <t xml:space="preserve"> +Equestrian</t>
  </si>
  <si>
    <t>mustn't have archetype yet</t>
  </si>
  <si>
    <t>A Talent for Geometry</t>
  </si>
  <si>
    <t xml:space="preserve"> +Engineer</t>
  </si>
  <si>
    <t xml:space="preserve"> +Carpenter</t>
  </si>
  <si>
    <t xml:space="preserve"> +40 EXP</t>
  </si>
  <si>
    <t>One of these for each opinion level. Each can only proc once in a game</t>
  </si>
  <si>
    <t>Inspired by WonderXY</t>
  </si>
  <si>
    <t>Random Archtype:
Diplomat, Orator, Builder, Commander</t>
  </si>
  <si>
    <t xml:space="preserve"> +Positive Trait</t>
  </si>
  <si>
    <t xml:space="preserve"> -2 Legitimacy
+ Negative Trait / Exploring</t>
  </si>
  <si>
    <t>One for each wonder with their own CD
The three choices get populated and each can have the different choices in them. I think you can't get 3 negative trait choices but positive trait and archtype can be offered as all three.</t>
  </si>
  <si>
    <t>Inspired by Nature</t>
  </si>
  <si>
    <t xml:space="preserve"> + Trait or Exploring</t>
  </si>
  <si>
    <t>Different and more limited selection Than the Wonder Choices</t>
  </si>
  <si>
    <t>Inspired by HolySiteXY</t>
  </si>
  <si>
    <t>Random Archtype:
Scholar, Builder, Judge</t>
  </si>
  <si>
    <t xml:space="preserve"> +(Positive) Trait</t>
  </si>
  <si>
    <t>converts to this Religion</t>
  </si>
  <si>
    <t>" "</t>
  </si>
  <si>
    <t>Different selection of traits and archtypes but otherwise similar populated like the above
There a choice of intolerant in the traits but otherwise mostly positive</t>
  </si>
  <si>
    <t>Disputing Teachers</t>
  </si>
  <si>
    <t>[Intelligent|Insane]
Scientist +Endeared</t>
  </si>
  <si>
    <t xml:space="preserve"> +1 wisdom
-200 Money</t>
  </si>
  <si>
    <t xml:space="preserve"> Nothing</t>
  </si>
  <si>
    <t>Requires Court Scholar</t>
  </si>
  <si>
    <t>The Art of Governance</t>
  </si>
  <si>
    <t>Assign Governor 1</t>
  </si>
  <si>
    <t>Assign Governor 2</t>
  </si>
  <si>
    <t xml:space="preserve"> +60 EXP
+Disappointed</t>
  </si>
  <si>
    <t>Roman</t>
  </si>
  <si>
    <t>Roman Education</t>
  </si>
  <si>
    <t xml:space="preserve"> +1 courage
-100 training</t>
  </si>
  <si>
    <t>Ludus</t>
  </si>
  <si>
    <t xml:space="preserve"> -300 money
cityXY Improved Education 
(1sci/year)</t>
  </si>
  <si>
    <t xml:space="preserve"> +1 charisma
-1 wisdom</t>
  </si>
  <si>
    <t xml:space="preserve"> +1 discipline
+Disappointed</t>
  </si>
  <si>
    <t>Bulla</t>
  </si>
  <si>
    <t xml:space="preserve"> -200 money
+Endeared</t>
  </si>
  <si>
    <t xml:space="preserve"> +1 discipline
-1 courage</t>
  </si>
  <si>
    <r>
      <rPr>
        <rFont val="Arial"/>
        <color theme="1"/>
      </rPr>
      <t xml:space="preserve"> +2 courage
</t>
    </r>
    <r>
      <rPr>
        <rFont val="Arial"/>
        <color rgb="FFFF0000"/>
      </rPr>
      <t>+Cursed</t>
    </r>
  </si>
  <si>
    <t>male only</t>
  </si>
  <si>
    <t>The ideal King/Queen</t>
  </si>
  <si>
    <t xml:space="preserve"> +1 discipline</t>
  </si>
  <si>
    <t xml:space="preserve"> +1 courage</t>
  </si>
  <si>
    <t>Lion Hunt Training</t>
  </si>
  <si>
    <r>
      <rPr>
        <rFont val="Arial"/>
        <color theme="1"/>
      </rPr>
      <t>[</t>
    </r>
    <r>
      <rPr>
        <rFont val="Arial"/>
        <color rgb="FFFF0000"/>
      </rPr>
      <t>Severely Wounded</t>
    </r>
    <r>
      <rPr>
        <rFont val="Arial"/>
        <color theme="1"/>
      </rPr>
      <t>|Brave|
Tough|Steadfast]</t>
    </r>
  </si>
  <si>
    <t>Babylon</t>
  </si>
  <si>
    <t>The Eduba</t>
  </si>
  <si>
    <t xml:space="preserve"> +1 discipline
+Estranged</t>
  </si>
  <si>
    <t xml:space="preserve"> +Spoiled
+Endeared</t>
  </si>
  <si>
    <t>requires Court Minister</t>
  </si>
  <si>
    <t>Study of the Stars</t>
  </si>
  <si>
    <t xml:space="preserve"> +150 Civics
+Influenced
requires leader Scholar</t>
  </si>
  <si>
    <t xml:space="preserve"> +150 civics
+Disappointed</t>
  </si>
  <si>
    <t xml:space="preserve"> +24 civics
+Influenced</t>
  </si>
  <si>
    <t>Paideia</t>
  </si>
  <si>
    <t>Persian Education</t>
  </si>
  <si>
    <t xml:space="preserve"> +Ranger</t>
  </si>
  <si>
    <t xml:space="preserve"> +Righteous</t>
  </si>
  <si>
    <t>Hittite</t>
  </si>
  <si>
    <t>The City Gates</t>
  </si>
  <si>
    <t xml:space="preserve"> +Bold
+Brave</t>
  </si>
  <si>
    <t xml:space="preserve"> +Vigilant
+Tracker</t>
  </si>
  <si>
    <t xml:space="preserve"> +Divine</t>
  </si>
  <si>
    <t>requires student to be child of leader</t>
  </si>
  <si>
    <t>Time to rejoice</t>
  </si>
  <si>
    <t xml:space="preserve">Extra event at 18 beside the default, so higher chance for these two?! 25% weight 1 </t>
  </si>
  <si>
    <t>Beloved Mentor</t>
  </si>
  <si>
    <r>
      <rPr>
        <rFont val="Arial"/>
        <color theme="1"/>
      </rPr>
      <t>[Intelligent|Inspiring|
Eloquent|</t>
    </r>
    <r>
      <rPr>
        <rFont val="Arial"/>
        <color rgb="FFFF0000"/>
      </rPr>
      <t>Insane</t>
    </r>
    <r>
      <rPr>
        <rFont val="Arial"/>
        <color theme="1"/>
      </rPr>
      <t>]</t>
    </r>
  </si>
  <si>
    <t>gain Court Scholar</t>
  </si>
  <si>
    <t>Monkey Philosophy</t>
  </si>
  <si>
    <t>[Pathfinder|Cultivator|
Equestrian|Tracker]
+Pet Monkey Owner</t>
  </si>
  <si>
    <t xml:space="preserve"> +Educated
leader +Pet Monkey Owner</t>
  </si>
  <si>
    <t xml:space="preserve"> +Strict +Bitter</t>
  </si>
  <si>
    <t>Forced into last choice if leader is Terrifying otherwise choice between first two</t>
  </si>
  <si>
    <t>Request for Tools</t>
  </si>
  <si>
    <t xml:space="preserve"> -300 Money
[Herbalist|Carpenter|Educated]</t>
  </si>
  <si>
    <t xml:space="preserve"> +Disappointed
+Frugal</t>
  </si>
  <si>
    <t>On Wealth</t>
  </si>
  <si>
    <t xml:space="preserve"> +Ascetic</t>
  </si>
  <si>
    <t>-1 charisma +1 discipline</t>
  </si>
  <si>
    <t xml:space="preserve"> +2 charisma +Debauched</t>
  </si>
  <si>
    <t>Esoteric Arts</t>
  </si>
  <si>
    <t xml:space="preserve"> +Herbalist</t>
  </si>
  <si>
    <t xml:space="preserve"> +Pious</t>
  </si>
  <si>
    <t>Uncanny</t>
  </si>
  <si>
    <t xml:space="preserve"> +24 science</t>
  </si>
  <si>
    <t xml:space="preserve"> +40 EXP
[Inspiring|Insane]</t>
  </si>
  <si>
    <r>
      <rPr>
        <rFont val="Arial"/>
        <color theme="1"/>
      </rPr>
      <t xml:space="preserve">IF leader Inqusitive
</t>
    </r>
    <r>
      <rPr>
        <rFont val="Arial"/>
        <color rgb="FF00FF00"/>
      </rPr>
      <t>gain Random Tech</t>
    </r>
  </si>
  <si>
    <t>requires no archtype yet</t>
  </si>
  <si>
    <t>The Shoemaker</t>
  </si>
  <si>
    <t>[Witty, Humble, Righteous, Bold]</t>
  </si>
  <si>
    <t xml:space="preserve"> +1 discipline
leader +Strict</t>
  </si>
  <si>
    <t>Negative</t>
  </si>
  <si>
    <t>Kindred Spirits</t>
  </si>
  <si>
    <t xml:space="preserve"> +Miserable</t>
  </si>
  <si>
    <r>
      <rPr>
        <rFont val="Arial"/>
        <color theme="1"/>
      </rPr>
      <t xml:space="preserve"> +Love interest 
</t>
    </r>
    <r>
      <rPr>
        <rFont val="Arial"/>
        <color rgb="FFFF0000"/>
      </rPr>
      <t>-Student</t>
    </r>
    <r>
      <rPr>
        <rFont val="Arial"/>
        <color theme="1"/>
      </rPr>
      <t xml:space="preserve">
+Romantic (leader)</t>
    </r>
  </si>
  <si>
    <t>IF leader Schemer
Assassinate love interest</t>
  </si>
  <si>
    <t>Requires love interest of opposite sex of different family and Spymaster</t>
  </si>
  <si>
    <t>Work of Art</t>
  </si>
  <si>
    <t xml:space="preserve"> +Estranged
+40 EXP</t>
  </si>
  <si>
    <t xml:space="preserve"> -2 discipline +Artist
possible future events</t>
  </si>
  <si>
    <t>A Delicate Matter</t>
  </si>
  <si>
    <r>
      <rPr>
        <rFont val="Arial"/>
        <color theme="1"/>
      </rPr>
      <t xml:space="preserve"> +Estranged
</t>
    </r>
    <r>
      <rPr>
        <rFont val="Arial"/>
        <color rgb="FFFF0000"/>
      </rPr>
      <t>-Student</t>
    </r>
  </si>
  <si>
    <t xml:space="preserve"> -200 Money
+Extravagant</t>
  </si>
  <si>
    <t xml:space="preserve"> +Wanton</t>
  </si>
  <si>
    <t>There's at least on great event for Extravagant leaders</t>
  </si>
  <si>
    <t>Cinnabar Tragedies</t>
  </si>
  <si>
    <r>
      <rPr>
        <rFont val="Arial"/>
        <color theme="1"/>
      </rPr>
      <t xml:space="preserve"> +Endeared
</t>
    </r>
    <r>
      <rPr>
        <rFont val="Arial"/>
        <color rgb="FFFF0000"/>
      </rPr>
      <t>leader +Bitter</t>
    </r>
  </si>
  <si>
    <t xml:space="preserve"> +Disappointed
leader +Strict</t>
  </si>
  <si>
    <t xml:space="preserve"> +Insane</t>
  </si>
  <si>
    <t>Young Love</t>
  </si>
  <si>
    <t>leader +Vigilant</t>
  </si>
  <si>
    <t>leader +Romantic</t>
  </si>
  <si>
    <t xml:space="preserve"> +Missing</t>
  </si>
  <si>
    <t>Requires Spymaster. Missing people can return but other events are supressed for them including coming of age AFAIK</t>
  </si>
  <si>
    <t>The Curse of Agade</t>
  </si>
  <si>
    <t xml:space="preserve"> +2 legitimacy
+Proud</t>
  </si>
  <si>
    <t xml:space="preserve"> -2 legitimacy
+Humble</t>
  </si>
  <si>
    <t>True Nature</t>
  </si>
  <si>
    <t>max three courtiers</t>
  </si>
  <si>
    <t>Nomos</t>
  </si>
  <si>
    <t xml:space="preserve"> +Pious
requires leader Religious</t>
  </si>
  <si>
    <t xml:space="preserve"> +1 discipline
+Naturalist</t>
  </si>
  <si>
    <t>The Immorality of Writers</t>
  </si>
  <si>
    <t xml:space="preserve"> +1 courage
+1 wisdom
requires Phillosophy (law)</t>
  </si>
  <si>
    <t>very likely to trigger before Philosophy (law) becomes available unless you completely forgo Philosophy Study</t>
  </si>
  <si>
    <t>A Thousand Gods</t>
  </si>
  <si>
    <t xml:space="preserve"> +Gracious</t>
  </si>
  <si>
    <t>Excellent Student</t>
  </si>
  <si>
    <t>Wilderness Survival</t>
  </si>
  <si>
    <t>Eager for Combat</t>
  </si>
  <si>
    <t xml:space="preserve"> +Educated</t>
  </si>
  <si>
    <t xml:space="preserve"> +Strict</t>
  </si>
  <si>
    <r>
      <rPr>
        <rFont val="Arial"/>
        <color theme="1"/>
      </rPr>
      <t xml:space="preserve"> +Soldier </t>
    </r>
    <r>
      <rPr>
        <rFont val="Arial"/>
        <color rgb="FFFF0000"/>
      </rPr>
      <t>-Student</t>
    </r>
  </si>
  <si>
    <t>Can only fire without an archtype. Taking Soldier on a non-leader risks getting non-general archetype!</t>
  </si>
  <si>
    <t>Undefeated</t>
  </si>
  <si>
    <t>[Tough|Heckler|Swift]</t>
  </si>
  <si>
    <t>gain Court Soldier</t>
  </si>
  <si>
    <t>Skirmish</t>
  </si>
  <si>
    <t xml:space="preserve"> +1 courage +1 charisma</t>
  </si>
  <si>
    <t xml:space="preserve"> +1 wisdom +1 discipline</t>
  </si>
  <si>
    <t>requires "near" tribe at War; can trigger future event</t>
  </si>
  <si>
    <t>Childhood Friends</t>
  </si>
  <si>
    <t xml:space="preserve"> +20 Opinion for 20 years</t>
  </si>
  <si>
    <t xml:space="preserve"> endeared to/from kid</t>
  </si>
  <si>
    <t>"  "</t>
  </si>
  <si>
    <t>requires upset family</t>
  </si>
  <si>
    <t>The Mongrel</t>
  </si>
  <si>
    <t xml:space="preserve"> +Compassionate</t>
  </si>
  <si>
    <t xml:space="preserve"> +Cruel +Bloodthirsty</t>
  </si>
  <si>
    <t xml:space="preserve"> +Dog Owner</t>
  </si>
  <si>
    <t>Military Diplomacy</t>
  </si>
  <si>
    <t xml:space="preserve"> +Cunning</t>
  </si>
  <si>
    <t xml:space="preserve"> +Besieger</t>
  </si>
  <si>
    <t>Training Accident</t>
  </si>
  <si>
    <t>leader +Mourning</t>
  </si>
  <si>
    <t>leader +20 EXP</t>
  </si>
  <si>
    <t xml:space="preserve"> +Dead </t>
  </si>
  <si>
    <t>Only triggers if student is not blessed</t>
  </si>
  <si>
    <t>Physical Confrontation</t>
  </si>
  <si>
    <t>[Proud|Cruel|Intolerant]
-250 Money</t>
  </si>
  <si>
    <r>
      <rPr>
        <rFont val="Arial"/>
        <color theme="1"/>
      </rPr>
      <t xml:space="preserve"> +Disapointed
</t>
    </r>
    <r>
      <rPr>
        <rFont val="Arial"/>
        <color rgb="FFFF0000"/>
      </rPr>
      <t>-Student</t>
    </r>
  </si>
  <si>
    <t xml:space="preserve"> +Fierce</t>
  </si>
  <si>
    <t>Pincer Attack</t>
  </si>
  <si>
    <t>GeneralX +Influenced
GeneralY +Disappointed</t>
  </si>
  <si>
    <t>GeneralY +Influenced 
GeneralX +Disappointed</t>
  </si>
  <si>
    <t>IF leader Tactician
+1 courage</t>
  </si>
  <si>
    <t>Dire Warning</t>
  </si>
  <si>
    <t>-Tactics Student
+Commerce Student</t>
  </si>
  <si>
    <t>No changes</t>
  </si>
  <si>
    <t>Moral Training</t>
  </si>
  <si>
    <t xml:space="preserve"> +30 Culture +1 courage
-4 Legitimacy</t>
  </si>
  <si>
    <t xml:space="preserve"> +Disappointed
+2 Legitimacy</t>
  </si>
  <si>
    <t>The Agoge</t>
  </si>
  <si>
    <r>
      <rPr>
        <rFont val="Arial"/>
        <color theme="1"/>
      </rPr>
      <t>[</t>
    </r>
    <r>
      <rPr>
        <rFont val="Arial"/>
        <color rgb="FFFF0000"/>
      </rPr>
      <t>Severely Wounded</t>
    </r>
    <r>
      <rPr>
        <rFont val="Arial"/>
        <color theme="1"/>
      </rPr>
      <t>|Tough|
Fierce|Loyal]</t>
    </r>
  </si>
  <si>
    <t>requires Champions family to be present</t>
  </si>
  <si>
    <t>Gymnasium Training</t>
  </si>
  <si>
    <t xml:space="preserve"> +Ranger
-150 training
cityXY Archery Tradition</t>
  </si>
  <si>
    <t xml:space="preserve"> +Tough
-150 training
cityXY Wrestling Tradition</t>
  </si>
  <si>
    <t xml:space="preserve"> +Swift
-150 training
cityXY Equestrian Tradition</t>
  </si>
  <si>
    <t>Chariot Combat</t>
  </si>
  <si>
    <t xml:space="preserve"> +Horsebane</t>
  </si>
  <si>
    <t>Master Oration</t>
  </si>
  <si>
    <t>Golden Voice</t>
  </si>
  <si>
    <t xml:space="preserve"> +Eloquent</t>
  </si>
  <si>
    <t>Best Scholar for Inquiries</t>
  </si>
  <si>
    <t>Airy and Mendacious</t>
  </si>
  <si>
    <t>[Eloquent|Debauched|Schemer]
characterXY +Disappointed</t>
  </si>
  <si>
    <t xml:space="preserve"> +Disappointed
leader conspiring w. characterXY</t>
  </si>
  <si>
    <t>IF leader Charming
+Educated
ledaer +1 charisma
leader conspiring w. characterXY</t>
  </si>
  <si>
    <t>Study of Prophecy</t>
  </si>
  <si>
    <t>[Prophet|Foolish|Zealot]</t>
  </si>
  <si>
    <t xml:space="preserve"> +Disappointed 
leader +1 wisdom</t>
  </si>
  <si>
    <t xml:space="preserve"> -4 orders
gain The Prophet Jonah</t>
  </si>
  <si>
    <t>NationXY Literature</t>
  </si>
  <si>
    <t xml:space="preserve"> +30 culture (Capital?)</t>
  </si>
  <si>
    <t xml:space="preserve"> +2 Legitimacy</t>
  </si>
  <si>
    <t>Lovesick</t>
  </si>
  <si>
    <t xml:space="preserve"> +Romantic</t>
  </si>
  <si>
    <t>Mediator</t>
  </si>
  <si>
    <t xml:space="preserve"> +50 civics</t>
  </si>
  <si>
    <t>2 families 
+20 for 20 years</t>
  </si>
  <si>
    <t>Against the Sophists</t>
  </si>
  <si>
    <t>IF leader 2+ wisdom
+Pious</t>
  </si>
  <si>
    <t>IF leader 2+ courage
+Righteous</t>
  </si>
  <si>
    <t>IF leader 2+ charisma
+Humble</t>
  </si>
  <si>
    <t xml:space="preserve"> +20 EXP</t>
  </si>
  <si>
    <t>Watching the Masters</t>
  </si>
  <si>
    <t xml:space="preserve"> +1 charisma
leader owes favor to OratorX</t>
  </si>
  <si>
    <t xml:space="preserve"> -200 Money
+30 CUlture</t>
  </si>
  <si>
    <t>Wisdom Texts</t>
  </si>
  <si>
    <t xml:space="preserve">Disciplinary Action </t>
  </si>
  <si>
    <t xml:space="preserve"> +1 discipline
+Bitter</t>
  </si>
  <si>
    <t xml:space="preserve"> -100 Money +2 Legit
+Spoiled</t>
  </si>
  <si>
    <t>Cunning ok for leader or as an "out" for the cost one strength slot</t>
  </si>
  <si>
    <t>Youthful Zeal</t>
  </si>
  <si>
    <t xml:space="preserve"> +Endeared
+Spoiled</t>
  </si>
  <si>
    <t xml:space="preserve"> +Estranged
[Humble|Bitter]</t>
  </si>
  <si>
    <t xml:space="preserve"> +Estranged +Imprison
-Student</t>
  </si>
  <si>
    <t>Opposing Views</t>
  </si>
  <si>
    <t>[Graicious|Superstitious]</t>
  </si>
  <si>
    <t>[Educated|Greedy]</t>
  </si>
  <si>
    <t>Immoral Music</t>
  </si>
  <si>
    <t xml:space="preserve"> +Endeared 
-2 Legitimacy</t>
  </si>
  <si>
    <t>IF leader Diplomat
+1 charisma +Artist</t>
  </si>
  <si>
    <t>Royal Hymns</t>
  </si>
  <si>
    <t>Start Law Epics
+Endeared</t>
  </si>
  <si>
    <t xml:space="preserve"> -200 money
+30 culture CityXY</t>
  </si>
  <si>
    <t>Double Arguments</t>
  </si>
  <si>
    <t xml:space="preserve"> +Vigilant</t>
  </si>
  <si>
    <t>requires Traditional character in realm</t>
  </si>
  <si>
    <t>Mousike</t>
  </si>
  <si>
    <t xml:space="preserve"> +Artist
-300 money</t>
  </si>
  <si>
    <t xml:space="preserve"> +1 discipline
+Disappointed
+4 orders</t>
  </si>
  <si>
    <t>The Fairest of Laws</t>
  </si>
  <si>
    <t>Student Emporium</t>
  </si>
  <si>
    <t>add Market in City X</t>
  </si>
  <si>
    <t>gain Caravan</t>
  </si>
  <si>
    <t>IF leader Frugal, Prosperous
    or Cunning
gain Treasury II</t>
  </si>
  <si>
    <t>Bookish Demeanor</t>
  </si>
  <si>
    <t>IF leader Strict
+Estranged
leader +40 EXP</t>
  </si>
  <si>
    <t xml:space="preserve"> -200 Money
[Romantic|Extravagant|
Inspiring|Eloquent]</t>
  </si>
  <si>
    <t xml:space="preserve"> +Disappointed</t>
  </si>
  <si>
    <t>Money or Friends</t>
  </si>
  <si>
    <t xml:space="preserve"> -1 charisma +2 discipline</t>
  </si>
  <si>
    <t xml:space="preserve"> +2 charisma -1 discipline</t>
  </si>
  <si>
    <t>IF leader 2+ wisdom
+Inspiring</t>
  </si>
  <si>
    <t>Number Lists</t>
  </si>
  <si>
    <t>Grain and Wine</t>
  </si>
  <si>
    <t xml:space="preserve"> +Endeared</t>
  </si>
  <si>
    <t>Miseducation of XY</t>
  </si>
  <si>
    <t xml:space="preserve"> +Extravagant</t>
  </si>
  <si>
    <r>
      <rPr>
        <rFont val="Arial"/>
        <color theme="1"/>
      </rPr>
      <t xml:space="preserve"> +1 discipline +Bitter
</t>
    </r>
    <r>
      <rPr>
        <rFont val="Arial"/>
        <color rgb="FFFF0000"/>
      </rPr>
      <t>-Student</t>
    </r>
  </si>
  <si>
    <t>Spendthrift</t>
  </si>
  <si>
    <t xml:space="preserve"> +Estranged
+1 discipline</t>
  </si>
  <si>
    <t xml:space="preserve"> -200 Money
+Influenced</t>
  </si>
  <si>
    <t>Disaster at Sea</t>
  </si>
  <si>
    <r>
      <rPr>
        <rFont val="Arial"/>
        <color rgb="FFFF0000"/>
      </rPr>
      <t xml:space="preserve"> -Student
+Missing</t>
    </r>
    <r>
      <rPr>
        <rFont val="Arial"/>
        <color theme="1"/>
      </rPr>
      <t xml:space="preserve">
leader +Bitter</t>
    </r>
  </si>
  <si>
    <r>
      <rPr>
        <rFont val="Arial"/>
        <color rgb="FFFF0000"/>
      </rPr>
      <t xml:space="preserve">Dies
</t>
    </r>
    <r>
      <rPr>
        <rFont val="Arial"/>
        <color theme="1"/>
      </rPr>
      <t xml:space="preserve">
leader +Mourning</t>
    </r>
  </si>
  <si>
    <t>IF leader Tracker
+Famous
leader +Inspiring</t>
  </si>
  <si>
    <t>Very bad event. Tracker isn't desirable on a leader. And the only way to have the kid survive also loses the Student status so no control over the archtype</t>
  </si>
  <si>
    <t>Drunken Misconduct</t>
  </si>
  <si>
    <t>[Affable|Drunk|Wanton]
All families -40 for 20years</t>
  </si>
  <si>
    <r>
      <rPr>
        <rFont val="Arial"/>
        <color rgb="FFFF0000"/>
      </rPr>
      <t xml:space="preserve"> -Student</t>
    </r>
    <r>
      <rPr>
        <rFont val="Arial"/>
        <color theme="1"/>
      </rPr>
      <t xml:space="preserve">
+Slothful</t>
    </r>
  </si>
  <si>
    <t>Hemp Addiction</t>
  </si>
  <si>
    <t xml:space="preserve"> +Herbalist
All families -40 for 20years</t>
  </si>
  <si>
    <r>
      <rPr>
        <rFont val="Arial"/>
        <color rgb="FFFF0000"/>
      </rPr>
      <t xml:space="preserve"> -Student </t>
    </r>
    <r>
      <rPr>
        <rFont val="Arial"/>
        <color theme="1"/>
      </rPr>
      <t xml:space="preserve">
+Debauched</t>
    </r>
  </si>
  <si>
    <t>IF leader Schemer
+Schemer +Herbalist</t>
  </si>
  <si>
    <t xml:space="preserve"> +Poisoned</t>
  </si>
  <si>
    <t>Pay to Play</t>
  </si>
  <si>
    <t xml:space="preserve"> +1 charisma
+Corrupt</t>
  </si>
  <si>
    <t>-1 charisma
+Righteous</t>
  </si>
  <si>
    <t>requires Greedy character in realm</t>
  </si>
  <si>
    <t>Sexagesimal Numbers</t>
  </si>
  <si>
    <t xml:space="preserve"> +Intelligent</t>
  </si>
  <si>
    <t>Clientela</t>
  </si>
  <si>
    <t>-300 Money
+Influenced</t>
  </si>
  <si>
    <t>-150 Money
owes favor to leader</t>
  </si>
  <si>
    <t xml:space="preserve"> +Delver</t>
  </si>
  <si>
    <t xml:space="preserve"> +Highlander</t>
  </si>
  <si>
    <t>requires City with Walls</t>
  </si>
  <si>
    <t>Resource Type</t>
  </si>
  <si>
    <t>Event Name</t>
  </si>
  <si>
    <t>Event Description</t>
  </si>
  <si>
    <t>Option 1 Text</t>
  </si>
  <si>
    <t>Option 1 Effects</t>
  </si>
  <si>
    <t>Option 2 Text</t>
  </si>
  <si>
    <t>Option 2 Effects</t>
  </si>
  <si>
    <t>Option 3 Text</t>
  </si>
  <si>
    <t>Option 3 Effects</t>
  </si>
  <si>
    <t>CAMEL</t>
  </si>
  <si>
    <t>Camel Bite</t>
  </si>
  <si>
    <t>Our scout was bitten while corralling a caravan of camels, and he will need to take some time to recover from his injury. This particular breed of creature has a cruel disposition.</t>
  </si>
  <si>
    <t>Have the whole caravan slaughtered for meat.</t>
  </si>
  <si>
    <t>Food Gain Small</t>
  </si>
  <si>
    <t>Give the camels to the and be rid of them.</t>
  </si>
  <si>
    <t>Humping Resources Home</t>
  </si>
  <si>
    <t>While organizing the camel train, one of our Scouts correctly pointed out that the camels might as well carry some resources back with them. It should be possible to bring either a large load of food or a smaller amount of Iron without slowing their progress.</t>
  </si>
  <si>
    <t>Bring Food.</t>
  </si>
  <si>
    <t>Food Gain Large</t>
  </si>
  <si>
    <t>We need Iron</t>
  </si>
  <si>
    <t>Iron Gain Small</t>
  </si>
  <si>
    <t>CITRUS</t>
  </si>
  <si>
    <t>Citrus Remedy</t>
  </si>
  <si>
    <t>Scientists in claim that eating citrus fruit can help combat the withering effects of a long sea voyage. It is a controversial position, but one worth considering. Our scout's latest harvest of citrus could take the usual route into the hands of local merchants, or we could divert it to the shipyards and sailors.</t>
  </si>
  <si>
    <t>Our brave crews should have them.</t>
  </si>
  <si>
    <t>Training Gain Large</t>
  </si>
  <si>
    <t>This remedy has not yet been proven.</t>
  </si>
  <si>
    <t>Medicinal Fruits</t>
  </si>
  <si>
    <t>The influx of Citrus fruits, which are not only tasty but well-known to counteract poison, into has promoted a wave of good healthThis in turn will lead to increased growth.</t>
  </si>
  <si>
    <t>Good for</t>
  </si>
  <si>
    <t>Growth Gain Average</t>
  </si>
  <si>
    <t>CRAB</t>
  </si>
  <si>
    <t>Crab Controversy</t>
  </si>
  <si>
    <t>Our Scout has developed a strange theory after observing a consortium of Crabs. He has come to the conclusion that crabs have the ideal form and that over a long enough time scale, all life will develop into a more crab-like form. As a result, he recommends our military leaders study these crabs and learn from them.</t>
  </si>
  <si>
    <t>It’s unconventional, but give it a try.</t>
  </si>
  <si>
    <t>Training Gain Average</t>
  </si>
  <si>
    <t>What nonsense, cook them up</t>
  </si>
  <si>
    <t>Rescue at Sea</t>
  </si>
  <si>
    <t>In an attempt to collect more crabs than his nets allow, our scout capsizes his boat and must be rescued by local fishermen. Afterwards, these friendly gatherers have expressed an interest in migrating to to start a new life. Where shall they settle?</t>
  </si>
  <si>
    <t>We need fishers in .</t>
  </si>
  <si>
    <t>Harvest Rescue At Sea Option 0 City 0</t>
  </si>
  <si>
    <t>Harvest Rescue At Sea Option 1 City 1</t>
  </si>
  <si>
    <t>Sea for Ourselves</t>
  </si>
  <si>
    <t>Seafood is becoming an increasingly prized delicacy in the capital since being popularized by recent expeditions. This might present an opportunity.</t>
  </si>
  <si>
    <t>Profit from the rarity.</t>
  </si>
  <si>
    <t>Money Gain Average</t>
  </si>
  <si>
    <t>Aim to expand operations.</t>
  </si>
  <si>
    <t>Sea For Ourselves Expand</t>
  </si>
  <si>
    <t>DYE</t>
  </si>
  <si>
    <t>Rose Madder</t>
  </si>
  <si>
    <t>In the recent harvest, gatherers discover a collection of herbs and flowering plants with a variety of properties. Most striking, however, is how this plant produces a bright red pigment for paints and colored fabric. Scientists have begun to investigate this herb with earnest, discovering many uses.</t>
  </si>
  <si>
    <t>Crimson dyes will enhance our garments and art.</t>
  </si>
  <si>
    <t>Culture Gain Tiny</t>
  </si>
  <si>
    <t>Let us explore cultivating more of this plant.</t>
  </si>
  <si>
    <t>City Add Resource Dye</t>
  </si>
  <si>
    <t>This herb may hold medicinal properties.</t>
  </si>
  <si>
    <t>Science Gain Small</t>
  </si>
  <si>
    <t>To Dye for</t>
  </si>
  <si>
    <t>We have discovered a source of rich purple Dye, a most unusual colour. Purple garments would be a sign of great prestige, so the question is, who should be allowed to wear them?</t>
  </si>
  <si>
    <t>I, and only I</t>
  </si>
  <si>
    <t>Wore Purple; Legitimacy: +3; Purple Dye</t>
  </si>
  <si>
    <t>I will also allow the family to wear purple.</t>
  </si>
  <si>
    <t>Wore purple; Legitimacy: +1; Shared Purple; Purple Family</t>
  </si>
  <si>
    <t>Anyone who can afford them, may wear them.</t>
  </si>
  <si>
    <t>Culture Gain Huge</t>
  </si>
  <si>
    <t>ELEPHANT</t>
  </si>
  <si>
    <t>Beast of Burden</t>
  </si>
  <si>
    <t>One of the elephants in the newly discovered herd appears to have been domesticated. It wears a saddle and military ornamentation. Perhaps we can remind the beast of its training.</t>
  </si>
  <si>
    <t>Let the beast live a peaceful life in a city zoo.</t>
  </si>
  <si>
    <t>Culture Gain Large</t>
  </si>
  <si>
    <t>Train the beast to lead our troops in battle.</t>
  </si>
  <si>
    <t>Harvest Beast Of Burden Option 1 City</t>
  </si>
  <si>
    <t>Carrying Capacity</t>
  </si>
  <si>
    <t>As our Scouts organise the herd of Elephants for their drive to , they point out that such large creatures can surely carry a lot of resources. It would be quite easy to bring along a load of Wood or Stone, depending which you would prefer.</t>
  </si>
  <si>
    <t>Wood.</t>
  </si>
  <si>
    <t>Wood Gain Large</t>
  </si>
  <si>
    <t>Stone.</t>
  </si>
  <si>
    <t>Stone Gain Large</t>
  </si>
  <si>
    <t>Mythical Beasts</t>
  </si>
  <si>
    <t>People cower in fear as the recently harvested link(RESOURCE_ELEPHANT) are led through the streets of . The rumors are that these creatures can live for 300 years, bite off the heads of men, and that even their smell strikes fear into horses. To find such mythic beasts reflects well on your dynasty. The scouts excitedly discuss how they might find a manticore next.</t>
  </si>
  <si>
    <t>Use their likeness on our coins as a symbol of power.</t>
  </si>
  <si>
    <t>Adopted an elephant as a royal symbol; Legitimacy: +2; Mythical Beasts</t>
  </si>
  <si>
    <t>Order more research on these fascinating creatures.</t>
  </si>
  <si>
    <t>Science Gain Average</t>
  </si>
  <si>
    <t>To inspire such fear must mean an affinity to the divine.</t>
  </si>
  <si>
    <t>Culture Gain Average</t>
  </si>
  <si>
    <t>FISH</t>
  </si>
  <si>
    <t>Capsized</t>
  </si>
  <si>
    <t>Court scientist recently joined a fishing expedition to research latest work, a treatise on marine life and fishing techniques. Unfortunately, fell from boat, was trapped in a tangle of nets, and was prodded with many barbed tridents before rescue. The poor has suffered numerous misfortunes, but perhaps we can ease the pain.</t>
  </si>
  <si>
    <t>Allow to publish treatise.</t>
  </si>
  <si>
    <t>Leader Influenced By</t>
  </si>
  <si>
    <t>Send on a royal research expedition.</t>
  </si>
  <si>
    <t>Harvest Capsized Option 1 Character 0</t>
  </si>
  <si>
    <t>Build a fishery to practice new methods.</t>
  </si>
  <si>
    <t>Harvest Capsized Option 2 Tile</t>
  </si>
  <si>
    <t>Seeing Serpents</t>
  </si>
  <si>
    <t>While out catching Fish, our scout reports seeing a terrible serpent in the water, “its jaws were large enough to admit a man on horseback, and each flake of its horny scales exceeded an oblong shield in length” Theories abound as to what this could have been.</t>
  </si>
  <si>
    <t>What an amazing creature</t>
  </si>
  <si>
    <t>We must be prepared if it poses a danger.</t>
  </si>
  <si>
    <t>Add Trait: VIGILANT; Seeing Serpents Scary</t>
  </si>
  <si>
    <t>FUR</t>
  </si>
  <si>
    <t>A Fortune in Furs</t>
  </si>
  <si>
    <t>The bountiful harvest of Fur is far too much to be sold in alone, but perhaps merchants in would be willing to buy our excess?</t>
  </si>
  <si>
    <t>Let enjoy our Fur, for a price of course.</t>
  </si>
  <si>
    <t>Money Gain Huge</t>
  </si>
  <si>
    <t>I’d rather the Fur rots than benefit from our work</t>
  </si>
  <si>
    <t>Legitimacy: +2; Fortune In Furs</t>
  </si>
  <si>
    <t>Luxury or Utility</t>
  </si>
  <si>
    <t>With the recent acquisition of fine fur, your has asked servants for the creation of new fashions to showcase the luxury. However, several members of the court wish to use the warm material to outfit our soldiers, who suffer in cold conditions.</t>
  </si>
  <si>
    <t>Grant desired garments.</t>
  </si>
  <si>
    <t>Leader Endeared To; Harvest Luxury Or Utility Option 0 Leader</t>
  </si>
  <si>
    <t>Give the fur to our brave soldiers.</t>
  </si>
  <si>
    <t>Add Trait: HIGHLANDER; Give Trait Highlander</t>
  </si>
  <si>
    <t>GAME</t>
  </si>
  <si>
    <t>Hunting Accident</t>
  </si>
  <si>
    <t>While bringing down wild game, one of your hunter's arrows strikes a well dressed woman pursuing the same prey. It is soon apparent both that her injuries are not fatal, and that a crest marks her as royal blood of the line ofWhat do you do?</t>
  </si>
  <si>
    <t>Make a legal claim to local hunting rights, and imprison the young noble as a poacher.</t>
  </si>
  <si>
    <t>Claimed royal hunting grounds; Legitimacy: +2; Harvest Hunting Accident Hostage; Harvest Hunting Accident Player</t>
  </si>
  <si>
    <t>Provide for her recovery and send her on her way.</t>
  </si>
  <si>
    <t>Add Trait: COMPASSIONATE; Give Trait Compassionate</t>
  </si>
  <si>
    <t>Taking Trophies</t>
  </si>
  <si>
    <t>Amidst the herd of Deer being harvested, one specimen stands out by having a truly magnificent set of antlers. Its head would make an excellent trophy, even if you didn’t hunt it down yourself.</t>
  </si>
  <si>
    <t>Indeed, off with its head</t>
  </si>
  <si>
    <t>Collected a truly magnificent set of antlers; Legitimacy: +2; Taking Trophies</t>
  </si>
  <si>
    <t>No, it wouldn’t be right.</t>
  </si>
  <si>
    <t>Xp Character Average</t>
  </si>
  <si>
    <t>Tough Game</t>
  </si>
  <si>
    <t>The game here has a tough, sinewy texture, and the flavor leaves much to be desired. However, when boiled and treated, the animals' insides can be used for many practical purposes.</t>
  </si>
  <si>
    <t>Research new uses for these products.</t>
  </si>
  <si>
    <t>Breed more of them for their parts.</t>
  </si>
  <si>
    <t>Harvest Tough Game Option 1 Tile</t>
  </si>
  <si>
    <t>GEM</t>
  </si>
  <si>
    <t>Minor Problems</t>
  </si>
  <si>
    <t>Our scouts report finding an abandoned gem mine. There are a number of loose gems which can be easily taken, but there is also a much larger gem further in atop some kind of altar. The scouts report an ominous feeling emanating from the large gem and refuse to touch it without direct orders.</t>
  </si>
  <si>
    <t>The small gems will do.</t>
  </si>
  <si>
    <t>Fools, bring me that large gem</t>
  </si>
  <si>
    <t>Large Gem</t>
  </si>
  <si>
    <t>Standoff</t>
  </si>
  <si>
    <t>As our scouts explore the newly discovered gem deposit, they come upon a small band of who are also interested in the rich vein. Both groups regard the other suspiciously, and they wait for someone to make the first move.</t>
  </si>
  <si>
    <t>Continue with our harvesting.</t>
  </si>
  <si>
    <t>Add Trait: GREEDY; Harvest Standoff Option 0 Character</t>
  </si>
  <si>
    <t>Offer some of our bounty to the .</t>
  </si>
  <si>
    <t>Harvest Standoff Option 1 Player</t>
  </si>
  <si>
    <t>GOAT</t>
  </si>
  <si>
    <t>Filthy Animals</t>
  </si>
  <si>
    <t>Several days after shepherding a group of wild goats to the palace, the goatherd falls ill. Various members of his family also get sick. It seems the goats have brought disease with them. Now exhibits similar symptoms. We should act fast to contain this potential outbreak.</t>
  </si>
  <si>
    <t>The cooks should dispose of all meat in the kitchens.</t>
  </si>
  <si>
    <t>Harvest Filthy Animals Option 0 Character 1</t>
  </si>
  <si>
    <t>must remain isolated.</t>
  </si>
  <si>
    <t>Harvest Filthy Animals Option 1 Character 0</t>
  </si>
  <si>
    <t>We must study this sickness to learn all we can.</t>
  </si>
  <si>
    <t>Add Project: OUTBREAK; Science Gain Small; Eventstory Mysterious Sickness City</t>
  </si>
  <si>
    <t>Getting Goats</t>
  </si>
  <si>
    <t>The herd of goats has been driven to and we must decide what to do with them. They could simply be slaughtered for food, or the herd could be allowed to graze and provide benefits over the long run.</t>
  </si>
  <si>
    <t>We need the food now</t>
  </si>
  <si>
    <t>Growth Gain Large; Food Gain Large</t>
  </si>
  <si>
    <t>Allow them to graze.</t>
  </si>
  <si>
    <t>City Add Resource Goat</t>
  </si>
  <si>
    <t>GOLD</t>
  </si>
  <si>
    <t>All that Glitters</t>
  </si>
  <si>
    <t>Thanks to the recently discovered cache of gold, ministers in plan to fund the construction of a new royal treasury. Of course, this windfall may be better spent on the people than on ourselves.</t>
  </si>
  <si>
    <t>I welcome another place of royal wealth.</t>
  </si>
  <si>
    <t>Add Project: TREASURY_2; Harvest All That Glitters Option 0 City</t>
  </si>
  <si>
    <t>Our people deserve the wealth of knowledge.</t>
  </si>
  <si>
    <t>Happiness: +1; Happiness Up</t>
  </si>
  <si>
    <t>The Coin Question</t>
  </si>
  <si>
    <t>The windfall of gold flowing into gives you an opportunity. A new series of coins can be minted, but should they bear your face or honor the brave soldiers who defend ?</t>
  </si>
  <si>
    <t>Me, of course.</t>
  </si>
  <si>
    <t>Put my face on a coin; Legitimacy: +2; Coin Face</t>
  </si>
  <si>
    <t>Our defenders, no question</t>
  </si>
  <si>
    <t>HORSE</t>
  </si>
  <si>
    <t>Horsing Around</t>
  </si>
  <si>
    <t>A herd of horses will be extremely useful, but should the best specimens be used to carry your messages or to carry your warriors?</t>
  </si>
  <si>
    <t>My messages are my weapons.</t>
  </si>
  <si>
    <t>Orders Gain Average</t>
  </si>
  <si>
    <t>My warriors are my weapons.</t>
  </si>
  <si>
    <t>Horsing Goal</t>
  </si>
  <si>
    <t>Wild Horses</t>
  </si>
  <si>
    <t>When the recently discovered horses reach , your servants inquire as to how the beasts should be used. There is always a need for work animals in the capital, but the decision of how they will be used remains, as always, with you.</t>
  </si>
  <si>
    <t>Provide them to military trainers.</t>
  </si>
  <si>
    <t>Training Gain Small</t>
  </si>
  <si>
    <t>Give them to farmers to work the fields.</t>
  </si>
  <si>
    <t>Growth Gain Small</t>
  </si>
  <si>
    <t>Harness them for war.</t>
  </si>
  <si>
    <t>Unitclass Melee Cavalry</t>
  </si>
  <si>
    <t>INCENSE</t>
  </si>
  <si>
    <t>Pleasant Scents</t>
  </si>
  <si>
    <t>Incense has a wonderful smell, but the question is where to put it to best use. It could be used around your palace, increasing the royal mystique, or it could be used to improve the atmosphere in the more crowded public areas of .</t>
  </si>
  <si>
    <t>Overawed people won’t dare revolt</t>
  </si>
  <si>
    <t>Impressed my people with incense; Legitimacy: +2; Smells Good</t>
  </si>
  <si>
    <t>Less revolting people will be happier.</t>
  </si>
  <si>
    <t>Ritual Scent</t>
  </si>
  <si>
    <t>The positive effects of the recently harvested incense have made it highly prized by groups. They wish to obtain the entire crop for their ceremonies to keep harmful spirits away, but many in wish to use it for the simple purpose of improving daily life.</t>
  </si>
  <si>
    <t>Hold the incense for the population of .</t>
  </si>
  <si>
    <t>Happiness Gain Small</t>
  </si>
  <si>
    <t>Allow the to use it for rituals.</t>
  </si>
  <si>
    <t>Harvest Ritual Scent Option 1 Religion</t>
  </si>
  <si>
    <t>MARBLE</t>
  </si>
  <si>
    <t>Corner the Market</t>
  </si>
  <si>
    <t>The style of marble recently discovered has fetched a high price in the local bazaars, and noble families wish to raise prices to corner the market. What shall we tell merchants?</t>
  </si>
  <si>
    <t>Reduce the price so more can afford it.</t>
  </si>
  <si>
    <t>Raise prices to ensure its rarity.</t>
  </si>
  <si>
    <t>Harvest Corner The Market Option 1 Character</t>
  </si>
  <si>
    <t>Marble Madness</t>
  </si>
  <si>
    <t>The latest fashion for the upper class in is to adorn the gates of their estate with beautifully carved marble statues. As the recently discovered marble is of an especially fine quality, it has caused a bidding war of noble families seeking to out-shine their rivals. Of course, as you have the right to decide what is done with it.</t>
  </si>
  <si>
    <t>My gate could use a statue.</t>
  </si>
  <si>
    <t>Built a gate statue; Legitimacy: +2; Marble Madness Gate</t>
  </si>
  <si>
    <t>Give it to as a goodwill gesture.</t>
  </si>
  <si>
    <t>Leader Owes Favor To</t>
  </si>
  <si>
    <t>Sell it to the highest bidder.</t>
  </si>
  <si>
    <t>Money Gain Large</t>
  </si>
  <si>
    <t>OLIVE</t>
  </si>
  <si>
    <t>Multipurpose Oil</t>
  </si>
  <si>
    <t>A sudden glut of Olive Oil in presents several opportunities. The army could make use of it for military applications, learned men could investigate additional ways to manipulate it, or we could simply allow the citizens of to enjoy the oil themselves.</t>
  </si>
  <si>
    <t>Make the army a well-oiled machine.</t>
  </si>
  <si>
    <t>Lubricate the minds of our researchers</t>
  </si>
  <si>
    <t>Science Gain Large</t>
  </si>
  <si>
    <t>Let the people use it as they will.</t>
  </si>
  <si>
    <t>Olive Oil</t>
  </si>
  <si>
    <t>A large supply of fresh olive oil has been pressed with the recently harvested crop of olives. The timing is fortunate. Both and have developed an affinity for our olive oil, and this rich reserve would make an excellent gift.</t>
  </si>
  <si>
    <t>Send the olive oil to .</t>
  </si>
  <si>
    <t>Harvest Olive Oil Option 0 Player 0</t>
  </si>
  <si>
    <t>Harvest Olive Oil Option 1 Player 1</t>
  </si>
  <si>
    <t>Why waste such a luxury on foreigners?</t>
  </si>
  <si>
    <t>Harvest Olive Oil Option 2 Character</t>
  </si>
  <si>
    <t>ORE</t>
  </si>
  <si>
    <t>Marvelous Specimens</t>
  </si>
  <si>
    <t>Deep in the ore deposits, our scouts unearth a collection of strange and marvelous specimens. Although these impressions resemble fish and birds found in our lakes and forests, they exhibit many strange characteristics.</t>
  </si>
  <si>
    <t>We must examine these puzzling remains.</t>
  </si>
  <si>
    <t>Send to investigate these strange creatures.</t>
  </si>
  <si>
    <t>Harvest Marvelous Specimens Option 1 Character 1</t>
  </si>
  <si>
    <t>Swords or Science?</t>
  </si>
  <si>
    <t>While the obvious use for a fresh batch of Ore is to forge swords and armor, some of our blacksmiths instead wish to use it to experiment with new casting techniques in the hopes of learning something new.</t>
  </si>
  <si>
    <t>Swords</t>
  </si>
  <si>
    <t>PEARL</t>
  </si>
  <si>
    <t>Pearl Divers</t>
  </si>
  <si>
    <t>Our scouts have encountered a group of experienced pearl divers off the coast. For a small contribution, these brave men and women are willing to add more treasures to our harvest. Both the and families have expressed a desire for more pearls. Perhaps this is an opportunity to win favor on the court.</t>
  </si>
  <si>
    <t>Fund an expedition and send pearls to the .</t>
  </si>
  <si>
    <t>Harvest Pearl Divers Option 0 Family 0; Money Loss Minimal</t>
  </si>
  <si>
    <t>Harvest Pearl Divers Option 1 Family 1; Money Loss Minimal</t>
  </si>
  <si>
    <t>Support the dive, and I will take the pearls.</t>
  </si>
  <si>
    <t>Harvest Pearl Divers Option 2 City</t>
  </si>
  <si>
    <t>Perfect Pearls</t>
  </si>
  <si>
    <t>News has reached that a batch of particularly perfect pearls have been discovered recently. Many local artists have expressed interest in working together to create a beautiful mosaic in the city square with them. While this would likely attract many admirers, there’s also something to be said for simply selling the pearls and pocketing the money.</t>
  </si>
  <si>
    <t>the beautiful</t>
  </si>
  <si>
    <t>the rich</t>
  </si>
  <si>
    <t>PIG</t>
  </si>
  <si>
    <t>Feral Hogs</t>
  </si>
  <si>
    <t>A terrible mishap has caused over 30 recently caught wild pigs to escape and run loose around , presenting a grave danger to local children. How can they be best killed?</t>
  </si>
  <si>
    <t>The army could use some target practice</t>
  </si>
  <si>
    <t>Tell the people they may eat any pig they kill.</t>
  </si>
  <si>
    <t>Pig in the Palace</t>
  </si>
  <si>
    <t>Somehow, a wild pig has appeared inside the palace. Its squeals fill the corridors, as courtiers and servants scurry for safetyYou suspect that the beast was in the drove of pigs recently brought back to from the wilderness. You also suspect that young set it loose.</t>
  </si>
  <si>
    <t>I will help my raise it.</t>
  </si>
  <si>
    <t>Add Trait: NATURALIST; Harvest Pig In The Palace Option 0 Character 1</t>
  </si>
  <si>
    <t>Roast it for a grand banquet.</t>
  </si>
  <si>
    <t>Project Festival 1</t>
  </si>
  <si>
    <t>SALT</t>
  </si>
  <si>
    <t>Great Potential</t>
  </si>
  <si>
    <t>Examining the latest salt harvest, scientists and merchants recognize the potential for large-scale salt production for food preservation and nutrition. , governor of , requests that we provide funds from the treasury to develop this process for city.</t>
  </si>
  <si>
    <t>Proceed with research into salt production.</t>
  </si>
  <si>
    <t>Add Project: SALT_PRODUCTION; Harvest Great Potential Option 0 City; Money Loss Small</t>
  </si>
  <si>
    <t>The court cannot fund this project now.</t>
  </si>
  <si>
    <t>Harvest Great Potential Option 1</t>
  </si>
  <si>
    <t>Salty Sauce</t>
  </si>
  <si>
    <t>The flow of Salt into has spurred a wave of culinary innovation, most notably it has resulted in a delicious sauce made by fermenting the guts of fish in brine. People in are already using this sauce in almost all their cooking, and doubtless it will soon spread throughout all</t>
  </si>
  <si>
    <t>I must try some</t>
  </si>
  <si>
    <t>SHEEP</t>
  </si>
  <si>
    <t>Counting Sheep</t>
  </si>
  <si>
    <t>The flock of sheep has been driven to and we must decide what to do with them. They could simply be slaughtered for food, or the flock could be allowed to graze and provide benefits over the long run.</t>
  </si>
  <si>
    <t>City Add Resource Sheep</t>
  </si>
  <si>
    <t>The Lame and Sick</t>
  </si>
  <si>
    <t>The shepherds of regularly give the finest of their flock to the temples as a tribute. God demands that sacrifices be 'without blemish', but the shepherds have started keeping the best of the flocks to themselves, and handing over lame and sick sheep instead. The priests have found this out, and are asking that the shepherds be made to give only those sacrificial lambs that are worthy of God.</t>
  </si>
  <si>
    <t>Give the finest of the shepherds flocks to the priests.</t>
  </si>
  <si>
    <t>Supported Faith Yes; Discontent Gain Average</t>
  </si>
  <si>
    <t>Allow the shepherds to continue.</t>
  </si>
  <si>
    <t>Supported Faith No; Happiness Gain Average</t>
  </si>
  <si>
    <t>Young Shepherd</t>
  </si>
  <si>
    <t>As our scout herds the recently discovered sheep, he discovers a young girl tending to the animals. She appears to be child who has wandered far from her tribe. She is alone but for her small, loyal flock.</t>
  </si>
  <si>
    <t>She may come to with her sheep.</t>
  </si>
  <si>
    <t>Harvest Young Shepherd Option 0 City</t>
  </si>
  <si>
    <t>She will be given a proper childhood.</t>
  </si>
  <si>
    <t>Harvest Young Shepherd Option 1 Character</t>
  </si>
  <si>
    <t>She must be returned to the .</t>
  </si>
  <si>
    <t>Harvest Young Shepherd Option 2 Barbarian</t>
  </si>
  <si>
    <t>SILVER</t>
  </si>
  <si>
    <t>Caught in the Act</t>
  </si>
  <si>
    <t>Our scout was recently caught pilfering a wagonload of newly discovered silver, and he is now brought before the court for justice. The man pleads for his life, hoping that a life of service to the throne will be enough to earn his freedom.</t>
  </si>
  <si>
    <t>These crimes cannot go unpunished.</t>
  </si>
  <si>
    <t>Kill Unit; Disciplined a thieving scout; Legitimacy: +2; Add Trait: STRICT; Harvest Caught In The Act Option 0 Unit; Harvest Caught In The Act Option 0 Character</t>
  </si>
  <si>
    <t>He is more valuable doing his duty.</t>
  </si>
  <si>
    <t>Allowed a scout to steal silver; Legitimacy: -2; Harvest Caught In The Act Option 1 Character</t>
  </si>
  <si>
    <t>Spurring Innovation</t>
  </si>
  <si>
    <t>The recent influx of Silver brings with it two possibilities. One choice is to offer silver spurs to our most distinguished messengers, encouraging them to ride harder than ever before. The other is to commission a set of plates and goblets, to gift to the head of the powerful family to improve their opinion of your rule.</t>
  </si>
  <si>
    <t>The messengers</t>
  </si>
  <si>
    <t>The family</t>
  </si>
  <si>
    <t>Leader Endeared To</t>
  </si>
  <si>
    <t>SORGHUM</t>
  </si>
  <si>
    <t>Sorburst Snacks</t>
  </si>
  <si>
    <t>While examining the newly-harvested Sorghum seeds by torchlight, a merchant in had a fortunate accident. The grains, left too close to the flame, began to burst with loud popping sounds. After calming down, the merchant discovered this ‘Sorburst’ to be quite delicious, especially with butter, salt, or honey. She now has a thriving business and is becoming well known for this delicacy</t>
  </si>
  <si>
    <t>I expect Sorburst stands to pop up all over</t>
  </si>
  <si>
    <t>Sorghum Seeds</t>
  </si>
  <si>
    <t>Scouts have returned with pouches of sorghum seeds, which will allow us to cultivate the crop locally. Farmers have already begun to sow open fields in . For what purpose should they raise this grain?</t>
  </si>
  <si>
    <t>always needs more food production.</t>
  </si>
  <si>
    <t>Brew wine and other alcoholic beverages.</t>
  </si>
  <si>
    <t>Culture Gain Small</t>
  </si>
  <si>
    <t>Use it to feed animals of field and pasture.</t>
  </si>
  <si>
    <t>WHEAT</t>
  </si>
  <si>
    <t>Beer Run</t>
  </si>
  <si>
    <t>Word has reached your ear of an enterprising young woman, who hit upon a new fermentation technique not long after harvesting wild grains. This new technique has allowed her to brew ale of a potency that far surpasses anything your men in the field have sampled previously.</t>
  </si>
  <si>
    <t>She's brilliant. Let's give this woman a job</t>
  </si>
  <si>
    <t>Beer Run Courtier</t>
  </si>
  <si>
    <t>LovelyBring this ale back to so we can all enjoy it.</t>
  </si>
  <si>
    <t>Interesting, but I'm more interested in the grain itself. Order the men to bring back seeds so we can plant fields near .</t>
  </si>
  <si>
    <t>City Add Resource Wheat</t>
  </si>
  <si>
    <t>Helping Hands</t>
  </si>
  <si>
    <t>Along with the wheat they harvested from the nearby countryside, our scouts return to with a group of hardy tribal farmers. These nomads possess a unique knowledge of this particular grain, and they could be put to use on our farms.</t>
  </si>
  <si>
    <t>Ask them to share their expertise.</t>
  </si>
  <si>
    <t>Harvest Helping Hands Option 0 City</t>
  </si>
  <si>
    <t>We need hands to work the fields.</t>
  </si>
  <si>
    <t>Harvest Helping Hands Option 1 City</t>
  </si>
  <si>
    <t>Rich Harvest</t>
  </si>
  <si>
    <t>The rich harvest of Wheat will allow the population of to grow faster than ever before. On the other hand, we could instead add it to our central stockpile, to serve all of</t>
  </si>
  <si>
    <t>Allow its growth</t>
  </si>
  <si>
    <t>The needs of the many outweigh the needs of the few.</t>
  </si>
  <si>
    <t>Food Gain Average</t>
  </si>
  <si>
    <t>WINE</t>
  </si>
  <si>
    <t>Delicious Wine</t>
  </si>
  <si>
    <t>Our scouts have harvested some particularly delicious grapes. You've had quite a few drinks in your life, but the wine prepared from these grapes is better than any. It's certainly too good to go to waste</t>
  </si>
  <si>
    <t>Arrange for feasts in , keep that wine flowing</t>
  </si>
  <si>
    <t>Make sure the nobles get a good supply of this deliciousness</t>
  </si>
  <si>
    <t>Harvest Delicious Wine Option 1 Player</t>
  </si>
  <si>
    <t>High Spirits</t>
  </si>
  <si>
    <t>Among the fields of twisting grape vines, our scouts meet a wandering scholar who has drunk his fill of the local varietals. The man offers his service to the court, though he may be of more use helping our scouts bring home the harvest.</t>
  </si>
  <si>
    <t>Let us try this stranger in the court.</t>
  </si>
  <si>
    <t>Harvest High Spirits Option 0 Character</t>
  </si>
  <si>
    <t>We shall plant more of these fine grapes.</t>
  </si>
  <si>
    <t>City Add Resource Wine</t>
  </si>
  <si>
    <t>Put an End to their Wining</t>
  </si>
  <si>
    <t>With a large harvest of Wine on its way to , there are two suggestions for its use. Some advisors think it would be best to keep it for medical use, while others recommend a massive party to improve the mood of the city. Which should it be?</t>
  </si>
  <si>
    <t>Medical use.</t>
  </si>
  <si>
    <t>Throw the party</t>
  </si>
  <si>
    <t>Notes</t>
  </si>
  <si>
    <t>Harvest events generally take place at turn 10 onwards.</t>
  </si>
  <si>
    <t>Required Culture in the city</t>
  </si>
  <si>
    <t>Thank you to: Outis, Artem_pod_nogtem</t>
  </si>
  <si>
    <t>Icon</t>
  </si>
  <si>
    <t>Building Line</t>
  </si>
  <si>
    <t>Weak</t>
  </si>
  <si>
    <t>Developing</t>
  </si>
  <si>
    <t>Legendary</t>
  </si>
  <si>
    <t>Other Requirements</t>
  </si>
  <si>
    <t>Pillage yield</t>
  </si>
  <si>
    <t>Windmill</t>
  </si>
  <si>
    <r>
      <rPr>
        <rFont val="Arial"/>
        <b/>
        <color theme="1"/>
        <sz val="10.0"/>
      </rPr>
      <t>Windmill</t>
    </r>
    <r>
      <rPr>
        <rFont val="Arial"/>
        <color theme="1"/>
        <sz val="10.0"/>
      </rPr>
      <t xml:space="preserve"> (+2 Science);
+100% for adj. Mine / Quarry / Lumbermill</t>
    </r>
  </si>
  <si>
    <r>
      <rPr>
        <rFont val="Arial"/>
        <b/>
        <color theme="1"/>
        <sz val="10.0"/>
      </rPr>
      <t>Windmill</t>
    </r>
    <r>
      <rPr>
        <rFont val="Arial"/>
        <color theme="1"/>
        <sz val="10.0"/>
      </rPr>
      <t xml:space="preserve"> (+2 Science);
+100% for adj. Mine / Quarry / Lumbermill</t>
    </r>
  </si>
  <si>
    <r>
      <rPr>
        <rFont val="Arial"/>
        <b/>
        <color theme="1"/>
        <sz val="10.0"/>
      </rPr>
      <t>Windmill</t>
    </r>
    <r>
      <rPr>
        <rFont val="Arial"/>
        <color theme="1"/>
        <sz val="10.0"/>
      </rPr>
      <t xml:space="preserve"> (+2 Science);
+100% for adj. Mine / Quarry / Lumbermill</t>
    </r>
  </si>
  <si>
    <r>
      <rPr>
        <rFont val="Arial"/>
        <b/>
        <color theme="1"/>
        <sz val="10.0"/>
      </rPr>
      <t>Windmill</t>
    </r>
    <r>
      <rPr>
        <rFont val="Arial"/>
        <color theme="1"/>
        <sz val="10.0"/>
      </rPr>
      <t xml:space="preserve"> (+2 Science);
+100% for adj. Mine / Quarry / Lumbermill</t>
    </r>
  </si>
  <si>
    <t>Tech: Hydraulics (Tier 5)
Cost: 40 Stone
Upkeep: -1 Stone</t>
  </si>
  <si>
    <r>
      <rPr>
        <rFont val="Arial"/>
        <color theme="1"/>
        <sz val="10.0"/>
      </rPr>
      <t xml:space="preserve">For each culture level an additional </t>
    </r>
    <r>
      <rPr>
        <rFont val="Arial"/>
        <b/>
        <color theme="1"/>
        <sz val="10.0"/>
      </rPr>
      <t>Windmill</t>
    </r>
  </si>
  <si>
    <t>Watermill</t>
  </si>
  <si>
    <r>
      <rPr>
        <rFont val="Arial"/>
        <b/>
        <color theme="1"/>
        <sz val="10.0"/>
      </rPr>
      <t>Watermill</t>
    </r>
    <r>
      <rPr>
        <rFont val="Arial"/>
        <color theme="1"/>
        <sz val="10.0"/>
      </rPr>
      <t xml:space="preserve"> (+2 Science);
+100% for adj. Mine / Quarry / Lumbermill</t>
    </r>
  </si>
  <si>
    <r>
      <rPr>
        <rFont val="Arial"/>
        <b/>
        <color theme="1"/>
        <sz val="10.0"/>
      </rPr>
      <t>Watermill</t>
    </r>
    <r>
      <rPr>
        <rFont val="Arial"/>
        <color theme="1"/>
        <sz val="10.0"/>
      </rPr>
      <t xml:space="preserve"> (+2 Science);
+100% for adj. Mine / Quarry / Lumbermill</t>
    </r>
  </si>
  <si>
    <r>
      <rPr>
        <rFont val="Arial"/>
        <b/>
        <color theme="1"/>
        <sz val="10.0"/>
      </rPr>
      <t>Watermill</t>
    </r>
    <r>
      <rPr>
        <rFont val="Arial"/>
        <color theme="1"/>
        <sz val="10.0"/>
      </rPr>
      <t xml:space="preserve"> (+2 Science);
+100% for adj. Mine / Quarry / Lumbermill</t>
    </r>
  </si>
  <si>
    <r>
      <rPr>
        <rFont val="Arial"/>
        <b/>
        <color theme="1"/>
        <sz val="10.0"/>
      </rPr>
      <t>Watermill</t>
    </r>
    <r>
      <rPr>
        <rFont val="Arial"/>
        <color theme="1"/>
        <sz val="10.0"/>
      </rPr>
      <t xml:space="preserve"> (+2 Science);
+100% for adj. Mine / Quarry / Lumbermill</t>
    </r>
  </si>
  <si>
    <t>Tech: Hydraulics (Tier 5)
Cost: 40 Wood
Upkeep: -1 Wood</t>
  </si>
  <si>
    <r>
      <rPr>
        <rFont val="Arial"/>
        <color theme="1"/>
        <sz val="10.0"/>
      </rPr>
      <t xml:space="preserve">For each culture level an additional </t>
    </r>
    <r>
      <rPr>
        <rFont val="Arial"/>
        <b/>
        <color theme="1"/>
        <sz val="10.0"/>
      </rPr>
      <t>Waterdmill</t>
    </r>
  </si>
  <si>
    <t>Granary</t>
  </si>
  <si>
    <r>
      <rPr>
        <rFont val="Arial"/>
        <b/>
        <color theme="1"/>
        <sz val="10.0"/>
      </rPr>
      <t>Granary</t>
    </r>
    <r>
      <rPr>
        <rFont val="Arial"/>
        <color theme="1"/>
        <sz val="10.0"/>
      </rPr>
      <t xml:space="preserve"> (+2 Growth);
+60% for adj. Farms</t>
    </r>
  </si>
  <si>
    <r>
      <rPr>
        <rFont val="Arial"/>
        <b/>
        <color theme="1"/>
        <sz val="10.0"/>
      </rPr>
      <t>Granary</t>
    </r>
    <r>
      <rPr>
        <rFont val="Arial"/>
        <color theme="1"/>
        <sz val="10.0"/>
      </rPr>
      <t xml:space="preserve"> (+2 Growth);
+60% for adj. Farms</t>
    </r>
  </si>
  <si>
    <r>
      <rPr>
        <rFont val="Arial"/>
        <b/>
        <color theme="1"/>
        <sz val="10.0"/>
      </rPr>
      <t>Granary</t>
    </r>
    <r>
      <rPr>
        <rFont val="Arial"/>
        <color theme="1"/>
        <sz val="10.0"/>
      </rPr>
      <t xml:space="preserve"> (+2 Growth);
+60% for adj. Farms</t>
    </r>
  </si>
  <si>
    <r>
      <rPr>
        <rFont val="Arial"/>
        <b/>
        <color theme="1"/>
        <sz val="10.0"/>
      </rPr>
      <t>Granary</t>
    </r>
    <r>
      <rPr>
        <rFont val="Arial"/>
        <color theme="1"/>
        <sz val="10.0"/>
      </rPr>
      <t xml:space="preserve"> (+2 Growth);
+60% for adj. Farms</t>
    </r>
  </si>
  <si>
    <t>Tech: Administration (Tier 1)
Cost: 40 Wood
Upkeep: -1 Wood</t>
  </si>
  <si>
    <r>
      <rPr>
        <rFont val="Arial"/>
        <color theme="1"/>
        <sz val="10.0"/>
      </rPr>
      <t xml:space="preserve">For each culture level an additional </t>
    </r>
    <r>
      <rPr>
        <rFont val="Arial"/>
        <b/>
        <color theme="1"/>
        <sz val="10.0"/>
      </rPr>
      <t>Granary</t>
    </r>
  </si>
  <si>
    <t>Harbor</t>
  </si>
  <si>
    <r>
      <rPr>
        <rFont val="Arial"/>
        <b/>
        <color rgb="FF000000"/>
        <sz val="10.0"/>
      </rPr>
      <t>Harbor</t>
    </r>
    <r>
      <rPr>
        <rFont val="Arial"/>
        <color rgb="FF000000"/>
        <sz val="10.0"/>
      </rPr>
      <t xml:space="preserve"> (+10 Money, 
+2 per adj. resource);
+60% for adj. Nets;
Idle Ships +10 XP / Turn</t>
    </r>
  </si>
  <si>
    <r>
      <rPr>
        <rFont val="Arial"/>
        <b/>
        <color rgb="FF000000"/>
        <sz val="10.0"/>
      </rPr>
      <t>Harbor</t>
    </r>
    <r>
      <rPr>
        <rFont val="Arial"/>
        <color rgb="FF000000"/>
        <sz val="10.0"/>
      </rPr>
      <t xml:space="preserve"> (+10 Money, 
+2 per adj. resource);
+60% for adj. Nets;
Idle Ships +10 XP / Turn</t>
    </r>
  </si>
  <si>
    <r>
      <rPr>
        <rFont val="Arial"/>
        <b/>
        <color rgb="FF000000"/>
        <sz val="10.0"/>
      </rPr>
      <t>Harbor</t>
    </r>
    <r>
      <rPr>
        <rFont val="Arial"/>
        <color rgb="FF000000"/>
        <sz val="10.0"/>
      </rPr>
      <t xml:space="preserve"> (+10 Money, 
+2 per adj. resource);
+60% for adj. Nets;
Idle Ships +10 XP / Turn</t>
    </r>
  </si>
  <si>
    <r>
      <rPr>
        <rFont val="Arial"/>
        <b/>
        <color rgb="FF000000"/>
        <sz val="10.0"/>
      </rPr>
      <t>Harbor</t>
    </r>
    <r>
      <rPr>
        <rFont val="Arial"/>
        <color rgb="FF000000"/>
        <sz val="10.0"/>
      </rPr>
      <t xml:space="preserve"> (+10 Money, 
+2 per adj. resource);
+60% for adj. Nets;
Idle Ships +10 XP / Turn</t>
    </r>
  </si>
  <si>
    <t>Tech: Cartography (Tier 5)
Cost: 60 Wood
Upkeep: -1 Stone</t>
  </si>
  <si>
    <r>
      <rPr>
        <rFont val="Arial"/>
        <color theme="1"/>
        <sz val="10.0"/>
      </rPr>
      <t xml:space="preserve">For each culture level an additional </t>
    </r>
    <r>
      <rPr>
        <rFont val="Arial"/>
        <b/>
        <color theme="1"/>
        <sz val="10.0"/>
      </rPr>
      <t>Harbor</t>
    </r>
  </si>
  <si>
    <t>Farm</t>
  </si>
  <si>
    <r>
      <rPr>
        <rFont val="Arial"/>
        <b/>
        <color theme="1"/>
      </rPr>
      <t>Farm</t>
    </r>
    <r>
      <rPr>
        <rFont val="Arial"/>
        <color theme="1"/>
      </rPr>
      <t xml:space="preserve"> (+5 Food), +40% [Lush], +40% [adj. Volcano], +20% [Fresh Water], -40% [Arid];
+10% for adj. Farms</t>
    </r>
  </si>
  <si>
    <t>Cost: 20 Wood</t>
  </si>
  <si>
    <t>Mine</t>
  </si>
  <si>
    <r>
      <rPr>
        <rFont val="Arial"/>
        <b/>
        <color theme="1"/>
      </rPr>
      <t>Mine</t>
    </r>
    <r>
      <rPr>
        <rFont val="Arial"/>
        <color theme="1"/>
      </rPr>
      <t xml:space="preserve"> (+5 Iron), +60% [Hill], *+20% [Slavery Law], *+20% [Autarky Law];
+10% for adj. Mines</t>
    </r>
  </si>
  <si>
    <t>Quarry</t>
  </si>
  <si>
    <r>
      <rPr>
        <rFont val="Arial"/>
        <b/>
        <color theme="1"/>
      </rPr>
      <t xml:space="preserve">Quarry </t>
    </r>
    <r>
      <rPr>
        <rFont val="Arial"/>
        <color theme="1"/>
      </rPr>
      <t>(+5 Stone), +20% [Arid], +40% [adj. Mountain], +40% [adj. Volcano],*+20% [Slavery Law], 
*+20% [Autarky Law];
+10% for adj. Quarries</t>
    </r>
  </si>
  <si>
    <t>Tech: Stonecutting (Tier 1)
Cost: 20 Iron</t>
  </si>
  <si>
    <t>Lumbermill</t>
  </si>
  <si>
    <r>
      <rPr>
        <rFont val="Arial"/>
        <b/>
        <color theme="1"/>
      </rPr>
      <t xml:space="preserve">Lumbermill </t>
    </r>
    <r>
      <rPr>
        <rFont val="Arial"/>
        <color theme="1"/>
      </rPr>
      <t>(+5 Wood), +60% [River], *+20% [Autarky Law];
+10% for adj. Lumbermills</t>
    </r>
  </si>
  <si>
    <t>Tech: Forestry (Tier 3)
Cost: 20 Iron</t>
  </si>
  <si>
    <t>Nets</t>
  </si>
  <si>
    <r>
      <rPr>
        <rFont val="Arial"/>
        <b/>
        <color theme="1"/>
      </rPr>
      <t xml:space="preserve">Nets </t>
    </r>
    <r>
      <rPr>
        <rFont val="Arial"/>
        <color theme="1"/>
      </rPr>
      <t>(varies by resource), *+100% [The Lighthouse - Wonder];</t>
    </r>
  </si>
  <si>
    <t>Camp</t>
  </si>
  <si>
    <r>
      <rPr>
        <rFont val="Arial"/>
        <b/>
        <color theme="1"/>
      </rPr>
      <t xml:space="preserve">Camp </t>
    </r>
    <r>
      <rPr>
        <rFont val="Arial"/>
        <color theme="1"/>
      </rPr>
      <t>(varies by resource);
+20% for adj. Lumbermills</t>
    </r>
  </si>
  <si>
    <t>Tech: Trapping (Tier 1)
Cost: 20 Wood</t>
  </si>
  <si>
    <t>Pasture</t>
  </si>
  <si>
    <r>
      <rPr>
        <rFont val="Arial"/>
        <b/>
        <color theme="1"/>
      </rPr>
      <t xml:space="preserve">Pasture </t>
    </r>
    <r>
      <rPr>
        <rFont val="Arial"/>
        <color theme="1"/>
      </rPr>
      <t>(varies by resource);
+40% for adj. Farms</t>
    </r>
  </si>
  <si>
    <t>Tech: Husbandry (Tier 2)
Cost: 20 Wood</t>
  </si>
  <si>
    <t>Grove</t>
  </si>
  <si>
    <r>
      <rPr>
        <rFont val="Arial"/>
        <b/>
        <color theme="1"/>
      </rPr>
      <t xml:space="preserve">Grove </t>
    </r>
    <r>
      <rPr>
        <rFont val="Arial"/>
        <color theme="1"/>
      </rPr>
      <t>(various by resource), *+2 Science [Pilgrimage Law];</t>
    </r>
  </si>
  <si>
    <t>Tech: Land Consolidation (Tier 4)
Cost: 20 Wood</t>
  </si>
  <si>
    <t>Fort</t>
  </si>
  <si>
    <r>
      <rPr>
        <rFont val="Arial"/>
        <b/>
        <color theme="1"/>
      </rPr>
      <t>Fort</t>
    </r>
    <r>
      <rPr>
        <rFont val="Arial"/>
        <color theme="1"/>
      </rPr>
      <t xml:space="preserve"> (+50% Defense, +2 Unit Vision, Can heal units in neutral territory)</t>
    </r>
  </si>
  <si>
    <t>Tech: Stonecutting (Tier 1)
Cost: 40 Stone</t>
  </si>
  <si>
    <t>You can build even outside your own territory</t>
  </si>
  <si>
    <t>Estate</t>
  </si>
  <si>
    <r>
      <rPr>
        <rFont val="Arial"/>
        <b/>
        <color theme="1"/>
      </rPr>
      <t>Estate</t>
    </r>
    <r>
      <rPr>
        <rFont val="Arial"/>
        <color theme="1"/>
      </rPr>
      <t xml:space="preserve"> +1 Culture / -1 Training per opinion level, Allows city to build the Opulence project
+2 happiness per luxury
+2 Orders with cunning Governor.</t>
    </r>
  </si>
  <si>
    <t>Requires Luxury Sent to city
Cost: 100 stone, 100 wood</t>
  </si>
  <si>
    <t>Permanent</t>
  </si>
  <si>
    <t>Opulence Project is worth 1 Victory point</t>
  </si>
  <si>
    <t>Market</t>
  </si>
  <si>
    <r>
      <rPr>
        <rFont val="Arial"/>
        <b/>
        <color theme="1"/>
      </rPr>
      <t>Market</t>
    </r>
    <r>
      <rPr>
        <rFont val="Arial"/>
        <color theme="1"/>
      </rPr>
      <t xml:space="preserve"> (+30% Money);
+20% for adj. Harbors</t>
    </r>
  </si>
  <si>
    <r>
      <rPr>
        <rFont val="Arial"/>
        <b/>
        <color theme="1"/>
      </rPr>
      <t>Grocer</t>
    </r>
    <r>
      <rPr>
        <rFont val="Arial"/>
        <color theme="1"/>
      </rPr>
      <t xml:space="preserve"> (+40% Money);
+20% for adj. Harbors</t>
    </r>
  </si>
  <si>
    <r>
      <rPr>
        <rFont val="Arial"/>
        <b/>
        <color theme="1"/>
      </rPr>
      <t>Fair</t>
    </r>
    <r>
      <rPr>
        <rFont val="Arial"/>
        <color theme="1"/>
      </rPr>
      <t xml:space="preserve"> (+50% Money);
+20% for adj. Harbors</t>
    </r>
  </si>
  <si>
    <t>Tech: Coinage (Tier 4)
Cost: 80/100/120 Wood
Upkeep: Nothing</t>
  </si>
  <si>
    <t>Hamlet</t>
  </si>
  <si>
    <r>
      <rPr>
        <rFont val="Arial"/>
        <b/>
        <color theme="1"/>
      </rPr>
      <t>Hamlet</t>
    </r>
    <r>
      <rPr>
        <rFont val="Arial"/>
        <color theme="1"/>
      </rPr>
      <t xml:space="preserve"> (+10 Money,
+10 if on Trade Network);</t>
    </r>
  </si>
  <si>
    <r>
      <rPr>
        <rFont val="Arial"/>
        <b/>
        <color theme="1"/>
      </rPr>
      <t>Hamlet</t>
    </r>
    <r>
      <rPr>
        <rFont val="Arial"/>
        <color theme="1"/>
      </rPr>
      <t xml:space="preserve"> (+10 Money,
+10 if on Trade Network);</t>
    </r>
  </si>
  <si>
    <r>
      <rPr>
        <rFont val="Arial"/>
        <b/>
        <color theme="1"/>
      </rPr>
      <t>Hamlet</t>
    </r>
    <r>
      <rPr>
        <rFont val="Arial"/>
        <color theme="1"/>
      </rPr>
      <t xml:space="preserve"> (+10 Money,
+10 if on Trade Network);</t>
    </r>
  </si>
  <si>
    <r>
      <rPr>
        <rFont val="Arial"/>
        <b/>
        <color theme="1"/>
      </rPr>
      <t>Hamlet</t>
    </r>
    <r>
      <rPr>
        <rFont val="Arial"/>
        <color theme="1"/>
      </rPr>
      <t xml:space="preserve"> (+10 Money,
+10 if on Trade Network);</t>
    </r>
  </si>
  <si>
    <t>Tech: Polis (Tier 2)
Cost: 20 Stone
Upkeep: -1/-2/-3 Food</t>
  </si>
  <si>
    <r>
      <rPr>
        <rFont val="Arial"/>
        <color theme="1"/>
      </rPr>
      <t xml:space="preserve">For each culture level an additional </t>
    </r>
    <r>
      <rPr>
        <rFont val="Arial"/>
        <b/>
        <color theme="1"/>
      </rPr>
      <t>Hamlet</t>
    </r>
    <r>
      <rPr>
        <rFont val="Arial"/>
        <color theme="1"/>
      </rPr>
      <t>;</t>
    </r>
    <r>
      <rPr>
        <rFont val="Arial"/>
        <b/>
        <color theme="1"/>
      </rPr>
      <t xml:space="preserve">
Hamlet</t>
    </r>
    <r>
      <rPr>
        <rFont val="Arial"/>
        <color theme="1"/>
      </rPr>
      <t xml:space="preserve"> -&gt;(20 turn) </t>
    </r>
    <r>
      <rPr>
        <rFont val="Arial"/>
        <b/>
        <color theme="1"/>
      </rPr>
      <t>Village</t>
    </r>
    <r>
      <rPr>
        <rFont val="Arial"/>
        <color theme="1"/>
      </rPr>
      <t xml:space="preserve"> (+15 Money; +15 ioTW)
-&gt;(20 turn) </t>
    </r>
    <r>
      <rPr>
        <rFont val="Arial"/>
        <b/>
        <color theme="1"/>
      </rPr>
      <t>Town</t>
    </r>
    <r>
      <rPr>
        <rFont val="Arial"/>
        <color theme="1"/>
      </rPr>
      <t xml:space="preserve"> (+20 Money; +20 ioTW; +1 Growth)</t>
    </r>
  </si>
  <si>
    <t>Garrison</t>
  </si>
  <si>
    <r>
      <rPr>
        <rFont val="Arial"/>
        <b/>
        <color theme="1"/>
      </rPr>
      <t>Garrison</t>
    </r>
    <r>
      <rPr>
        <rFont val="Arial"/>
        <color theme="1"/>
      </rPr>
      <t xml:space="preserve"> (+0.5 Orders);
+20% Defense</t>
    </r>
  </si>
  <si>
    <r>
      <rPr>
        <rFont val="Arial"/>
        <b/>
        <color theme="1"/>
      </rPr>
      <t>Stronghold</t>
    </r>
    <r>
      <rPr>
        <rFont val="Arial"/>
        <color theme="1"/>
      </rPr>
      <t xml:space="preserve"> (+0.5 Orders);
+30% Defense</t>
    </r>
  </si>
  <si>
    <r>
      <rPr>
        <rFont val="Arial"/>
        <b/>
        <color theme="1"/>
      </rPr>
      <t>Citadel</t>
    </r>
    <r>
      <rPr>
        <rFont val="Arial"/>
        <color theme="1"/>
      </rPr>
      <t xml:space="preserve"> (+0.5 Orders);
+40% Defense</t>
    </r>
  </si>
  <si>
    <t xml:space="preserve"> -</t>
  </si>
  <si>
    <t>Laws: 1, 4, 7
Cost: 60/80/100 Stone
Upkeep: -2/-3/-4 Stone</t>
  </si>
  <si>
    <t>(-10% city maintenance)</t>
  </si>
  <si>
    <t>Library</t>
  </si>
  <si>
    <r>
      <rPr>
        <rFont val="Arial"/>
        <b/>
        <color theme="1"/>
      </rPr>
      <t>Library</t>
    </r>
    <r>
      <rPr>
        <rFont val="Arial"/>
        <color theme="1"/>
      </rPr>
      <t xml:space="preserve"> (+10% Science,
+1 per adj. resource);
*+4 Cult. w/Сalligraphy [Law]</t>
    </r>
  </si>
  <si>
    <r>
      <rPr>
        <rFont val="Arial"/>
        <b/>
        <color theme="1"/>
      </rPr>
      <t>Academy</t>
    </r>
    <r>
      <rPr>
        <rFont val="Arial"/>
        <color theme="1"/>
      </rPr>
      <t xml:space="preserve"> (+20% Science,
+1 per adj. resource);
*+4 Cult. w/Сalligraphy [Law]</t>
    </r>
  </si>
  <si>
    <r>
      <rPr>
        <rFont val="Arial"/>
        <b/>
        <color theme="1"/>
      </rPr>
      <t>University</t>
    </r>
    <r>
      <rPr>
        <rFont val="Arial"/>
        <color theme="1"/>
      </rPr>
      <t xml:space="preserve"> (+30% Science,
+1 per adj. resource);
*+4 Cult. w/Сalligraphy [Law]</t>
    </r>
  </si>
  <si>
    <t>Tech: Scholarship (Tier 5)
Cost: 80/100/120 Stone
Upkeep: -2/-3/-4 Stone</t>
  </si>
  <si>
    <t>(+10% Civics)</t>
  </si>
  <si>
    <t>Courthouse</t>
  </si>
  <si>
    <r>
      <rPr>
        <rFont val="Arial"/>
        <b/>
        <color theme="1"/>
      </rPr>
      <t>Courthouse</t>
    </r>
    <r>
      <rPr>
        <rFont val="Arial"/>
        <color theme="1"/>
      </rPr>
      <t xml:space="preserve"> (+20% Civics)</t>
    </r>
  </si>
  <si>
    <r>
      <rPr>
        <rFont val="Arial"/>
        <b/>
        <color theme="1"/>
      </rPr>
      <t>Ministry</t>
    </r>
    <r>
      <rPr>
        <rFont val="Arial"/>
        <color theme="1"/>
      </rPr>
      <t xml:space="preserve"> (+30% Civics)</t>
    </r>
  </si>
  <si>
    <r>
      <rPr>
        <rFont val="Arial"/>
        <b/>
        <color theme="1"/>
      </rPr>
      <t>Palace</t>
    </r>
    <r>
      <rPr>
        <rFont val="Arial"/>
        <color theme="1"/>
      </rPr>
      <t xml:space="preserve"> (+40% Civics);</t>
    </r>
  </si>
  <si>
    <t>Tech: Citizenship (Tier 4)
Cost: 80/100/120 Stone
Upkeep: -2/-3/-4 Stone</t>
  </si>
  <si>
    <t>Barracks</t>
  </si>
  <si>
    <r>
      <rPr>
        <rFont val="Arial"/>
        <b/>
        <color theme="1"/>
      </rPr>
      <t>Barracks</t>
    </r>
    <r>
      <rPr>
        <rFont val="Arial"/>
        <color theme="1"/>
      </rPr>
      <t xml:space="preserve"> (+20% Training);
Melee Units +10 XP on new turn</t>
    </r>
  </si>
  <si>
    <t>Tech: Military Drill (Tier 2)
Cost: 40 Stone
Upkeep: -2 Iron</t>
  </si>
  <si>
    <r>
      <rPr>
        <rFont val="Arial"/>
        <color theme="1"/>
      </rPr>
      <t xml:space="preserve">You can have </t>
    </r>
    <r>
      <rPr>
        <rFont val="Arial"/>
        <b/>
        <color theme="1"/>
      </rPr>
      <t>2 Barracks</t>
    </r>
    <r>
      <rPr>
        <rFont val="Arial"/>
        <color theme="1"/>
      </rPr>
      <t xml:space="preserve"> per city</t>
    </r>
  </si>
  <si>
    <t>Range</t>
  </si>
  <si>
    <r>
      <rPr>
        <rFont val="Arial"/>
        <b/>
        <color theme="1"/>
      </rPr>
      <t>Range</t>
    </r>
    <r>
      <rPr>
        <rFont val="Arial"/>
        <color theme="1"/>
      </rPr>
      <t xml:space="preserve"> (+20% Training);
Ranged Units +10 XP on new turn</t>
    </r>
  </si>
  <si>
    <t>Tech: Composite Bow (Tier 4)
Cost: 40 Wood
Upkeep: -2 Wood</t>
  </si>
  <si>
    <r>
      <rPr>
        <rFont val="Arial"/>
        <color theme="1"/>
      </rPr>
      <t xml:space="preserve">You can have </t>
    </r>
    <r>
      <rPr>
        <rFont val="Arial"/>
        <b/>
        <color theme="1"/>
      </rPr>
      <t>2 Ranges</t>
    </r>
    <r>
      <rPr>
        <rFont val="Arial"/>
        <color theme="1"/>
      </rPr>
      <t xml:space="preserve"> per city</t>
    </r>
  </si>
  <si>
    <t>Odeon</t>
  </si>
  <si>
    <r>
      <rPr>
        <rFont val="Arial"/>
        <b/>
        <color theme="1"/>
      </rPr>
      <t>Odeon</t>
    </r>
    <r>
      <rPr>
        <rFont val="Arial"/>
        <color theme="1"/>
      </rPr>
      <t xml:space="preserve"> (+3 Culture)</t>
    </r>
  </si>
  <si>
    <r>
      <rPr>
        <rFont val="Arial"/>
        <b/>
        <color theme="1"/>
      </rPr>
      <t>Theater</t>
    </r>
    <r>
      <rPr>
        <rFont val="Arial"/>
        <color theme="1"/>
      </rPr>
      <t xml:space="preserve"> (+4 Culture);</t>
    </r>
  </si>
  <si>
    <r>
      <rPr>
        <rFont val="Arial"/>
        <b/>
        <color theme="1"/>
      </rPr>
      <t>Amphitheater</t>
    </r>
    <r>
      <rPr>
        <rFont val="Arial"/>
        <color theme="1"/>
      </rPr>
      <t xml:space="preserve"> (+5 Culture);</t>
    </r>
  </si>
  <si>
    <t>Tech: Drama (Tier 2)
Cost: 40/60/80 Stone
Upkeep: -2/-3/-4 Stone</t>
  </si>
  <si>
    <t>(+1 Happiness)</t>
  </si>
  <si>
    <t>(+2 Happiness)</t>
  </si>
  <si>
    <t>Baths</t>
  </si>
  <si>
    <r>
      <rPr>
        <rFont val="Arial"/>
        <b/>
        <color theme="1"/>
      </rPr>
      <t>Cold Baths</t>
    </r>
    <r>
      <rPr>
        <rFont val="Arial"/>
        <color theme="1"/>
      </rPr>
      <t xml:space="preserve"> (+2 Happiness)</t>
    </r>
  </si>
  <si>
    <r>
      <rPr>
        <rFont val="Arial"/>
        <b/>
        <color theme="1"/>
      </rPr>
      <t>Warm Baths</t>
    </r>
    <r>
      <rPr>
        <rFont val="Arial"/>
        <color theme="1"/>
      </rPr>
      <t xml:space="preserve"> (+3 Happiness)</t>
    </r>
  </si>
  <si>
    <r>
      <rPr>
        <rFont val="Arial"/>
        <b/>
        <color theme="1"/>
      </rPr>
      <t>Heated Baths</t>
    </r>
    <r>
      <rPr>
        <rFont val="Arial"/>
        <color theme="1"/>
      </rPr>
      <t xml:space="preserve"> (+4 Happ.);</t>
    </r>
  </si>
  <si>
    <t>Tech: Architecture (Tier 5)
Cost: 40/60/80 Stone
Upkeep: -2/-3/-4 Stone</t>
  </si>
  <si>
    <t>(+10% Growth)</t>
  </si>
  <si>
    <t>Internal Name</t>
  </si>
  <si>
    <t>Effects</t>
  </si>
  <si>
    <t>MP Tier</t>
  </si>
  <si>
    <t>Sun</t>
  </si>
  <si>
    <t>Shamash</t>
  </si>
  <si>
    <t>Ra</t>
  </si>
  <si>
    <t>Hvar Khshaita</t>
  </si>
  <si>
    <t>Melul</t>
  </si>
  <si>
    <t>Surya</t>
  </si>
  <si>
    <t>S</t>
  </si>
  <si>
    <t>Orders are wonderful. Farm adjacency is nice to have in early game too to boost growth, especially if you can find a spot with 2-3 farms.</t>
  </si>
  <si>
    <t>Ninutra</t>
  </si>
  <si>
    <t>Tarhun</t>
  </si>
  <si>
    <t>Bellona</t>
  </si>
  <si>
    <t>Apedemek</t>
  </si>
  <si>
    <t>Mahrem</t>
  </si>
  <si>
    <t>Orlagno</t>
  </si>
  <si>
    <t>Just super good. Base training is amazing, the barracks-like effect is a bonus (but, take note, only works on infantry units). Nations that have this shrine can consider Polytheism to spam this everywhere. (Especially Assyria which has Sun and War for 0.5 orders and +2 training in every city -- albeit with an initial Stone cost, but Shrines have no maintenance!) With 2 Barracks and 2 Ranges, this shrine is actually +3.6 training, before any governor scaling is added in.</t>
  </si>
  <si>
    <t>Kingship</t>
  </si>
  <si>
    <t>Ashur</t>
  </si>
  <si>
    <t>Marduk</t>
  </si>
  <si>
    <t>Zeus</t>
  </si>
  <si>
    <t>Amani</t>
  </si>
  <si>
    <t>Yama</t>
  </si>
  <si>
    <t>Nabu</t>
  </si>
  <si>
    <t>Mayon</t>
  </si>
  <si>
    <t>Much stronger for Babylon than Greece, since Babylon requires the Odeon line which is available way earlier (and doesn't require Developing to start). The civics this can put out is very good, esp. in a Sages seat that wants to be an Inquiry pump. You can even do silly border tricks by having the shrine on the edge of a border between two cities to double-dip adjacency from a neighboring city's Odeons. With perfect placement and both cities at Strong, that's +6 base civics which is incredibly powerful.</t>
  </si>
  <si>
    <t>Athena</t>
  </si>
  <si>
    <t>Indra</t>
  </si>
  <si>
    <r>
      <rPr>
        <rFont val="Arial"/>
        <i/>
        <color theme="1"/>
      </rPr>
      <t>Klass Koala</t>
    </r>
    <r>
      <rPr>
        <rFont val="Arial"/>
        <color theme="1"/>
      </rPr>
      <t>: I strongly prefer this version of the wisdom shrine. I'm always going to build courthouse line of improvements in my civic pumps &amp; capital anyway; this gives me 1-2-3 extra base civics. And I often skip odeons entirely, as there are many other ways of getting culture.</t>
    </r>
  </si>
  <si>
    <t>Hunting</t>
  </si>
  <si>
    <t>Neith</t>
  </si>
  <si>
    <t>Halki</t>
  </si>
  <si>
    <t>Mithra</t>
  </si>
  <si>
    <t>Nana</t>
  </si>
  <si>
    <t>New Ranged Units getting a level is quite good. The camp adjacency is nice for early Growth as well, esp. since Camps are usually clustered. For Egypt and Persia, put this in a city that's making your UUs (or Onagers) to get them an extra level to start. It's particularly great for Persia since it just pairs so well with Hunter and Persia's Ranged unit cost reduction.</t>
  </si>
  <si>
    <t>Fire</t>
  </si>
  <si>
    <t>Nuska</t>
  </si>
  <si>
    <t>Atar</t>
  </si>
  <si>
    <t>Sol</t>
  </si>
  <si>
    <t>Medr</t>
  </si>
  <si>
    <t>Murugan</t>
  </si>
  <si>
    <t>Requires work to bring it online, since Lumbermills are pretty late, but can give you an amazing +6 base training in the right spot, or more usually 2-3 base training which is still very good. Can use to bolster an Ore mine early, if there's no great spot.</t>
  </si>
  <si>
    <t>Love</t>
  </si>
  <si>
    <t>Ishtar</t>
  </si>
  <si>
    <t>Hammon</t>
  </si>
  <si>
    <t>Feronia</t>
  </si>
  <si>
    <t>Sabomakal</t>
  </si>
  <si>
    <t>Astar</t>
  </si>
  <si>
    <t>Tiramul</t>
  </si>
  <si>
    <t>Underworld</t>
  </si>
  <si>
    <t>Ereshkigal</t>
  </si>
  <si>
    <t>Osiris</t>
  </si>
  <si>
    <t>Hades</t>
  </si>
  <si>
    <t>Oesho</t>
  </si>
  <si>
    <t>Great culture, but requires the right spot. Ideally a Volcano with some mountain tiles adjacent, but valleys nestled between a bunch of mountains can work. Can get you to Strong faster in a key city that has the right spot. Kind of lackluster if that spot doesn't exist though.</t>
  </si>
  <si>
    <t>Water</t>
  </si>
  <si>
    <t>Melqart</t>
  </si>
  <si>
    <t>Poseidon</t>
  </si>
  <si>
    <t>Anahita</t>
  </si>
  <si>
    <t>Beher</t>
  </si>
  <si>
    <t>Varuna</t>
  </si>
  <si>
    <t>Basically a connected hamlet - The gold can add up nicely if along a coast, especially in a trader seat.</t>
  </si>
  <si>
    <t>Hearth</t>
  </si>
  <si>
    <t>Tanit</t>
  </si>
  <si>
    <t>Arrinitti</t>
  </si>
  <si>
    <t>Ceres</t>
  </si>
  <si>
    <t>Ardaksho</t>
  </si>
  <si>
    <t>With the right spot, gets you a good amount of gold. Look for clustered resources and try to plop this next to them. You don't even need to have improved the resource, so if you have, say, a cluster of incense in your city's borders, this could work well.</t>
  </si>
  <si>
    <t>Healing</t>
  </si>
  <si>
    <t>New Units start with "Healer" promo
+2 Growth/Adj. Grove</t>
  </si>
  <si>
    <t>Eshmun</t>
  </si>
  <si>
    <t>Isis</t>
  </si>
  <si>
    <t>Kamrusepa</t>
  </si>
  <si>
    <t>Nastya</t>
  </si>
  <si>
    <t>The healer promotion can be useful for melee units to counteract the fact that they take 1 point of counter dmg when they attack other melee units and/or walls. A slight boost to early clear momentum when tribal ranged units will often only do 1 point of dmg to your units if you keep them in the woods.
This promotion also applies to growth-based units built in this city (settlers, scouts, workers, militia, conscripts).</t>
  </si>
  <si>
    <t>Serapis</t>
  </si>
  <si>
    <t>A unique shrine for the Greek Ptolemy Dynasty (from DLC "Heroes of Aegean")</t>
  </si>
  <si>
    <t>*Pillaging any shrine will give you 20 Stone</t>
  </si>
  <si>
    <t>General Shrine advice:</t>
  </si>
  <si>
    <t>Also remember that your first Shrine will be your Pagan religion's Holy City. Being a Holy City gets the city +2 Civics -- so you may want it in your Statesmen/Sages seat, or anywhere you're planning to focus on civics / specialist production. Since base production gets scaled by % modifiers, it's very powerful.</t>
  </si>
  <si>
    <t>Shrines always useful to expand borders / grab resources, even if their base effects aren't great.</t>
  </si>
  <si>
    <t>Apart from their initial stone cost, Shrines don't cost anything. No upkeep!</t>
  </si>
  <si>
    <t>Tier list: S = best, then A, then B, then C, etc.</t>
  </si>
  <si>
    <t>Thanks to: Artem_pod_nogtem</t>
  </si>
  <si>
    <r>
      <rPr>
        <rFont val="Arial"/>
        <b/>
        <color theme="1"/>
      </rPr>
      <t xml:space="preserve">World Religion Buildings </t>
    </r>
    <r>
      <rPr>
        <rFont val="Arial"/>
        <b val="0"/>
        <color theme="1"/>
      </rPr>
      <t>(requires that  religion to be present in that city to build)</t>
    </r>
  </si>
  <si>
    <t>Monastery</t>
  </si>
  <si>
    <r>
      <rPr>
        <rFont val="Arial"/>
        <b/>
        <color theme="1"/>
      </rPr>
      <t>Monastery</t>
    </r>
    <r>
      <rPr>
        <rFont val="Arial"/>
        <color theme="1"/>
      </rPr>
      <t xml:space="preserve"> (+2 Science);</t>
    </r>
  </si>
  <si>
    <t>Tech: Monotheism (Tier 4)
Cost: 60 Wood
Upkeep: -2 Wood</t>
  </si>
  <si>
    <t>build anywhere urban improvement</t>
  </si>
  <si>
    <t>Temple</t>
  </si>
  <si>
    <r>
      <rPr>
        <rFont val="Arial"/>
        <b/>
        <color theme="1"/>
      </rPr>
      <t>Temple</t>
    </r>
    <r>
      <rPr>
        <rFont val="Arial"/>
        <color theme="1"/>
      </rPr>
      <t xml:space="preserve"> (+3 Culture,</t>
    </r>
  </si>
  <si>
    <t>Tech: Doctrine (Tier 5)
Cost: 60 Stone
Upkeep: -2 Stone</t>
  </si>
  <si>
    <t>normal urban improvement restrictions</t>
  </si>
  <si>
    <t>Cathedral</t>
  </si>
  <si>
    <r>
      <rPr>
        <rFont val="Arial"/>
        <b/>
        <color theme="1"/>
      </rPr>
      <t>Cathedral</t>
    </r>
    <r>
      <rPr>
        <rFont val="Arial"/>
        <color theme="1"/>
      </rPr>
      <t xml:space="preserve"> (+40% Culture,</t>
    </r>
  </si>
  <si>
    <t>Tech: Vaulting (Tier 6)
Culture level: Strong
Adjecent improvment: Temple
Cost: 100 Stone
Upkeep: -4 Stone</t>
  </si>
  <si>
    <t>can only build 2 per family</t>
  </si>
  <si>
    <t>The Adur Burzen-Mihr</t>
  </si>
  <si>
    <r>
      <rPr>
        <rFont val="Arial"/>
        <b/>
        <color theme="1"/>
      </rPr>
      <t>The Adur Burzen-Mihr</t>
    </r>
    <r>
      <rPr>
        <rFont val="Arial"/>
        <color theme="1"/>
      </rPr>
      <t xml:space="preserve"> (+20% Culture, +2 Victory points);</t>
    </r>
  </si>
  <si>
    <t>Zoroastrian Holy City
Culture level: Developing
Cost: 200 Stone, 200 Civics</t>
  </si>
  <si>
    <t>can only build 1 per nation;
build anywhere urban improvement</t>
  </si>
  <si>
    <t>Creates a Zoroastrian Disciple, and then every 20 Turn</t>
  </si>
  <si>
    <t>The Temple of Solomon</t>
  </si>
  <si>
    <r>
      <rPr>
        <rFont val="Arial"/>
        <b/>
        <color theme="1"/>
      </rPr>
      <t>The Temple of Solomon</t>
    </r>
    <r>
      <rPr>
        <rFont val="Arial"/>
        <color theme="1"/>
      </rPr>
      <t xml:space="preserve"> (+20% Culture, +2 Victory points);</t>
    </r>
  </si>
  <si>
    <t>Jewish Holy City
Culture level: Developing
Cost: 200 Stone, 200 Civics</t>
  </si>
  <si>
    <t>Creates a Jewish Disciple, and then every 20 Turn</t>
  </si>
  <si>
    <t>The Cao'an</t>
  </si>
  <si>
    <r>
      <rPr>
        <rFont val="Arial"/>
        <b/>
        <color theme="1"/>
      </rPr>
      <t>The Cao'an</t>
    </r>
    <r>
      <rPr>
        <rFont val="Arial"/>
        <color theme="1"/>
      </rPr>
      <t xml:space="preserve"> (+20% Culture, +2 Victory points);</t>
    </r>
  </si>
  <si>
    <t>Manichaean Holy City
Culture level: Developing
Cost: 200 Stone, 200 Civics</t>
  </si>
  <si>
    <t>Creates a Manichaean Disciple, and then every 20 Turn</t>
  </si>
  <si>
    <t>The Church of The Holy Sepulchre</t>
  </si>
  <si>
    <r>
      <rPr>
        <rFont val="Arial"/>
        <b/>
        <color theme="1"/>
      </rPr>
      <t>The Church of The Holy Sepulchre</t>
    </r>
    <r>
      <rPr>
        <rFont val="Arial"/>
        <color theme="1"/>
      </rPr>
      <t xml:space="preserve"> (+20% Culture, 
+2 Victory points);</t>
    </r>
  </si>
  <si>
    <t>Christian Holy City
Culture level: Developing
Cost: 200 Stone, 200 Civics</t>
  </si>
  <si>
    <t>Creates a Christian Disciple, and then every 20 Turn</t>
  </si>
  <si>
    <t>Theologies are upgrades to World Religions.</t>
  </si>
  <si>
    <t>They unlock based on techs and you apply them by paying civics and consuming a Disciple of your State Religion.</t>
  </si>
  <si>
    <t>There are three tiers. You can only have one of each tier.</t>
  </si>
  <si>
    <t>Civics Cost</t>
  </si>
  <si>
    <t>Tier 1</t>
  </si>
  <si>
    <t>Spread Chance</t>
  </si>
  <si>
    <t>Per City</t>
  </si>
  <si>
    <t>Monastery Effect</t>
  </si>
  <si>
    <t>Required Tech</t>
  </si>
  <si>
    <t>Law Opinion</t>
  </si>
  <si>
    <t>Recommendation</t>
  </si>
  <si>
    <t>Legalism</t>
  </si>
  <si>
    <t>Civics is always strong.</t>
  </si>
  <si>
    <t>Mythology</t>
  </si>
  <si>
    <t>Quite good if you go Polytheism.</t>
  </si>
  <si>
    <t>Veneration</t>
  </si>
  <si>
    <t>Lackluster in comparison to the other two.</t>
  </si>
  <si>
    <t>Tier 2</t>
  </si>
  <si>
    <t>Temple Effect</t>
  </si>
  <si>
    <t>Relevation</t>
  </si>
  <si>
    <t>Spread chance is great, and +0.5 Orders/Temple is huge (or +1 Order for temples in Cleric cities!)</t>
  </si>
  <si>
    <t>Dualism</t>
  </si>
  <si>
    <t>Requires multiple religions to really shine, but requires no set up -- you get the science right away. Pagan religions count.</t>
  </si>
  <si>
    <t>Gnosticism</t>
  </si>
  <si>
    <t>Can be a powerful boost in your Science City, since it's an extra science for every Urban specialist you have there.</t>
  </si>
  <si>
    <t>Tier 3</t>
  </si>
  <si>
    <t>Cathedral Effect</t>
  </si>
  <si>
    <t>Redemption</t>
  </si>
  <si>
    <t>Metaphysics</t>
  </si>
  <si>
    <t>Enlightenment</t>
  </si>
  <si>
    <t>Forestry</t>
  </si>
  <si>
    <t>Applies whether or not the Monk is of your religion, which can be quite powerful if you have multiple Monks in a city</t>
  </si>
  <si>
    <t>Cleric cities get 100% output from Monastery / Temples, including Theology effects.</t>
  </si>
  <si>
    <t>MP tier list</t>
  </si>
  <si>
    <t>Wonder</t>
  </si>
  <si>
    <t>Requirements</t>
  </si>
  <si>
    <t>All Cities</t>
  </si>
  <si>
    <t>Global</t>
  </si>
  <si>
    <t>Local City</t>
  </si>
  <si>
    <t>Tile</t>
  </si>
  <si>
    <t>Culture
/Turn</t>
  </si>
  <si>
    <t>VP</t>
  </si>
  <si>
    <t>Pyramids</t>
  </si>
  <si>
    <t>Arid or Sand</t>
  </si>
  <si>
    <t>Incredibly good, saves you so much civics over the course of the game. Prioritize in every game it's buildable. Remember it requires an Arid/Sand tile.</t>
  </si>
  <si>
    <t>Great Stupa</t>
  </si>
  <si>
    <t>Adj. City Center</t>
  </si>
  <si>
    <t>Pillar edicts building: 
2 civics, 2 legitimacy, urban (spreads borders)</t>
  </si>
  <si>
    <t>[DLC] Great for wide games where you are rich on civics and poor on stone.  Combos well with Yaz and other civic-based wonders. Pillar edicts can be built anywhere, take 1 turn and cost only 10 stone, so prioritize them.</t>
  </si>
  <si>
    <t>Ziggurat</t>
  </si>
  <si>
    <t>Holy City</t>
  </si>
  <si>
    <t>-20% Improvement Cost; 
20 Civics/Turn</t>
  </si>
  <si>
    <t>A quiet but strong wonder. The improvement cost early can be great. There are also some nice event chains for having this wonder (e.g. +10% training in the city).</t>
  </si>
  <si>
    <t>Yazilikaya</t>
  </si>
  <si>
    <t>Holy City or
adj. Mountain oradj. Volcano</t>
  </si>
  <si>
    <t>[State Religion] 
+20% Civics</t>
  </si>
  <si>
    <t>[DLC] Combos very well with other city-based civics boosts where your state religion is: Legalism, Civics families, other civics based wonders like Colossus and Necropolis will all synergize with this wonder</t>
  </si>
  <si>
    <t>Jerwan Aqueduct</t>
  </si>
  <si>
    <t>Adj. Mountain or
adj. Volcano</t>
  </si>
  <si>
    <t>Source of fresh water;
Adds a free Farmer to all adj. Farms</t>
  </si>
  <si>
    <t>[DLC] The free Farmers will added even if the Farm is built after the Wonder. Can be strong for Sages (+1 sci/farmer) or Landowners (extra gold). Look for a Volcano with lush terrain around.</t>
  </si>
  <si>
    <t>Oracle</t>
  </si>
  <si>
    <t>Hill</t>
  </si>
  <si>
    <t>You won't be able to assign an agent until you get a Spymaster, but choosing from 5 tech cards is great</t>
  </si>
  <si>
    <t>Hanging Gardens</t>
  </si>
  <si>
    <t>River</t>
  </si>
  <si>
    <t>Can help supercharge growth early, and combos well with a high-wis Chancellor</t>
  </si>
  <si>
    <t>Jebel Barkal</t>
  </si>
  <si>
    <r>
      <rPr>
        <rFont val="Arial"/>
        <color theme="1"/>
      </rPr>
      <t xml:space="preserve">Adds 1 Temple of a random </t>
    </r>
    <r>
      <rPr>
        <rFont val="Arial"/>
        <b/>
        <color theme="1"/>
      </rPr>
      <t>present</t>
    </r>
    <r>
      <rPr>
        <rFont val="Arial"/>
        <color theme="1"/>
      </rPr>
      <t xml:space="preserve"> World Religion in the city</t>
    </r>
  </si>
  <si>
    <t>[DLC] Lets you get Temples without Doctrine. Picks a random World Religion for the temple. Spread religion with disciples before you complete it for max effect. (You can "reserve it" by starting it, moving the worker off, and only finishing when all cities have religion).</t>
  </si>
  <si>
    <t>Apadana</t>
  </si>
  <si>
    <t>Significant money per turn thanks to the global maintenance reduction (which is additive, not multiplicative, so it's better than it seems!)</t>
  </si>
  <si>
    <t>Necropolis</t>
  </si>
  <si>
    <t xml:space="preserve"> +2 Culture per specialist in this city</t>
  </si>
  <si>
    <t xml:space="preserve"> 6</t>
  </si>
  <si>
    <t>Can be strong if you are going Polytheism. That's a lot of civics. Big Culture boost in city with lots of specialists.</t>
  </si>
  <si>
    <t>Mahavihara</t>
  </si>
  <si>
    <t>2 science per turn per library</t>
  </si>
  <si>
    <t>1 civics per turn per urban specialist</t>
  </si>
  <si>
    <t>[DLC] Awesome if you're going for a Scholariship beeline. Try to position your libraries adjacent to resources for maximum effect (you can build over a hamlet). Civics per specialist males it a lot easier to produce more specialists, creating a virtous cycle.</t>
  </si>
  <si>
    <t>Ishtar Gate</t>
  </si>
  <si>
    <t>Use to snipe double victory wins or getting all your cities to be able to rush. Build after you've settled everything you want to settle. (You can "reserve it" by starting it, moving the worker off, and only finishing when all cities settled).</t>
  </si>
  <si>
    <t>highly map dependent</t>
  </si>
  <si>
    <t>Lighthouse</t>
  </si>
  <si>
    <t>Coastal Water</t>
  </si>
  <si>
    <t>Prioritize this on Archipelago. Some niche uses to be able to expand borders over water, since it's usually available well before Harbor.</t>
  </si>
  <si>
    <t>disabled in duels</t>
  </si>
  <si>
    <t>Royal Libary</t>
  </si>
  <si>
    <t>+20 Civics/Turn; Connected Foreign Cities give Science</t>
  </si>
  <si>
    <t>[DLC] Disabled in Duels.  Requires Peace with a Nation in order to get the connected Bonus. As well as explored territory with a road/river/ocean route to the nation.</t>
  </si>
  <si>
    <t>Musaeum</t>
  </si>
  <si>
    <t>Very strong in a science city / capital.</t>
  </si>
  <si>
    <t>Colossus</t>
  </si>
  <si>
    <t>Acropolis</t>
  </si>
  <si>
    <t>Does require Forums to be effective.</t>
  </si>
  <si>
    <t>Mausoleum</t>
  </si>
  <si>
    <t>New Units start with Guard I</t>
  </si>
  <si>
    <t>Global +%Culture can accelerate your path to a points victory, or help secure a key legendary wonder</t>
  </si>
  <si>
    <t>Monumental Buddhas</t>
  </si>
  <si>
    <t>2 culture per turn per Religion</t>
  </si>
  <si>
    <t>+60 opinion with all religions</t>
  </si>
  <si>
    <t>Spreads Buddhism</t>
  </si>
  <si>
    <t>[DLC] A lot better in SP than in MP. +60 opinion with all religions also means +60 opinion with all families that follow any religion. If Buddhism isn't present, it gets founded upon completion. 2 culture per religion is solid if you're going for multi-faith Tolerance playthrough.</t>
  </si>
  <si>
    <t>Cothon</t>
  </si>
  <si>
    <t>+1 Level for New Ships</t>
  </si>
  <si>
    <t>+10 XP to Ships;
creates a Trireme every 10 turns</t>
  </si>
  <si>
    <t>[DLC] It can be totally uselss or game defining. It's awesome for duels on Indland Sea and similar maps.</t>
  </si>
  <si>
    <t>Al Khazneh</t>
  </si>
  <si>
    <t>Silk, Perfume, Ebony, Porcelain, Furs; Caravan / 5 turns</t>
  </si>
  <si>
    <t>[DLC] Disabled in Duels.</t>
  </si>
  <si>
    <t>Heliopolis</t>
  </si>
  <si>
    <t>+0.5 Order per Shrine</t>
  </si>
  <si>
    <t>[DLC] Very strong with Polytheism (all those shrines turn into orders!). Kush get 0.75/orders per shrine.</t>
  </si>
  <si>
    <t>Colosseum</t>
  </si>
  <si>
    <t>+1 Training/Pop</t>
  </si>
  <si>
    <t>Creates a Swordsman every 10 turns</t>
  </si>
  <si>
    <t>[DLC] Can be very powerful if built early, and Training/Pop can be strong if you build it in your primary military city (though getting that legendary may be a challenge)</t>
  </si>
  <si>
    <t>Pantheon</t>
  </si>
  <si>
    <t>[State Religion] 
+2 Civics/Turn 
per Culture Level</t>
  </si>
  <si>
    <t>You'll need to prioritize culture in a Holy City to get this up and running. Sages seats are great for this, if you found a pagan religion with a shrine in them.</t>
  </si>
  <si>
    <t>Circus Maximus</t>
  </si>
  <si>
    <t>New Mounted Units 
start with Swift</t>
  </si>
  <si>
    <t>+10 XP to Mounted Unit on new turn</t>
  </si>
  <si>
    <t>Just in case your Cataphracts were not strong enough :)</t>
  </si>
  <si>
    <t>Hagia Sophia</t>
  </si>
  <si>
    <t>Two Happiness levels on completion in every city can help if you're struggling with Discontent</t>
  </si>
  <si>
    <t>Chittorgarh</t>
  </si>
  <si>
    <t>+4 HP per turn to all units within borders</t>
  </si>
  <si>
    <t>2 Training per adj. farm</t>
  </si>
  <si>
    <t>[DLC] Provides 12 base training, which is roughly the same as Colosseum. +4hp per turn to all units means that it gets a lot easier to defend. Build it if you're going for a points/ambition victory and need to buy time/deter opponent from attacking you.</t>
  </si>
  <si>
    <t>only for VP</t>
  </si>
  <si>
    <t>Via Recta Souk</t>
  </si>
  <si>
    <t>11 luxuries: Salt, Gems, Fur, Citrus, Honey, Incense, Lavender, Olives, Wine, Dyes, Pearls</t>
  </si>
  <si>
    <t>Everything about this wonder is too late to matter in MP. Use it in SP with ruthless AI to guarantee 1 peaceful relationship till the very end of the game.</t>
  </si>
  <si>
    <t>Centralization</t>
  </si>
  <si>
    <t>Movement bonus along neutral rivers</t>
  </si>
  <si>
    <t>[All Cities] +4 Iron and +4 Stone / Turn</t>
  </si>
  <si>
    <t>[All Cities] -5% Rebel Chance</t>
  </si>
  <si>
    <t>[All Cities] Can build Farms on Marsh</t>
  </si>
  <si>
    <t>Scouts move on water</t>
  </si>
  <si>
    <t>[Capital City] 2 Science/Turn per Culture Level</t>
  </si>
  <si>
    <t>No Extra Unit Consumption when Outside Borders</t>
  </si>
  <si>
    <t>Opinion</t>
  </si>
  <si>
    <t>Hero +20</t>
  </si>
  <si>
    <t>Hunters +20</t>
  </si>
  <si>
    <t>Builder +20</t>
  </si>
  <si>
    <t>Redemption +20</t>
  </si>
  <si>
    <t>Legalism +20</t>
  </si>
  <si>
    <t>Riders +20</t>
  </si>
  <si>
    <t>Upkeep (per city, per turn)</t>
  </si>
  <si>
    <t>None</t>
  </si>
  <si>
    <r>
      <rPr>
        <rFont val="Arial"/>
        <b/>
        <color theme="1"/>
      </rPr>
      <t>Exploration</t>
    </r>
    <r>
      <rPr>
        <rFont val="Arial"/>
        <color theme="1"/>
      </rPr>
      <t>. Epics can be handy early game to boost culture, but since it goes to your nearest city, and you'll likely be fighting far from your core cities, Exploration is generally better -- the movement bonus on neutral rivers is understated but can make a big difference. Also it unlocks some unique Exploration events.</t>
    </r>
  </si>
  <si>
    <r>
      <rPr>
        <rFont val="Arial"/>
        <b/>
        <color theme="1"/>
      </rPr>
      <t xml:space="preserve">Freedom </t>
    </r>
    <r>
      <rPr>
        <rFont val="Arial"/>
        <color theme="1"/>
      </rPr>
      <t xml:space="preserve">➜ </t>
    </r>
    <r>
      <rPr>
        <rFont val="Arial"/>
        <b/>
        <color theme="1"/>
      </rPr>
      <t>Slavery</t>
    </r>
    <r>
      <rPr>
        <rFont val="Arial"/>
        <color theme="1"/>
      </rPr>
      <t>. Freedom can help get workers and settlers out that much faster early game. Slavery can give you significant income late game once you have many cities.</t>
    </r>
  </si>
  <si>
    <r>
      <rPr>
        <rFont val="Arial"/>
        <b/>
        <color theme="1"/>
      </rPr>
      <t>Centralization ➜ Vassalage</t>
    </r>
    <r>
      <rPr>
        <rFont val="Arial"/>
        <color theme="1"/>
      </rPr>
      <t>. The science gain in your capital (generally your highest Science city) is excellent early game. Late game, Vassalage's upkeep on units can save you a lot of resources (and training upkeep, for lategame units) as the science boost from Centralization will fade in importance.</t>
    </r>
  </si>
  <si>
    <t>Monotheism</t>
  </si>
  <si>
    <t>Polytheism</t>
  </si>
  <si>
    <t>[All Sities] +20% Training</t>
  </si>
  <si>
    <t>Unlocks Decrees in Capital</t>
  </si>
  <si>
    <t>Can Buy Tiles with Money</t>
  </si>
  <si>
    <t>[All Cities] +1 Discontent/Turn</t>
  </si>
  <si>
    <t>[State Religion Cities] 1 Order / Turn</t>
  </si>
  <si>
    <t>[All Cities] Can Build each Shrine in every City</t>
  </si>
  <si>
    <t>[All Sities] +10 Money/Turn per Military Unit in Territory</t>
  </si>
  <si>
    <t>[All Cities] 1 Science/Turn per Urban Specialist</t>
  </si>
  <si>
    <t>5 Orders/Turn</t>
  </si>
  <si>
    <t>Orator +20</t>
  </si>
  <si>
    <t>Statesmen +20</t>
  </si>
  <si>
    <t>Diplomat +20</t>
  </si>
  <si>
    <t>Landowners +20</t>
  </si>
  <si>
    <t>Gnosticism: +20</t>
  </si>
  <si>
    <t>Mythology +20</t>
  </si>
  <si>
    <t>-1 Civics</t>
  </si>
  <si>
    <t>-2 Training</t>
  </si>
  <si>
    <t>-4 Money</t>
  </si>
  <si>
    <t>Sovereignty</t>
  </si>
  <si>
    <t>Navigation</t>
  </si>
  <si>
    <t>Monasticism</t>
  </si>
  <si>
    <r>
      <rPr>
        <rFont val="Arial"/>
        <b/>
        <color theme="1"/>
      </rPr>
      <t xml:space="preserve">Constitution: </t>
    </r>
    <r>
      <rPr>
        <rFont val="Arial"/>
        <b val="0"/>
        <color theme="1"/>
      </rPr>
      <t>The science bonus is significant here, and being able to use decrees late game can be an excellent source of extra orders. Tyranny is also worth considering situationally.</t>
    </r>
  </si>
  <si>
    <r>
      <rPr>
        <rFont val="Arial"/>
        <b/>
        <color theme="1"/>
      </rPr>
      <t>Serfdom</t>
    </r>
    <r>
      <rPr>
        <rFont val="Arial"/>
        <color theme="1"/>
      </rPr>
      <t>: Generally 5 orders will be more valuable, though it can be worth swapping to Colonies to grab some important tiles before swapping back.</t>
    </r>
  </si>
  <si>
    <r>
      <rPr>
        <rFont val="Arial"/>
        <b/>
        <color theme="1"/>
      </rPr>
      <t>Polytheism ➜ Monotheism</t>
    </r>
    <r>
      <rPr>
        <rFont val="Arial"/>
        <color theme="1"/>
      </rPr>
      <t>: Early game, you won't have that many cities with your State Religion (you might not even have a State Religion). Being able to build powerful Shrines in every city is a significant bonus. Late game, once your State Religion has spread and you can better make use of the Orders, it's worth swapping. Keep in mind Kush gets extra bonus from Shrines and the Heliopolis wonder gets you an order per shrine -- and Polytheism Shrines don't go away once you swap to Monotheism.</t>
    </r>
  </si>
  <si>
    <t>Tolerance</t>
  </si>
  <si>
    <t>Orthodoxy</t>
  </si>
  <si>
    <t>Can Adopt Pagan State Religions</t>
  </si>
  <si>
    <t>Can Build Non-State Religion Disciples</t>
  </si>
  <si>
    <t>Disciples Can Purge World Religions</t>
  </si>
  <si>
    <t>[All Cities] -20% Urban Specialist Production Time</t>
  </si>
  <si>
    <t>[All Cities] +1 Order/Turn per Pagan Religion</t>
  </si>
  <si>
    <t>[All Cities] 2 Happiness/Turn per Non-State Religion</t>
  </si>
  <si>
    <t>[State Religion Cities] Can Hurry Production with Orders</t>
  </si>
  <si>
    <t>[All Cities] +1 Science/Turn with Forum</t>
  </si>
  <si>
    <t>Roads bridge across Rivers</t>
  </si>
  <si>
    <t>Clerics +20</t>
  </si>
  <si>
    <t>Judge +20</t>
  </si>
  <si>
    <t>Dualism +20</t>
  </si>
  <si>
    <t>Relevation +20</t>
  </si>
  <si>
    <t>Sages +20</t>
  </si>
  <si>
    <t>Scholar +20</t>
  </si>
  <si>
    <t>-2 Civics</t>
  </si>
  <si>
    <t>-6 Money</t>
  </si>
  <si>
    <t>-3 Civics</t>
  </si>
  <si>
    <t>-8 Money</t>
  </si>
  <si>
    <t>Citizenship</t>
  </si>
  <si>
    <t>Doctrine</t>
  </si>
  <si>
    <t>Architecture</t>
  </si>
  <si>
    <r>
      <rPr>
        <rFont val="Arial"/>
        <b/>
        <color theme="1"/>
      </rPr>
      <t>Divine Rule</t>
    </r>
    <r>
      <rPr>
        <rFont val="Arial"/>
        <color theme="1"/>
      </rPr>
      <t>. By the time you have a lot of laws, you probably have decent Civics generation -- Divine Rule gives you an order per pagan religion, which, if you start with Polytheism and build a shrine in every city, is a lot of orders!</t>
    </r>
  </si>
  <si>
    <r>
      <rPr>
        <rFont val="Arial"/>
        <b/>
        <color theme="1"/>
      </rPr>
      <t>Either</t>
    </r>
    <r>
      <rPr>
        <rFont val="Arial"/>
        <color theme="1"/>
      </rPr>
      <t>. Religions tend to spread, and being able to have multiple Monasteries (and thus Monks) can be quite powerful, particularly in Science cities. That said, being able to rush with Orders can powerful, but well, takes up a lot of Orders. Purging is generally not worth the trouble. The Happiness bonus from Tolerance is also helpful.</t>
    </r>
  </si>
  <si>
    <r>
      <rPr>
        <rFont val="Arial"/>
        <b/>
        <color theme="1"/>
      </rPr>
      <t>Philosophy -&gt; Engineering</t>
    </r>
    <r>
      <rPr>
        <rFont val="Arial"/>
        <color theme="1"/>
      </rPr>
      <t>. Philosophy's -20% Urban Specialist Production time is not to be dismissed if you're building a lot of specialists -- the forum bonus isn't much to write home about. Engineering's bonuses are well-timed -- making wonders cheaper (including Civics cost) and making it so units can move across rivers without paying a move. That said, if you're not building wonders, Engineering doesn't get you much apart from the bridge bonus.</t>
    </r>
  </si>
  <si>
    <t>Tier 4</t>
  </si>
  <si>
    <t>Iconography</t>
  </si>
  <si>
    <t>Pilgrimage</t>
  </si>
  <si>
    <t>20 Training / per War</t>
  </si>
  <si>
    <t>[All Cities] Monastery: +2 Training/Turn, Cathedral +2 Happiness/Turn, Temple +20 Money/Turn</t>
  </si>
  <si>
    <t>[All Cities] +10 Culture/Turn</t>
  </si>
  <si>
    <t>[All Cities] +25% State Religion Spread Chance (World Religion Only)</t>
  </si>
  <si>
    <t>[All Cities] +1 Random Promotion for New Units</t>
  </si>
  <si>
    <t>[All Cities] 2 Training / Treasury</t>
  </si>
  <si>
    <t>[All Cities] Can Hurry Production with Population</t>
  </si>
  <si>
    <t>[All Cities] No Random Non-State Religion Spread</t>
  </si>
  <si>
    <t>[All Cities] +1 Happiness/Elder Specialist</t>
  </si>
  <si>
    <t>[Holy Cities] +10 Money/Turn per Cities with Religion</t>
  </si>
  <si>
    <t>[State Religion Cities] Can Hurry Units with Money</t>
  </si>
  <si>
    <t>Tactician +20</t>
  </si>
  <si>
    <t>Champions +20</t>
  </si>
  <si>
    <t>Veneration +20</t>
  </si>
  <si>
    <t>Patrons +20</t>
  </si>
  <si>
    <t>Enlightenment +20</t>
  </si>
  <si>
    <t>Zealot +20</t>
  </si>
  <si>
    <t>-4 Training</t>
  </si>
  <si>
    <t>-1 Science</t>
  </si>
  <si>
    <t>Manor</t>
  </si>
  <si>
    <t>Vaulting</t>
  </si>
  <si>
    <t>Martial Code</t>
  </si>
  <si>
    <r>
      <rPr>
        <rFont val="Arial"/>
        <b/>
        <color theme="1"/>
      </rPr>
      <t>Professional Army</t>
    </r>
    <r>
      <rPr>
        <rFont val="Arial"/>
        <color theme="1"/>
      </rPr>
      <t>. Volunteers has situational usages, but because it takes Citizens to Hurry Production, and you have a limited number of Citizens (who would likely be better off as Specialist), it's more of an emergency button where you're willing to trade off the long term for getting a unit right now. Professional Army is a more durable long term pick, as fastest Unit XP leads to promotions. The training from Treasury is a nice bonus in your Military production cities, assuming you had tempo to build a Treasury in them, whereas Volunteer's training is global pool training, which is much less valuable (and +20 is not much).</t>
    </r>
  </si>
  <si>
    <r>
      <rPr>
        <rFont val="Arial"/>
        <b/>
        <color theme="1"/>
      </rPr>
      <t>Situational</t>
    </r>
    <r>
      <rPr>
        <rFont val="Arial"/>
        <color theme="1"/>
      </rPr>
      <t>. Iconography's training per Monastery is quite nice in your military production cities, but its no random non-state religion spread has anti-synergies with Tolerance. Calligraphy's culture from Libraries can help with a late game culture push, though it's unlikely you've gone particularly wide on Libraries. The Happiness per Elder Specialist is nice, but also situational given you probably don't have that many Elder Specialists in many cities.</t>
    </r>
  </si>
  <si>
    <r>
      <rPr>
        <rFont val="Arial"/>
        <b/>
        <color theme="1"/>
      </rPr>
      <t>Holy War</t>
    </r>
    <r>
      <rPr>
        <rFont val="Arial"/>
        <color theme="1"/>
      </rPr>
      <t xml:space="preserve">. Being able to rush units with gold is incredibly valuable, and by the time you get Martial Code, you're likely mostly done with Research, making Pilgrimage's science benefits less beneficial (assuming you have Groves online at all). Holy War also gives you an extra promotion on every single unit you produce, which is quite significant. Note, however, Holy War has Science upkeep -- so don't enact it unless you're willing to take the Research speed hit.
</t>
    </r>
    <r>
      <rPr>
        <rFont val="Arial"/>
        <i/>
        <color theme="1"/>
      </rPr>
      <t>(this recommendation was before change the Pilgrimage law; Holy war still very strong)</t>
    </r>
  </si>
  <si>
    <t>Tier 5</t>
  </si>
  <si>
    <t>Elites</t>
  </si>
  <si>
    <t>Trade League</t>
  </si>
  <si>
    <t>Coin Debasement</t>
  </si>
  <si>
    <t>Monetary Reform</t>
  </si>
  <si>
    <t>[All Cities] Can build Elder Specialists directly</t>
  </si>
  <si>
    <t>Store 100 Orders between Turns</t>
  </si>
  <si>
    <t>[All Cities] Mines, Quarries, and Lumbermills: +20% Output</t>
  </si>
  <si>
    <t>Unlocks Convoy</t>
  </si>
  <si>
    <t>Can Buy/Sell Orders for Money</t>
  </si>
  <si>
    <t>[All Cities] +2 Happiness/Turn</t>
  </si>
  <si>
    <t>[All Cities] +10 Money/Turn for each different type of specialist</t>
  </si>
  <si>
    <t>[Legendary Cities] +2 Orders</t>
  </si>
  <si>
    <t>[All Cities] Can build Units that require Horses, Camels, or Elephants</t>
  </si>
  <si>
    <t>Can Sell for the same price as buying</t>
  </si>
  <si>
    <t>[All Cities] No Discontent from Hurrying</t>
  </si>
  <si>
    <t>Artisans +20</t>
  </si>
  <si>
    <t>Schemer +20</t>
  </si>
  <si>
    <t>Commander +20</t>
  </si>
  <si>
    <t>Traders +20</t>
  </si>
  <si>
    <t>-10 Money</t>
  </si>
  <si>
    <t>-5 Training</t>
  </si>
  <si>
    <t>-2 Science</t>
  </si>
  <si>
    <t>-4 Civics</t>
  </si>
  <si>
    <t>Jurisprudence</t>
  </si>
  <si>
    <t>Lateen Sail</t>
  </si>
  <si>
    <t>Fiscal Policy</t>
  </si>
  <si>
    <r>
      <rPr>
        <rFont val="Arial"/>
        <b/>
        <color theme="1"/>
      </rPr>
      <t>Guilds -&gt; Elites</t>
    </r>
    <r>
      <rPr>
        <rFont val="Arial"/>
        <color theme="1"/>
      </rPr>
      <t>. Elites: Being able to bank orders can help unleash a devastating alpha strike. But Guilds can super charge your specialist economy by letting you build Elders right away. Guilds is incredibly strong and you can always swap to Elites when you your specialists up and are ready to alpha strike.</t>
    </r>
  </si>
  <si>
    <r>
      <rPr>
        <rFont val="Arial"/>
        <b/>
        <color theme="1"/>
      </rPr>
      <t>Autarky</t>
    </r>
    <r>
      <rPr>
        <rFont val="Arial"/>
        <color theme="1"/>
      </rPr>
      <t>. Being able to produce Cataphracts anywhere, as well as increased output from Mines, Quarries, and Lumbermills can boost your resource income. Trade League is sometimes situationally worth swapping into, e.g. if you're about to sell down a huge resource stockpile to be able to rush out more units with Holy War.</t>
    </r>
  </si>
  <si>
    <r>
      <rPr>
        <rFont val="Arial"/>
        <b/>
        <color theme="1"/>
      </rPr>
      <t>Coin Debasement</t>
    </r>
    <r>
      <rPr>
        <rFont val="Arial"/>
        <color theme="1"/>
      </rPr>
      <t>. Orders are the most precious resource in the game and being able to buy orders at will is incredibly powerful. There are other ways to manage Happiness, but there's no other way to buy orders for gold.</t>
    </r>
  </si>
  <si>
    <t>Notes on Laws</t>
  </si>
  <si>
    <t>Adopting a law costs 400 Civics. 
Pyramids reduces this to 200 Civics.</t>
  </si>
  <si>
    <t>Switching a law costs 200 civics, scaling up by 100 Civics each swap.
Judge leaders can switch laws for only 100 civics.</t>
  </si>
  <si>
    <t>Garrisons unlock at 1 Law.</t>
  </si>
  <si>
    <t>Strongholds and your Unique Unit (6 STR) unlocks at 4 Laws. (Requires Developing Culture)</t>
  </si>
  <si>
    <t>Citadels and your Unique Unit (8 STR) unlocks at 7 Laws. (Requires Strong Culture)</t>
  </si>
  <si>
    <t>Technology</t>
  </si>
  <si>
    <t>Cost</t>
  </si>
  <si>
    <t>Total Cost</t>
  </si>
  <si>
    <t>Prereq 1</t>
  </si>
  <si>
    <t>Prereq 2</t>
  </si>
  <si>
    <t>Prereq 3</t>
  </si>
  <si>
    <t>Unlocks</t>
  </si>
  <si>
    <t>All Prereq Techs</t>
  </si>
  <si>
    <t>Total Prereq Cost</t>
  </si>
  <si>
    <t>⚔️ 🗡️ Warrior</t>
  </si>
  <si>
    <t>⛏️ Fort, 
⛏️ Quarry</t>
  </si>
  <si>
    <t>⚔️ 🏹 Slinger, 
⛏️ Camp</t>
  </si>
  <si>
    <t>🏛️ Treasury, 
⛏️ Granary</t>
  </si>
  <si>
    <t>〰️ Roads, 
⚖️ Slavery / Freedom</t>
  </si>
  <si>
    <t>⛏️ Pasture</t>
  </si>
  <si>
    <t>🏡 Odeon</t>
  </si>
  <si>
    <t>🏛️ Walls, 
🏡 Hamlet</t>
  </si>
  <si>
    <t>💼 Rally Troops, 
🏡 Barracks</t>
  </si>
  <si>
    <r>
      <rPr>
        <rFont val="Arial"/>
        <color theme="1"/>
        <sz val="16.0"/>
      </rPr>
      <t>📜</t>
    </r>
    <r>
      <rPr>
        <rFont val="Arial"/>
        <color theme="1"/>
        <sz val="11.0"/>
      </rPr>
      <t xml:space="preserve"> Ambassador, 
⚖️ Centralization / Vassalage</t>
    </r>
  </si>
  <si>
    <t>🏛️ Forum, 
⚖️ Epics / Exploration</t>
  </si>
  <si>
    <t>⚓ Bireme, 
⚖️ Colonies / Serfdom</t>
  </si>
  <si>
    <t>Phalanx</t>
  </si>
  <si>
    <t>⚔️ 🗡️ Spearman</t>
  </si>
  <si>
    <t>Spoked Wheel</t>
  </si>
  <si>
    <r>
      <rPr>
        <rFont val="Arial"/>
        <color theme="1"/>
        <sz val="16.0"/>
      </rPr>
      <t>🪶</t>
    </r>
    <r>
      <rPr>
        <rFont val="Arial"/>
        <color theme="1"/>
        <sz val="11.0"/>
      </rPr>
      <t xml:space="preserve"> Chancellor, 
⚔️ 🐴 Chariot</t>
    </r>
  </si>
  <si>
    <t>⛏️ Lumbermill</t>
  </si>
  <si>
    <t>Steel</t>
  </si>
  <si>
    <t>⚔️ 🗡️ Axeman</t>
  </si>
  <si>
    <t>⚖️ Tyranny / Constitution</t>
  </si>
  <si>
    <t>💼 Convert to State Religion, 
💼 High Synod, 
🏛️ Archive</t>
  </si>
  <si>
    <t>Coinage</t>
  </si>
  <si>
    <t>💼 Pacify City, 
🏡 Market</t>
  </si>
  <si>
    <t>🏡 Courthouse, 
⚖️ Divine Rule / Legal Code</t>
  </si>
  <si>
    <t>Portcullis</t>
  </si>
  <si>
    <r>
      <rPr>
        <rFont val="Arial"/>
        <color theme="1"/>
        <sz val="16.0"/>
      </rPr>
      <t>👁️</t>
    </r>
    <r>
      <rPr>
        <rFont val="Arial"/>
        <color theme="1"/>
        <sz val="11.0"/>
      </rPr>
      <t xml:space="preserve"> Spymaster, 
🏛️ Moat</t>
    </r>
  </si>
  <si>
    <t>Land Consolidation</t>
  </si>
  <si>
    <t>⚔️ 🏹 🐫 Camel Archer, 
⚔️ 🗡️ 🦣 War Elephant, 
⛏️ Grove</t>
  </si>
  <si>
    <t>Composite Bow</t>
  </si>
  <si>
    <t>⚔️ 🏹 Archer, 
🏡 Range</t>
  </si>
  <si>
    <t>🕍 Monastery, 
⚖️ Monotheism / Polytheism</t>
  </si>
  <si>
    <t>Machinery</t>
  </si>
  <si>
    <t>⚔️ ☄️ Onager</t>
  </si>
  <si>
    <t>Scholarship</t>
  </si>
  <si>
    <t>💼 Expose Agent Network,
💼 Move Agent Network, 
🏡 Library</t>
  </si>
  <si>
    <t>Stirrups</t>
  </si>
  <si>
    <t>⚔️ 🏹 🐴 Horse Archer, 
⚔️ 🗡️ 🐴 Horseman</t>
  </si>
  <si>
    <t>🏡 Bath, 
⚖️ Philosophy / Engineering</t>
  </si>
  <si>
    <t>⚔️ Conscript, 
⚖️ Professional Army /
     Volunteers</t>
  </si>
  <si>
    <t>Battle Line</t>
  </si>
  <si>
    <t>⚔️ 🗡️ Maceman</t>
  </si>
  <si>
    <t>🕍 Temple, 
⚖️ Tolerance / Orthodoxy</t>
  </si>
  <si>
    <t>Hydraulics</t>
  </si>
  <si>
    <t>⚔️ ☄️ Ballista, 
⛏️ Wind/Watermill</t>
  </si>
  <si>
    <t>Cartography</t>
  </si>
  <si>
    <t>💼 Steal Research, 
⚓ Trireme, 
⛏️ Harbor</t>
  </si>
  <si>
    <t>⚓ Dromon, 
⚖️ Autarky / Trade League</t>
  </si>
  <si>
    <t>💼 Insurrection, 
⚖️ Guilds / Elites</t>
  </si>
  <si>
    <t>🏛️ Towers, 
⚖️ Pilgrimage / Holy War</t>
  </si>
  <si>
    <t>🕍 Cathedral, 
⚖️ Iconography / Calligraphy</t>
  </si>
  <si>
    <t>Bodkin Arrow</t>
  </si>
  <si>
    <t>⚔️ 🏹 Longbowman</t>
  </si>
  <si>
    <t>Windlass</t>
  </si>
  <si>
    <t>⚔️ 🏹 Crossbowman</t>
  </si>
  <si>
    <t>⚖️ Coin Debasement /
     Monetary Reform</t>
  </si>
  <si>
    <t>Barding</t>
  </si>
  <si>
    <t>⚔️ 🗡️ 🐴 Cataphract</t>
  </si>
  <si>
    <t>Cohorts</t>
  </si>
  <si>
    <t>⚔️ 🗡️ Swordsman</t>
  </si>
  <si>
    <t>Infantry Square</t>
  </si>
  <si>
    <t>⚔️ 🗡️ Pikeman</t>
  </si>
  <si>
    <t>Chain Drive</t>
  </si>
  <si>
    <t>⚔️ ☄️ Polybolos</t>
  </si>
  <si>
    <t>Ballistics</t>
  </si>
  <si>
    <t>⚔️ ☄️ Mangonel</t>
  </si>
  <si>
    <t>Economic Reform</t>
  </si>
  <si>
    <t>+1 Court Merchant
+1 Victory Point</t>
  </si>
  <si>
    <t>Military Prestige</t>
  </si>
  <si>
    <t>+1 Court Soldier
+1 Victory Point</t>
  </si>
  <si>
    <t>Industrial Progress</t>
  </si>
  <si>
    <t>+1 Court Minister
+1 Victory Point</t>
  </si>
  <si>
    <t>all Laws part 1</t>
  </si>
  <si>
    <t>all Laws part 2</t>
  </si>
  <si>
    <t>all Laws</t>
  </si>
  <si>
    <r>
      <rPr>
        <rFont val="Arial"/>
        <color theme="1"/>
        <sz val="16.0"/>
      </rPr>
      <t>📜</t>
    </r>
    <r>
      <rPr>
        <rFont val="Arial"/>
        <color theme="1"/>
        <sz val="11.0"/>
      </rPr>
      <t xml:space="preserve"> Ambassador, 
⚖️ Centralization / Vassalage</t>
    </r>
  </si>
  <si>
    <r>
      <rPr>
        <rFont val="Arial"/>
        <color theme="1"/>
        <sz val="16.0"/>
      </rPr>
      <t>🪶</t>
    </r>
    <r>
      <rPr>
        <rFont val="Arial"/>
        <color theme="1"/>
        <sz val="11.0"/>
      </rPr>
      <t xml:space="preserve"> Chancellor, 
⚔️ 🐴 Chariot</t>
    </r>
  </si>
  <si>
    <r>
      <rPr>
        <rFont val="Arial"/>
        <color theme="1"/>
        <sz val="16.0"/>
      </rPr>
      <t>👁️</t>
    </r>
    <r>
      <rPr>
        <rFont val="Arial"/>
        <color theme="1"/>
        <sz val="11.0"/>
      </rPr>
      <t xml:space="preserve"> Spymaster, 
🏛️ Moat</t>
    </r>
  </si>
  <si>
    <t>Tech Priority Queue, with an eye toward Multiplayer</t>
  </si>
  <si>
    <t>Last updated July 2024.</t>
  </si>
  <si>
    <t xml:space="preserve">This is very much a set of guidelines, not hard and fast rules. </t>
  </si>
  <si>
    <t>Remember to adjust your tech path based on the map, your strategy, and your opponents.</t>
  </si>
  <si>
    <t>The tech card system means every game is different.</t>
  </si>
  <si>
    <t>Scholar leaders enable you to redraw techs. Oracle gives you a choice of 5 techs, not 4.</t>
  </si>
  <si>
    <r>
      <rPr>
        <rFont val="Arial"/>
        <color theme="1"/>
      </rPr>
      <t xml:space="preserve">This was put together from </t>
    </r>
    <r>
      <rPr>
        <rFont val="Arial"/>
        <b/>
        <color theme="1"/>
      </rPr>
      <t>an MP perspective</t>
    </r>
    <r>
      <rPr>
        <rFont val="Arial"/>
        <color theme="1"/>
      </rPr>
      <t xml:space="preserve"> (with No Starting Techs and Duels in mind) where your goals are:</t>
    </r>
  </si>
  <si>
    <t>- get Scholarship ASAP to scale science in your capital city</t>
  </si>
  <si>
    <t>- get 7 laws for your 8 STR UU</t>
  </si>
  <si>
    <t>The build below:</t>
  </si>
  <si>
    <t>https://alcaras.github.io/owtt/?o=3,1,-1,0,7,-4,10,24,5,12,2,9,4,6,14,11,17,-11,13,20,26</t>
  </si>
  <si>
    <t>Tech Cost</t>
  </si>
  <si>
    <t>Tech</t>
  </si>
  <si>
    <t>Unit</t>
  </si>
  <si>
    <t>Building / Improvement</t>
  </si>
  <si>
    <t>Project / Council</t>
  </si>
  <si>
    <t>Law / Ability</t>
  </si>
  <si>
    <t>Other Notes</t>
  </si>
  <si>
    <t>Total science cost</t>
  </si>
  <si>
    <t>Shrines</t>
  </si>
  <si>
    <t>Acolyte x2 for Zoro. Can be worth getting first to really try to lock in Zoro.
Consider earlier if Sages (for Holy City Civics bonus)
Consider earlier if your nation has very strong shrines (Love, War, Wisdom).</t>
  </si>
  <si>
    <t>Stone Boost for Pyramids; not necessarily the _first_ thing you need to research but should be in your first 3 techs since you need stone and since pyramids are so damn good. If you have no stone sources nearby, prioritizing getting them as soon as you can (and you can delay this tech until you have stone available)</t>
  </si>
  <si>
    <t>Consider earlier if Carthage or Statesmen or good civics income (since you'll have more Civics for Slavery or Freedom once you get Labor Force, which is gated by Ironworking)</t>
  </si>
  <si>
    <t>Poets now are a good source of Civics in a high growth city with a lot of Citizens. The Free Settler card can be useful as well. Poets are a great early urban specialist for your science city.</t>
  </si>
  <si>
    <t>1: Centralization --&gt; Vassalage (late)</t>
  </si>
  <si>
    <t>Centralization is a great early science boost. This also unlocks the Ambassador that can help stabilize your family opinion. You'll likely want to swap to assalage late game once the Centralization science boost is immaterial and you have a lot of units to benefit from Vassalage. Once again, time this for when you have Civics for the law and ideally the Ambassador too. Prioritize this as Kush, since this unlocks their unique Kush Pyramids (and is on the way to Monasticism for Polytheism).</t>
  </si>
  <si>
    <t>4: Polytheism --&gt; Monotheism (late)</t>
  </si>
  <si>
    <t>If you're playing with Clerics, you get this tech for free, which lets you get Polytheism much earlier. Get this when you have at least 400 Civics (for Polytheism) and ideally 800 so you can adopt State Religion as well.
Polytheism into Monotheism (late game, for orders once you have religion spread). Prioritizer earlier as Kush, given how strong Polytheism thanks to their bonus to Shrines.</t>
  </si>
  <si>
    <t>3: Slavery --&gt; Freedom (late)</t>
  </si>
  <si>
    <t>You're just getting Labor Force to unlock Serfdom. Can pick up the law later when you go to 4 Laws.</t>
  </si>
  <si>
    <t>Bireme</t>
  </si>
  <si>
    <t>2: Serfdom</t>
  </si>
  <si>
    <t>You want this just as you get 400 civics for the +5 Orders from Serfdom. No point getting this if you won't have the civics for the law.</t>
  </si>
  <si>
    <t>Slinger</t>
  </si>
  <si>
    <t>Consider earlier if lots of Game. Defer if you don't have Game nearby. You will want this eventually for Mil Drill. Weave this in if you don't have Civics to adopt laws.</t>
  </si>
  <si>
    <t>Barracks are so critical. The sooner you build them, the sooner you can get Officer specialists up.</t>
  </si>
  <si>
    <t>Treasury</t>
  </si>
  <si>
    <t>Consider earlier if you have Landowners / lots of crop resources (Granary). Defer if you don't have Crop resources. Weave this in if you don't have Civics to adopt laws.</t>
  </si>
  <si>
    <t>Rancher x2 for Judaism if you didn't get Zoro. Consider earlier if you have Pasture-locked growth resources (Goats). Defer if you don't need Judaism or don't have lots of Pasture-resources. Weave this in if you don't have Civics to adopt laws.</t>
  </si>
  <si>
    <t>Chariot</t>
  </si>
  <si>
    <t>The Chancellor unlock is also powerful, particularly if you have one (e.g. an heir or other child) with Wisdom, for the extra Growth that unlocks. 5 STR Unit: Chariot (but requires Horses).  [Egypt, Hatti: unlocks the Free UU card, for an early 6 STR Unit]</t>
  </si>
  <si>
    <t>Forum</t>
  </si>
  <si>
    <t>7: Epics / Exploration</t>
  </si>
  <si>
    <t>Epics is better early in the game to build up culture in cities, but as the action moves further away from your core cities, Exploration becomes better as it enables efficient movement along neutral rivers.
Given how late Rhetoric is in this tech priority queue, I'd likely go Exploration. If you're fighting a lot, though, epics can last all game and give you a nice culture boost in your frontline cities.</t>
  </si>
  <si>
    <t>6: Constitution</t>
  </si>
  <si>
    <t>Likely Constitution (since if gives you since from urban specialists). The Civics Boost card is worth taking as well if you need civics, which you probably will (+800 Civics). Constitution is much more impactful than Epics / Exploration, so prioritize Civics for it first.</t>
  </si>
  <si>
    <t>Spearmen</t>
  </si>
  <si>
    <t>Important to unlock Citizenship and the Scholarship line. Also a 5 STR unit: Spearmen. [Greece: unlocks the Free UU card, for an early 6 STR Unit]</t>
  </si>
  <si>
    <t>5: Legal Code</t>
  </si>
  <si>
    <t>Courthouses and Legal Code will massively buff your civics output.</t>
  </si>
  <si>
    <t>Expose agent network;
Move agent network</t>
  </si>
  <si>
    <t>Huge research boost in your science city. Library / Academy / University and their specialists make this super critical to get ASAP.</t>
  </si>
  <si>
    <t>Now you have an 8 STR UU unlocked, two 5 STR units unlocked, and have significant guaranteed science sources and all training production buildings unlocked.</t>
  </si>
  <si>
    <t>At this point, you'll want to pick an 8/10 STR end-game unit -- here are the paths to get to each one (and how much total science it costs) from what you've teched so far:</t>
  </si>
  <si>
    <t>Hydraulics features a 2x Crossbowman Free Unit Card, which makes it an attractive target.</t>
  </si>
  <si>
    <t>An example tech order to get to Crossbowmen:</t>
  </si>
  <si>
    <t>Onager</t>
  </si>
  <si>
    <t>Onagers are incredibly at holding a front, but do require significant stone and wood investment, as well as a map that lets there be a front (e.g. not great if there's a way for your opponent to go around your onagers). Can move this (and Sovereignty) earlier if you think you have a position you'll be able to defend.</t>
  </si>
  <si>
    <t>Ballista</t>
  </si>
  <si>
    <t>Windmill, 
Watermill</t>
  </si>
  <si>
    <t>Windmill, Watermill can be a big eco boost
They also provide 2 city science each</t>
  </si>
  <si>
    <t>Agents are vital for knowing what your opponent is up to. Not as big a science boost as it oce ons.</t>
  </si>
  <si>
    <t>Philosophy / Engineering</t>
  </si>
  <si>
    <t>Engineering is great for Wonder construction. Doctors in Baths can be a nice science boost too, though come pretty late.</t>
  </si>
  <si>
    <t>Crossbowman</t>
  </si>
  <si>
    <t>8 STR Unit that doesn't have any counters apart from Polybolos (which is on the same line!)</t>
  </si>
  <si>
    <t>Other techs to consider picking up along the way:</t>
  </si>
  <si>
    <t>Walls</t>
  </si>
  <si>
    <t>The earlier you build Hamlets, the better, as they take time to level up into Villages and Towns.</t>
  </si>
  <si>
    <t>Not having to chop for wood is valuable for anyone, but esp. prioritize as Assyria/Babylon/Kush because of your UU.
If you need a courtier, the Scholar courtier card this unlocks can be worth researching sometimes.  [Persia, Kush: unlocks the Free UU card, for an early 6 STR Unit]</t>
  </si>
  <si>
    <t>Archer</t>
  </si>
  <si>
    <t>Ranges are a nice production boost but take wood upkeep. [Babylon: Unlocks the free UU card]</t>
  </si>
  <si>
    <t>Horseman</t>
  </si>
  <si>
    <t>6 STR Rout Unit</t>
  </si>
  <si>
    <t>Marital Code</t>
  </si>
  <si>
    <t>Towers</t>
  </si>
  <si>
    <r>
      <rPr>
        <rFont val="Arial"/>
        <color theme="1"/>
      </rPr>
      <t xml:space="preserve">Pilgrimage / </t>
    </r>
    <r>
      <rPr>
        <rFont val="Arial"/>
        <color theme="1"/>
      </rPr>
      <t>Holy War</t>
    </r>
  </si>
  <si>
    <t>Holy War lets you rush out units with gold in State Religion cities. Holy War can be used to rush Settlers/Workers for gold too. The free promotion is quite good. Note the law takes science upkeep.</t>
  </si>
  <si>
    <t>Some additional techs to consider:</t>
  </si>
  <si>
    <t>Archive</t>
  </si>
  <si>
    <t>Convert to State Religion</t>
  </si>
  <si>
    <t>Christianity (requires YOU to have a Jewish city)</t>
  </si>
  <si>
    <t>Trieme</t>
  </si>
  <si>
    <t>Steal Research</t>
  </si>
  <si>
    <t>Note you must have an opponent at least Competent relative to you to be able to Steal Research. (Can't steal from Naive or Primitive nations). You also need a Spymaster to steal research.</t>
  </si>
  <si>
    <r>
      <rPr>
        <rFont val="Arial"/>
        <color theme="1"/>
      </rPr>
      <t xml:space="preserve">Tolerance </t>
    </r>
    <r>
      <rPr>
        <rFont val="Arial"/>
        <color theme="1"/>
      </rPr>
      <t>/ Orthodoxy</t>
    </r>
  </si>
  <si>
    <t>Unlocks Temples.</t>
  </si>
  <si>
    <t>Camel Archer,
War Elephant</t>
  </si>
  <si>
    <t>Unlocks lots of luxury resources.</t>
  </si>
  <si>
    <t>From here, you can go any number of directions -- organized below by 8 / 10 STR Unit and additional tech cost to get there:</t>
  </si>
  <si>
    <t>Polybolos</t>
  </si>
  <si>
    <t>100 iron, 100 wood, -4 iron upkeep; 120 training</t>
  </si>
  <si>
    <t>Mangonel</t>
  </si>
  <si>
    <t>100 stone, 100 wood, -4 stone upkeep; 120 training</t>
  </si>
  <si>
    <t>Longbowman</t>
  </si>
  <si>
    <t>150 wood, -3 wood, -1 food upkeep; 100 training</t>
  </si>
  <si>
    <t>Conscript</t>
  </si>
  <si>
    <t>Professional Army / Volunteers</t>
  </si>
  <si>
    <t>Professional Army is great if you pre-built Treasuries.
Volunteers is nice if you need to rush units with Population, esp. since nothing else shares Population rushing so it's available in every city that's developing or better.</t>
  </si>
  <si>
    <t>Pikeman</t>
  </si>
  <si>
    <t>100 iron, 50 wood, -3 iron, -1 food upkeep; 100 training</t>
  </si>
  <si>
    <t>Axemen</t>
  </si>
  <si>
    <t>Maceman</t>
  </si>
  <si>
    <t>Swordsman</t>
  </si>
  <si>
    <t>200 iron, -4 iron, -1 food upkeep; 120 training</t>
  </si>
  <si>
    <t>Can consider getting this on its own, independent of Swordsmen. You'll likely have some Warriors/Axes you can upgrade, and +25% vs. Infantry is very powerful.</t>
  </si>
  <si>
    <t>Cataphract</t>
  </si>
  <si>
    <t>100 food, 100 iron, -6 food upkeep; 160 training</t>
  </si>
  <si>
    <t>Techs not on any critical military unit path</t>
  </si>
  <si>
    <t>Pacify City</t>
  </si>
  <si>
    <t>Pacify City can help unlock city science in the best city for each family by reducing discontent (which translates to +20 family opinion, vs. +40 from Family Gifts, but lasts forever since it addresses the discontent). But takes 100 civics to run.
Markets can be good, particularly in cities with a lot of gold income (e.g. your capital). The Shopkeeper specialist line is quite good as well, as it gives growth, giving you more citizens to turn into specialists.</t>
  </si>
  <si>
    <t>Dromon</t>
  </si>
  <si>
    <t>Autarky / Trade League</t>
  </si>
  <si>
    <t>10 STR ships. King of the Seas.</t>
  </si>
  <si>
    <t>Guilds / Elites</t>
  </si>
  <si>
    <t>Guilds can help manage rebel chance in late game
Elites can enable a tremendous alpha strike</t>
  </si>
  <si>
    <t>Iconography / Calligraphy</t>
  </si>
  <si>
    <t>Icongraphy likely since it gives you city training per monastery.</t>
  </si>
  <si>
    <t>Coin Debasement / 
Monetary Reform</t>
  </si>
  <si>
    <t>Boost Cards worth considering, situational, most are skippable</t>
  </si>
  <si>
    <t>Stone Boost</t>
  </si>
  <si>
    <t>great for Pyramids</t>
  </si>
  <si>
    <t>Food Boost</t>
  </si>
  <si>
    <t>great for Oracle</t>
  </si>
  <si>
    <t>Free Settler</t>
  </si>
  <si>
    <t>situational depending on how many sites you need to settle and whether you have a good growth city</t>
  </si>
  <si>
    <t>Training Boost</t>
  </si>
  <si>
    <t>situational to mass upgrade units for a timing attack (e.g. Warriors -&gt; Axemen), if you have banked resources</t>
  </si>
  <si>
    <t>Civics Boost</t>
  </si>
  <si>
    <t>very hard to pass up 800 civics, but depends on what else is on offer</t>
  </si>
  <si>
    <t>Free Macemen</t>
  </si>
  <si>
    <t>Comes from Portcullis, and you won't have Macemen tech for a while, so this lone Macemen can be very effective with a good general</t>
  </si>
  <si>
    <t>Situational, usually too expensive and there are other sources of courtiers (Events)</t>
  </si>
  <si>
    <t>Happiness Boost</t>
  </si>
  <si>
    <t>Usually don't see this MP (it's from Vaulting) but it's very good</t>
  </si>
  <si>
    <t>Multiplayer Tech Priority Queue focused on Training / Science</t>
  </si>
  <si>
    <t>This is outdated -- originally written in late 2022.</t>
  </si>
  <si>
    <t>Kept here as a historical reference until an updated version is ready.</t>
  </si>
  <si>
    <r>
      <rPr>
        <rFont val="Arial"/>
        <color theme="1"/>
      </rPr>
      <t xml:space="preserve">This was put together from </t>
    </r>
    <r>
      <rPr>
        <rFont val="Arial"/>
        <b/>
        <color theme="1"/>
      </rPr>
      <t>an MP perspective</t>
    </r>
    <r>
      <rPr>
        <rFont val="Arial"/>
        <color theme="1"/>
      </rPr>
      <t xml:space="preserve"> (with No Starting Techs and Duels in mind) where your goals are:</t>
    </r>
  </si>
  <si>
    <t>- get production improvements online, so you can start officer specialists everywhere for training</t>
  </si>
  <si>
    <t>- get all possible sources of guaranteed non-city science online</t>
  </si>
  <si>
    <r>
      <rPr>
        <rFont val="Arial"/>
        <color theme="1"/>
      </rPr>
      <t xml:space="preserve">This order is very </t>
    </r>
    <r>
      <rPr>
        <rFont val="Arial"/>
        <b/>
        <color theme="1"/>
      </rPr>
      <t>greedy</t>
    </r>
    <r>
      <rPr>
        <rFont val="Arial"/>
        <color theme="1"/>
      </rPr>
      <t>. It's trying to get away with as much science and training production as possible.</t>
    </r>
  </si>
  <si>
    <t>Scouting your opponent(s) is very important -- if you see Spearmen coming and you only have Chariots, be sure adapt and get Steel ASAP</t>
  </si>
  <si>
    <t>You will want to further adapt this list to the nation you're playing and the nation you're facing -- e.g. if you're facing Greece, you'll want Steel earlier than in this order</t>
  </si>
  <si>
    <t>It is meant to serve as a rough guide and should be adapted to your game.</t>
  </si>
  <si>
    <t>That said, every game is different. Adjust your tech path based on the map and your opponents.</t>
  </si>
  <si>
    <t>2: Freedom</t>
  </si>
  <si>
    <t>Get Freedom as your second law, after Serfdom. You're just getting Labor Force to unlock Serfdom.</t>
  </si>
  <si>
    <t>1: Serfdom</t>
  </si>
  <si>
    <t>You want this just as you get 400 civics for the +5 Orders from Serfdom. Yes, they're that good. Depending on your start though you may need to prioritize military techs (e.g. Spoked Wheel) if you're playing on say, Raging Barbarians.</t>
  </si>
  <si>
    <t>Consider earlier if lots of Game</t>
  </si>
  <si>
    <t>Rancher x2 for Judaism</t>
  </si>
  <si>
    <t>Ideally find a source of Horses so you can built Chariots ASAP and use them to clear barbs / tribal camps.</t>
  </si>
  <si>
    <t>Poets now are a good source of Civics in a high growth city with a lot of Citizens. The Free Settler card can be useful as well.</t>
  </si>
  <si>
    <t>Spymaster can be a big science boost and Agents are vital for knowing what your opponent is up to. Getting Spymaster ASAP lets you speed up all your other techs.</t>
  </si>
  <si>
    <t>Not having to chop for wood is valuable for anyone, but esp. prioritize as Assyria/Babylon because of your UU.
If you need a courtier, the Scholar courtier card this unlocks can be worth researching sometimes.</t>
  </si>
  <si>
    <t>Consider earlier if Sages (for Holy City Civics bonus)
Acolyte x2 for Zoro
Consider earlier if your nation has very strong shrines (Love, War, Wisdom).</t>
  </si>
  <si>
    <t>3: Centralization / Vassalage</t>
  </si>
  <si>
    <t>I favor Vassalage, but Centralization can work as well.
If you're playing SP, you'll likely want this way sooner as it's critical to maintaining opinion with the AI. In MP, the Ambassador impacts family opinion instead, which is not as urgent to manage (but still important, just later on).</t>
  </si>
  <si>
    <t>4: Monotheism</t>
  </si>
  <si>
    <t>Manichaeism (does not require you to have a Christian city). Another source of Orders with Monotheism.
If you're playing with Clerics, you get this tech for free.</t>
  </si>
  <si>
    <t>Consider earlier if you have Landowners / lots of crop resources. Babylon may wish to prioritize for Culture from Treasuries (pretty minor).</t>
  </si>
  <si>
    <t>5: Epics / Exploration</t>
  </si>
  <si>
    <t>Epics is better early in the game to build up culture in cities, but as the action moves further away from your core cities, Exploration becomes better as it enables efficient movement along neutral rivers.
Given how late Rhetoric is in this tech priority queue, I'd likely go Exploration. If you're fighting a lot, though, epics can last all game and give you a nice culture boost in your front line cities.</t>
  </si>
  <si>
    <t>Can move this after 7 laws if you're trying to rush for 8 UU and you're already ahead on tech.
Note you must have an opponent at least Competent relative to you to be able to Steal Research. (Can't steal from Naive or Primitive nations).</t>
  </si>
  <si>
    <t>6: Tyranny / Constitution</t>
  </si>
  <si>
    <t>Likely Constitution (since if gives you since from urban specialists). The Civics Boost card is worth taking as well if you need civics, which probably will (+800 Civics).</t>
  </si>
  <si>
    <t>Prioritize earlier if you see your opponent building a lot of Chariots or you're facing a nation with a Riders family.</t>
  </si>
  <si>
    <t>7: Legal Code</t>
  </si>
  <si>
    <t>Ranges are a nice production boost but take wood upkeep.</t>
  </si>
  <si>
    <t>Massively prioritize this if you see your opponent building Spearmen and/or there's a lot of scrub/forest they can hide in while attacking you.</t>
  </si>
  <si>
    <t>Now you have an 8 STR UU unlocked, all core 5 STR units unlocked, and have significant guaranteed science sources and all training production buildings unlocked.</t>
  </si>
  <si>
    <r>
      <rPr>
        <rFont val="Arial"/>
        <color theme="1"/>
      </rPr>
      <t xml:space="preserve">Pilgrimage / </t>
    </r>
    <r>
      <rPr>
        <rFont val="Arial"/>
        <color theme="1"/>
      </rPr>
      <t>Holy War</t>
    </r>
  </si>
  <si>
    <t>Holy War can be used to rush Settlers/Workers for gold too. The free promotion is quite good. Note the law takes science upkeep.
In MP, where your opponents can see your laws, it's a big "tell" that you are going Cataphracts, so consider not actually getting this until you have Barding unlocked.</t>
  </si>
  <si>
    <t>Windmill, Watermill</t>
  </si>
  <si>
    <t>50 iron, 100 wood, -3 wood, -1 food upkeep; 100 training</t>
  </si>
  <si>
    <t>Pacify City can help unlock city science in the best city for each family by reducing discontent (which translates to +20 family opinion, vs. +40 from Family Gifts, but lasts forever since it addresses the discontent). But takes 100 civics to run.
Markets can be good, particularly in cities where you have a lot of units if you're running Tyranny.</t>
  </si>
  <si>
    <t>Engineering if you're trying to win with VPs with wonder spam. Else Philosophy, esp if you have Forums everywhere.</t>
  </si>
  <si>
    <r>
      <rPr>
        <rFont val="Arial"/>
        <color theme="1"/>
      </rPr>
      <t xml:space="preserve">Tolerance </t>
    </r>
    <r>
      <rPr>
        <rFont val="Arial"/>
        <color theme="1"/>
      </rPr>
      <t>/ Orthodoxy</t>
    </r>
  </si>
  <si>
    <t>Note that Temples unlock Priests. Elder Priests give +1 Training/Population which can turn a growth city into a training powerhouse -- but requires at least 3 turns to get set up with a Judge governor buying all the upgrades, and the time to build a temple :-/</t>
  </si>
  <si>
    <t>Requires</t>
  </si>
  <si>
    <t>Output multiplier</t>
  </si>
  <si>
    <t>Food Cost</t>
  </si>
  <si>
    <t>Note</t>
  </si>
  <si>
    <t>/CL = per Culture Level</t>
  </si>
  <si>
    <t>Rural Specialists</t>
  </si>
  <si>
    <t>/C = per Citizen</t>
  </si>
  <si>
    <t>Farmer</t>
  </si>
  <si>
    <r>
      <rPr/>
      <t xml:space="preserve">adapted from: </t>
    </r>
    <r>
      <rPr>
        <color rgb="FF1155CC"/>
        <u/>
      </rPr>
      <t>https://www.oldworldwiki.org/index.php/Specialists</t>
    </r>
  </si>
  <si>
    <t>Woodcutter</t>
  </si>
  <si>
    <t>Stonecutter</t>
  </si>
  <si>
    <t>Miner</t>
  </si>
  <si>
    <t>Adds luxury on Salt or Gems</t>
  </si>
  <si>
    <t>Rancher</t>
  </si>
  <si>
    <t>Trapper</t>
  </si>
  <si>
    <t>Adds luxury on Fur</t>
  </si>
  <si>
    <t>Gardener</t>
  </si>
  <si>
    <t>Adds luxury on Honey, Incense, Lavender, Olives or Wine</t>
  </si>
  <si>
    <t>Fisher</t>
  </si>
  <si>
    <t>Adds luxury on Dyes or Pearls</t>
  </si>
  <si>
    <t>Urban Specialists</t>
  </si>
  <si>
    <t>A. Doctor</t>
  </si>
  <si>
    <t>Bath</t>
  </si>
  <si>
    <t>M. Doctor</t>
  </si>
  <si>
    <t>3 + 1/CL</t>
  </si>
  <si>
    <t>E. Doctor</t>
  </si>
  <si>
    <t>4 + 2/CL</t>
  </si>
  <si>
    <t>A. Acolyte</t>
  </si>
  <si>
    <t>Shrine</t>
  </si>
  <si>
    <t>M. Acolyte</t>
  </si>
  <si>
    <t>E. Acolyte</t>
  </si>
  <si>
    <t>A. Monk</t>
  </si>
  <si>
    <t>M. Monk</t>
  </si>
  <si>
    <t>1/CL</t>
  </si>
  <si>
    <t>E. Monk</t>
  </si>
  <si>
    <t>2/CL</t>
  </si>
  <si>
    <t>A. Priest</t>
  </si>
  <si>
    <t>-1 Discontent, +1 Religion Opinion</t>
  </si>
  <si>
    <t>M. Priest</t>
  </si>
  <si>
    <t>0.5/C</t>
  </si>
  <si>
    <t>-1.5 Discontent, +2 Religion Opinion</t>
  </si>
  <si>
    <t>E. Priest</t>
  </si>
  <si>
    <t>1/C</t>
  </si>
  <si>
    <t>-2 Discontent, +3 Religion Opinion</t>
  </si>
  <si>
    <t>A. Bishop</t>
  </si>
  <si>
    <t>10/CL</t>
  </si>
  <si>
    <t>M. Bishop</t>
  </si>
  <si>
    <t>15/CL</t>
  </si>
  <si>
    <t>E. Bishop</t>
  </si>
  <si>
    <t>20/CL</t>
  </si>
  <si>
    <t>A. Poet</t>
  </si>
  <si>
    <t>M. Poet</t>
  </si>
  <si>
    <t>E. Poet</t>
  </si>
  <si>
    <t>A. Shopkeeper</t>
  </si>
  <si>
    <t>M. Shopkeeper</t>
  </si>
  <si>
    <t>E. Shopkeeper</t>
  </si>
  <si>
    <t>A. Philosopher</t>
  </si>
  <si>
    <t>M. Philosopher</t>
  </si>
  <si>
    <t>E. Philosopher</t>
  </si>
  <si>
    <t>2/C</t>
  </si>
  <si>
    <t>A. Scribe</t>
  </si>
  <si>
    <t>M. Scribe</t>
  </si>
  <si>
    <t>E. Scribe</t>
  </si>
  <si>
    <t>A. Officer</t>
  </si>
  <si>
    <t>Barracks / Range</t>
  </si>
  <si>
    <t>M. Officer</t>
  </si>
  <si>
    <t>E. Officer</t>
  </si>
  <si>
    <t>Specialist costs increase with every specialist made, by 5% per _level of specialist_</t>
  </si>
  <si>
    <t>Level of specialist = 1 for Rural, 1 for Apprentice, 2 for Master, 3 for Elder</t>
  </si>
  <si>
    <t>Example 1:</t>
  </si>
  <si>
    <t>App Officer #1 -- 40 civics to make</t>
  </si>
  <si>
    <t>App Officer #2 -- 42 civics (40 * (1+0.05*1)) // since we have one Apprentice specialist already</t>
  </si>
  <si>
    <t>App Officer #3 -- 44 civics (40 * (1+0.05*2)) // since we have two Apprentice specialists already</t>
  </si>
  <si>
    <t>App Officer #4 -- 46 civics (40 * (1+0.05*3)) // since we have three Apprentice specialists already</t>
  </si>
  <si>
    <t>Example 2:</t>
  </si>
  <si>
    <t>Master Officer #1 -- 63 civics (60 * (1+0.05*1)) // since we have one Apprentice specialist already</t>
  </si>
  <si>
    <t>Elder Officer #1 -- 88 civics (80 * (1+0.05*2)) // since we have one Master specialist already</t>
  </si>
  <si>
    <t>App Officer #2 -- 46 civics (40 * (1+0.05*3)) // since we have one Elder specialist already</t>
  </si>
  <si>
    <t>Resource</t>
  </si>
  <si>
    <t>Specialists</t>
  </si>
  <si>
    <t>Projects</t>
  </si>
  <si>
    <t>always available</t>
  </si>
  <si>
    <r>
      <rPr>
        <rFont val="Arial"/>
        <b/>
        <color theme="1"/>
      </rPr>
      <t>Zealot</t>
    </r>
    <r>
      <rPr>
        <rFont val="Arial"/>
        <color theme="1"/>
      </rPr>
      <t xml:space="preserve"> Leader
State Religion in City</t>
    </r>
  </si>
  <si>
    <r>
      <rPr>
        <rFont val="Arial"/>
        <b/>
        <color theme="1"/>
      </rPr>
      <t>Zealot</t>
    </r>
    <r>
      <rPr>
        <rFont val="Arial"/>
        <color theme="1"/>
      </rPr>
      <t xml:space="preserve"> Leader
State Religion in City</t>
    </r>
  </si>
  <si>
    <r>
      <rPr>
        <rFont val="Arial"/>
        <b/>
        <color theme="1"/>
      </rPr>
      <t>Zealot</t>
    </r>
    <r>
      <rPr>
        <rFont val="Arial"/>
        <color theme="1"/>
      </rPr>
      <t xml:space="preserve"> Leader
State Religion in City</t>
    </r>
  </si>
  <si>
    <r>
      <rPr>
        <rFont val="Arial"/>
        <b/>
        <color theme="1"/>
      </rPr>
      <t>Holy War</t>
    </r>
    <r>
      <rPr>
        <rFont val="Arial"/>
        <color theme="1"/>
      </rPr>
      <t xml:space="preserve"> Law
State Religion in City</t>
    </r>
  </si>
  <si>
    <r>
      <rPr>
        <rFont val="Arial"/>
        <b/>
        <color theme="1"/>
      </rPr>
      <t>Judge</t>
    </r>
    <r>
      <rPr>
        <rFont val="Arial"/>
        <color theme="1"/>
      </rPr>
      <t xml:space="preserve"> Governor in City</t>
    </r>
  </si>
  <si>
    <r>
      <rPr>
        <rFont val="Arial"/>
        <b/>
        <color theme="1"/>
      </rPr>
      <t>Judge</t>
    </r>
    <r>
      <rPr>
        <rFont val="Arial"/>
        <color theme="1"/>
      </rPr>
      <t xml:space="preserve"> Governor in City</t>
    </r>
  </si>
  <si>
    <t>Citizens</t>
  </si>
  <si>
    <r>
      <rPr>
        <rFont val="Arial"/>
        <b/>
        <color theme="1"/>
      </rPr>
      <t>Volunteers</t>
    </r>
    <r>
      <rPr>
        <rFont val="Arial"/>
        <color theme="1"/>
      </rPr>
      <t xml:space="preserve"> Law</t>
    </r>
  </si>
  <si>
    <r>
      <rPr>
        <rFont val="Arial"/>
        <b/>
        <color theme="1"/>
      </rPr>
      <t>Volunteers</t>
    </r>
    <r>
      <rPr>
        <rFont val="Arial"/>
        <color theme="1"/>
      </rPr>
      <t xml:space="preserve"> Law</t>
    </r>
  </si>
  <si>
    <r>
      <rPr>
        <rFont val="Arial"/>
        <b/>
        <color theme="1"/>
      </rPr>
      <t>Volunteers</t>
    </r>
    <r>
      <rPr>
        <rFont val="Arial"/>
        <color theme="1"/>
      </rPr>
      <t xml:space="preserve"> Law</t>
    </r>
  </si>
  <si>
    <r>
      <rPr>
        <rFont val="Arial"/>
        <b/>
        <color theme="1"/>
      </rPr>
      <t>Orthodoxy</t>
    </r>
    <r>
      <rPr>
        <rFont val="Arial"/>
        <color theme="1"/>
      </rPr>
      <t xml:space="preserve"> Law
State Religion in City</t>
    </r>
  </si>
  <si>
    <r>
      <rPr>
        <rFont val="Arial"/>
        <b/>
        <color theme="1"/>
      </rPr>
      <t>Orthodoxy</t>
    </r>
    <r>
      <rPr>
        <rFont val="Arial"/>
        <color theme="1"/>
      </rPr>
      <t xml:space="preserve"> Law
State Religion in City</t>
    </r>
  </si>
  <si>
    <r>
      <rPr>
        <rFont val="Arial"/>
        <b/>
        <color theme="1"/>
      </rPr>
      <t>Orthodoxy</t>
    </r>
    <r>
      <rPr>
        <rFont val="Arial"/>
        <color theme="1"/>
      </rPr>
      <t xml:space="preserve"> Law
State Religion in City</t>
    </r>
  </si>
  <si>
    <r>
      <rPr>
        <rFont val="Arial"/>
        <color theme="1"/>
      </rPr>
      <t xml:space="preserve">Rushing always requires at least </t>
    </r>
    <r>
      <rPr>
        <rFont val="Arial"/>
        <b/>
        <color theme="1"/>
      </rPr>
      <t>Developing culture</t>
    </r>
    <r>
      <rPr>
        <rFont val="Arial"/>
        <color theme="1"/>
      </rPr>
      <t xml:space="preserve"> in the city you want to rush in.</t>
    </r>
  </si>
  <si>
    <t>Rushing's cost is independent of a city's production rate but is discounted based on production already completed (overflow doesn't count).</t>
  </si>
  <si>
    <t>For example, rushing a warrior (which costs 60 Training) will cost the same in a city with +20 Training / Turn as in one that has +10 Training / Turn.</t>
  </si>
  <si>
    <t>But rushing out of a city that has 20/60 of a worker completed will be cheaper than a city that has 10/60 of a worker completed.</t>
  </si>
  <si>
    <t>Rushing will also always add Discontent, the amount depends on production already completed, like the costs.</t>
  </si>
  <si>
    <t>It becomes more expensive to rush each time you do it (+10% base), for a given resource in that city. (Discontent added for that type of rushing increases by 10% base too.)</t>
  </si>
  <si>
    <t>For example, rushing with civics ONLY increases cost to rush with civics in that city.</t>
  </si>
  <si>
    <t>It does NOT increase cost to rush in any OTHER cities.</t>
  </si>
  <si>
    <t>It does NOT increase cost to rush in THAT city for any OTHER resource</t>
  </si>
  <si>
    <t>Rushing a unit with civics DOES increase the cost of rushing projects or specialists as well as units, because it doesn't matter what is rushed, only what resource is being used.</t>
  </si>
  <si>
    <t>Note certain growth-produced units (only Settlers, Workers, and Disciples) increase in cost for each unit of that type produced in that city</t>
  </si>
  <si>
    <t>Specialists also get more expensive the more you already trained.</t>
  </si>
  <si>
    <t>Those cost increases are independent of rushing's scaling.</t>
  </si>
  <si>
    <t>Rush costs (base)</t>
  </si>
  <si>
    <t>100 + mp * 1.5</t>
  </si>
  <si>
    <r>
      <rPr>
        <rFont val="Arial"/>
        <i/>
        <color theme="1"/>
      </rPr>
      <t>mp</t>
    </r>
    <r>
      <rPr>
        <rFont val="Arial"/>
        <color theme="1"/>
      </rPr>
      <t>: missing production (total production to complete the item, minus production already completed)</t>
    </r>
  </si>
  <si>
    <t>All basic rush costs have a flat part that is always added, and a part that depends on how much production is still missing (results of divisions are rounded down).</t>
  </si>
  <si>
    <t>10 + mp * 5</t>
  </si>
  <si>
    <r>
      <rPr>
        <rFont val="Arial"/>
        <color theme="1"/>
      </rPr>
      <t xml:space="preserve">Base rush costs are further modified by how many timed this city has rushed </t>
    </r>
    <r>
      <rPr>
        <rFont val="Arial"/>
        <i/>
        <color theme="1"/>
      </rPr>
      <t>with that particular resource type</t>
    </r>
    <r>
      <rPr>
        <rFont val="Arial"/>
        <color theme="1"/>
      </rPr>
      <t>: +10% per previous rush action</t>
    </r>
  </si>
  <si>
    <t>1 + mp / 80</t>
  </si>
  <si>
    <t>Then the cost is further modified if the item being rushed is less than 50% finished: 50% - production progress% (The rush cost for items with no production progress gets increased by +50%, items with 50%+ progress get 0%)</t>
  </si>
  <si>
    <t>2 + mp * 0.1</t>
  </si>
  <si>
    <t>If the item you want to rush is produced with Growth, like Settler or Worker, the cost is increased by +50%</t>
  </si>
  <si>
    <t>Discontent (always added)</t>
  </si>
  <si>
    <t>10 + mp / 10</t>
  </si>
  <si>
    <t xml:space="preserve">     No matter which rush type you use, discontent is always added (except if "Monetary Reform" Law is enacted). 
     Cost calculation works the same as cost calculation for the different resource types.</t>
  </si>
  <si>
    <t>Important Note on Queue Decay</t>
  </si>
  <si>
    <t>If you have something in queue, it will decay 5% of _current progress_ each turn (10% for decrees).</t>
  </si>
  <si>
    <t>Available to...</t>
  </si>
  <si>
    <t>On initial production and each upgrade, the unit draws of 4 random promotions out of all the ones the unit is eligible for.</t>
  </si>
  <si>
    <t>Promotion</t>
  </si>
  <si>
    <t>Prereq</t>
  </si>
  <si>
    <t>Infantry</t>
  </si>
  <si>
    <t>Melee</t>
  </si>
  <si>
    <t>Ranged</t>
  </si>
  <si>
    <t>Siege</t>
  </si>
  <si>
    <t>Ship</t>
  </si>
  <si>
    <t>Combat I</t>
  </si>
  <si>
    <t>Combat II</t>
  </si>
  <si>
    <t>Combat III</t>
  </si>
  <si>
    <t>Strike I</t>
  </si>
  <si>
    <t>Strike II</t>
  </si>
  <si>
    <t>Strike III</t>
  </si>
  <si>
    <t>Guard I</t>
  </si>
  <si>
    <t>Guard II</t>
  </si>
  <si>
    <t>Guard III</t>
  </si>
  <si>
    <t>Focus I</t>
  </si>
  <si>
    <t>Focus II</t>
  </si>
  <si>
    <t>Focus III</t>
  </si>
  <si>
    <t>Tracker</t>
  </si>
  <si>
    <t>Eagle Eye</t>
  </si>
  <si>
    <t>Ignores distance penalty; not available to Siege</t>
  </si>
  <si>
    <t>Marksman</t>
  </si>
  <si>
    <t>Amphibious</t>
  </si>
  <si>
    <t>Marines</t>
  </si>
  <si>
    <t>Besieger</t>
  </si>
  <si>
    <t>Warden</t>
  </si>
  <si>
    <t>Steadfast</t>
  </si>
  <si>
    <t>Units produced by Champions cities</t>
  </si>
  <si>
    <t>Herbalist</t>
  </si>
  <si>
    <t>Healer</t>
  </si>
  <si>
    <t>Highlander</t>
  </si>
  <si>
    <t>Ranger</t>
  </si>
  <si>
    <t>?</t>
  </si>
  <si>
    <t>Shieldbearer</t>
  </si>
  <si>
    <t>Horsebane</t>
  </si>
  <si>
    <t>Engineer</t>
  </si>
  <si>
    <t>Shrapnel</t>
  </si>
  <si>
    <t>Onagers, Mangonels, and Akkadian/Cimmerian Archers</t>
  </si>
  <si>
    <t>Splash at 25%</t>
  </si>
  <si>
    <t>Cockswain</t>
  </si>
  <si>
    <t>Ship can Rout</t>
  </si>
  <si>
    <t>Grappler</t>
  </si>
  <si>
    <t>-50% Attack, Stuns attacked Unit</t>
  </si>
  <si>
    <t>Seaborn</t>
  </si>
  <si>
    <t>Overwhelm</t>
  </si>
  <si>
    <t>Cleave at 25% (attacks 3 Units in an arc, hitting the center Target at full Strength, and the targets left and right at reduced Strength)</t>
  </si>
  <si>
    <t>Fireship</t>
  </si>
  <si>
    <t>Maneuvers</t>
  </si>
  <si>
    <t>Lading</t>
  </si>
  <si>
    <t>Saddleborn</t>
  </si>
  <si>
    <t>Horse units produced by Rider cities</t>
  </si>
  <si>
    <t>Sentinel</t>
  </si>
  <si>
    <t>Ranged units produced by Hunter cities</t>
  </si>
  <si>
    <t>Old promos</t>
  </si>
  <si>
    <t>Ingenuity</t>
  </si>
  <si>
    <t>Siege/Ship units produced by Artisan cities</t>
  </si>
  <si>
    <t>Removed (it was a free promotion granting ability from Artisan cities)</t>
  </si>
  <si>
    <t>ATK = Attacker's attack value, after all modifiers (promotions, terrain)</t>
  </si>
  <si>
    <t>Simple Example</t>
  </si>
  <si>
    <t>DEF = Defender's defense value, after all modifiers (promotions, terrain)</t>
  </si>
  <si>
    <t>A warrior with Combat I will be 4.2 STR and will deal 7 damage to a Warrior that only has 4 STR</t>
  </si>
  <si>
    <t>Damage = (ATK / DEF) * 6, rounded in favor of the stronger unit</t>
  </si>
  <si>
    <r>
      <rPr>
        <rFont val="Arial"/>
        <color theme="1"/>
      </rPr>
      <t xml:space="preserve">4.2/4 * 6 = 6.3, but it rounds </t>
    </r>
    <r>
      <rPr>
        <rFont val="Arial"/>
        <i/>
        <color theme="1"/>
      </rPr>
      <t xml:space="preserve">up </t>
    </r>
    <r>
      <rPr>
        <rFont val="Arial"/>
        <color theme="1"/>
      </rPr>
      <t>in favor of the stronger unit ... so 7</t>
    </r>
  </si>
  <si>
    <t>Note: In-game, values only display to one decimal point but the actual underlying number is used for the calculation!</t>
  </si>
  <si>
    <t>So 5.75 and 5.8 will both show as 5.8, but the actual math will be done with 5.75 and 5.8.</t>
  </si>
  <si>
    <t>Cities defense = 8 + 0.5 * citizen</t>
  </si>
  <si>
    <t>Damage</t>
  </si>
  <si>
    <t>Defender DEF ➡</t>
  </si>
  <si>
    <t>Generally only Cities will have defense this high</t>
  </si>
  <si>
    <t>Attacker ATK ⬇</t>
  </si>
  <si>
    <t>This is an at-a-glance summary. For full details, see the Unit Damage &amp; Counters tab.</t>
  </si>
  <si>
    <t>If you're facing...</t>
  </si>
  <si>
    <t>Then build these units: [(damage) = how much the counter would do when attacking what you're facing]</t>
  </si>
  <si>
    <t>Cataphract (9)</t>
  </si>
  <si>
    <t>Polybolos (9)</t>
  </si>
  <si>
    <t>Three Man Chariot (8)</t>
  </si>
  <si>
    <t>Pikeman (10)</t>
  </si>
  <si>
    <t>Crossbowman (8)</t>
  </si>
  <si>
    <t>Phalangite (8)</t>
  </si>
  <si>
    <t>Polybolos (12)</t>
  </si>
  <si>
    <t>Ballista (9)</t>
  </si>
  <si>
    <t>Cataphract (8)</t>
  </si>
  <si>
    <t>Polybolos (8)</t>
  </si>
  <si>
    <t>Swordsman (9)</t>
  </si>
  <si>
    <t>Cataphract (12)</t>
  </si>
  <si>
    <t>Three Man Chariot (9)</t>
  </si>
  <si>
    <t>Horseman (7)</t>
  </si>
  <si>
    <t>Heavy Chariot (7)</t>
  </si>
  <si>
    <t>Crossbowman (9)</t>
  </si>
  <si>
    <t>Legionary (8)</t>
  </si>
  <si>
    <t>Siege Tower</t>
  </si>
  <si>
    <t>Cimmerian Archer</t>
  </si>
  <si>
    <t>Turreted Elephant</t>
  </si>
  <si>
    <t>Pikeman (12)</t>
  </si>
  <si>
    <t>Phalangite (9)</t>
  </si>
  <si>
    <t>Hoplite (7)</t>
  </si>
  <si>
    <t>Mounted Lancer</t>
  </si>
  <si>
    <t>Phalangite</t>
  </si>
  <si>
    <t>Cataphract Archer</t>
  </si>
  <si>
    <t>Legionary</t>
  </si>
  <si>
    <t>Swordsman (8)</t>
  </si>
  <si>
    <t>Three Man Chariot</t>
  </si>
  <si>
    <t>Beja Archer</t>
  </si>
  <si>
    <r>
      <rPr>
        <rFont val="Arial"/>
        <b/>
        <color theme="1"/>
      </rPr>
      <t>For 6 STR units</t>
    </r>
    <r>
      <rPr>
        <rFont val="Arial"/>
        <color theme="1"/>
      </rPr>
      <t>, I'm going to ignore STR 8+ units as counters, since you probably don't have access to them when you see these 6 STR units</t>
    </r>
  </si>
  <si>
    <t>Heavy Chariot (9)</t>
  </si>
  <si>
    <t>Horseman (9)</t>
  </si>
  <si>
    <t>Chariot (8)</t>
  </si>
  <si>
    <t>War Elephant</t>
  </si>
  <si>
    <t>Hoplite (9)</t>
  </si>
  <si>
    <t>Hastus (8)</t>
  </si>
  <si>
    <t>Spearman (8)</t>
  </si>
  <si>
    <t>Conscript (7)</t>
  </si>
  <si>
    <t>Ballista (12)</t>
  </si>
  <si>
    <t>Camel Archer (8)</t>
  </si>
  <si>
    <t>Horse Archer</t>
  </si>
  <si>
    <t>Battering Ram</t>
  </si>
  <si>
    <t>Akkadian Archer</t>
  </si>
  <si>
    <t>Macemen (8)</t>
  </si>
  <si>
    <t>African Elephant</t>
  </si>
  <si>
    <t>Light Chariot</t>
  </si>
  <si>
    <t>Hoplite</t>
  </si>
  <si>
    <t>Axeman (7)</t>
  </si>
  <si>
    <t>Palton Calvary</t>
  </si>
  <si>
    <t>Hastatus</t>
  </si>
  <si>
    <t>Heavy Chariot</t>
  </si>
  <si>
    <t>Medjay Archer</t>
  </si>
  <si>
    <r>
      <rPr>
        <rFont val="Arial"/>
        <color theme="1"/>
      </rPr>
      <t xml:space="preserve">Likewise, </t>
    </r>
    <r>
      <rPr>
        <rFont val="Arial"/>
        <b/>
        <color theme="1"/>
      </rPr>
      <t>for 5 STR units</t>
    </r>
    <r>
      <rPr>
        <rFont val="Arial"/>
        <color theme="1"/>
      </rPr>
      <t>, going to ignore STR 6+ units as possible counters as you probably lack access to them when you see these 5 STR units</t>
    </r>
  </si>
  <si>
    <t>Spearman (9)</t>
  </si>
  <si>
    <t>Camel Archer (9)</t>
  </si>
  <si>
    <t>Conscript (8)</t>
  </si>
  <si>
    <t>Axeman</t>
  </si>
  <si>
    <t>Spearman</t>
  </si>
  <si>
    <t>Axemen (8)</t>
  </si>
  <si>
    <t>Camel Archer</t>
  </si>
  <si>
    <t>No significant counters for 3-4 STR units</t>
  </si>
  <si>
    <t>Militia</t>
  </si>
  <si>
    <t>How to read this tab:</t>
  </si>
  <si>
    <t>Not accounted for:</t>
  </si>
  <si>
    <t>Row units attack column units and do the damage listed in the cell.</t>
  </si>
  <si>
    <t>Promotions, Family Bonuses, Territory Bonuses</t>
  </si>
  <si>
    <t>For example, a Pikeman attacking a Cataphract does 10 damage.</t>
  </si>
  <si>
    <t>Melee Horse's +25% Flat Terrain Bonus or any Terrain effects</t>
  </si>
  <si>
    <t>But a Cataphract attacking a Pikeman only does 3 damage.</t>
  </si>
  <si>
    <t>Unlimbered Units' Defensive Penalty</t>
  </si>
  <si>
    <t>Amount</t>
  </si>
  <si>
    <t>Defensive</t>
  </si>
  <si>
    <t>---</t>
  </si>
  <si>
    <t>Mounted</t>
  </si>
  <si>
    <t>Polearm</t>
  </si>
  <si>
    <t>Horse</t>
  </si>
  <si>
    <t>Traits</t>
  </si>
  <si>
    <t>Ranged Siege</t>
  </si>
  <si>
    <t>Melee Mounted (Horse)</t>
  </si>
  <si>
    <t>Ranged Infantry</t>
  </si>
  <si>
    <t>Melee Infantry</t>
  </si>
  <si>
    <t>Melee Infantry Polearm</t>
  </si>
  <si>
    <t>Melee Siege</t>
  </si>
  <si>
    <t>Melee Mounted (Elephant)</t>
  </si>
  <si>
    <t>Ranged Mounted (Horse)</t>
  </si>
  <si>
    <t>Ranged Mounted (Camel)</t>
  </si>
  <si>
    <t>Offensive</t>
  </si>
  <si>
    <t>STR</t>
  </si>
  <si>
    <t>Kushite Calvary</t>
  </si>
  <si>
    <t>Turn</t>
  </si>
  <si>
    <t>Cities</t>
  </si>
  <si>
    <t>Rally Troops</t>
  </si>
  <si>
    <t>bonus.xml</t>
  </si>
  <si>
    <t>Steal Resarch</t>
  </si>
  <si>
    <t>GlobalYieldsBase</t>
  </si>
  <si>
    <t>GlobalYieldsPer</t>
  </si>
  <si>
    <t>Rally Troops and Hold Court scale with the number of your cities.</t>
  </si>
  <si>
    <t>Steal Research scales with the number of cities controlled by the nation you're stealing from.</t>
  </si>
  <si>
    <t>After the first 60 turns, Rally Troops, Hold Court, and Steal Research all give more as more turns pass: +100% per 60 turns.</t>
  </si>
  <si>
    <t>Here's a graph with example scaling (just picking one set of cities / turn combinations):</t>
  </si>
  <si>
    <t>Rally Troops / Hold Court</t>
  </si>
  <si>
    <t>t0, 1 city</t>
  </si>
  <si>
    <t>t30, 4 cities</t>
  </si>
  <si>
    <t>t60, 6 cities</t>
  </si>
  <si>
    <t>t80, 12 cities</t>
  </si>
  <si>
    <t>t110, 18 cities</t>
  </si>
  <si>
    <t>Families</t>
  </si>
  <si>
    <t>Characters</t>
  </si>
  <si>
    <t>A family can't convert if it converted within 4 turns.</t>
  </si>
  <si>
    <t>Leader characters of human players never randomly choose a religion.</t>
  </si>
  <si>
    <t>Each religion gets scored, highest score wins for the conversion.</t>
  </si>
  <si>
    <t xml:space="preserve">Other characters will also not choose a religion if there is any other "event" in their life on that turn: </t>
  </si>
  <si>
    <t>Giving birth after having the "Pregnant" trait, getting or losing a random (adult) trait, fathering a child,</t>
  </si>
  <si>
    <t>per family head following that religion</t>
  </si>
  <si>
    <t>getting or losing a random stat point, getting a random archetype, getting a random marriage proposal.</t>
  </si>
  <si>
    <t>other family characters</t>
  </si>
  <si>
    <t>For all other characters, there is a 10% chance per turn that they will attempt to choose their own religion.</t>
  </si>
  <si>
    <t>additional for council members</t>
  </si>
  <si>
    <t xml:space="preserve">Having cleared that 10% chance hurdle, adults will always attempt, but for characters aged 17 and younger, </t>
  </si>
  <si>
    <t>additional for non-council (gov/gen/agent)</t>
  </si>
  <si>
    <r>
      <rPr>
        <rFont val="Arial"/>
        <color theme="1"/>
      </rPr>
      <t xml:space="preserve"> the chance is only </t>
    </r>
    <r>
      <rPr>
        <rFont val="Arial"/>
        <i/>
        <color theme="1"/>
      </rPr>
      <t>1 in (1 + YluA*)</t>
    </r>
    <r>
      <rPr>
        <rFont val="Arial"/>
        <color theme="1"/>
      </rPr>
      <t xml:space="preserve"> for an actual attempt.</t>
    </r>
  </si>
  <si>
    <t>current religion bonus</t>
  </si>
  <si>
    <t>(YluA: years left until that character reaches adulthood.)</t>
  </si>
  <si>
    <t>When an attempt to choose a religion is made, first a threshold is defined: a random number from 1 to 3.</t>
  </si>
  <si>
    <r>
      <rPr>
        <rFont val="Arial"/>
        <color theme="1"/>
      </rPr>
      <t xml:space="preserve">This threshold has to be reached by a religion with points </t>
    </r>
    <r>
      <rPr>
        <rFont val="Arial"/>
        <i/>
        <color theme="1"/>
      </rPr>
      <t>from cities alone</t>
    </r>
    <r>
      <rPr>
        <rFont val="Arial"/>
        <color theme="1"/>
      </rPr>
      <t xml:space="preserve"> in order to be eligible.</t>
    </r>
  </si>
  <si>
    <t>(For cities it doesn't matter if other religions have a presence or even their holy city, only the the religion currently evaluated counts.)</t>
  </si>
  <si>
    <t>The religion with the highest number of points wins. If none are eligible, no religion is chosen.</t>
  </si>
  <si>
    <t>If a character has a family, only family cities count (except for points from being governor or agent)</t>
  </si>
  <si>
    <r>
      <rPr>
        <rFont val="Arial"/>
        <color theme="1"/>
      </rPr>
      <t xml:space="preserve">if family </t>
    </r>
    <r>
      <rPr>
        <rFont val="Arial"/>
        <i/>
        <color theme="1"/>
      </rPr>
      <t xml:space="preserve">seat </t>
    </r>
    <r>
      <rPr>
        <rFont val="Arial"/>
        <color theme="1"/>
      </rPr>
      <t>is the holy city</t>
    </r>
  </si>
  <si>
    <t>if any other family city is the holy city</t>
  </si>
  <si>
    <r>
      <rPr>
        <rFont val="Arial"/>
        <color theme="1"/>
      </rPr>
      <t xml:space="preserve">from religion in family </t>
    </r>
    <r>
      <rPr>
        <rFont val="Arial"/>
        <i/>
        <color theme="1"/>
      </rPr>
      <t>seat</t>
    </r>
    <r>
      <rPr>
        <rFont val="Arial"/>
        <color theme="1"/>
      </rPr>
      <t xml:space="preserve"> (but not holy city)</t>
    </r>
  </si>
  <si>
    <t>from religion in other family cities (but not holy city)</t>
  </si>
  <si>
    <t>If a character has no family (initial rulers, foreigners), all player cities count but give less points.</t>
  </si>
  <si>
    <t>if player has the holy city</t>
  </si>
  <si>
    <t>from religion in player cities except the holy city</t>
  </si>
  <si>
    <t>For the other parts, family affiliation doesn't matter</t>
  </si>
  <si>
    <t>if governor of the holy city</t>
  </si>
  <si>
    <t>if governor of a city with that religion (but not the holy city)</t>
  </si>
  <si>
    <t>if agent in the holy city</t>
  </si>
  <si>
    <t>if agent in a city with that religion (but not the holy city)</t>
  </si>
  <si>
    <t>If the sum at this point isn't bigger than the threshold, then the religion is not eligible and evaluation stops here.</t>
  </si>
  <si>
    <t>if the religion is Pagan (even if from the wrong nation)</t>
  </si>
  <si>
    <t>0-3</t>
  </si>
  <si>
    <r>
      <rPr>
        <rFont val="Arial"/>
        <color theme="1"/>
      </rPr>
      <t xml:space="preserve">if less than 4 characters follow that religion, add 4 - </t>
    </r>
    <r>
      <rPr>
        <rFont val="Arial"/>
        <i/>
        <color theme="1"/>
      </rPr>
      <t>number of characters</t>
    </r>
    <r>
      <rPr>
        <rFont val="Arial"/>
        <color theme="1"/>
      </rPr>
      <t xml:space="preserve"> to the score</t>
    </r>
  </si>
  <si>
    <t>sum * random</t>
  </si>
  <si>
    <r>
      <rPr>
        <rFont val="Arial"/>
        <color theme="1"/>
      </rPr>
      <t xml:space="preserve">The sum of all of the above is then multiplied by a random number </t>
    </r>
    <r>
      <rPr>
        <rFont val="Arial"/>
        <b/>
        <color theme="1"/>
      </rPr>
      <t>ranging from 5 to 14</t>
    </r>
  </si>
  <si>
    <r>
      <rPr>
        <rFont val="Arial"/>
        <color theme="1"/>
      </rPr>
      <t xml:space="preserve">This is for the </t>
    </r>
    <r>
      <rPr>
        <rFont val="Arial"/>
        <b/>
        <color theme="1"/>
      </rPr>
      <t>base game mode</t>
    </r>
    <r>
      <rPr>
        <rFont val="Arial"/>
        <color theme="1"/>
      </rPr>
      <t xml:space="preserve"> (without competitive mode enabled).</t>
    </r>
  </si>
  <si>
    <t>Science %</t>
  </si>
  <si>
    <t>Crit %</t>
  </si>
  <si>
    <t>Example (with Competitive Mode off -- note only character specific yield is reduced by 50%)</t>
  </si>
  <si>
    <r>
      <rPr>
        <rFont val="Arial"/>
        <color theme="1"/>
      </rPr>
      <t xml:space="preserve">This is for the </t>
    </r>
    <r>
      <rPr>
        <rFont val="Arial"/>
        <b/>
        <color theme="1"/>
      </rPr>
      <t>base game mode</t>
    </r>
    <r>
      <rPr>
        <rFont val="Arial"/>
        <color theme="1"/>
      </rPr>
      <t xml:space="preserve"> (without competitive mode enabled).</t>
    </r>
  </si>
  <si>
    <t>Family Opinion in MP</t>
  </si>
  <si>
    <t>Defense %</t>
  </si>
  <si>
    <t>-6% attack</t>
  </si>
  <si>
    <t>Negative civics on generals impacts attack strength, not defense strength</t>
  </si>
  <si>
    <t>-3% attack</t>
  </si>
  <si>
    <t>-1% attack</t>
  </si>
  <si>
    <r>
      <rPr>
        <rFont val="Arial"/>
        <color theme="1"/>
      </rPr>
      <t xml:space="preserve">This is for the </t>
    </r>
    <r>
      <rPr>
        <rFont val="Arial"/>
        <b/>
        <color theme="1"/>
      </rPr>
      <t>base game mode</t>
    </r>
    <r>
      <rPr>
        <rFont val="Arial"/>
        <color theme="1"/>
      </rPr>
      <t xml:space="preserve"> (without competitive mode enabled).</t>
    </r>
  </si>
  <si>
    <t>Attack %</t>
  </si>
  <si>
    <t>Discontent/City</t>
  </si>
  <si>
    <r>
      <rPr>
        <rFont val="Arial"/>
        <color theme="1"/>
      </rPr>
      <t xml:space="preserve">This is for the </t>
    </r>
    <r>
      <rPr>
        <rFont val="Arial"/>
        <b/>
        <color theme="1"/>
      </rPr>
      <t>base game mode</t>
    </r>
    <r>
      <rPr>
        <rFont val="Arial"/>
        <color theme="1"/>
      </rPr>
      <t xml:space="preserve"> (without competitive mode enabled).</t>
    </r>
  </si>
  <si>
    <t>Money %</t>
  </si>
  <si>
    <t>XP / Year</t>
  </si>
  <si>
    <t>Discipline %</t>
  </si>
  <si>
    <t>Negative discipline on generals impacts attack strength, not XP/year</t>
  </si>
  <si>
    <r>
      <rPr>
        <rFont val="Arial"/>
        <color theme="1"/>
      </rPr>
      <t xml:space="preserve">This is for </t>
    </r>
    <r>
      <rPr>
        <rFont val="Arial"/>
        <b/>
        <color theme="1"/>
      </rPr>
      <t>competitive mode (CM)</t>
    </r>
    <r>
      <rPr>
        <rFont val="Arial"/>
        <color theme="1"/>
      </rPr>
      <t>.</t>
    </r>
  </si>
  <si>
    <r>
      <rPr>
        <rFont val="Arial"/>
        <color theme="1"/>
      </rPr>
      <t xml:space="preserve">This is for </t>
    </r>
    <r>
      <rPr>
        <rFont val="Arial"/>
        <b/>
        <color theme="1"/>
      </rPr>
      <t>competitive mode (CM)</t>
    </r>
    <r>
      <rPr>
        <rFont val="Arial"/>
        <color theme="1"/>
      </rPr>
      <t>.</t>
    </r>
  </si>
  <si>
    <t>-9% attack</t>
  </si>
  <si>
    <r>
      <rPr>
        <rFont val="Arial"/>
        <color theme="1"/>
      </rPr>
      <t xml:space="preserve">This is for </t>
    </r>
    <r>
      <rPr>
        <rFont val="Arial"/>
        <b/>
        <color theme="1"/>
      </rPr>
      <t>competitive mode (CM)</t>
    </r>
    <r>
      <rPr>
        <rFont val="Arial"/>
        <color theme="1"/>
      </rPr>
      <t>.</t>
    </r>
  </si>
  <si>
    <r>
      <rPr>
        <rFont val="Arial"/>
        <color theme="1"/>
      </rPr>
      <t xml:space="preserve">This is for </t>
    </r>
    <r>
      <rPr>
        <rFont val="Arial"/>
        <b/>
        <color theme="1"/>
      </rPr>
      <t>competitive mode (CM)</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</si>
</sst>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yyyy"/>
    <numFmt numFmtId="165" formatCode="dd mmm yyyy"/>
    <numFmt numFmtId="166" formatCode="0.0"/>
  </numFmts>
  <fonts count="52">
    <font>
      <sz val="10.0"/>
      <color rgb="FF000000"/>
      <name val="Arial"/>
      <scheme val="minor"/>
    </font>
    <font>
      <b/>
      <color theme="1"/>
      <name val="Arial"/>
      <scheme val="minor"/>
    </font>
    <font>
      <color theme="1"/>
      <name val="Arial"/>
      <scheme val="minor"/>
    </font>
    <font>
      <b/>
      <color rgb="FF000000"/>
      <name val="Arial"/>
      <scheme val="minor"/>
    </font>
    <font>
      <b/>
      <color rgb="FFFFFFFF"/>
      <name val="Arial"/>
      <scheme val="minor"/>
    </font>
    <font>
      <u/>
      <color rgb="FF0000FF"/>
    </font>
    <font>
      <b/>
      <u/>
      <color rgb="FF1155CC"/>
    </font>
    <font>
      <b/>
      <u/>
      <color rgb="FF0000FF"/>
    </font>
    <font>
      <u/>
      <color rgb="FF1155CC"/>
    </font>
    <font>
      <color theme="1"/>
      <name val="Arial"/>
    </font>
    <font>
      <u/>
      <color rgb="FF0000FF"/>
      <name val="Arial"/>
    </font>
    <font>
      <b/>
      <color rgb="FFF3F3F3"/>
      <name val="Arial"/>
      <scheme val="minor"/>
    </font>
    <font>
      <b/>
      <color theme="1"/>
      <name val="Arial"/>
    </font>
    <font>
      <i/>
      <color theme="1"/>
      <name val="Arial"/>
      <scheme val="minor"/>
    </font>
    <font/>
    <font>
      <b/>
      <color rgb="FFFFFFFF"/>
      <name val="Arial"/>
    </font>
    <font>
      <color rgb="FFCC4125"/>
      <name val="Arial"/>
    </font>
    <font>
      <color rgb="FF38761D"/>
      <name val="Arial"/>
    </font>
    <font>
      <sz val="11.0"/>
      <color rgb="FFCC4125"/>
      <name val="Arial"/>
    </font>
    <font>
      <color rgb="FFEFEFEF"/>
      <name val="Arial"/>
      <scheme val="minor"/>
    </font>
    <font>
      <b/>
      <color rgb="FFEFEFEF"/>
      <name val="Arial"/>
      <scheme val="minor"/>
    </font>
    <font>
      <i/>
      <color rgb="FFEFEFEF"/>
      <name val="Arial"/>
      <scheme val="minor"/>
    </font>
    <font>
      <b/>
      <i/>
      <color rgb="FFEFEFEF"/>
      <name val="Arial"/>
      <scheme val="minor"/>
    </font>
    <font>
      <b/>
      <sz val="12.0"/>
      <color theme="1"/>
      <name val="Arial"/>
      <scheme val="minor"/>
    </font>
    <font>
      <color rgb="FFFF0000"/>
      <name val="Arial"/>
      <scheme val="minor"/>
    </font>
    <font>
      <color rgb="FF000000"/>
      <name val="Arial"/>
      <scheme val="minor"/>
    </font>
    <font>
      <color rgb="FF000000"/>
      <name val="&quot;Arial&quot;"/>
    </font>
    <font>
      <sz val="10.0"/>
      <color theme="1"/>
      <name val="Arial"/>
    </font>
    <font>
      <b/>
      <sz val="10.0"/>
      <color theme="1"/>
      <name val="Arial"/>
    </font>
    <font>
      <i/>
      <sz val="10.0"/>
      <color theme="1"/>
      <name val="Arial"/>
    </font>
    <font>
      <sz val="10.0"/>
      <color rgb="FF000000"/>
      <name val="Arial"/>
    </font>
    <font>
      <u/>
      <color rgb="FF1155CC"/>
      <name val="Arial"/>
    </font>
    <font>
      <i/>
      <color theme="1"/>
      <name val="Arial"/>
    </font>
    <font>
      <color rgb="FFFFFFFF"/>
      <name val="Arial"/>
    </font>
    <font>
      <color rgb="FFFFFFFF"/>
      <name val="Arial"/>
      <scheme val="minor"/>
    </font>
    <font>
      <sz val="11.0"/>
      <color theme="1"/>
      <name val="Arial"/>
      <scheme val="minor"/>
    </font>
    <font>
      <b/>
      <sz val="10.0"/>
      <color theme="1"/>
      <name val="Arial"/>
      <scheme val="minor"/>
    </font>
    <font>
      <color rgb="FF000000"/>
      <name val="Arial"/>
    </font>
    <font>
      <b/>
      <sz val="11.0"/>
      <color theme="1"/>
      <name val="Arial"/>
      <scheme val="minor"/>
    </font>
    <font>
      <sz val="10.0"/>
      <color rgb="FF1F1F1F"/>
      <name val="Arial"/>
      <scheme val="minor"/>
    </font>
    <font>
      <sz val="10.0"/>
      <color theme="1"/>
      <name val="Arial"/>
      <scheme val="minor"/>
    </font>
    <font>
      <sz val="14.0"/>
      <color theme="1"/>
      <name val="Arial"/>
      <scheme val="minor"/>
    </font>
    <font>
      <b/>
      <sz val="16.0"/>
      <color theme="1"/>
      <name val="Arial"/>
      <scheme val="minor"/>
    </font>
    <font>
      <sz val="11.0"/>
      <color theme="1"/>
      <name val="Arial"/>
    </font>
    <font>
      <i/>
      <sz val="14.0"/>
      <color theme="1"/>
      <name val="Arial"/>
      <scheme val="minor"/>
    </font>
    <font>
      <i/>
      <sz val="11.0"/>
      <color rgb="FF666666"/>
      <name val="Arial"/>
      <scheme val="minor"/>
    </font>
    <font>
      <i/>
      <color rgb="FF666666"/>
      <name val="Arial"/>
      <scheme val="minor"/>
    </font>
    <font>
      <sz val="14.0"/>
      <color rgb="FF999999"/>
      <name val="Arial"/>
      <scheme val="minor"/>
    </font>
    <font>
      <b/>
      <u/>
      <color rgb="FF0000FF"/>
      <name val="Arial"/>
    </font>
    <font>
      <b/>
      <color rgb="FFFF0000"/>
      <name val="Arial"/>
    </font>
    <font>
      <u/>
      <color rgb="FF1155CC"/>
      <name val="Arial"/>
      <scheme val="minor"/>
    </font>
    <font>
      <sz val="8.0"/>
      <color theme="1"/>
      <name val="Arial"/>
    </font>
  </fonts>
  <fills count="60">
    <fill>
      <patternFill patternType="none"/>
    </fill>
    <fill>
      <patternFill patternType="lightGray"/>
    </fill>
    <fill>
      <patternFill patternType="solid">
        <fgColor rgb="FFFADC3B"/>
        <bgColor rgb="FFFADC3B"/>
      </patternFill>
    </fill>
    <fill>
      <patternFill patternType="solid">
        <fgColor rgb="FFD9D2E9"/>
        <bgColor rgb="FFD9D2E9"/>
      </patternFill>
    </fill>
    <fill>
      <patternFill patternType="solid">
        <fgColor rgb="FFE6B8AF"/>
        <bgColor rgb="FFE6B8AF"/>
      </patternFill>
    </fill>
    <fill>
      <patternFill patternType="solid">
        <fgColor rgb="FF82C83E"/>
        <bgColor rgb="FF82C83E"/>
      </patternFill>
    </fill>
    <fill>
      <patternFill patternType="solid">
        <fgColor rgb="FFFCE5CD"/>
        <bgColor rgb="FFFCE5CD"/>
      </patternFill>
    </fill>
    <fill>
      <patternFill patternType="solid">
        <fgColor rgb="FFFFE599"/>
        <bgColor rgb="FFFFE599"/>
      </patternFill>
    </fill>
    <fill>
      <patternFill patternType="solid">
        <fgColor rgb="FFF3F3F3"/>
        <bgColor rgb="FFF3F3F3"/>
      </patternFill>
    </fill>
    <fill>
      <patternFill patternType="solid">
        <fgColor rgb="FFF4CCCC"/>
        <bgColor rgb="FFF4CCCC"/>
      </patternFill>
    </fill>
    <fill>
      <patternFill patternType="solid">
        <fgColor rgb="FFFF9900"/>
        <bgColor rgb="FFFF9900"/>
      </patternFill>
    </fill>
    <fill>
      <patternFill patternType="solid">
        <fgColor rgb="FFFFF2CC"/>
        <bgColor rgb="FFFFF2CC"/>
      </patternFill>
    </fill>
    <fill>
      <patternFill patternType="solid">
        <fgColor rgb="FF2360BC"/>
        <bgColor rgb="FF2360BC"/>
      </patternFill>
    </fill>
    <fill>
      <patternFill patternType="solid">
        <fgColor rgb="FF93C47D"/>
        <bgColor rgb="FF93C47D"/>
      </patternFill>
    </fill>
    <fill>
      <patternFill patternType="solid">
        <fgColor rgb="FFC04E4A"/>
        <bgColor rgb="FFC04E4A"/>
      </patternFill>
    </fill>
    <fill>
      <patternFill patternType="solid">
        <fgColor rgb="FF999999"/>
        <bgColor rgb="FF999999"/>
      </patternFill>
    </fill>
    <fill>
      <patternFill patternType="solid">
        <fgColor rgb="FF880D56"/>
        <bgColor rgb="FF880D56"/>
      </patternFill>
    </fill>
    <fill>
      <patternFill patternType="solid">
        <fgColor rgb="FFD9D9D9"/>
        <bgColor rgb="FFD9D9D9"/>
      </patternFill>
    </fill>
    <fill>
      <patternFill patternType="solid">
        <fgColor rgb="FF80E3E8"/>
        <bgColor rgb="FF80E3E8"/>
      </patternFill>
    </fill>
    <fill>
      <patternFill patternType="solid">
        <fgColor rgb="FFB45F06"/>
        <bgColor rgb="FFB45F06"/>
      </patternFill>
    </fill>
    <fill>
      <patternFill patternType="solid">
        <fgColor rgb="FFFFFFB6"/>
        <bgColor rgb="FFFFFFB6"/>
      </patternFill>
    </fill>
    <fill>
      <patternFill patternType="solid">
        <fgColor rgb="FFCFE2F3"/>
        <bgColor rgb="FFCFE2F3"/>
      </patternFill>
    </fill>
    <fill>
      <patternFill patternType="solid">
        <fgColor rgb="FFF8A3B4"/>
        <bgColor rgb="FFF8A3B4"/>
      </patternFill>
    </fill>
    <fill>
      <patternFill patternType="solid">
        <fgColor rgb="FFD9EAD3"/>
        <bgColor rgb="FFD9EAD3"/>
      </patternFill>
    </fill>
    <fill>
      <patternFill patternType="solid">
        <fgColor rgb="FFA749FF"/>
        <bgColor rgb="FFA749FF"/>
      </patternFill>
    </fill>
    <fill>
      <patternFill patternType="solid">
        <fgColor rgb="FF00B281"/>
        <bgColor rgb="FF00B281"/>
      </patternFill>
    </fill>
    <fill>
      <patternFill patternType="solid">
        <fgColor rgb="FFB4A7D6"/>
        <bgColor rgb="FFB4A7D6"/>
      </patternFill>
    </fill>
    <fill>
      <patternFill patternType="solid">
        <fgColor rgb="FFAD7E00"/>
        <bgColor rgb="FFAD7E00"/>
      </patternFill>
    </fill>
    <fill>
      <patternFill patternType="solid">
        <fgColor rgb="FFFFD966"/>
        <bgColor rgb="FFFFD966"/>
      </patternFill>
    </fill>
    <fill>
      <patternFill patternType="solid">
        <fgColor rgb="FFEA9999"/>
        <bgColor rgb="FFEA9999"/>
      </patternFill>
    </fill>
    <fill>
      <patternFill patternType="solid">
        <fgColor rgb="FFEAD1DC"/>
        <bgColor rgb="FFEAD1DC"/>
      </patternFill>
    </fill>
    <fill>
      <patternFill patternType="solid">
        <fgColor rgb="FFC9DAF8"/>
        <bgColor rgb="FFC9DAF8"/>
      </patternFill>
    </fill>
    <fill>
      <patternFill patternType="solid">
        <fgColor rgb="FFD0E0E3"/>
        <bgColor rgb="FFD0E0E3"/>
      </patternFill>
    </fill>
    <fill>
      <patternFill patternType="solid">
        <fgColor rgb="FFFFFFFF"/>
        <bgColor rgb="FFFFFFFF"/>
      </patternFill>
    </fill>
    <fill>
      <patternFill patternType="solid">
        <fgColor rgb="FFF9CB9C"/>
        <bgColor rgb="FFF9CB9C"/>
      </patternFill>
    </fill>
    <fill>
      <patternFill patternType="solid">
        <fgColor rgb="FFEFEFEF"/>
        <bgColor rgb="FFEFEFEF"/>
      </patternFill>
    </fill>
    <fill>
      <patternFill patternType="solid">
        <fgColor rgb="FFCCCCCC"/>
        <bgColor rgb="FFCCCCCC"/>
      </patternFill>
    </fill>
    <fill>
      <patternFill patternType="solid">
        <fgColor rgb="FF434343"/>
        <bgColor rgb="FF434343"/>
      </patternFill>
    </fill>
    <fill>
      <patternFill patternType="solid">
        <fgColor rgb="FF666666"/>
        <bgColor rgb="FF666666"/>
      </patternFill>
    </fill>
    <fill>
      <patternFill patternType="solid">
        <fgColor rgb="FFC27BA0"/>
        <bgColor rgb="FFC27BA0"/>
      </patternFill>
    </fill>
    <fill>
      <patternFill patternType="solid">
        <fgColor rgb="FF38761D"/>
        <bgColor rgb="FF38761D"/>
      </patternFill>
    </fill>
    <fill>
      <patternFill patternType="solid">
        <fgColor rgb="FF20124D"/>
        <bgColor rgb="FF20124D"/>
      </patternFill>
    </fill>
    <fill>
      <patternFill patternType="solid">
        <fgColor rgb="FF7F6000"/>
        <bgColor rgb="FF7F6000"/>
      </patternFill>
    </fill>
    <fill>
      <patternFill patternType="solid">
        <fgColor rgb="FF3C78D8"/>
        <bgColor rgb="FF3C78D8"/>
      </patternFill>
    </fill>
    <fill>
      <patternFill patternType="solid">
        <fgColor rgb="FF674EA7"/>
        <bgColor rgb="FF674EA7"/>
      </patternFill>
    </fill>
    <fill>
      <patternFill patternType="solid">
        <fgColor rgb="FF990000"/>
        <bgColor rgb="FF990000"/>
      </patternFill>
    </fill>
    <fill>
      <patternFill patternType="solid">
        <fgColor rgb="FFCC4125"/>
        <bgColor rgb="FFCC4125"/>
      </patternFill>
    </fill>
    <fill>
      <patternFill patternType="solid">
        <fgColor rgb="FFD5A6BD"/>
        <bgColor rgb="FFD5A6BD"/>
      </patternFill>
    </fill>
    <fill>
      <patternFill patternType="solid">
        <fgColor rgb="FFBF9000"/>
        <bgColor rgb="FFBF9000"/>
      </patternFill>
    </fill>
    <fill>
      <patternFill patternType="solid">
        <fgColor rgb="FF660000"/>
        <bgColor rgb="FF660000"/>
      </patternFill>
    </fill>
    <fill>
      <patternFill patternType="solid">
        <fgColor rgb="FF134F5C"/>
        <bgColor rgb="FF134F5C"/>
      </patternFill>
    </fill>
    <fill>
      <patternFill patternType="solid">
        <fgColor rgb="FF8E7CC3"/>
        <bgColor rgb="FF8E7CC3"/>
      </patternFill>
    </fill>
    <fill>
      <patternFill patternType="solid">
        <fgColor rgb="FF783F04"/>
        <bgColor rgb="FF783F04"/>
      </patternFill>
    </fill>
    <fill>
      <patternFill patternType="solid">
        <fgColor theme="0"/>
        <bgColor theme="0"/>
      </patternFill>
    </fill>
    <fill>
      <patternFill patternType="solid">
        <fgColor rgb="FFFFFCF4"/>
        <bgColor rgb="FFFFFCF4"/>
      </patternFill>
    </fill>
    <fill>
      <patternFill patternType="solid">
        <fgColor rgb="FFFFE6A1"/>
        <bgColor rgb="FFFFE6A1"/>
      </patternFill>
    </fill>
    <fill>
      <patternFill patternType="solid">
        <fgColor rgb="FFFFF6DC"/>
        <bgColor rgb="FFFFF6DC"/>
      </patternFill>
    </fill>
    <fill>
      <patternFill patternType="solid">
        <fgColor rgb="FFFFD666"/>
        <bgColor rgb="FFFFD666"/>
      </patternFill>
    </fill>
    <fill>
      <patternFill patternType="solid">
        <fgColor theme="6"/>
        <bgColor theme="6"/>
      </patternFill>
    </fill>
    <fill>
      <patternFill patternType="solid">
        <fgColor rgb="FFFFFF00"/>
        <bgColor rgb="FFFFFF00"/>
      </patternFill>
    </fill>
  </fills>
  <borders count="35">
    <border/>
    <border>
      <right style="medium">
        <color rgb="FF000000"/>
      </right>
      <bottom style="medium">
        <color rgb="FF000000"/>
      </bottom>
    </border>
    <border>
      <bottom style="medium">
        <color rgb="FF000000"/>
      </bottom>
    </border>
    <border>
      <right style="medium">
        <color rgb="FF000000"/>
      </right>
    </border>
    <border>
      <right style="thin">
        <color rgb="FF000000"/>
      </right>
    </border>
    <border>
      <right style="thin">
        <color rgb="FF000000"/>
      </right>
      <bottom style="medium">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top style="thin">
        <color rgb="FF000000"/>
      </top>
    </border>
    <border>
      <top style="thin">
        <color rgb="FF000000"/>
      </top>
    </border>
    <border>
      <right style="medium">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F3F3F3"/>
      </left>
      <right style="thin">
        <color rgb="FFF3F3F3"/>
      </right>
      <top style="thin">
        <color rgb="FFF3F3F3"/>
      </top>
      <bottom style="thin">
        <color rgb="FFF3F3F3"/>
      </bottom>
    </border>
    <border>
      <top style="thick">
        <color rgb="FF000000"/>
      </top>
      <bottom style="thick">
        <color rgb="FF000000"/>
      </bottom>
    </border>
    <border>
      <left style="dotted">
        <color rgb="FF000000"/>
      </left>
    </border>
    <border>
      <bottom style="thick">
        <color rgb="FF000000"/>
      </bottom>
    </border>
    <border>
      <left style="dotted">
        <color rgb="FF000000"/>
      </left>
      <bottom style="thick">
        <color rgb="FF000000"/>
      </bottom>
    </border>
    <border>
      <top style="thin">
        <color rgb="FF000000"/>
      </top>
      <bottom style="thin">
        <color rgb="FF000000"/>
      </bottom>
    </border>
    <border>
      <left style="thin">
        <color rgb="FF000000"/>
      </left>
      <right style="thin">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thick">
        <color rgb="FF000000"/>
      </left>
      <top style="thick">
        <color rgb="FF000000"/>
      </top>
      <bottom style="thick">
        <color rgb="FF000000"/>
      </bottom>
    </border>
    <border>
      <left style="thick">
        <color rgb="FF000000"/>
      </left>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834">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1" numFmtId="0" xfId="0" applyAlignment="1" applyFont="1">
      <alignment readingOrder="0"/>
    </xf>
    <xf borderId="0" fillId="0" fontId="2" numFmtId="0" xfId="0" applyAlignment="1" applyFont="1">
      <alignment readingOrder="0" shrinkToFit="0" wrapText="1"/>
    </xf>
    <xf borderId="0" fillId="2" fontId="1" numFmtId="0" xfId="0" applyAlignment="1" applyFill="1" applyFont="1">
      <alignment readingOrder="0" shrinkToFit="0" vertical="center" wrapText="1"/>
    </xf>
    <xf borderId="0" fillId="3" fontId="2" numFmtId="0" xfId="0" applyAlignment="1" applyFill="1" applyFont="1">
      <alignment readingOrder="0" vertical="center"/>
    </xf>
    <xf borderId="0" fillId="4" fontId="2" numFmtId="0" xfId="0" applyAlignment="1" applyFill="1" applyFont="1">
      <alignment readingOrder="0" vertical="center"/>
    </xf>
    <xf borderId="0" fillId="0" fontId="2" numFmtId="0" xfId="0" applyAlignment="1" applyFont="1">
      <alignment readingOrder="0"/>
    </xf>
    <xf borderId="0" fillId="5" fontId="1" numFmtId="0" xfId="0" applyAlignment="1" applyFill="1" applyFont="1">
      <alignment readingOrder="0" shrinkToFit="0" vertical="center" wrapText="1"/>
    </xf>
    <xf borderId="0" fillId="6" fontId="2" numFmtId="0" xfId="0" applyAlignment="1" applyFill="1" applyFont="1">
      <alignment readingOrder="0" vertical="center"/>
    </xf>
    <xf borderId="0" fillId="7" fontId="2" numFmtId="0" xfId="0" applyAlignment="1" applyFill="1" applyFont="1">
      <alignment readingOrder="0" vertical="center"/>
    </xf>
    <xf borderId="0" fillId="8" fontId="1" numFmtId="0" xfId="0" applyAlignment="1" applyFill="1" applyFont="1">
      <alignment readingOrder="0" shrinkToFit="0" vertical="center" wrapText="1"/>
    </xf>
    <xf borderId="0" fillId="9" fontId="2" numFmtId="0" xfId="0" applyAlignment="1" applyFill="1" applyFont="1">
      <alignment readingOrder="0" vertical="center"/>
    </xf>
    <xf borderId="0" fillId="10" fontId="3" numFmtId="0" xfId="0" applyAlignment="1" applyFill="1" applyFont="1">
      <alignment readingOrder="0" shrinkToFit="0" vertical="center" wrapText="1"/>
    </xf>
    <xf borderId="0" fillId="11" fontId="2" numFmtId="0" xfId="0" applyAlignment="1" applyFill="1" applyFont="1">
      <alignment readingOrder="0" vertical="center"/>
    </xf>
    <xf borderId="0" fillId="12" fontId="4" numFmtId="0" xfId="0" applyAlignment="1" applyFill="1" applyFont="1">
      <alignment readingOrder="0" shrinkToFit="0" vertical="center" wrapText="1"/>
    </xf>
    <xf borderId="0" fillId="13" fontId="2" numFmtId="0" xfId="0" applyAlignment="1" applyFill="1" applyFont="1">
      <alignment readingOrder="0" vertical="center"/>
    </xf>
    <xf borderId="0" fillId="14" fontId="3" numFmtId="0" xfId="0" applyAlignment="1" applyFill="1" applyFont="1">
      <alignment readingOrder="0" shrinkToFit="0" vertical="center" wrapText="1"/>
    </xf>
    <xf borderId="0" fillId="15" fontId="2" numFmtId="0" xfId="0" applyAlignment="1" applyFill="1" applyFont="1">
      <alignment readingOrder="0" vertical="center"/>
    </xf>
    <xf borderId="0" fillId="16" fontId="4" numFmtId="0" xfId="0" applyAlignment="1" applyFill="1" applyFont="1">
      <alignment readingOrder="0" shrinkToFit="0" vertical="center" wrapText="1"/>
    </xf>
    <xf borderId="0" fillId="17" fontId="2" numFmtId="0" xfId="0" applyAlignment="1" applyFill="1" applyFont="1">
      <alignment readingOrder="0" vertical="center"/>
    </xf>
    <xf borderId="0" fillId="18" fontId="1" numFmtId="0" xfId="0" applyAlignment="1" applyFill="1" applyFont="1">
      <alignment readingOrder="0" vertical="center"/>
    </xf>
    <xf borderId="0" fillId="19" fontId="2" numFmtId="0" xfId="0" applyAlignment="1" applyFill="1" applyFont="1">
      <alignment readingOrder="0" vertical="center"/>
    </xf>
    <xf borderId="0" fillId="20" fontId="1" numFmtId="0" xfId="0" applyAlignment="1" applyFill="1" applyFont="1">
      <alignment readingOrder="0" vertical="center"/>
    </xf>
    <xf borderId="0" fillId="21" fontId="2" numFmtId="0" xfId="0" applyAlignment="1" applyFill="1" applyFont="1">
      <alignment readingOrder="0" vertical="center"/>
    </xf>
    <xf borderId="0" fillId="22" fontId="1" numFmtId="0" xfId="0" applyAlignment="1" applyFill="1" applyFont="1">
      <alignment readingOrder="0" vertical="center"/>
    </xf>
    <xf borderId="0" fillId="23" fontId="2" numFmtId="0" xfId="0" applyAlignment="1" applyFill="1" applyFont="1">
      <alignment readingOrder="0" vertical="center"/>
    </xf>
    <xf borderId="0" fillId="24" fontId="4" numFmtId="0" xfId="0" applyAlignment="1" applyFill="1" applyFont="1">
      <alignment readingOrder="0" vertical="center"/>
    </xf>
    <xf borderId="0" fillId="8" fontId="2" numFmtId="0" xfId="0" applyAlignment="1" applyFont="1">
      <alignment readingOrder="0" vertical="center"/>
    </xf>
    <xf borderId="0" fillId="25" fontId="4" numFmtId="0" xfId="0" applyAlignment="1" applyFill="1" applyFont="1">
      <alignment readingOrder="0" vertical="center"/>
    </xf>
    <xf borderId="0" fillId="26" fontId="2" numFmtId="0" xfId="0" applyAlignment="1" applyFill="1" applyFont="1">
      <alignment readingOrder="0" vertical="center"/>
    </xf>
    <xf borderId="0" fillId="27" fontId="1" numFmtId="0" xfId="0" applyAlignment="1" applyFill="1" applyFont="1">
      <alignment readingOrder="0" vertical="center"/>
    </xf>
    <xf borderId="0" fillId="28" fontId="2" numFmtId="0" xfId="0" applyAlignment="1" applyFill="1" applyFont="1">
      <alignment readingOrder="0" vertical="center"/>
    </xf>
    <xf borderId="0" fillId="0" fontId="2" numFmtId="0" xfId="0" applyAlignment="1" applyFont="1">
      <alignment readingOrder="0" vertical="center"/>
    </xf>
    <xf borderId="0" fillId="29" fontId="2" numFmtId="0" xfId="0" applyAlignment="1" applyFill="1" applyFont="1">
      <alignment readingOrder="0" vertical="center"/>
    </xf>
    <xf borderId="0" fillId="0" fontId="5" numFmtId="0" xfId="0" applyAlignment="1" applyFont="1">
      <alignment readingOrder="0"/>
    </xf>
    <xf borderId="0" fillId="0" fontId="2" numFmtId="0" xfId="0" applyAlignment="1" applyFont="1">
      <alignment horizontal="right" readingOrder="0"/>
    </xf>
    <xf borderId="0" fillId="0" fontId="6" numFmtId="0" xfId="0" applyAlignment="1" applyFont="1">
      <alignment readingOrder="0"/>
    </xf>
    <xf borderId="0" fillId="0" fontId="2" numFmtId="0" xfId="0" applyAlignment="1" applyFont="1">
      <alignment horizontal="right" readingOrder="0"/>
    </xf>
    <xf borderId="0" fillId="0" fontId="7" numFmtId="0" xfId="0" applyAlignment="1" applyFont="1">
      <alignment readingOrder="0"/>
    </xf>
    <xf borderId="0" fillId="0" fontId="8" numFmtId="0" xfId="0" applyAlignment="1" applyFont="1">
      <alignment readingOrder="0"/>
    </xf>
    <xf borderId="0" fillId="0" fontId="2" numFmtId="0" xfId="0" applyAlignment="1" applyFont="1">
      <alignment readingOrder="0"/>
    </xf>
    <xf borderId="0" fillId="0" fontId="2" numFmtId="2" xfId="0" applyAlignment="1" applyFont="1" applyNumberFormat="1">
      <alignment readingOrder="0"/>
    </xf>
    <xf borderId="0" fillId="0" fontId="2" numFmtId="164" xfId="0" applyAlignment="1" applyFont="1" applyNumberFormat="1">
      <alignment horizontal="right" readingOrder="0"/>
    </xf>
    <xf borderId="0" fillId="0" fontId="9" numFmtId="2" xfId="0" applyAlignment="1" applyFont="1" applyNumberFormat="1">
      <alignment horizontal="right" readingOrder="0" vertical="bottom"/>
    </xf>
    <xf borderId="0" fillId="0" fontId="9" numFmtId="164" xfId="0" applyAlignment="1" applyFont="1" applyNumberFormat="1">
      <alignment horizontal="right" vertical="bottom"/>
    </xf>
    <xf borderId="0" fillId="0" fontId="9" numFmtId="0" xfId="0" applyAlignment="1" applyFont="1">
      <alignment vertical="bottom"/>
    </xf>
    <xf borderId="0" fillId="0" fontId="9" numFmtId="0" xfId="0" applyAlignment="1" applyFont="1">
      <alignment vertical="bottom"/>
    </xf>
    <xf borderId="0" fillId="0" fontId="9" numFmtId="2" xfId="0" applyAlignment="1" applyFont="1" applyNumberFormat="1">
      <alignment horizontal="right" vertical="bottom"/>
    </xf>
    <xf borderId="0" fillId="0" fontId="10" numFmtId="0" xfId="0" applyAlignment="1" applyFont="1">
      <alignment vertical="bottom"/>
    </xf>
    <xf borderId="0" fillId="0" fontId="9" numFmtId="165" xfId="0" applyAlignment="1" applyFont="1" applyNumberFormat="1">
      <alignment horizontal="right" vertical="bottom"/>
    </xf>
    <xf borderId="0" fillId="0" fontId="9" numFmtId="0" xfId="0" applyAlignment="1" applyFont="1">
      <alignment horizontal="right" vertical="bottom"/>
    </xf>
    <xf borderId="0" fillId="0" fontId="1" numFmtId="0" xfId="0" applyAlignment="1" applyFont="1">
      <alignment readingOrder="0" shrinkToFit="0" wrapText="1"/>
    </xf>
    <xf borderId="0" fillId="0" fontId="1" numFmtId="0" xfId="0" applyFont="1"/>
    <xf borderId="0" fillId="0" fontId="2" numFmtId="0" xfId="0" applyAlignment="1" applyFont="1">
      <alignment shrinkToFit="0" wrapText="1"/>
    </xf>
    <xf borderId="1" fillId="0" fontId="1" numFmtId="0" xfId="0" applyAlignment="1" applyBorder="1" applyFont="1">
      <alignment horizontal="center" readingOrder="0"/>
    </xf>
    <xf borderId="2" fillId="2" fontId="1" numFmtId="0" xfId="0" applyAlignment="1" applyBorder="1" applyFont="1">
      <alignment horizontal="center" readingOrder="0" shrinkToFit="0" vertical="center" wrapText="1"/>
    </xf>
    <xf borderId="2" fillId="5" fontId="1" numFmtId="0" xfId="0" applyAlignment="1" applyBorder="1" applyFont="1">
      <alignment horizontal="center" readingOrder="0" shrinkToFit="0" vertical="center" wrapText="1"/>
    </xf>
    <xf borderId="2" fillId="8" fontId="1" numFmtId="0" xfId="0" applyAlignment="1" applyBorder="1" applyFont="1">
      <alignment horizontal="center" readingOrder="0" shrinkToFit="0" vertical="center" wrapText="1"/>
    </xf>
    <xf borderId="2" fillId="10" fontId="3" numFmtId="0" xfId="0" applyAlignment="1" applyBorder="1" applyFont="1">
      <alignment horizontal="center" readingOrder="0" shrinkToFit="0" vertical="center" wrapText="1"/>
    </xf>
    <xf borderId="2" fillId="12" fontId="4" numFmtId="0" xfId="0" applyAlignment="1" applyBorder="1" applyFont="1">
      <alignment horizontal="center" readingOrder="0" shrinkToFit="0" vertical="center" wrapText="1"/>
    </xf>
    <xf borderId="2" fillId="18" fontId="1" numFmtId="0" xfId="0" applyAlignment="1" applyBorder="1" applyFont="1">
      <alignment horizontal="center" readingOrder="0" vertical="center"/>
    </xf>
    <xf borderId="2" fillId="14" fontId="3" numFmtId="0" xfId="0" applyAlignment="1" applyBorder="1" applyFont="1">
      <alignment horizontal="center" readingOrder="0" shrinkToFit="0" vertical="center" wrapText="1"/>
    </xf>
    <xf borderId="2" fillId="16" fontId="4" numFmtId="0" xfId="0" applyAlignment="1" applyBorder="1" applyFont="1">
      <alignment horizontal="center" readingOrder="0" shrinkToFit="0" vertical="center" wrapText="1"/>
    </xf>
    <xf borderId="2" fillId="20" fontId="1" numFmtId="0" xfId="0" applyAlignment="1" applyBorder="1" applyFont="1">
      <alignment horizontal="center" readingOrder="0" vertical="center"/>
    </xf>
    <xf borderId="2" fillId="22" fontId="1" numFmtId="0" xfId="0" applyAlignment="1" applyBorder="1" applyFont="1">
      <alignment horizontal="center" readingOrder="0" vertical="center"/>
    </xf>
    <xf borderId="2" fillId="24" fontId="11" numFmtId="0" xfId="0" applyAlignment="1" applyBorder="1" applyFont="1">
      <alignment horizontal="center" readingOrder="0" vertical="center"/>
    </xf>
    <xf borderId="2" fillId="25" fontId="11" numFmtId="0" xfId="0" applyAlignment="1" applyBorder="1" applyFont="1">
      <alignment horizontal="center" readingOrder="0" vertical="center"/>
    </xf>
    <xf borderId="2" fillId="27" fontId="1" numFmtId="0" xfId="0" applyAlignment="1" applyBorder="1" applyFont="1">
      <alignment horizontal="center" readingOrder="0" vertical="center"/>
    </xf>
    <xf borderId="3" fillId="0" fontId="1" numFmtId="0" xfId="0" applyAlignment="1" applyBorder="1" applyFont="1">
      <alignment horizontal="center"/>
    </xf>
    <xf borderId="0" fillId="0" fontId="9" numFmtId="0" xfId="0" applyAlignment="1" applyFont="1">
      <alignment readingOrder="0" vertical="bottom"/>
    </xf>
    <xf borderId="0" fillId="0" fontId="12" numFmtId="0" xfId="0" applyAlignment="1" applyFont="1">
      <alignment horizontal="center" readingOrder="0" vertical="bottom"/>
    </xf>
    <xf borderId="3" fillId="0" fontId="1" numFmtId="0" xfId="0" applyAlignment="1" applyBorder="1" applyFont="1">
      <alignment horizontal="center" readingOrder="0"/>
    </xf>
    <xf quotePrefix="1" borderId="0" fillId="8" fontId="2" numFmtId="0" xfId="0" applyAlignment="1" applyFont="1">
      <alignment readingOrder="0"/>
    </xf>
    <xf quotePrefix="1" borderId="0" fillId="3" fontId="2" numFmtId="0" xfId="0" applyAlignment="1" applyFont="1">
      <alignment readingOrder="0"/>
    </xf>
    <xf borderId="0" fillId="6" fontId="2" numFmtId="0" xfId="0" applyAlignment="1" applyFont="1">
      <alignment readingOrder="0"/>
    </xf>
    <xf borderId="0" fillId="11" fontId="2" numFmtId="0" xfId="0" applyFont="1"/>
    <xf borderId="0" fillId="9" fontId="2" numFmtId="0" xfId="0" applyAlignment="1" applyFont="1">
      <alignment readingOrder="0"/>
    </xf>
    <xf borderId="0" fillId="6" fontId="9" numFmtId="0" xfId="0" applyAlignment="1" applyFont="1">
      <alignment vertical="bottom"/>
    </xf>
    <xf borderId="0" fillId="7" fontId="2" numFmtId="0" xfId="0" applyFont="1"/>
    <xf borderId="0" fillId="4" fontId="2" numFmtId="0" xfId="0" applyFont="1"/>
    <xf borderId="0" fillId="4" fontId="2" numFmtId="0" xfId="0" applyAlignment="1" applyFont="1">
      <alignment readingOrder="0"/>
    </xf>
    <xf quotePrefix="1" borderId="0" fillId="21" fontId="2" numFmtId="0" xfId="0" applyAlignment="1" applyFont="1">
      <alignment readingOrder="0"/>
    </xf>
    <xf borderId="0" fillId="23" fontId="2" numFmtId="0" xfId="0" applyFont="1"/>
    <xf borderId="0" fillId="21" fontId="2" numFmtId="0" xfId="0" applyFont="1"/>
    <xf borderId="0" fillId="9" fontId="2" numFmtId="0" xfId="0" applyFont="1"/>
    <xf quotePrefix="1" borderId="0" fillId="7" fontId="2" numFmtId="0" xfId="0" applyAlignment="1" applyFont="1">
      <alignment readingOrder="0" shrinkToFit="0" vertical="center" wrapText="1"/>
    </xf>
    <xf borderId="0" fillId="21" fontId="2" numFmtId="0" xfId="0" applyAlignment="1" applyFont="1">
      <alignment readingOrder="0"/>
    </xf>
    <xf borderId="0" fillId="8" fontId="2" numFmtId="0" xfId="0" applyFont="1"/>
    <xf borderId="0" fillId="0" fontId="2" numFmtId="0" xfId="0" applyAlignment="1" applyFont="1">
      <alignment horizontal="center" readingOrder="0"/>
    </xf>
    <xf borderId="0" fillId="4" fontId="2" numFmtId="0" xfId="0" applyAlignment="1" applyFont="1">
      <alignment readingOrder="0" shrinkToFit="0" vertical="center" wrapText="1"/>
    </xf>
    <xf borderId="0" fillId="3" fontId="2" numFmtId="0" xfId="0" applyAlignment="1" applyFont="1">
      <alignment readingOrder="0"/>
    </xf>
    <xf borderId="0" fillId="11" fontId="2" numFmtId="0" xfId="0" applyAlignment="1" applyFont="1">
      <alignment readingOrder="0"/>
    </xf>
    <xf borderId="0" fillId="8" fontId="2" numFmtId="0" xfId="0" applyAlignment="1" applyFont="1">
      <alignment readingOrder="0"/>
    </xf>
    <xf borderId="0" fillId="9" fontId="9" numFmtId="0" xfId="0" applyAlignment="1" applyFont="1">
      <alignment vertical="bottom"/>
    </xf>
    <xf borderId="0" fillId="23" fontId="2" numFmtId="0" xfId="0" applyAlignment="1" applyFont="1">
      <alignment readingOrder="0"/>
    </xf>
    <xf borderId="0" fillId="21" fontId="9" numFmtId="0" xfId="0" applyAlignment="1" applyFont="1">
      <alignment vertical="bottom"/>
    </xf>
    <xf borderId="0" fillId="11" fontId="9" numFmtId="0" xfId="0" applyAlignment="1" applyFont="1">
      <alignment vertical="bottom"/>
    </xf>
    <xf borderId="0" fillId="23" fontId="9" numFmtId="0" xfId="0" applyAlignment="1" applyFont="1">
      <alignment vertical="bottom"/>
    </xf>
    <xf borderId="0" fillId="4" fontId="9" numFmtId="0" xfId="0" applyAlignment="1" applyFont="1">
      <alignment vertical="bottom"/>
    </xf>
    <xf borderId="0" fillId="7" fontId="9" numFmtId="0" xfId="0" applyAlignment="1" applyFont="1">
      <alignment vertical="bottom"/>
    </xf>
    <xf borderId="0" fillId="26" fontId="9" numFmtId="0" xfId="0" applyAlignment="1" applyFont="1">
      <alignment vertical="bottom"/>
    </xf>
    <xf borderId="3" fillId="0" fontId="12" numFmtId="0" xfId="0" applyAlignment="1" applyBorder="1" applyFont="1">
      <alignment horizontal="center" vertical="bottom"/>
    </xf>
    <xf borderId="3" fillId="0" fontId="12" numFmtId="0" xfId="0" applyAlignment="1" applyBorder="1" applyFont="1">
      <alignment horizontal="center" vertical="bottom"/>
    </xf>
    <xf borderId="0" fillId="0" fontId="2" numFmtId="0" xfId="0" applyAlignment="1" applyFont="1">
      <alignment readingOrder="0" shrinkToFit="0" vertical="center" wrapText="1"/>
    </xf>
    <xf borderId="0" fillId="0" fontId="1" numFmtId="0" xfId="0" applyAlignment="1" applyFont="1">
      <alignment horizontal="center" readingOrder="0"/>
    </xf>
    <xf borderId="1" fillId="0" fontId="2" numFmtId="0" xfId="0" applyAlignment="1" applyBorder="1" applyFont="1">
      <alignment horizontal="center" shrinkToFit="0" vertical="center" wrapText="1"/>
    </xf>
    <xf borderId="2" fillId="9" fontId="1" numFmtId="0" xfId="0" applyAlignment="1" applyBorder="1" applyFont="1">
      <alignment readingOrder="0" shrinkToFit="0" vertical="center" wrapText="1"/>
    </xf>
    <xf borderId="2" fillId="4" fontId="1" numFmtId="0" xfId="0" applyAlignment="1" applyBorder="1" applyFont="1">
      <alignment readingOrder="0" shrinkToFit="0" vertical="center" wrapText="1"/>
    </xf>
    <xf borderId="2" fillId="30" fontId="1" numFmtId="0" xfId="0" applyAlignment="1" applyBorder="1" applyFill="1" applyFont="1">
      <alignment readingOrder="0" shrinkToFit="0" vertical="center" wrapText="1"/>
    </xf>
    <xf borderId="2" fillId="8" fontId="1" numFmtId="0" xfId="0" applyAlignment="1" applyBorder="1" applyFont="1">
      <alignment readingOrder="0" shrinkToFit="0" vertical="center" wrapText="1"/>
    </xf>
    <xf borderId="2" fillId="6" fontId="1" numFmtId="0" xfId="0" applyAlignment="1" applyBorder="1" applyFont="1">
      <alignment readingOrder="0" shrinkToFit="0" vertical="center" wrapText="1"/>
    </xf>
    <xf borderId="2" fillId="31" fontId="1" numFmtId="0" xfId="0" applyAlignment="1" applyBorder="1" applyFill="1" applyFont="1">
      <alignment readingOrder="0" shrinkToFit="0" vertical="center" wrapText="1"/>
    </xf>
    <xf borderId="2" fillId="32" fontId="1" numFmtId="0" xfId="0" applyAlignment="1" applyBorder="1" applyFill="1" applyFont="1">
      <alignment readingOrder="0" shrinkToFit="0" vertical="center" wrapText="1"/>
    </xf>
    <xf borderId="2" fillId="23" fontId="1" numFmtId="0" xfId="0" applyAlignment="1" applyBorder="1" applyFont="1">
      <alignment readingOrder="0" shrinkToFit="0" vertical="center" wrapText="1"/>
    </xf>
    <xf borderId="2" fillId="3" fontId="1" numFmtId="0" xfId="0" applyAlignment="1" applyBorder="1" applyFont="1">
      <alignment readingOrder="0" shrinkToFit="0" vertical="center" wrapText="1"/>
    </xf>
    <xf borderId="2" fillId="11" fontId="1"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0" fillId="9" fontId="2" numFmtId="0" xfId="0" applyAlignment="1" applyFont="1">
      <alignment shrinkToFit="0" vertical="center" wrapText="1"/>
    </xf>
    <xf borderId="0" fillId="8" fontId="9" numFmtId="0" xfId="0" applyAlignment="1" applyFont="1">
      <alignment shrinkToFit="0" vertical="center" wrapText="1"/>
    </xf>
    <xf borderId="0" fillId="6" fontId="2" numFmtId="0" xfId="0" applyAlignment="1" applyFont="1">
      <alignment shrinkToFit="0" vertical="center" wrapText="1"/>
    </xf>
    <xf borderId="0" fillId="21" fontId="2" numFmtId="0" xfId="0" applyAlignment="1" applyFont="1">
      <alignment shrinkToFit="0" vertical="center" wrapText="1"/>
    </xf>
    <xf borderId="0" fillId="23" fontId="2" numFmtId="0" xfId="0" applyAlignment="1" applyFont="1">
      <alignment shrinkToFit="0" vertical="center" wrapText="1"/>
    </xf>
    <xf borderId="0" fillId="28" fontId="2" numFmtId="0" xfId="0" applyAlignment="1" applyFont="1">
      <alignment shrinkToFit="0" vertical="center" wrapText="1"/>
    </xf>
    <xf borderId="0" fillId="7" fontId="2" numFmtId="0" xfId="0" applyAlignment="1" applyFont="1">
      <alignment readingOrder="0" shrinkToFit="0" vertical="center" wrapText="1"/>
    </xf>
    <xf borderId="0" fillId="4" fontId="2" numFmtId="0" xfId="0" applyAlignment="1" applyFont="1">
      <alignment shrinkToFit="0" vertical="center" wrapText="1"/>
    </xf>
    <xf borderId="0" fillId="6" fontId="9" numFmtId="0" xfId="0" applyAlignment="1" applyFont="1">
      <alignment shrinkToFit="0" vertical="center" wrapText="1"/>
    </xf>
    <xf borderId="0" fillId="3" fontId="2" numFmtId="0" xfId="0" applyAlignment="1" applyFont="1">
      <alignment shrinkToFit="0" vertical="center" wrapText="1"/>
    </xf>
    <xf quotePrefix="1" borderId="0" fillId="21" fontId="2" numFmtId="0" xfId="0" applyAlignment="1" applyFont="1">
      <alignment readingOrder="0" shrinkToFit="0" vertical="center" wrapText="1"/>
    </xf>
    <xf borderId="0" fillId="11" fontId="2" numFmtId="0" xfId="0" applyAlignment="1" applyFont="1">
      <alignment shrinkToFit="0" vertical="center" wrapText="1"/>
    </xf>
    <xf borderId="0" fillId="7" fontId="2" numFmtId="0" xfId="0" applyAlignment="1" applyFont="1">
      <alignment shrinkToFit="0" vertical="center" wrapText="1"/>
    </xf>
    <xf borderId="0" fillId="0" fontId="2" numFmtId="0" xfId="0" applyAlignment="1" applyFont="1">
      <alignment shrinkToFit="0" vertical="center" wrapText="1"/>
    </xf>
    <xf borderId="0" fillId="0" fontId="9" numFmtId="0" xfId="0" applyAlignment="1" applyFont="1">
      <alignment vertical="center"/>
    </xf>
    <xf borderId="0" fillId="23" fontId="2" numFmtId="0" xfId="0" applyAlignment="1" applyFont="1">
      <alignment readingOrder="0" shrinkToFit="0" vertical="center" wrapText="1"/>
    </xf>
    <xf borderId="0" fillId="8" fontId="9" numFmtId="0" xfId="0" applyAlignment="1" applyFont="1">
      <alignment shrinkToFit="0" vertical="center" wrapText="1"/>
    </xf>
    <xf borderId="0" fillId="0" fontId="2" numFmtId="0" xfId="0" applyAlignment="1" applyFont="1">
      <alignment horizontal="center" readingOrder="0" shrinkToFit="0" vertical="center" wrapText="1"/>
    </xf>
    <xf quotePrefix="1" borderId="0" fillId="28" fontId="2" numFmtId="0" xfId="0" applyAlignment="1" applyFont="1">
      <alignment readingOrder="0" shrinkToFit="0" vertical="center" wrapText="1"/>
    </xf>
    <xf quotePrefix="1" borderId="0" fillId="0" fontId="2" numFmtId="0" xfId="0" applyAlignment="1" applyFont="1">
      <alignment readingOrder="0" shrinkToFit="0" vertical="center" wrapText="1"/>
    </xf>
    <xf borderId="0" fillId="11" fontId="2" numFmtId="0" xfId="0" applyAlignment="1" applyFont="1">
      <alignment readingOrder="0" shrinkToFit="0" vertical="center" wrapText="1"/>
    </xf>
    <xf borderId="0" fillId="33" fontId="2" numFmtId="0" xfId="0" applyAlignment="1" applyFill="1" applyFont="1">
      <alignment shrinkToFit="0" vertical="center" wrapText="1"/>
    </xf>
    <xf borderId="0" fillId="33" fontId="2" numFmtId="0" xfId="0" applyAlignment="1" applyFont="1">
      <alignment readingOrder="0" shrinkToFit="0" vertical="center" wrapText="1"/>
    </xf>
    <xf borderId="0" fillId="33" fontId="9" numFmtId="0" xfId="0" applyAlignment="1" applyFont="1">
      <alignment shrinkToFit="0" vertical="center" wrapText="1"/>
    </xf>
    <xf borderId="0" fillId="33" fontId="2" numFmtId="0" xfId="0" applyAlignment="1" applyFont="1">
      <alignment horizontal="center" readingOrder="0" shrinkToFit="0" vertical="center" wrapText="1"/>
    </xf>
    <xf borderId="0" fillId="3" fontId="2" numFmtId="0" xfId="0" applyAlignment="1" applyFont="1">
      <alignment readingOrder="0" shrinkToFit="0" vertical="center" wrapText="1"/>
    </xf>
    <xf borderId="0" fillId="6" fontId="2" numFmtId="0" xfId="0" applyAlignment="1" applyFont="1">
      <alignment readingOrder="0" shrinkToFit="0" vertical="center" wrapText="1"/>
    </xf>
    <xf borderId="0" fillId="8" fontId="9" numFmtId="0" xfId="0" applyAlignment="1" applyFont="1">
      <alignment readingOrder="0" shrinkToFit="0" vertical="center" wrapText="1"/>
    </xf>
    <xf borderId="0" fillId="34" fontId="2" numFmtId="0" xfId="0" applyAlignment="1" applyFill="1" applyFont="1">
      <alignment readingOrder="0" vertical="center"/>
    </xf>
    <xf borderId="0" fillId="28" fontId="2" numFmtId="0" xfId="0" applyAlignment="1" applyFont="1">
      <alignment readingOrder="0" shrinkToFit="0" vertical="center" wrapText="1"/>
    </xf>
    <xf borderId="0" fillId="21" fontId="2" numFmtId="0" xfId="0" applyAlignment="1" applyFont="1">
      <alignment readingOrder="0" shrinkToFit="0" vertical="center" wrapText="1"/>
    </xf>
    <xf borderId="0" fillId="0" fontId="2" numFmtId="0" xfId="0" applyAlignment="1" applyFont="1">
      <alignment horizontal="center" shrinkToFit="0" wrapText="1"/>
    </xf>
    <xf borderId="3" fillId="0" fontId="1" numFmtId="0" xfId="0" applyAlignment="1" applyBorder="1" applyFont="1">
      <alignment readingOrder="0" vertical="center"/>
    </xf>
    <xf borderId="0" fillId="0" fontId="13" numFmtId="0" xfId="0" applyAlignment="1" applyFont="1">
      <alignment readingOrder="0" shrinkToFit="0" vertical="center" wrapText="1"/>
    </xf>
    <xf borderId="4" fillId="0" fontId="2" numFmtId="0" xfId="0" applyAlignment="1" applyBorder="1" applyFont="1">
      <alignment shrinkToFit="0" vertical="center" wrapText="1"/>
    </xf>
    <xf borderId="1" fillId="0" fontId="1" numFmtId="0" xfId="0" applyAlignment="1" applyBorder="1" applyFont="1">
      <alignment readingOrder="0" vertical="center"/>
    </xf>
    <xf borderId="2"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3" fillId="33" fontId="1" numFmtId="0" xfId="0" applyAlignment="1" applyBorder="1" applyFont="1">
      <alignment readingOrder="0" vertical="center"/>
    </xf>
    <xf borderId="4" fillId="0" fontId="2" numFmtId="0" xfId="0" applyAlignment="1" applyBorder="1" applyFont="1">
      <alignment readingOrder="0" shrinkToFit="0" vertical="center" wrapText="1"/>
    </xf>
    <xf borderId="4" fillId="33" fontId="2" numFmtId="0" xfId="0" applyAlignment="1" applyBorder="1" applyFont="1">
      <alignment readingOrder="0" shrinkToFit="0" vertical="center" wrapText="1"/>
    </xf>
    <xf borderId="0" fillId="9" fontId="2" numFmtId="0" xfId="0" applyAlignment="1" applyFont="1">
      <alignment readingOrder="0" shrinkToFit="0" vertical="center" wrapText="1"/>
    </xf>
    <xf borderId="4" fillId="4" fontId="2" numFmtId="0" xfId="0" applyAlignment="1" applyBorder="1" applyFont="1">
      <alignment readingOrder="0" shrinkToFit="0" vertical="center" wrapText="1"/>
    </xf>
    <xf borderId="4" fillId="3" fontId="2" numFmtId="0" xfId="0" applyAlignment="1" applyBorder="1" applyFont="1">
      <alignment readingOrder="0" shrinkToFit="0" vertical="center" wrapText="1"/>
    </xf>
    <xf borderId="0" fillId="35" fontId="2" numFmtId="0" xfId="0" applyAlignment="1" applyFill="1" applyFont="1">
      <alignment readingOrder="0" shrinkToFit="0" vertical="center" wrapText="1"/>
    </xf>
    <xf borderId="4" fillId="0" fontId="2" numFmtId="0" xfId="0" applyAlignment="1" applyBorder="1" applyFont="1">
      <alignment vertical="center"/>
    </xf>
    <xf borderId="0" fillId="33" fontId="2" numFmtId="0" xfId="0" applyAlignment="1" applyFont="1">
      <alignment vertical="center"/>
    </xf>
    <xf borderId="4" fillId="9" fontId="2" numFmtId="0" xfId="0" applyAlignment="1" applyBorder="1" applyFont="1">
      <alignment readingOrder="0" shrinkToFit="0" vertical="center" wrapText="1"/>
    </xf>
    <xf borderId="3" fillId="0" fontId="2" numFmtId="0" xfId="0" applyAlignment="1" applyBorder="1" applyFont="1">
      <alignment vertical="center"/>
    </xf>
    <xf borderId="4" fillId="6" fontId="2" numFmtId="0" xfId="0" applyAlignment="1" applyBorder="1" applyFont="1">
      <alignment readingOrder="0" shrinkToFit="0" vertical="center" wrapText="1"/>
    </xf>
    <xf borderId="0" fillId="9" fontId="9" numFmtId="0" xfId="0" applyAlignment="1" applyFont="1">
      <alignment readingOrder="0" shrinkToFit="0" vertical="bottom" wrapText="1"/>
    </xf>
    <xf borderId="0" fillId="9" fontId="2" numFmtId="0" xfId="0" applyAlignment="1" applyFont="1">
      <alignment readingOrder="0"/>
    </xf>
    <xf borderId="4" fillId="30" fontId="2" numFmtId="0" xfId="0" applyAlignment="1" applyBorder="1" applyFont="1">
      <alignment readingOrder="0"/>
    </xf>
    <xf borderId="0" fillId="11" fontId="2" numFmtId="0" xfId="0" applyAlignment="1" applyFont="1">
      <alignment readingOrder="0"/>
    </xf>
    <xf borderId="0" fillId="31" fontId="2" numFmtId="0" xfId="0" applyAlignment="1" applyFont="1">
      <alignment readingOrder="0"/>
    </xf>
    <xf borderId="4" fillId="6" fontId="2" numFmtId="0" xfId="0" applyAlignment="1" applyBorder="1" applyFont="1">
      <alignment readingOrder="0"/>
    </xf>
    <xf borderId="0" fillId="32" fontId="2" numFmtId="0" xfId="0" applyAlignment="1" applyFont="1">
      <alignment readingOrder="0"/>
    </xf>
    <xf borderId="3" fillId="0" fontId="14" numFmtId="0" xfId="0" applyBorder="1" applyFont="1"/>
    <xf borderId="0" fillId="8" fontId="2" numFmtId="0" xfId="0" applyAlignment="1" applyFont="1">
      <alignment readingOrder="0"/>
    </xf>
    <xf borderId="0" fillId="30" fontId="2" numFmtId="0" xfId="0" applyAlignment="1" applyFont="1">
      <alignment readingOrder="0"/>
    </xf>
    <xf borderId="4" fillId="3" fontId="2" numFmtId="0" xfId="0" applyAlignment="1" applyBorder="1" applyFont="1">
      <alignment readingOrder="0"/>
    </xf>
    <xf borderId="0" fillId="6" fontId="2" numFmtId="0" xfId="0" applyAlignment="1" applyFont="1">
      <alignment readingOrder="0"/>
    </xf>
    <xf borderId="4" fillId="31" fontId="2" numFmtId="0" xfId="0" applyAlignment="1" applyBorder="1" applyFont="1">
      <alignment readingOrder="0"/>
    </xf>
    <xf borderId="0" fillId="4" fontId="2" numFmtId="0" xfId="0" applyAlignment="1" applyFont="1">
      <alignment readingOrder="0"/>
    </xf>
    <xf borderId="0" fillId="3" fontId="9" numFmtId="0" xfId="0" applyAlignment="1" applyFont="1">
      <alignment readingOrder="0" shrinkToFit="0" vertical="bottom" wrapText="1"/>
    </xf>
    <xf borderId="2" fillId="24" fontId="4" numFmtId="0" xfId="0" applyAlignment="1" applyBorder="1" applyFont="1">
      <alignment horizontal="center" readingOrder="0" vertical="center"/>
    </xf>
    <xf borderId="2" fillId="25" fontId="4" numFmtId="0" xfId="0" applyAlignment="1" applyBorder="1" applyFont="1">
      <alignment horizontal="center" readingOrder="0" vertical="center"/>
    </xf>
    <xf borderId="6" fillId="9" fontId="12" numFmtId="0" xfId="0" applyAlignment="1" applyBorder="1" applyFont="1">
      <alignment shrinkToFit="0" vertical="bottom" wrapText="1"/>
    </xf>
    <xf borderId="7" fillId="9" fontId="12" numFmtId="0" xfId="0" applyAlignment="1" applyBorder="1" applyFont="1">
      <alignment readingOrder="0" shrinkToFit="0" vertical="bottom" wrapText="1"/>
    </xf>
    <xf borderId="7" fillId="15" fontId="2" numFmtId="0" xfId="0" applyBorder="1" applyFont="1"/>
    <xf borderId="7" fillId="0" fontId="2" numFmtId="0" xfId="0" applyBorder="1" applyFont="1"/>
    <xf borderId="8" fillId="15" fontId="2" numFmtId="0" xfId="0" applyBorder="1" applyFont="1"/>
    <xf borderId="9" fillId="9" fontId="9" numFmtId="0" xfId="0" applyAlignment="1" applyBorder="1" applyFont="1">
      <alignment readingOrder="0" shrinkToFit="0" vertical="bottom" wrapText="1"/>
    </xf>
    <xf borderId="7" fillId="3" fontId="9" numFmtId="0" xfId="0" applyAlignment="1" applyBorder="1" applyFont="1">
      <alignment readingOrder="0" shrinkToFit="0" vertical="bottom" wrapText="1"/>
    </xf>
    <xf borderId="7" fillId="3" fontId="2" numFmtId="0" xfId="0" applyAlignment="1" applyBorder="1" applyFont="1">
      <alignment readingOrder="0"/>
    </xf>
    <xf borderId="7" fillId="0" fontId="12" numFmtId="0" xfId="0" applyAlignment="1" applyBorder="1" applyFont="1">
      <alignment shrinkToFit="0" vertical="bottom" wrapText="1"/>
    </xf>
    <xf borderId="7" fillId="0" fontId="1" numFmtId="0" xfId="0" applyBorder="1" applyFont="1"/>
    <xf borderId="10" fillId="3" fontId="2" numFmtId="0" xfId="0" applyAlignment="1" applyBorder="1" applyFont="1">
      <alignment readingOrder="0"/>
    </xf>
    <xf borderId="11" fillId="9" fontId="9" numFmtId="0" xfId="0" applyAlignment="1" applyBorder="1" applyFont="1">
      <alignment readingOrder="0" shrinkToFit="0" vertical="bottom" wrapText="1"/>
    </xf>
    <xf borderId="10" fillId="0" fontId="9" numFmtId="0" xfId="0" applyAlignment="1" applyBorder="1" applyFont="1">
      <alignment vertical="bottom"/>
    </xf>
    <xf borderId="10" fillId="15" fontId="2" numFmtId="0" xfId="0" applyBorder="1" applyFont="1"/>
    <xf borderId="10" fillId="8" fontId="2" numFmtId="0" xfId="0" applyAlignment="1" applyBorder="1" applyFont="1">
      <alignment readingOrder="0"/>
    </xf>
    <xf borderId="10" fillId="0" fontId="9" numFmtId="0" xfId="0" applyAlignment="1" applyBorder="1" applyFont="1">
      <alignment readingOrder="0" vertical="bottom"/>
    </xf>
    <xf borderId="10" fillId="0" fontId="9" numFmtId="0" xfId="0" applyAlignment="1" applyBorder="1" applyFont="1">
      <alignment vertical="bottom"/>
    </xf>
    <xf borderId="10" fillId="8" fontId="9" numFmtId="0" xfId="0" applyAlignment="1" applyBorder="1" applyFont="1">
      <alignment readingOrder="0" vertical="bottom"/>
    </xf>
    <xf borderId="10" fillId="0" fontId="2" numFmtId="0" xfId="0" applyBorder="1" applyFont="1"/>
    <xf borderId="8" fillId="9" fontId="1" numFmtId="0" xfId="0" applyAlignment="1" applyBorder="1" applyFont="1">
      <alignment readingOrder="0"/>
    </xf>
    <xf borderId="8" fillId="0" fontId="1" numFmtId="0" xfId="0" applyAlignment="1" applyBorder="1" applyFont="1">
      <alignment readingOrder="0"/>
    </xf>
    <xf borderId="8" fillId="0" fontId="2" numFmtId="0" xfId="0" applyBorder="1" applyFont="1"/>
    <xf borderId="8" fillId="9" fontId="12" numFmtId="0" xfId="0" applyAlignment="1" applyBorder="1" applyFont="1">
      <alignment readingOrder="0" shrinkToFit="0" vertical="bottom" wrapText="1"/>
    </xf>
    <xf borderId="7" fillId="4" fontId="2" numFmtId="0" xfId="0" applyAlignment="1" applyBorder="1" applyFont="1">
      <alignment readingOrder="0"/>
    </xf>
    <xf borderId="10" fillId="0" fontId="2" numFmtId="0" xfId="0" applyAlignment="1" applyBorder="1" applyFont="1">
      <alignment readingOrder="0"/>
    </xf>
    <xf borderId="10" fillId="30" fontId="2" numFmtId="0" xfId="0" applyAlignment="1" applyBorder="1" applyFont="1">
      <alignment readingOrder="0"/>
    </xf>
    <xf borderId="10" fillId="30" fontId="2" numFmtId="0" xfId="0" applyAlignment="1" applyBorder="1" applyFont="1">
      <alignment readingOrder="0"/>
    </xf>
    <xf borderId="8" fillId="4" fontId="1" numFmtId="0" xfId="0" applyAlignment="1" applyBorder="1" applyFont="1">
      <alignment readingOrder="0"/>
    </xf>
    <xf borderId="8" fillId="15" fontId="1" numFmtId="0" xfId="0" applyAlignment="1" applyBorder="1" applyFont="1">
      <alignment readingOrder="0"/>
    </xf>
    <xf borderId="7" fillId="30" fontId="2" numFmtId="0" xfId="0" applyAlignment="1" applyBorder="1" applyFont="1">
      <alignment readingOrder="0"/>
    </xf>
    <xf borderId="7" fillId="15" fontId="2" numFmtId="0" xfId="0" applyAlignment="1" applyBorder="1" applyFont="1">
      <alignment readingOrder="0"/>
    </xf>
    <xf borderId="10" fillId="23" fontId="2" numFmtId="0" xfId="0" applyAlignment="1" applyBorder="1" applyFont="1">
      <alignment readingOrder="0"/>
    </xf>
    <xf borderId="10" fillId="23" fontId="2" numFmtId="0" xfId="0" applyAlignment="1" applyBorder="1" applyFont="1">
      <alignment readingOrder="0"/>
    </xf>
    <xf borderId="10" fillId="15" fontId="2" numFmtId="0" xfId="0" applyAlignment="1" applyBorder="1" applyFont="1">
      <alignment readingOrder="0"/>
    </xf>
    <xf borderId="8" fillId="30" fontId="1" numFmtId="0" xfId="0" applyAlignment="1" applyBorder="1" applyFont="1">
      <alignment readingOrder="0"/>
    </xf>
    <xf borderId="8" fillId="30" fontId="1" numFmtId="0" xfId="0" applyAlignment="1" applyBorder="1" applyFont="1">
      <alignment readingOrder="0"/>
    </xf>
    <xf borderId="7" fillId="3" fontId="1" numFmtId="0" xfId="0" applyAlignment="1" applyBorder="1" applyFont="1">
      <alignment readingOrder="0"/>
    </xf>
    <xf borderId="7" fillId="0" fontId="2" numFmtId="0" xfId="0" applyAlignment="1" applyBorder="1" applyFont="1">
      <alignment readingOrder="0"/>
    </xf>
    <xf borderId="7" fillId="3" fontId="1" numFmtId="0" xfId="0" applyAlignment="1" applyBorder="1" applyFont="1">
      <alignment readingOrder="0"/>
    </xf>
    <xf borderId="6" fillId="11" fontId="12" numFmtId="0" xfId="0" applyAlignment="1" applyBorder="1" applyFont="1">
      <alignment shrinkToFit="0" vertical="bottom" wrapText="1"/>
    </xf>
    <xf borderId="8" fillId="23" fontId="1" numFmtId="0" xfId="0" applyAlignment="1" applyBorder="1" applyFont="1">
      <alignment readingOrder="0"/>
    </xf>
    <xf borderId="8" fillId="23" fontId="1" numFmtId="0" xfId="0" applyAlignment="1" applyBorder="1" applyFont="1">
      <alignment readingOrder="0"/>
    </xf>
    <xf borderId="9" fillId="11" fontId="9" numFmtId="0" xfId="0" applyAlignment="1" applyBorder="1" applyFont="1">
      <alignment readingOrder="0" shrinkToFit="0" vertical="bottom" wrapText="1"/>
    </xf>
    <xf borderId="7" fillId="31" fontId="2" numFmtId="0" xfId="0" applyAlignment="1" applyBorder="1" applyFont="1">
      <alignment readingOrder="0"/>
    </xf>
    <xf borderId="7" fillId="31" fontId="2" numFmtId="0" xfId="0" applyAlignment="1" applyBorder="1" applyFont="1">
      <alignment readingOrder="0"/>
    </xf>
    <xf borderId="7" fillId="0" fontId="2" numFmtId="0" xfId="0" applyAlignment="1" applyBorder="1" applyFont="1">
      <alignment readingOrder="0"/>
    </xf>
    <xf borderId="11" fillId="11" fontId="9" numFmtId="0" xfId="0" applyAlignment="1" applyBorder="1" applyFont="1">
      <alignment readingOrder="0" shrinkToFit="0" vertical="bottom" wrapText="1"/>
    </xf>
    <xf borderId="10" fillId="32" fontId="2" numFmtId="0" xfId="0" applyAlignment="1" applyBorder="1" applyFont="1">
      <alignment readingOrder="0"/>
    </xf>
    <xf borderId="10" fillId="32" fontId="2" numFmtId="0" xfId="0" applyAlignment="1" applyBorder="1" applyFont="1">
      <alignment readingOrder="0"/>
    </xf>
    <xf borderId="6" fillId="6" fontId="12" numFmtId="0" xfId="0" applyAlignment="1" applyBorder="1" applyFont="1">
      <alignment shrinkToFit="0" vertical="bottom" wrapText="1"/>
    </xf>
    <xf borderId="8" fillId="11" fontId="1" numFmtId="0" xfId="0" applyAlignment="1" applyBorder="1" applyFont="1">
      <alignment readingOrder="0"/>
    </xf>
    <xf borderId="8" fillId="11" fontId="1" numFmtId="0" xfId="0" applyAlignment="1" applyBorder="1" applyFont="1">
      <alignment readingOrder="0"/>
    </xf>
    <xf borderId="9" fillId="6" fontId="9" numFmtId="0" xfId="0" applyAlignment="1" applyBorder="1" applyFont="1">
      <alignment readingOrder="0" shrinkToFit="0" vertical="bottom" wrapText="1"/>
    </xf>
    <xf borderId="7" fillId="8" fontId="2" numFmtId="0" xfId="0" applyAlignment="1" applyBorder="1" applyFont="1">
      <alignment readingOrder="0"/>
    </xf>
    <xf borderId="7" fillId="8" fontId="2" numFmtId="0" xfId="0" applyAlignment="1" applyBorder="1" applyFont="1">
      <alignment readingOrder="0"/>
    </xf>
    <xf borderId="11" fillId="6" fontId="9" numFmtId="0" xfId="0" applyAlignment="1" applyBorder="1" applyFont="1">
      <alignment readingOrder="0" shrinkToFit="0" vertical="bottom" wrapText="1"/>
    </xf>
    <xf borderId="10" fillId="6" fontId="2" numFmtId="0" xfId="0" applyAlignment="1" applyBorder="1" applyFont="1">
      <alignment readingOrder="0"/>
    </xf>
    <xf borderId="10" fillId="6" fontId="2" numFmtId="0" xfId="0" applyAlignment="1" applyBorder="1" applyFont="1">
      <alignment readingOrder="0"/>
    </xf>
    <xf borderId="9" fillId="6" fontId="12" numFmtId="0" xfId="0" applyAlignment="1" applyBorder="1" applyFont="1">
      <alignment readingOrder="0" shrinkToFit="0" vertical="bottom" wrapText="1"/>
    </xf>
    <xf borderId="7" fillId="0" fontId="1" numFmtId="0" xfId="0" applyAlignment="1" applyBorder="1" applyFont="1">
      <alignment readingOrder="0"/>
    </xf>
    <xf borderId="7" fillId="8" fontId="1" numFmtId="0" xfId="0" applyAlignment="1" applyBorder="1" applyFont="1">
      <alignment readingOrder="0"/>
    </xf>
    <xf borderId="7" fillId="8" fontId="1" numFmtId="0" xfId="0" applyAlignment="1" applyBorder="1" applyFont="1">
      <alignment readingOrder="0"/>
    </xf>
    <xf borderId="7" fillId="0" fontId="1" numFmtId="0" xfId="0" applyAlignment="1" applyBorder="1" applyFont="1">
      <alignment readingOrder="0"/>
    </xf>
    <xf borderId="7" fillId="6" fontId="2" numFmtId="0" xfId="0" applyAlignment="1" applyBorder="1" applyFont="1">
      <alignment readingOrder="0"/>
    </xf>
    <xf borderId="7" fillId="6" fontId="2" numFmtId="0" xfId="0" applyAlignment="1" applyBorder="1" applyFont="1">
      <alignment readingOrder="0"/>
    </xf>
    <xf borderId="7" fillId="23" fontId="2" numFmtId="0" xfId="0" applyAlignment="1" applyBorder="1" applyFont="1">
      <alignment readingOrder="0"/>
    </xf>
    <xf borderId="7" fillId="23" fontId="2" numFmtId="0" xfId="0" applyAlignment="1" applyBorder="1" applyFont="1">
      <alignment readingOrder="0"/>
    </xf>
    <xf borderId="8" fillId="31" fontId="1" numFmtId="0" xfId="0" applyAlignment="1" applyBorder="1" applyFont="1">
      <alignment readingOrder="0"/>
    </xf>
    <xf borderId="8" fillId="31" fontId="1" numFmtId="0" xfId="0" applyAlignment="1" applyBorder="1" applyFont="1">
      <alignment readingOrder="0"/>
    </xf>
    <xf borderId="8" fillId="0" fontId="1" numFmtId="0" xfId="0" applyAlignment="1" applyBorder="1" applyFont="1">
      <alignment readingOrder="0"/>
    </xf>
    <xf borderId="7" fillId="32" fontId="2" numFmtId="0" xfId="0" applyAlignment="1" applyBorder="1" applyFont="1">
      <alignment readingOrder="0"/>
    </xf>
    <xf borderId="10" fillId="11" fontId="2" numFmtId="0" xfId="0" applyAlignment="1" applyBorder="1" applyFont="1">
      <alignment readingOrder="0"/>
    </xf>
    <xf borderId="10" fillId="11" fontId="2" numFmtId="0" xfId="0" applyAlignment="1" applyBorder="1" applyFont="1">
      <alignment readingOrder="0"/>
    </xf>
    <xf borderId="6" fillId="3" fontId="12" numFmtId="0" xfId="0" applyAlignment="1" applyBorder="1" applyFont="1">
      <alignment shrinkToFit="0" vertical="bottom" wrapText="1"/>
    </xf>
    <xf borderId="8" fillId="6" fontId="1" numFmtId="0" xfId="0" applyAlignment="1" applyBorder="1" applyFont="1">
      <alignment readingOrder="0"/>
    </xf>
    <xf borderId="8" fillId="6" fontId="1" numFmtId="0" xfId="0" applyAlignment="1" applyBorder="1" applyFont="1">
      <alignment readingOrder="0"/>
    </xf>
    <xf borderId="9" fillId="3" fontId="9" numFmtId="0" xfId="0" applyAlignment="1" applyBorder="1" applyFont="1">
      <alignment readingOrder="0" shrinkToFit="0" vertical="bottom" wrapText="1"/>
    </xf>
    <xf borderId="11" fillId="3" fontId="9" numFmtId="0" xfId="0" applyAlignment="1" applyBorder="1" applyFont="1">
      <alignment readingOrder="0" shrinkToFit="0" vertical="bottom" wrapText="1"/>
    </xf>
    <xf borderId="10" fillId="3" fontId="2" numFmtId="0" xfId="0" applyAlignment="1" applyBorder="1" applyFont="1">
      <alignment readingOrder="0"/>
    </xf>
    <xf borderId="8" fillId="32" fontId="1" numFmtId="0" xfId="0" applyAlignment="1" applyBorder="1" applyFont="1">
      <alignment readingOrder="0"/>
    </xf>
    <xf borderId="8" fillId="32" fontId="1" numFmtId="0" xfId="0" applyAlignment="1" applyBorder="1" applyFont="1">
      <alignment readingOrder="0"/>
    </xf>
    <xf borderId="7" fillId="4" fontId="2" numFmtId="0" xfId="0" applyAlignment="1" applyBorder="1" applyFont="1">
      <alignment readingOrder="0"/>
    </xf>
    <xf borderId="1" fillId="0" fontId="2" numFmtId="0" xfId="0" applyAlignment="1" applyBorder="1" applyFont="1">
      <alignment horizontal="right"/>
    </xf>
    <xf borderId="2" fillId="3" fontId="1" numFmtId="0" xfId="0" applyAlignment="1" applyBorder="1" applyFont="1">
      <alignment readingOrder="0"/>
    </xf>
    <xf borderId="2" fillId="6" fontId="1" numFmtId="0" xfId="0" applyAlignment="1" applyBorder="1" applyFont="1">
      <alignment readingOrder="0"/>
    </xf>
    <xf borderId="2" fillId="9" fontId="1" numFmtId="0" xfId="0" applyAlignment="1" applyBorder="1" applyFont="1">
      <alignment readingOrder="0"/>
    </xf>
    <xf borderId="2" fillId="11" fontId="1" numFmtId="0" xfId="0" applyAlignment="1" applyBorder="1" applyFont="1">
      <alignment readingOrder="0"/>
    </xf>
    <xf borderId="2" fillId="0" fontId="1" numFmtId="0" xfId="0" applyAlignment="1" applyBorder="1" applyFont="1">
      <alignment horizontal="center" readingOrder="0"/>
    </xf>
    <xf borderId="3" fillId="0" fontId="1" numFmtId="0" xfId="0" applyAlignment="1" applyBorder="1" applyFont="1">
      <alignment horizontal="right" readingOrder="0"/>
    </xf>
    <xf borderId="0" fillId="36" fontId="2" numFmtId="0" xfId="0" applyAlignment="1" applyFill="1" applyFont="1">
      <alignment horizontal="center"/>
    </xf>
    <xf borderId="0" fillId="0" fontId="2" numFmtId="0" xfId="0" applyAlignment="1" applyFont="1">
      <alignment horizontal="center"/>
    </xf>
    <xf borderId="0" fillId="0" fontId="2" numFmtId="0" xfId="0" applyAlignment="1" applyFont="1">
      <alignment horizontal="center" readingOrder="0"/>
    </xf>
    <xf borderId="0" fillId="28" fontId="2" numFmtId="0" xfId="0" applyFont="1"/>
    <xf borderId="12" fillId="0" fontId="1" numFmtId="0" xfId="0" applyAlignment="1" applyBorder="1" applyFont="1">
      <alignment horizontal="right" readingOrder="0"/>
    </xf>
    <xf borderId="13" fillId="36" fontId="2" numFmtId="0" xfId="0" applyBorder="1" applyFont="1"/>
    <xf borderId="13" fillId="36" fontId="2" numFmtId="0" xfId="0" applyAlignment="1" applyBorder="1" applyFont="1">
      <alignment horizontal="center"/>
    </xf>
    <xf borderId="13" fillId="0" fontId="1" numFmtId="0" xfId="0" applyAlignment="1" applyBorder="1" applyFont="1">
      <alignment readingOrder="0"/>
    </xf>
    <xf borderId="13" fillId="0" fontId="2" numFmtId="0" xfId="0" applyBorder="1" applyFont="1"/>
    <xf borderId="3" fillId="0" fontId="2" numFmtId="0" xfId="0" applyAlignment="1" applyBorder="1" applyFont="1">
      <alignment horizontal="right" readingOrder="0"/>
    </xf>
    <xf borderId="0" fillId="0" fontId="2" numFmtId="0" xfId="0" applyFont="1"/>
    <xf borderId="14" fillId="0" fontId="2" numFmtId="0" xfId="0" applyAlignment="1" applyBorder="1" applyFont="1">
      <alignment horizontal="right" readingOrder="0"/>
    </xf>
    <xf borderId="15" fillId="0" fontId="2" numFmtId="0" xfId="0" applyBorder="1" applyFont="1"/>
    <xf borderId="15" fillId="0" fontId="2" numFmtId="0" xfId="0" applyAlignment="1" applyBorder="1" applyFont="1">
      <alignment horizontal="center" readingOrder="0"/>
    </xf>
    <xf borderId="15" fillId="0" fontId="2" numFmtId="0" xfId="0" applyAlignment="1" applyBorder="1" applyFont="1">
      <alignment horizontal="center"/>
    </xf>
    <xf borderId="15" fillId="0" fontId="2" numFmtId="0" xfId="0" applyAlignment="1" applyBorder="1" applyFont="1">
      <alignment readingOrder="0"/>
    </xf>
    <xf borderId="0" fillId="36" fontId="2" numFmtId="0" xfId="0" applyFont="1"/>
    <xf borderId="0" fillId="0" fontId="2" numFmtId="0" xfId="0" applyAlignment="1" applyFont="1">
      <alignment horizontal="right"/>
    </xf>
    <xf borderId="0" fillId="0" fontId="13" numFmtId="0" xfId="0" applyAlignment="1" applyFont="1">
      <alignment horizontal="right" readingOrder="0"/>
    </xf>
    <xf borderId="16" fillId="37" fontId="15" numFmtId="49" xfId="0" applyAlignment="1" applyBorder="1" applyFill="1" applyFont="1" applyNumberFormat="1">
      <alignment horizontal="center" shrinkToFit="0" wrapText="1"/>
    </xf>
    <xf borderId="17" fillId="0" fontId="14" numFmtId="0" xfId="0" applyBorder="1" applyFont="1"/>
    <xf borderId="17" fillId="37" fontId="15" numFmtId="49" xfId="0" applyAlignment="1" applyBorder="1" applyFont="1" applyNumberFormat="1">
      <alignment horizontal="center" shrinkToFit="0" wrapText="1"/>
    </xf>
    <xf borderId="11" fillId="37" fontId="15" numFmtId="49" xfId="0" applyAlignment="1" applyBorder="1" applyFont="1" applyNumberFormat="1">
      <alignment horizontal="center" shrinkToFit="0" wrapText="1"/>
    </xf>
    <xf borderId="18" fillId="0" fontId="14" numFmtId="0" xfId="0" applyBorder="1" applyFont="1"/>
    <xf borderId="18" fillId="37" fontId="15" numFmtId="49" xfId="0" applyAlignment="1" applyBorder="1" applyFont="1" applyNumberFormat="1">
      <alignment horizontal="center" shrinkToFit="0" wrapText="1"/>
    </xf>
    <xf borderId="7" fillId="0" fontId="12" numFmtId="49" xfId="0" applyAlignment="1" applyBorder="1" applyFont="1" applyNumberFormat="1">
      <alignment horizontal="center" shrinkToFit="0" vertical="center" wrapText="1"/>
    </xf>
    <xf borderId="18" fillId="0" fontId="9" numFmtId="49" xfId="0" applyAlignment="1" applyBorder="1" applyFont="1" applyNumberFormat="1">
      <alignment horizontal="center" shrinkToFit="0" wrapText="1"/>
    </xf>
    <xf quotePrefix="1" borderId="18" fillId="9" fontId="16" numFmtId="49" xfId="0" applyAlignment="1" applyBorder="1" applyFont="1" applyNumberFormat="1">
      <alignment horizontal="center" shrinkToFit="0" wrapText="1"/>
    </xf>
    <xf borderId="18" fillId="23" fontId="17" numFmtId="49" xfId="0" applyAlignment="1" applyBorder="1" applyFont="1" applyNumberFormat="1">
      <alignment horizontal="center" shrinkToFit="0" wrapText="1"/>
    </xf>
    <xf borderId="10" fillId="0" fontId="14" numFmtId="0" xfId="0" applyBorder="1" applyFont="1"/>
    <xf borderId="18" fillId="9" fontId="16" numFmtId="49" xfId="0" applyAlignment="1" applyBorder="1" applyFont="1" applyNumberFormat="1">
      <alignment horizontal="center" shrinkToFit="0" wrapText="1"/>
    </xf>
    <xf quotePrefix="1" borderId="18" fillId="23" fontId="17" numFmtId="49" xfId="0" applyAlignment="1" applyBorder="1" applyFont="1" applyNumberFormat="1">
      <alignment horizontal="center" shrinkToFit="0" wrapText="1"/>
    </xf>
    <xf borderId="10" fillId="0" fontId="12" numFmtId="49" xfId="0" applyAlignment="1" applyBorder="1" applyFont="1" applyNumberFormat="1">
      <alignment horizontal="center" shrinkToFit="0" vertical="center" wrapText="1"/>
    </xf>
    <xf quotePrefix="1" borderId="18" fillId="9" fontId="16" numFmtId="49" xfId="0" applyAlignment="1" applyBorder="1" applyFont="1" applyNumberFormat="1">
      <alignment horizontal="center" readingOrder="0" shrinkToFit="0" wrapText="1"/>
    </xf>
    <xf borderId="7" fillId="0" fontId="14" numFmtId="0" xfId="0" applyBorder="1" applyFont="1"/>
    <xf quotePrefix="1" borderId="18" fillId="9" fontId="18" numFmtId="49" xfId="0" applyAlignment="1" applyBorder="1" applyFont="1" applyNumberFormat="1">
      <alignment horizontal="center" shrinkToFit="0" wrapText="1"/>
    </xf>
    <xf quotePrefix="1" borderId="18" fillId="23" fontId="17" numFmtId="49" xfId="0" applyAlignment="1" applyBorder="1" applyFont="1" applyNumberFormat="1">
      <alignment horizontal="center" readingOrder="0" shrinkToFit="0" wrapText="1"/>
    </xf>
    <xf borderId="18" fillId="9" fontId="16" numFmtId="49" xfId="0" applyAlignment="1" applyBorder="1" applyFont="1" applyNumberFormat="1">
      <alignment horizontal="center" readingOrder="0" shrinkToFit="0" wrapText="1"/>
    </xf>
    <xf borderId="18" fillId="0" fontId="9" numFmtId="49" xfId="0" applyBorder="1" applyFont="1" applyNumberFormat="1"/>
    <xf borderId="0" fillId="0" fontId="13" numFmtId="0" xfId="0" applyAlignment="1" applyFont="1">
      <alignment readingOrder="0"/>
    </xf>
    <xf borderId="0" fillId="0" fontId="2" numFmtId="2" xfId="0" applyFont="1" applyNumberFormat="1"/>
    <xf borderId="0" fillId="0" fontId="2" numFmtId="1" xfId="0" applyFont="1" applyNumberFormat="1"/>
    <xf borderId="0" fillId="38" fontId="19" numFmtId="0" xfId="0" applyFill="1" applyFont="1"/>
    <xf borderId="0" fillId="38" fontId="19" numFmtId="0" xfId="0" applyAlignment="1" applyFont="1">
      <alignment readingOrder="0"/>
    </xf>
    <xf borderId="0" fillId="38" fontId="20" numFmtId="0" xfId="0" applyAlignment="1" applyFont="1">
      <alignment readingOrder="0"/>
    </xf>
    <xf borderId="0" fillId="39" fontId="21" numFmtId="0" xfId="0" applyAlignment="1" applyFill="1" applyFont="1">
      <alignment readingOrder="0"/>
    </xf>
    <xf borderId="0" fillId="39" fontId="19" numFmtId="0" xfId="0" applyFont="1"/>
    <xf borderId="0" fillId="38" fontId="19" numFmtId="10" xfId="0" applyFont="1" applyNumberFormat="1"/>
    <xf borderId="0" fillId="38" fontId="21" numFmtId="0" xfId="0" applyAlignment="1" applyFont="1">
      <alignment readingOrder="0"/>
    </xf>
    <xf borderId="19" fillId="15" fontId="19" numFmtId="0" xfId="0" applyAlignment="1" applyBorder="1" applyFont="1">
      <alignment horizontal="center" readingOrder="0"/>
    </xf>
    <xf borderId="0" fillId="40" fontId="21" numFmtId="0" xfId="0" applyAlignment="1" applyFill="1" applyFont="1">
      <alignment readingOrder="0"/>
    </xf>
    <xf borderId="0" fillId="40" fontId="19" numFmtId="0" xfId="0" applyFont="1"/>
    <xf borderId="0" fillId="41" fontId="19" numFmtId="0" xfId="0" applyAlignment="1" applyFill="1" applyFont="1">
      <alignment readingOrder="0"/>
    </xf>
    <xf borderId="0" fillId="42" fontId="19" numFmtId="0" xfId="0" applyAlignment="1" applyFill="1" applyFont="1">
      <alignment readingOrder="0"/>
    </xf>
    <xf borderId="0" fillId="43" fontId="19" numFmtId="0" xfId="0" applyAlignment="1" applyFill="1" applyFont="1">
      <alignment readingOrder="0"/>
    </xf>
    <xf borderId="0" fillId="44" fontId="21" numFmtId="0" xfId="0" applyAlignment="1" applyFill="1" applyFont="1">
      <alignment readingOrder="0"/>
    </xf>
    <xf borderId="0" fillId="44" fontId="19" numFmtId="0" xfId="0" applyFont="1"/>
    <xf borderId="0" fillId="45" fontId="21" numFmtId="0" xfId="0" applyAlignment="1" applyFill="1" applyFont="1">
      <alignment readingOrder="0"/>
    </xf>
    <xf borderId="0" fillId="45" fontId="19" numFmtId="0" xfId="0" applyAlignment="1" applyFont="1">
      <alignment readingOrder="0"/>
    </xf>
    <xf borderId="0" fillId="45" fontId="19" numFmtId="0" xfId="0" applyFont="1"/>
    <xf borderId="0" fillId="46" fontId="19" numFmtId="0" xfId="0" applyAlignment="1" applyFill="1" applyFont="1">
      <alignment readingOrder="0"/>
    </xf>
    <xf borderId="0" fillId="40" fontId="19" numFmtId="0" xfId="0" applyAlignment="1" applyFont="1">
      <alignment readingOrder="0"/>
    </xf>
    <xf borderId="0" fillId="19" fontId="21" numFmtId="0" xfId="0" applyAlignment="1" applyFont="1">
      <alignment readingOrder="0"/>
    </xf>
    <xf borderId="0" fillId="19" fontId="19" numFmtId="0" xfId="0" applyFont="1"/>
    <xf borderId="0" fillId="47" fontId="19" numFmtId="0" xfId="0" applyAlignment="1" applyFill="1" applyFont="1">
      <alignment readingOrder="0"/>
    </xf>
    <xf borderId="0" fillId="44" fontId="19" numFmtId="0" xfId="0" applyAlignment="1" applyFont="1">
      <alignment readingOrder="0"/>
    </xf>
    <xf borderId="0" fillId="48" fontId="21" numFmtId="0" xfId="0" applyAlignment="1" applyFill="1" applyFont="1">
      <alignment readingOrder="0"/>
    </xf>
    <xf borderId="0" fillId="48" fontId="19" numFmtId="0" xfId="0" applyFont="1"/>
    <xf borderId="0" fillId="48" fontId="19" numFmtId="10" xfId="0" applyFont="1" applyNumberFormat="1"/>
    <xf borderId="0" fillId="48" fontId="19" numFmtId="0" xfId="0" applyAlignment="1" applyFont="1">
      <alignment readingOrder="0"/>
    </xf>
    <xf borderId="0" fillId="19" fontId="19" numFmtId="0" xfId="0" applyAlignment="1" applyFont="1">
      <alignment readingOrder="0"/>
    </xf>
    <xf borderId="0" fillId="49" fontId="22" numFmtId="0" xfId="0" applyAlignment="1" applyFill="1" applyFont="1">
      <alignment readingOrder="0"/>
    </xf>
    <xf borderId="0" fillId="49" fontId="19" numFmtId="0" xfId="0" applyFont="1"/>
    <xf borderId="0" fillId="50" fontId="19" numFmtId="0" xfId="0" applyAlignment="1" applyFill="1" applyFont="1">
      <alignment readingOrder="0"/>
    </xf>
    <xf borderId="0" fillId="38" fontId="21" numFmtId="0" xfId="0" applyFont="1"/>
    <xf borderId="0" fillId="42" fontId="21" numFmtId="0" xfId="0" applyAlignment="1" applyFont="1">
      <alignment readingOrder="0"/>
    </xf>
    <xf borderId="0" fillId="42" fontId="19" numFmtId="0" xfId="0" applyFont="1"/>
    <xf borderId="0" fillId="50" fontId="21" numFmtId="0" xfId="0" applyAlignment="1" applyFont="1">
      <alignment readingOrder="0"/>
    </xf>
    <xf borderId="0" fillId="50" fontId="19" numFmtId="0" xfId="0" applyFont="1"/>
    <xf borderId="0" fillId="51" fontId="19" numFmtId="0" xfId="0" applyAlignment="1" applyFill="1" applyFont="1">
      <alignment readingOrder="0"/>
    </xf>
    <xf borderId="0" fillId="49" fontId="19" numFmtId="0" xfId="0" applyAlignment="1" applyFont="1">
      <alignment readingOrder="0"/>
    </xf>
    <xf borderId="0" fillId="41" fontId="21" numFmtId="0" xfId="0" applyAlignment="1" applyFont="1">
      <alignment readingOrder="0"/>
    </xf>
    <xf borderId="0" fillId="41" fontId="19" numFmtId="0" xfId="0" applyFont="1"/>
    <xf borderId="0" fillId="43" fontId="22" numFmtId="0" xfId="0" applyAlignment="1" applyFont="1">
      <alignment readingOrder="0"/>
    </xf>
    <xf borderId="0" fillId="43" fontId="19" numFmtId="0" xfId="0" applyFont="1"/>
    <xf borderId="0" fillId="52" fontId="19" numFmtId="0" xfId="0" applyAlignment="1" applyFill="1" applyFont="1">
      <alignment readingOrder="0"/>
    </xf>
    <xf borderId="0" fillId="46" fontId="21" numFmtId="0" xfId="0" applyAlignment="1" applyFont="1">
      <alignment readingOrder="0"/>
    </xf>
    <xf borderId="0" fillId="46" fontId="19" numFmtId="0" xfId="0" applyFont="1"/>
    <xf borderId="0" fillId="51" fontId="21" numFmtId="0" xfId="0" applyAlignment="1" applyFont="1">
      <alignment readingOrder="0"/>
    </xf>
    <xf borderId="0" fillId="51" fontId="19" numFmtId="0" xfId="0" applyFont="1"/>
    <xf borderId="0" fillId="52" fontId="21" numFmtId="0" xfId="0" applyAlignment="1" applyFont="1">
      <alignment readingOrder="0"/>
    </xf>
    <xf borderId="0" fillId="52" fontId="19" numFmtId="0" xfId="0" applyFont="1"/>
    <xf borderId="0" fillId="0" fontId="12" numFmtId="0" xfId="0" applyAlignment="1" applyFont="1">
      <alignment vertical="bottom"/>
    </xf>
    <xf borderId="0" fillId="23" fontId="9" numFmtId="0" xfId="0" applyAlignment="1" applyFont="1">
      <alignment readingOrder="0" vertical="bottom"/>
    </xf>
    <xf borderId="0" fillId="9" fontId="9" numFmtId="0" xfId="0" applyAlignment="1" applyFont="1">
      <alignment readingOrder="0" vertical="bottom"/>
    </xf>
    <xf borderId="0" fillId="29" fontId="9" numFmtId="0" xfId="0" applyAlignment="1" applyFont="1">
      <alignment vertical="bottom"/>
    </xf>
    <xf borderId="0" fillId="0" fontId="2" numFmtId="0" xfId="0" applyAlignment="1" applyFont="1">
      <alignment readingOrder="0" shrinkToFit="0" vertical="center" wrapText="0"/>
    </xf>
    <xf borderId="0" fillId="0" fontId="2" numFmtId="0" xfId="0" applyAlignment="1" applyFont="1">
      <alignment horizontal="center"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23" numFmtId="0" xfId="0" applyAlignment="1" applyFont="1">
      <alignment readingOrder="0" shrinkToFit="0" vertical="center" wrapText="1"/>
    </xf>
    <xf borderId="0" fillId="0" fontId="2" numFmtId="0" xfId="0" applyAlignment="1" applyFont="1">
      <alignment shrinkToFit="0" vertical="center" wrapText="0"/>
    </xf>
    <xf borderId="0" fillId="0" fontId="1" numFmtId="0" xfId="0" applyAlignment="1" applyFont="1">
      <alignment readingOrder="0" shrinkToFit="0" vertical="center" wrapText="1"/>
    </xf>
    <xf borderId="0" fillId="3" fontId="2" numFmtId="0" xfId="0" applyAlignment="1" applyFont="1">
      <alignment horizontal="center" readingOrder="0" shrinkToFit="0" vertical="center" wrapText="1"/>
    </xf>
    <xf borderId="0" fillId="11" fontId="2" numFmtId="0" xfId="0" applyAlignment="1" applyFont="1">
      <alignment horizontal="center" readingOrder="0" shrinkToFit="0" vertical="center" wrapText="1"/>
    </xf>
    <xf borderId="0" fillId="23" fontId="2" numFmtId="0" xfId="0" applyAlignment="1" applyFont="1">
      <alignment horizontal="center" readingOrder="0" shrinkToFit="0" vertical="center" wrapText="1"/>
    </xf>
    <xf borderId="0" fillId="31" fontId="2" numFmtId="0" xfId="0" applyAlignment="1" applyFont="1">
      <alignment readingOrder="0" shrinkToFit="0" vertical="center" wrapText="1"/>
    </xf>
    <xf borderId="0" fillId="31" fontId="2" numFmtId="0" xfId="0" applyAlignment="1" applyFont="1">
      <alignment shrinkToFit="0" vertical="center" wrapText="1"/>
    </xf>
    <xf borderId="0" fillId="31" fontId="2" numFmtId="0" xfId="0" applyAlignment="1" applyFont="1">
      <alignment horizontal="center" readingOrder="0" shrinkToFit="0" vertical="center" wrapText="1"/>
    </xf>
    <xf borderId="0" fillId="31" fontId="2" numFmtId="0" xfId="0" applyAlignment="1" applyFont="1">
      <alignment vertical="center"/>
    </xf>
    <xf borderId="0" fillId="9" fontId="2" numFmtId="0" xfId="0" applyAlignment="1" applyFont="1">
      <alignment horizontal="center" readingOrder="0" shrinkToFit="0" vertical="center" wrapText="1"/>
    </xf>
    <xf borderId="0" fillId="9" fontId="2" numFmtId="0" xfId="0" applyAlignment="1" applyFont="1">
      <alignment vertical="center"/>
    </xf>
    <xf borderId="0" fillId="21" fontId="2" numFmtId="0" xfId="0" applyAlignment="1" applyFont="1">
      <alignment horizontal="center" readingOrder="0" shrinkToFit="0" vertical="center" wrapText="1"/>
    </xf>
    <xf borderId="0" fillId="3" fontId="23" numFmtId="0" xfId="0" applyAlignment="1" applyFont="1">
      <alignment readingOrder="0" shrinkToFit="0" vertical="center" wrapText="1"/>
    </xf>
    <xf borderId="0" fillId="3" fontId="2" numFmtId="0" xfId="0" applyAlignment="1" applyFont="1">
      <alignment horizontal="center" shrinkToFit="0" vertical="center" wrapText="1"/>
    </xf>
    <xf borderId="0" fillId="3" fontId="2" numFmtId="0" xfId="0" applyAlignment="1" applyFont="1">
      <alignment vertical="center"/>
    </xf>
    <xf borderId="0" fillId="3" fontId="1" numFmtId="0" xfId="0" applyAlignment="1" applyFont="1">
      <alignment readingOrder="0" shrinkToFit="0" vertical="center" wrapText="1"/>
    </xf>
    <xf borderId="0" fillId="3" fontId="1" numFmtId="0" xfId="0" applyAlignment="1" applyFont="1">
      <alignment horizontal="center" readingOrder="0" shrinkToFit="0" vertical="center" wrapText="1"/>
    </xf>
    <xf borderId="0" fillId="3" fontId="1" numFmtId="0" xfId="0" applyAlignment="1" applyFont="1">
      <alignment readingOrder="0" vertical="center"/>
    </xf>
    <xf borderId="0" fillId="3" fontId="24" numFmtId="0" xfId="0" applyAlignment="1" applyFont="1">
      <alignment readingOrder="0" shrinkToFit="0" vertical="center" wrapText="1"/>
    </xf>
    <xf borderId="0" fillId="3" fontId="9" numFmtId="0" xfId="0" applyAlignment="1" applyFont="1">
      <alignment shrinkToFit="0" vertical="center" wrapText="1"/>
    </xf>
    <xf borderId="0" fillId="3" fontId="9" numFmtId="0" xfId="0" applyAlignment="1" applyFont="1">
      <alignment horizontal="center" shrinkToFit="0" vertical="center" wrapText="1"/>
    </xf>
    <xf borderId="0" fillId="9" fontId="23" numFmtId="0" xfId="0" applyAlignment="1" applyFont="1">
      <alignment readingOrder="0" shrinkToFit="0" vertical="center" wrapText="1"/>
    </xf>
    <xf borderId="0" fillId="9" fontId="2" numFmtId="0" xfId="0" applyAlignment="1" applyFont="1">
      <alignment horizontal="center" shrinkToFit="0" vertical="center" wrapText="1"/>
    </xf>
    <xf borderId="0" fillId="9" fontId="1" numFmtId="0" xfId="0" applyAlignment="1" applyFont="1">
      <alignment readingOrder="0" shrinkToFit="0" vertical="center" wrapText="1"/>
    </xf>
    <xf borderId="0" fillId="9" fontId="1" numFmtId="0" xfId="0" applyAlignment="1" applyFont="1">
      <alignment horizontal="center" readingOrder="0" shrinkToFit="0" vertical="center" wrapText="1"/>
    </xf>
    <xf borderId="0" fillId="9" fontId="1" numFmtId="0" xfId="0" applyAlignment="1" applyFont="1">
      <alignment readingOrder="0" vertical="center"/>
    </xf>
    <xf borderId="0" fillId="9" fontId="24" numFmtId="0" xfId="0" applyAlignment="1" applyFont="1">
      <alignment readingOrder="0" shrinkToFit="0" vertical="center" wrapText="1"/>
    </xf>
    <xf borderId="0" fillId="9" fontId="25" numFmtId="0" xfId="0" applyAlignment="1" applyFont="1">
      <alignment horizontal="center" readingOrder="0" shrinkToFit="0" vertical="center" wrapText="1"/>
    </xf>
    <xf borderId="0" fillId="9" fontId="26" numFmtId="0" xfId="0" applyAlignment="1" applyFont="1">
      <alignment readingOrder="0" shrinkToFit="0" vertical="center" wrapText="1"/>
    </xf>
    <xf borderId="0" fillId="6" fontId="23" numFmtId="0" xfId="0" applyAlignment="1" applyFont="1">
      <alignment readingOrder="0" shrinkToFit="0" vertical="center" wrapText="1"/>
    </xf>
    <xf borderId="0" fillId="6" fontId="2" numFmtId="0" xfId="0" applyAlignment="1" applyFont="1">
      <alignment horizontal="center" shrinkToFit="0" vertical="center" wrapText="1"/>
    </xf>
    <xf borderId="0" fillId="6" fontId="2" numFmtId="0" xfId="0" applyAlignment="1" applyFont="1">
      <alignment vertical="center"/>
    </xf>
    <xf borderId="0" fillId="6" fontId="1" numFmtId="0" xfId="0" applyAlignment="1" applyFont="1">
      <alignment readingOrder="0" shrinkToFit="0" vertical="center" wrapText="1"/>
    </xf>
    <xf borderId="0" fillId="6" fontId="1" numFmtId="0" xfId="0" applyAlignment="1" applyFont="1">
      <alignment horizontal="center" readingOrder="0" shrinkToFit="0" vertical="center" wrapText="1"/>
    </xf>
    <xf borderId="0" fillId="6" fontId="1" numFmtId="0" xfId="0" applyAlignment="1" applyFont="1">
      <alignment readingOrder="0" vertical="center"/>
    </xf>
    <xf borderId="0" fillId="6" fontId="2" numFmtId="0" xfId="0" applyAlignment="1" applyFont="1">
      <alignment horizontal="center" readingOrder="0" shrinkToFit="0" vertical="center" wrapText="1"/>
    </xf>
    <xf borderId="0" fillId="11" fontId="23" numFmtId="0" xfId="0" applyAlignment="1" applyFont="1">
      <alignment readingOrder="0" shrinkToFit="0" vertical="center" wrapText="1"/>
    </xf>
    <xf borderId="0" fillId="11" fontId="2" numFmtId="0" xfId="0" applyAlignment="1" applyFont="1">
      <alignment horizontal="center" shrinkToFit="0" vertical="center" wrapText="1"/>
    </xf>
    <xf borderId="0" fillId="11" fontId="2" numFmtId="0" xfId="0" applyAlignment="1" applyFont="1">
      <alignment vertical="center"/>
    </xf>
    <xf borderId="0" fillId="11" fontId="1" numFmtId="0" xfId="0" applyAlignment="1" applyFont="1">
      <alignment readingOrder="0" shrinkToFit="0" vertical="center" wrapText="1"/>
    </xf>
    <xf borderId="0" fillId="11" fontId="1" numFmtId="0" xfId="0" applyAlignment="1" applyFont="1">
      <alignment horizontal="center" readingOrder="0" shrinkToFit="0" vertical="center" wrapText="1"/>
    </xf>
    <xf borderId="0" fillId="11" fontId="1" numFmtId="0" xfId="0" applyAlignment="1" applyFont="1">
      <alignment readingOrder="0" vertical="center"/>
    </xf>
    <xf borderId="0" fillId="11" fontId="26" numFmtId="0" xfId="0" applyAlignment="1" applyFont="1">
      <alignment readingOrder="0" shrinkToFit="0" vertical="center" wrapText="1"/>
    </xf>
    <xf borderId="0" fillId="11" fontId="24" numFmtId="0" xfId="0" applyAlignment="1" applyFont="1">
      <alignment readingOrder="0" shrinkToFit="0" vertical="center" wrapText="1"/>
    </xf>
    <xf borderId="0" fillId="0" fontId="12" numFmtId="0" xfId="0" applyAlignment="1" applyFont="1">
      <alignment shrinkToFit="0" vertical="bottom" wrapText="1"/>
    </xf>
    <xf borderId="0" fillId="0" fontId="9" numFmtId="0" xfId="0" applyAlignment="1" applyFont="1">
      <alignment shrinkToFit="0" vertical="bottom" wrapText="1"/>
    </xf>
    <xf borderId="0" fillId="23" fontId="9" numFmtId="0" xfId="0" applyAlignment="1" applyFont="1">
      <alignment shrinkToFit="0" vertical="bottom" wrapText="1"/>
    </xf>
    <xf borderId="0" fillId="9" fontId="9" numFmtId="0" xfId="0" applyAlignment="1" applyFont="1">
      <alignment shrinkToFit="0" vertical="bottom" wrapText="1"/>
    </xf>
    <xf borderId="0" fillId="11" fontId="9" numFmtId="0" xfId="0" applyAlignment="1" applyFont="1">
      <alignment shrinkToFit="0" vertical="bottom" wrapText="1"/>
    </xf>
    <xf borderId="0" fillId="31" fontId="9" numFmtId="0" xfId="0" applyAlignment="1" applyFont="1">
      <alignment shrinkToFit="0" vertical="bottom" wrapText="1"/>
    </xf>
    <xf borderId="0" fillId="3" fontId="9" numFmtId="0" xfId="0" applyAlignment="1" applyFont="1">
      <alignment shrinkToFit="0" vertical="bottom" wrapText="1"/>
    </xf>
    <xf borderId="0" fillId="6" fontId="9" numFmtId="0" xfId="0" applyAlignment="1" applyFont="1">
      <alignment shrinkToFit="0" vertical="bottom" wrapText="1"/>
    </xf>
    <xf borderId="0" fillId="35" fontId="9" numFmtId="0" xfId="0" applyAlignment="1" applyFont="1">
      <alignment shrinkToFit="0" vertical="bottom" wrapText="1"/>
    </xf>
    <xf borderId="0" fillId="0" fontId="27" numFmtId="0" xfId="0" applyAlignment="1" applyFont="1">
      <alignment horizontal="center" vertical="center"/>
    </xf>
    <xf borderId="0" fillId="0" fontId="28" numFmtId="0" xfId="0" applyAlignment="1" applyFont="1">
      <alignment horizontal="center" readingOrder="0" vertical="center"/>
    </xf>
    <xf borderId="0" fillId="0" fontId="29" numFmtId="0" xfId="0" applyAlignment="1" applyFont="1">
      <alignment readingOrder="0" vertical="center"/>
    </xf>
    <xf borderId="0" fillId="0" fontId="28" numFmtId="0" xfId="0" applyAlignment="1" applyFont="1">
      <alignment horizontal="center" readingOrder="0" shrinkToFit="0" vertical="center" wrapText="1"/>
    </xf>
    <xf borderId="0" fillId="0" fontId="28" numFmtId="0" xfId="0" applyAlignment="1" applyFont="1">
      <alignment horizontal="center" shrinkToFit="0" vertical="center" wrapText="1"/>
    </xf>
    <xf borderId="0" fillId="0" fontId="1" numFmtId="0" xfId="0" applyAlignment="1" applyFont="1">
      <alignment horizontal="center" readingOrder="0" vertical="center"/>
    </xf>
    <xf borderId="0" fillId="53" fontId="28" numFmtId="0" xfId="0" applyAlignment="1" applyFill="1" applyFont="1">
      <alignment horizontal="center" readingOrder="0" shrinkToFit="0" vertical="center" wrapText="1"/>
    </xf>
    <xf borderId="0" fillId="53" fontId="27"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17" fontId="27" numFmtId="0" xfId="0" applyAlignment="1" applyFont="1">
      <alignment readingOrder="0" shrinkToFit="0" vertical="center" wrapText="1"/>
    </xf>
    <xf borderId="0" fillId="53" fontId="27" numFmtId="0" xfId="0" applyAlignment="1" applyFont="1">
      <alignment readingOrder="0" shrinkToFit="0" vertical="center" wrapText="1"/>
    </xf>
    <xf borderId="0" fillId="53" fontId="2" numFmtId="0" xfId="0" applyAlignment="1" applyFont="1">
      <alignment vertical="center"/>
    </xf>
    <xf borderId="0" fillId="23" fontId="27" numFmtId="0" xfId="0" applyAlignment="1" applyFont="1">
      <alignment horizontal="center" readingOrder="0" shrinkToFit="0" vertical="center" wrapText="1"/>
    </xf>
    <xf borderId="0" fillId="13" fontId="27" numFmtId="0" xfId="0" applyAlignment="1" applyFont="1">
      <alignment readingOrder="0" shrinkToFit="0" vertical="center" wrapText="1"/>
    </xf>
    <xf borderId="0" fillId="11" fontId="30" numFmtId="0" xfId="0" applyAlignment="1" applyFont="1">
      <alignment horizontal="center" readingOrder="0" shrinkToFit="0" vertical="center" wrapText="1"/>
    </xf>
    <xf borderId="0" fillId="19" fontId="27" numFmtId="0" xfId="0" applyAlignment="1" applyFont="1">
      <alignment readingOrder="0" shrinkToFit="0" vertical="center" wrapText="1"/>
    </xf>
    <xf borderId="0" fillId="0" fontId="9" numFmtId="0" xfId="0" applyAlignment="1" applyFont="1">
      <alignment horizontal="center" vertical="center"/>
    </xf>
    <xf borderId="0" fillId="13" fontId="9" numFmtId="0" xfId="0" applyAlignment="1" applyFont="1">
      <alignment horizontal="left" readingOrder="0" vertical="center"/>
    </xf>
    <xf borderId="0" fillId="0" fontId="9" numFmtId="0" xfId="0" applyAlignment="1" applyFont="1">
      <alignment vertical="center"/>
    </xf>
    <xf borderId="0" fillId="15" fontId="9" numFmtId="0" xfId="0" applyAlignment="1" applyFont="1">
      <alignment horizontal="left" readingOrder="0" vertical="center"/>
    </xf>
    <xf borderId="0" fillId="15" fontId="27" numFmtId="0" xfId="0" applyAlignment="1" applyFont="1">
      <alignment readingOrder="0" shrinkToFit="0" vertical="center" wrapText="1"/>
    </xf>
    <xf borderId="0" fillId="17" fontId="9" numFmtId="0" xfId="0" applyAlignment="1" applyFont="1">
      <alignment horizontal="left" readingOrder="0" shrinkToFit="0" vertical="center" wrapText="1"/>
    </xf>
    <xf borderId="0" fillId="19" fontId="9" numFmtId="0" xfId="0" applyAlignment="1" applyFont="1">
      <alignment horizontal="left" readingOrder="0" vertical="center"/>
    </xf>
    <xf borderId="0" fillId="0" fontId="9" numFmtId="0" xfId="0" applyAlignment="1" applyFont="1">
      <alignment horizontal="left" readingOrder="0" vertical="center"/>
    </xf>
    <xf borderId="0" fillId="4" fontId="9" numFmtId="0" xfId="0" applyAlignment="1" applyFont="1">
      <alignment horizontal="left" readingOrder="0" vertical="center"/>
    </xf>
    <xf borderId="0" fillId="0" fontId="9" numFmtId="0" xfId="0" applyAlignment="1" applyFont="1">
      <alignment readingOrder="0" shrinkToFit="0" vertical="center" wrapText="1"/>
    </xf>
    <xf borderId="0" fillId="33" fontId="9" numFmtId="0" xfId="0" applyAlignment="1" applyFont="1">
      <alignment horizontal="left" readingOrder="0" shrinkToFit="0" vertical="center" wrapText="1"/>
    </xf>
    <xf borderId="0" fillId="33" fontId="27" numFmtId="0" xfId="0" applyAlignment="1" applyFont="1">
      <alignment readingOrder="0" shrinkToFit="0" vertical="center" wrapText="1"/>
    </xf>
    <xf borderId="0" fillId="0" fontId="31" numFmtId="0" xfId="0" applyAlignment="1" applyFont="1">
      <alignment horizontal="left" readingOrder="0" vertical="center"/>
    </xf>
    <xf borderId="0" fillId="0" fontId="2" numFmtId="0" xfId="0" applyAlignment="1" applyFont="1">
      <alignment horizontal="center" vertical="center"/>
    </xf>
    <xf borderId="0" fillId="33" fontId="9" numFmtId="0" xfId="0" applyAlignment="1" applyFont="1">
      <alignment horizontal="left" readingOrder="0" vertical="center"/>
    </xf>
    <xf borderId="0" fillId="0" fontId="9" numFmtId="0" xfId="0" applyAlignment="1" applyFont="1">
      <alignment readingOrder="0" vertical="center"/>
    </xf>
    <xf borderId="0" fillId="0" fontId="9" numFmtId="0" xfId="0" applyFont="1"/>
    <xf borderId="0" fillId="0" fontId="12" numFmtId="0" xfId="0" applyAlignment="1" applyFont="1">
      <alignment horizontal="center" readingOrder="0"/>
    </xf>
    <xf borderId="0" fillId="0" fontId="32" numFmtId="0" xfId="0" applyAlignment="1" applyFont="1">
      <alignment shrinkToFit="0" wrapText="0"/>
    </xf>
    <xf borderId="0" fillId="0" fontId="12" numFmtId="0" xfId="0" applyAlignment="1" applyFont="1">
      <alignment horizontal="right" shrinkToFit="0" wrapText="1"/>
    </xf>
    <xf borderId="0" fillId="0" fontId="12" numFmtId="0" xfId="0" applyAlignment="1" applyFont="1">
      <alignment horizontal="center" shrinkToFit="0" wrapText="1"/>
    </xf>
    <xf borderId="0" fillId="0" fontId="12" numFmtId="0" xfId="0" applyAlignment="1" applyFont="1">
      <alignment horizontal="center" shrinkToFit="0" wrapText="1"/>
    </xf>
    <xf borderId="0" fillId="0" fontId="12" numFmtId="0" xfId="0" applyAlignment="1" applyFont="1">
      <alignment horizontal="right" shrinkToFit="0" vertical="center" wrapText="1"/>
    </xf>
    <xf borderId="0" fillId="11" fontId="9" numFmtId="0" xfId="0" applyAlignment="1" applyFont="1">
      <alignment horizontal="center" readingOrder="0" shrinkToFit="0" vertical="center" wrapText="1"/>
    </xf>
    <xf quotePrefix="1" borderId="0" fillId="11" fontId="9" numFmtId="0" xfId="0" applyAlignment="1" applyFont="1">
      <alignment horizontal="center" shrinkToFit="0" vertical="center" wrapText="1"/>
    </xf>
    <xf borderId="0" fillId="11" fontId="9" numFmtId="0" xfId="0" applyAlignment="1" applyFont="1">
      <alignment shrinkToFit="0" vertical="center" wrapText="1"/>
    </xf>
    <xf borderId="0" fillId="31" fontId="9" numFmtId="0" xfId="0" applyAlignment="1" applyFont="1">
      <alignment horizontal="center" shrinkToFit="0" vertical="center" wrapText="1"/>
    </xf>
    <xf borderId="0" fillId="0" fontId="9" numFmtId="0" xfId="0" applyAlignment="1" applyFont="1">
      <alignment shrinkToFit="0" vertical="center" wrapText="1"/>
    </xf>
    <xf borderId="0" fillId="8" fontId="9" numFmtId="0" xfId="0" applyAlignment="1" applyFont="1">
      <alignment horizontal="center" readingOrder="0" shrinkToFit="0" vertical="center" wrapText="1"/>
    </xf>
    <xf quotePrefix="1" borderId="0" fillId="8" fontId="9" numFmtId="0" xfId="0" applyAlignment="1" applyFont="1">
      <alignment horizontal="center" shrinkToFit="0" vertical="center" wrapText="1"/>
    </xf>
    <xf borderId="0" fillId="29" fontId="9" numFmtId="0" xfId="0" applyAlignment="1" applyFont="1">
      <alignment horizontal="center" shrinkToFit="0" vertical="center" wrapText="1"/>
    </xf>
    <xf quotePrefix="1" borderId="0" fillId="3"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3" fontId="9" numFmtId="0" xfId="0" applyAlignment="1" applyFont="1">
      <alignment shrinkToFit="0" vertical="center" wrapText="1"/>
    </xf>
    <xf borderId="0" fillId="6" fontId="9" numFmtId="0" xfId="0" applyAlignment="1" applyFont="1">
      <alignment horizontal="center" shrinkToFit="0" vertical="center" wrapText="1"/>
    </xf>
    <xf quotePrefix="1" borderId="0" fillId="6" fontId="9" numFmtId="0" xfId="0" applyAlignment="1" applyFont="1">
      <alignment horizontal="center" shrinkToFit="0" vertical="center" wrapText="1"/>
    </xf>
    <xf borderId="0" fillId="6" fontId="9" numFmtId="0" xfId="0" applyAlignment="1" applyFont="1">
      <alignment horizontal="center" readingOrder="0" shrinkToFit="0" vertical="center" wrapText="1"/>
    </xf>
    <xf borderId="0" fillId="6" fontId="9" numFmtId="0" xfId="0" applyAlignment="1" applyFont="1">
      <alignment shrinkToFit="0" vertical="center" wrapText="1"/>
    </xf>
    <xf borderId="0" fillId="9" fontId="9" numFmtId="0" xfId="0" applyAlignment="1" applyFont="1">
      <alignment horizontal="center" readingOrder="0" shrinkToFit="0" vertical="center" wrapText="1"/>
    </xf>
    <xf quotePrefix="1" borderId="0" fillId="9" fontId="9" numFmtId="0" xfId="0" applyAlignment="1" applyFont="1">
      <alignment horizontal="center" shrinkToFit="0" vertical="center" wrapText="1"/>
    </xf>
    <xf borderId="0" fillId="8" fontId="9" numFmtId="0" xfId="0" applyAlignment="1" applyFont="1">
      <alignment horizontal="center" shrinkToFit="0" vertical="center" wrapText="1"/>
    </xf>
    <xf borderId="0" fillId="31" fontId="9" numFmtId="0" xfId="0" applyAlignment="1" applyFont="1">
      <alignment horizontal="center" readingOrder="0" shrinkToFit="0" vertical="center" wrapText="1"/>
    </xf>
    <xf quotePrefix="1" borderId="0" fillId="31" fontId="9" numFmtId="0" xfId="0" applyAlignment="1" applyFont="1">
      <alignment horizontal="center" shrinkToFit="0" vertical="center" wrapText="1"/>
    </xf>
    <xf borderId="0" fillId="31" fontId="9" numFmtId="0" xfId="0" applyAlignment="1" applyFont="1">
      <alignment shrinkToFit="0" vertical="center" wrapText="1"/>
    </xf>
    <xf borderId="0" fillId="28" fontId="9" numFmtId="0" xfId="0" applyAlignment="1" applyFont="1">
      <alignment horizontal="center" readingOrder="0" shrinkToFit="0" vertical="center" wrapText="1"/>
    </xf>
    <xf quotePrefix="1" borderId="0" fillId="28" fontId="9" numFmtId="0" xfId="0" applyAlignment="1" applyFont="1">
      <alignment horizontal="center" shrinkToFit="0" vertical="center" wrapText="1"/>
    </xf>
    <xf borderId="0" fillId="0" fontId="9" numFmtId="0" xfId="0" applyAlignment="1" applyFont="1">
      <alignment vertical="center"/>
    </xf>
    <xf borderId="0" fillId="23" fontId="9" numFmtId="0" xfId="0" applyAlignment="1" applyFont="1">
      <alignment horizontal="center" shrinkToFit="0" vertical="center" wrapText="1"/>
    </xf>
    <xf borderId="0" fillId="0" fontId="9" numFmtId="0" xfId="0" applyAlignment="1" applyFont="1">
      <alignment horizontal="left"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2" fillId="5" fontId="12" numFmtId="0" xfId="0" applyAlignment="1" applyBorder="1" applyFont="1">
      <alignment horizontal="center" shrinkToFit="0" wrapText="1"/>
    </xf>
    <xf borderId="2" fillId="8" fontId="12" numFmtId="0" xfId="0" applyAlignment="1" applyBorder="1" applyFont="1">
      <alignment horizontal="center" shrinkToFit="0" wrapText="1"/>
    </xf>
    <xf borderId="2" fillId="10" fontId="12" numFmtId="0" xfId="0" applyAlignment="1" applyBorder="1" applyFont="1">
      <alignment horizontal="center" shrinkToFit="0" wrapText="1"/>
    </xf>
    <xf borderId="2" fillId="12" fontId="15" numFmtId="0" xfId="0" applyAlignment="1" applyBorder="1" applyFont="1">
      <alignment horizontal="center" shrinkToFit="0" wrapText="1"/>
    </xf>
    <xf borderId="2" fillId="18" fontId="12" numFmtId="0" xfId="0" applyAlignment="1" applyBorder="1" applyFont="1">
      <alignment horizontal="center"/>
    </xf>
    <xf borderId="2" fillId="14" fontId="12" numFmtId="0" xfId="0" applyAlignment="1" applyBorder="1" applyFont="1">
      <alignment horizontal="center" shrinkToFit="0" wrapText="1"/>
    </xf>
    <xf borderId="2" fillId="16" fontId="15" numFmtId="0" xfId="0" applyAlignment="1" applyBorder="1" applyFont="1">
      <alignment horizontal="center" shrinkToFit="0" wrapText="1"/>
    </xf>
    <xf borderId="2" fillId="20" fontId="12" numFmtId="0" xfId="0" applyAlignment="1" applyBorder="1" applyFont="1">
      <alignment horizontal="center"/>
    </xf>
    <xf borderId="2" fillId="22" fontId="12" numFmtId="0" xfId="0" applyAlignment="1" applyBorder="1" applyFont="1">
      <alignment horizontal="center"/>
    </xf>
    <xf borderId="2" fillId="24" fontId="15" numFmtId="0" xfId="0" applyAlignment="1" applyBorder="1" applyFont="1">
      <alignment horizontal="center"/>
    </xf>
    <xf borderId="2" fillId="25" fontId="15" numFmtId="0" xfId="0" applyAlignment="1" applyBorder="1" applyFont="1">
      <alignment horizontal="center"/>
    </xf>
    <xf borderId="2" fillId="27" fontId="12" numFmtId="0" xfId="0" applyAlignment="1" applyBorder="1" applyFont="1">
      <alignment horizontal="center"/>
    </xf>
    <xf borderId="2" fillId="0" fontId="2" numFmtId="0" xfId="0" applyAlignment="1" applyBorder="1" applyFont="1">
      <alignment horizontal="center" vertical="center"/>
    </xf>
    <xf borderId="0" fillId="8" fontId="2" numFmtId="0" xfId="0" applyAlignment="1" applyFont="1">
      <alignment horizontal="left" readingOrder="0" vertical="center"/>
    </xf>
    <xf borderId="0" fillId="0" fontId="2" numFmtId="0" xfId="0" applyAlignment="1" applyFont="1">
      <alignment horizontal="center" readingOrder="0" vertical="center"/>
    </xf>
    <xf borderId="0" fillId="2" fontId="9" numFmtId="0" xfId="0" applyAlignment="1" applyFont="1">
      <alignment horizontal="center" readingOrder="0" shrinkToFit="0" vertical="center" wrapText="1"/>
    </xf>
    <xf borderId="0" fillId="10" fontId="9" numFmtId="0" xfId="0" applyAlignment="1" applyFont="1">
      <alignment horizontal="center" readingOrder="0" shrinkToFit="0" vertical="center" wrapText="1"/>
    </xf>
    <xf borderId="0" fillId="14" fontId="9" numFmtId="0" xfId="0" applyAlignment="1" applyFont="1">
      <alignment horizontal="center" readingOrder="0" shrinkToFit="0" vertical="center" wrapText="1"/>
    </xf>
    <xf borderId="0" fillId="20" fontId="2" numFmtId="0" xfId="0" applyAlignment="1" applyFont="1">
      <alignment horizontal="center" readingOrder="0" vertical="center"/>
    </xf>
    <xf borderId="0" fillId="24" fontId="9"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9" fontId="2" numFmtId="0" xfId="0" applyAlignment="1" applyFont="1">
      <alignment horizontal="left" readingOrder="0" vertical="center"/>
    </xf>
    <xf borderId="0" fillId="18" fontId="2" numFmtId="0" xfId="0" applyAlignment="1" applyFont="1">
      <alignment horizontal="center" readingOrder="0" vertical="center"/>
    </xf>
    <xf borderId="0" fillId="16" fontId="33" numFmtId="0" xfId="0" applyAlignment="1" applyFont="1">
      <alignment horizontal="center" readingOrder="0" shrinkToFit="0" vertical="center" wrapText="1"/>
    </xf>
    <xf borderId="0" fillId="22" fontId="9" numFmtId="0" xfId="0" applyAlignment="1" applyFont="1">
      <alignment horizontal="center" readingOrder="0" shrinkToFit="0" vertical="center" wrapText="1"/>
    </xf>
    <xf borderId="0" fillId="27" fontId="2" numFmtId="0" xfId="0" applyAlignment="1" applyFont="1">
      <alignment horizontal="center" readingOrder="0" vertical="center"/>
    </xf>
    <xf borderId="0" fillId="6" fontId="2" numFmtId="0" xfId="0" applyAlignment="1" applyFont="1">
      <alignment horizontal="left" readingOrder="0" shrinkToFit="0" vertical="center" wrapText="1"/>
    </xf>
    <xf borderId="0" fillId="5" fontId="9" numFmtId="0" xfId="0" applyAlignment="1" applyFont="1">
      <alignment horizontal="center" readingOrder="0" shrinkToFit="0" vertical="center" wrapText="1"/>
    </xf>
    <xf borderId="0" fillId="12" fontId="33" numFmtId="0" xfId="0" applyAlignment="1" applyFont="1">
      <alignment horizontal="center" readingOrder="0" shrinkToFit="0" vertical="center" wrapText="1"/>
    </xf>
    <xf borderId="0" fillId="0" fontId="34" numFmtId="0" xfId="0" applyAlignment="1" applyFont="1">
      <alignment horizontal="center" vertical="center"/>
    </xf>
    <xf borderId="0" fillId="0" fontId="2" numFmtId="0" xfId="0" applyAlignment="1" applyFont="1">
      <alignment horizontal="left" shrinkToFit="0" vertical="center" wrapText="1"/>
    </xf>
    <xf borderId="0" fillId="3" fontId="2" numFmtId="0" xfId="0" applyAlignment="1" applyFont="1">
      <alignment horizontal="left" readingOrder="0" shrinkToFit="0" vertical="center" wrapText="1"/>
    </xf>
    <xf borderId="0" fillId="25" fontId="2" numFmtId="0" xfId="0" applyAlignment="1" applyFont="1">
      <alignment horizontal="center" readingOrder="0" vertical="center"/>
    </xf>
    <xf borderId="0" fillId="24" fontId="2" numFmtId="0" xfId="0" applyAlignment="1" applyFont="1">
      <alignment horizontal="center" readingOrder="0" vertical="center"/>
    </xf>
    <xf borderId="0" fillId="4" fontId="2" numFmtId="0" xfId="0" applyAlignment="1" applyFont="1">
      <alignment horizontal="left" readingOrder="0" vertical="center"/>
    </xf>
    <xf borderId="0" fillId="9" fontId="2" numFmtId="0" xfId="0" applyAlignment="1" applyFont="1">
      <alignment horizontal="left" readingOrder="0" shrinkToFit="0" vertical="center" wrapText="1"/>
    </xf>
    <xf borderId="0" fillId="23" fontId="2" numFmtId="0" xfId="0" applyAlignment="1" applyFont="1">
      <alignment horizontal="left" readingOrder="0" shrinkToFit="0" vertical="center" wrapText="1"/>
    </xf>
    <xf borderId="0" fillId="21" fontId="2" numFmtId="0" xfId="0" applyAlignment="1" applyFont="1">
      <alignment horizontal="left" readingOrder="0" shrinkToFit="0" vertical="center" wrapText="1"/>
    </xf>
    <xf borderId="0" fillId="11" fontId="2" numFmtId="0" xfId="0" applyAlignment="1" applyFont="1">
      <alignment horizontal="left" readingOrder="0" shrinkToFit="0" vertical="center" wrapText="1"/>
    </xf>
    <xf borderId="0" fillId="28" fontId="2" numFmtId="0" xfId="0" applyAlignment="1" applyFont="1">
      <alignment horizontal="left" readingOrder="0" shrinkToFit="0" vertical="center" wrapText="1"/>
    </xf>
    <xf borderId="0" fillId="0" fontId="2" numFmtId="0" xfId="0" applyAlignment="1" applyFont="1">
      <alignment horizontal="left" shrinkToFit="0" wrapText="1"/>
    </xf>
    <xf borderId="0" fillId="17" fontId="2" numFmtId="0" xfId="0" applyAlignment="1" applyFont="1">
      <alignment readingOrder="0"/>
    </xf>
    <xf borderId="0" fillId="17" fontId="2" numFmtId="0" xfId="0" applyAlignment="1" applyFont="1">
      <alignment shrinkToFit="0" wrapText="1"/>
    </xf>
    <xf borderId="0" fillId="0" fontId="12" numFmtId="0" xfId="0" applyFont="1"/>
    <xf borderId="0" fillId="0" fontId="9" numFmtId="0" xfId="0" applyFont="1"/>
    <xf borderId="0" fillId="0" fontId="32" numFmtId="0" xfId="0" applyAlignment="1" applyFont="1">
      <alignment readingOrder="0" shrinkToFit="0" wrapText="0"/>
    </xf>
    <xf borderId="0" fillId="0" fontId="35" numFmtId="0" xfId="0" applyAlignment="1" applyFont="1">
      <alignment vertical="center"/>
    </xf>
    <xf borderId="0" fillId="0" fontId="12" numFmtId="0" xfId="0" applyAlignment="1" applyFont="1">
      <alignment horizontal="left" readingOrder="0" shrinkToFit="0" vertical="center" wrapText="1"/>
    </xf>
    <xf borderId="0" fillId="0" fontId="12" numFmtId="0" xfId="0" applyAlignment="1" applyFont="1">
      <alignment horizontal="center" shrinkToFit="0" wrapText="1"/>
    </xf>
    <xf borderId="0" fillId="0" fontId="36" numFmtId="0" xfId="0" applyAlignment="1" applyFont="1">
      <alignment horizontal="right" readingOrder="0" vertical="center"/>
    </xf>
    <xf borderId="0" fillId="53" fontId="9" numFmtId="0" xfId="0" applyAlignment="1" applyFont="1">
      <alignment readingOrder="0" vertical="center"/>
    </xf>
    <xf borderId="0" fillId="0" fontId="12" numFmtId="0" xfId="0" applyAlignment="1" applyFont="1">
      <alignment horizontal="center" readingOrder="0" vertical="center"/>
    </xf>
    <xf borderId="0" fillId="3" fontId="9" numFmtId="0" xfId="0" applyAlignment="1" applyFont="1">
      <alignment horizontal="right" readingOrder="0" shrinkToFit="0" vertical="center" wrapText="1"/>
    </xf>
    <xf borderId="0" fillId="53" fontId="9" numFmtId="0" xfId="0" applyAlignment="1" applyFont="1">
      <alignment horizontal="center" readingOrder="0" vertical="center"/>
    </xf>
    <xf borderId="0" fillId="53" fontId="9" numFmtId="0" xfId="0" applyAlignment="1" applyFont="1">
      <alignment readingOrder="0" shrinkToFit="0" vertical="center" wrapText="1"/>
    </xf>
    <xf borderId="0" fillId="9" fontId="9" numFmtId="0" xfId="0" applyAlignment="1" applyFont="1">
      <alignment vertical="center"/>
    </xf>
    <xf borderId="0" fillId="31" fontId="9" numFmtId="0" xfId="0" applyAlignment="1" applyFont="1">
      <alignment vertical="center"/>
    </xf>
    <xf borderId="0" fillId="11" fontId="9" numFmtId="0" xfId="0" applyFont="1"/>
    <xf borderId="0" fillId="6" fontId="9" numFmtId="0" xfId="0" applyFont="1"/>
    <xf borderId="0" fillId="0" fontId="12" numFmtId="0" xfId="0" applyAlignment="1" applyFont="1">
      <alignment horizontal="right" readingOrder="0" vertical="center"/>
    </xf>
    <xf borderId="0" fillId="53" fontId="9" numFmtId="0" xfId="0" applyAlignment="1" applyFont="1">
      <alignment vertical="center"/>
    </xf>
    <xf borderId="0" fillId="31" fontId="9" numFmtId="0" xfId="0" applyAlignment="1" applyFont="1">
      <alignment horizontal="right" readingOrder="0" vertical="center"/>
    </xf>
    <xf borderId="0" fillId="8" fontId="9" numFmtId="0" xfId="0" applyAlignment="1" applyFont="1">
      <alignment vertical="center"/>
    </xf>
    <xf borderId="0" fillId="8" fontId="9" numFmtId="0" xfId="0" applyAlignment="1" applyFont="1">
      <alignment readingOrder="0" vertical="center"/>
    </xf>
    <xf borderId="0" fillId="8" fontId="9" numFmtId="0" xfId="0" applyFont="1"/>
    <xf borderId="0" fillId="28" fontId="9" numFmtId="0" xfId="0" applyFont="1"/>
    <xf borderId="0" fillId="3" fontId="9" numFmtId="0" xfId="0" applyFont="1"/>
    <xf borderId="0" fillId="0" fontId="35" numFmtId="0" xfId="0" applyAlignment="1" applyFont="1">
      <alignment horizontal="right" vertical="center"/>
    </xf>
    <xf borderId="0" fillId="53" fontId="9" numFmtId="0" xfId="0" applyAlignment="1" applyFont="1">
      <alignment horizontal="center" vertical="center"/>
    </xf>
    <xf borderId="0" fillId="53" fontId="35" numFmtId="0" xfId="0" applyAlignment="1" applyFont="1">
      <alignment horizontal="right" vertical="center"/>
    </xf>
    <xf borderId="0" fillId="53" fontId="9" numFmtId="0" xfId="0" applyAlignment="1" applyFont="1">
      <alignment readingOrder="0" shrinkToFit="0" vertical="center" wrapText="0"/>
    </xf>
    <xf borderId="0" fillId="31" fontId="9" numFmtId="0" xfId="0" applyAlignment="1" applyFont="1">
      <alignment readingOrder="0" vertical="center"/>
    </xf>
    <xf borderId="0" fillId="28" fontId="9" numFmtId="0" xfId="0" applyAlignment="1" applyFont="1">
      <alignment vertical="center"/>
    </xf>
    <xf borderId="0" fillId="23" fontId="37" numFmtId="0" xfId="0" applyAlignment="1" applyFont="1">
      <alignment readingOrder="0" shrinkToFit="0" vertical="center" wrapText="1"/>
    </xf>
    <xf borderId="0" fillId="11" fontId="37" numFmtId="0" xfId="0" applyAlignment="1" applyFont="1">
      <alignment readingOrder="0" shrinkToFit="0" vertical="center" wrapText="1"/>
    </xf>
    <xf borderId="0" fillId="53" fontId="2" numFmtId="0" xfId="0" applyAlignment="1" applyFont="1">
      <alignment readingOrder="0" vertical="center"/>
    </xf>
    <xf borderId="0" fillId="0" fontId="2" numFmtId="0" xfId="0" applyAlignment="1" applyFont="1">
      <alignment horizontal="left" vertical="center"/>
    </xf>
    <xf borderId="0" fillId="31" fontId="9"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horizontal="right" vertical="center"/>
    </xf>
    <xf borderId="0" fillId="23" fontId="2" numFmtId="0" xfId="0" applyAlignment="1" applyFont="1">
      <alignment vertical="center"/>
    </xf>
    <xf borderId="0" fillId="0" fontId="1" numFmtId="0" xfId="0" applyAlignment="1" applyFont="1">
      <alignment horizontal="center" readingOrder="0" textRotation="90" vertical="center"/>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8" fontId="9" numFmtId="0" xfId="0" applyAlignment="1" applyFont="1">
      <alignment horizontal="center" shrinkToFit="0" vertical="center" wrapText="1"/>
    </xf>
    <xf borderId="0" fillId="21" fontId="9" numFmtId="0" xfId="0" applyAlignment="1" applyFont="1">
      <alignment horizontal="center" shrinkToFit="0" vertical="center" wrapText="1"/>
    </xf>
    <xf borderId="0" fillId="6" fontId="9" numFmtId="0" xfId="0" applyAlignment="1" applyFont="1">
      <alignment horizontal="center" vertical="center"/>
    </xf>
    <xf borderId="0" fillId="17" fontId="9" numFmtId="0" xfId="0" applyAlignment="1" applyFont="1">
      <alignment horizontal="center" shrinkToFit="0" vertical="center" wrapText="1"/>
    </xf>
    <xf borderId="0" fillId="0" fontId="13" numFmtId="0" xfId="0" applyAlignment="1" applyFont="1">
      <alignment horizontal="center" readingOrder="0" vertical="center"/>
    </xf>
    <xf borderId="0" fillId="21" fontId="9" numFmtId="0" xfId="0" applyAlignment="1" applyFont="1">
      <alignment horizontal="center" readingOrder="0" shrinkToFit="0" vertical="center" wrapText="1"/>
    </xf>
    <xf borderId="0" fillId="0" fontId="9" numFmtId="0" xfId="0" applyAlignment="1" applyFont="1">
      <alignment horizontal="center" readingOrder="0" vertical="center"/>
    </xf>
    <xf borderId="0" fillId="6" fontId="9" numFmtId="0" xfId="0" applyAlignment="1" applyFont="1">
      <alignment horizontal="center" readingOrder="0" vertical="center"/>
    </xf>
    <xf borderId="0" fillId="17" fontId="9" numFmtId="0" xfId="0" applyAlignment="1" applyFont="1">
      <alignment horizontal="center" readingOrder="0" shrinkToFit="0" vertical="center" wrapText="1"/>
    </xf>
    <xf quotePrefix="1" borderId="0" fillId="6" fontId="9" numFmtId="0" xfId="0" applyAlignment="1" applyFont="1">
      <alignment horizontal="center" readingOrder="0" shrinkToFit="0" vertical="center" wrapText="1"/>
    </xf>
    <xf quotePrefix="1" borderId="0" fillId="23" fontId="9" numFmtId="0" xfId="0" applyAlignment="1" applyFont="1">
      <alignment horizontal="center" readingOrder="0" shrinkToFit="0" vertical="center" wrapText="1"/>
    </xf>
    <xf borderId="0" fillId="23" fontId="9" numFmtId="0" xfId="0" applyAlignment="1" applyFont="1">
      <alignment horizontal="center" readingOrder="0" shrinkToFit="0" vertical="center" wrapText="1"/>
    </xf>
    <xf borderId="0" fillId="15" fontId="9" numFmtId="0" xfId="0" applyAlignment="1" applyFont="1">
      <alignment horizontal="center" shrinkToFit="0" vertical="center" wrapText="1"/>
    </xf>
    <xf borderId="0" fillId="11" fontId="9" numFmtId="0" xfId="0" applyAlignment="1" applyFont="1">
      <alignment horizontal="center" shrinkToFit="0" vertical="center" wrapText="1"/>
    </xf>
    <xf borderId="0" fillId="13" fontId="9" numFmtId="0" xfId="0" applyAlignment="1" applyFont="1">
      <alignment horizontal="center" readingOrder="0" shrinkToFit="0" vertical="center" wrapText="1"/>
    </xf>
    <xf borderId="0" fillId="23" fontId="9" numFmtId="0" xfId="0" applyAlignment="1" applyFont="1">
      <alignment horizontal="center" shrinkToFit="0" vertical="center" wrapText="1"/>
    </xf>
    <xf borderId="0" fillId="19" fontId="9" numFmtId="0" xfId="0" applyAlignment="1" applyFont="1">
      <alignment horizontal="center" vertical="center"/>
    </xf>
    <xf borderId="20" fillId="0" fontId="2" numFmtId="0" xfId="0" applyAlignment="1" applyBorder="1" applyFont="1">
      <alignment horizontal="center" vertical="center"/>
    </xf>
    <xf borderId="20" fillId="0" fontId="1" numFmtId="0" xfId="0" applyAlignment="1" applyBorder="1" applyFont="1">
      <alignment horizontal="center" readingOrder="0" shrinkToFit="0" vertical="center" wrapText="1"/>
    </xf>
    <xf borderId="20" fillId="0" fontId="2" numFmtId="0" xfId="0" applyAlignment="1" applyBorder="1" applyFont="1">
      <alignment horizontal="center" readingOrder="0" vertical="center"/>
    </xf>
    <xf borderId="20" fillId="0" fontId="9" numFmtId="0" xfId="0" applyAlignment="1" applyBorder="1" applyFont="1">
      <alignment horizontal="center" readingOrder="0" vertical="center"/>
    </xf>
    <xf borderId="20" fillId="0" fontId="9" numFmtId="0" xfId="0" applyAlignment="1" applyBorder="1" applyFont="1">
      <alignment horizontal="center" readingOrder="0" shrinkToFit="0" vertical="center" wrapText="1"/>
    </xf>
    <xf borderId="20" fillId="0" fontId="2" numFmtId="0" xfId="0" applyBorder="1" applyFont="1"/>
    <xf borderId="20" fillId="0" fontId="2" numFmtId="0" xfId="0" applyAlignment="1" applyBorder="1" applyFont="1">
      <alignment readingOrder="0" shrinkToFit="0" wrapText="1"/>
    </xf>
    <xf borderId="0" fillId="29" fontId="9" numFmtId="0" xfId="0" applyAlignment="1" applyFont="1">
      <alignment horizontal="center" shrinkToFit="0" vertical="center" wrapText="1"/>
    </xf>
    <xf borderId="0" fillId="6" fontId="2" numFmtId="0" xfId="0" applyAlignment="1" applyFont="1">
      <alignment horizontal="center" readingOrder="0" vertical="center"/>
    </xf>
    <xf quotePrefix="1" borderId="0" fillId="21" fontId="9" numFmtId="0" xfId="0" applyAlignment="1" applyFont="1">
      <alignment horizontal="center" readingOrder="0" shrinkToFit="0" vertical="center" wrapText="1"/>
    </xf>
    <xf borderId="0" fillId="21" fontId="9" numFmtId="0" xfId="0" applyAlignment="1" applyFont="1">
      <alignment horizontal="center" shrinkToFit="0" vertical="center" wrapText="1"/>
    </xf>
    <xf borderId="0" fillId="0" fontId="13" numFmtId="0" xfId="0" applyAlignment="1" applyFont="1">
      <alignment horizontal="center" readingOrder="0" shrinkToFit="0" vertical="center" wrapText="1"/>
    </xf>
    <xf borderId="0" fillId="11" fontId="9" numFmtId="0" xfId="0" applyAlignment="1" applyFont="1">
      <alignment horizontal="center" shrinkToFit="0" vertical="center" wrapText="1"/>
    </xf>
    <xf borderId="0" fillId="19" fontId="9" numFmtId="0" xfId="0" applyAlignment="1" applyFont="1">
      <alignment horizontal="center" readingOrder="0" vertical="center"/>
    </xf>
    <xf borderId="0" fillId="4" fontId="9" numFmtId="0" xfId="0" applyAlignment="1" applyFont="1">
      <alignment horizontal="center" shrinkToFit="0" vertical="center" wrapText="1"/>
    </xf>
    <xf borderId="0" fillId="4" fontId="9" numFmtId="0" xfId="0" applyAlignment="1" applyFont="1">
      <alignment horizontal="center" shrinkToFit="0" vertical="center" wrapText="1"/>
    </xf>
    <xf quotePrefix="1" borderId="0" fillId="28" fontId="2" numFmtId="0" xfId="0" applyAlignment="1" applyFont="1">
      <alignment horizontal="center" readingOrder="0" shrinkToFit="0" vertical="center" wrapText="1"/>
    </xf>
    <xf quotePrefix="1" borderId="0" fillId="9" fontId="9" numFmtId="0" xfId="0" applyAlignment="1" applyFont="1">
      <alignment horizontal="center" readingOrder="0" shrinkToFit="0" vertical="center" wrapText="1"/>
    </xf>
    <xf quotePrefix="1" borderId="0" fillId="8" fontId="9" numFmtId="0" xfId="0" applyAlignment="1" applyFont="1">
      <alignment horizontal="center" readingOrder="0" shrinkToFit="0" vertical="center" wrapText="1"/>
    </xf>
    <xf borderId="0" fillId="13" fontId="9" numFmtId="0" xfId="0" applyAlignment="1" applyFont="1">
      <alignment horizontal="center" shrinkToFit="0" vertical="center" wrapText="1"/>
    </xf>
    <xf borderId="0" fillId="9" fontId="9" numFmtId="0" xfId="0" applyAlignment="1" applyFont="1">
      <alignment horizontal="center" shrinkToFit="0" vertical="center" wrapText="1"/>
    </xf>
    <xf borderId="0" fillId="4" fontId="9" numFmtId="0" xfId="0" applyAlignment="1" applyFont="1">
      <alignment horizontal="center" readingOrder="0" shrinkToFit="0" vertical="center" wrapText="1"/>
    </xf>
    <xf quotePrefix="1" borderId="0" fillId="9" fontId="9" numFmtId="0" xfId="0" applyAlignment="1" applyFont="1">
      <alignment horizontal="center" shrinkToFit="0" vertical="center" wrapText="1"/>
    </xf>
    <xf borderId="0" fillId="28" fontId="2" numFmtId="0" xfId="0" applyAlignment="1" applyFont="1">
      <alignment horizontal="center" readingOrder="0" shrinkToFit="0" vertical="center"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38" numFmtId="0" xfId="0" applyAlignment="1" applyFont="1">
      <alignment readingOrder="0" shrinkToFit="0" wrapText="1"/>
    </xf>
    <xf borderId="0" fillId="0" fontId="35" numFmtId="0" xfId="0" applyAlignment="1" applyFont="1">
      <alignment shrinkToFit="0" wrapText="1"/>
    </xf>
    <xf borderId="0" fillId="0" fontId="2" numFmtId="0" xfId="0" applyAlignment="1" applyFont="1">
      <alignment readingOrder="0" shrinkToFit="0" vertical="top" wrapText="1"/>
    </xf>
    <xf borderId="0" fillId="31" fontId="2" numFmtId="0" xfId="0" applyAlignment="1" applyFont="1">
      <alignment shrinkToFit="0" vertical="top" wrapText="1"/>
    </xf>
    <xf borderId="0" fillId="8" fontId="2" numFmtId="0" xfId="0" applyAlignment="1" applyFont="1">
      <alignment readingOrder="0" shrinkToFit="0" vertical="top" wrapText="1"/>
    </xf>
    <xf borderId="0" fillId="7" fontId="2" numFmtId="0" xfId="0" applyAlignment="1" applyFont="1">
      <alignment readingOrder="0" shrinkToFit="0" wrapText="1"/>
    </xf>
    <xf borderId="0" fillId="28" fontId="2" numFmtId="0" xfId="0" applyAlignment="1" applyFont="1">
      <alignment readingOrder="0" shrinkToFit="0" vertical="top" wrapText="1"/>
    </xf>
    <xf borderId="0" fillId="13" fontId="2" numFmtId="0" xfId="0" applyAlignment="1" applyFont="1">
      <alignment readingOrder="0" shrinkToFit="0" vertical="top" wrapText="1"/>
    </xf>
    <xf borderId="0" fillId="7" fontId="2" numFmtId="0" xfId="0" applyAlignment="1" applyFont="1">
      <alignment readingOrder="0" shrinkToFit="0" vertical="top" wrapText="1"/>
    </xf>
    <xf borderId="0" fillId="23" fontId="39" numFmtId="0" xfId="0" applyAlignment="1" applyFont="1">
      <alignment vertical="top"/>
    </xf>
    <xf borderId="0" fillId="3" fontId="26" numFmtId="0" xfId="0" applyAlignment="1" applyFont="1">
      <alignment readingOrder="0" shrinkToFit="0" wrapText="1"/>
    </xf>
    <xf borderId="0" fillId="0" fontId="38" numFmtId="0" xfId="0" applyAlignment="1" applyFont="1">
      <alignment readingOrder="0" shrinkToFit="0" vertical="top" wrapText="1"/>
    </xf>
    <xf borderId="0" fillId="0" fontId="35" numFmtId="0" xfId="0" applyAlignment="1" applyFont="1">
      <alignment shrinkToFit="0" vertical="top" wrapText="1"/>
    </xf>
    <xf borderId="0" fillId="9" fontId="2" numFmtId="0" xfId="0" applyAlignment="1" applyFont="1">
      <alignment readingOrder="0" shrinkToFit="0" vertical="top" wrapText="1"/>
    </xf>
    <xf borderId="0" fillId="26" fontId="2" numFmtId="0" xfId="0" applyAlignment="1" applyFont="1">
      <alignment readingOrder="0" shrinkToFit="0" vertical="top" wrapText="1"/>
    </xf>
    <xf borderId="0" fillId="11" fontId="40" numFmtId="0" xfId="0" applyAlignment="1" applyFont="1">
      <alignment readingOrder="0" shrinkToFit="0" wrapText="1"/>
    </xf>
    <xf borderId="0" fillId="3" fontId="2" numFmtId="0" xfId="0" applyAlignment="1" applyFont="1">
      <alignment readingOrder="0" shrinkToFit="0" vertical="top" wrapText="1"/>
    </xf>
    <xf borderId="0" fillId="6" fontId="2" numFmtId="0" xfId="0" applyAlignment="1" applyFont="1">
      <alignment readingOrder="0" shrinkToFit="0" vertical="top" wrapText="1"/>
    </xf>
    <xf borderId="0" fillId="4" fontId="2" numFmtId="0" xfId="0" applyAlignment="1" applyFont="1">
      <alignment shrinkToFit="0" vertical="top" wrapText="1"/>
    </xf>
    <xf borderId="0" fillId="31" fontId="2" numFmtId="0" xfId="0" applyAlignment="1" applyFont="1">
      <alignment readingOrder="0" shrinkToFit="0" vertical="top" wrapText="1"/>
    </xf>
    <xf borderId="0" fillId="53" fontId="2" numFmtId="0" xfId="0" applyAlignment="1" applyFont="1">
      <alignment readingOrder="0" shrinkToFit="0" vertical="top" wrapText="1"/>
    </xf>
    <xf borderId="0" fillId="4" fontId="2" numFmtId="0" xfId="0" applyAlignment="1" applyFont="1">
      <alignment readingOrder="0" shrinkToFit="0" vertical="top" wrapText="1"/>
    </xf>
    <xf borderId="0" fillId="23" fontId="2" numFmtId="0" xfId="0" applyAlignment="1" applyFont="1">
      <alignment readingOrder="0" shrinkToFit="0" vertical="top" wrapText="1"/>
    </xf>
    <xf borderId="0" fillId="11" fontId="2" numFmtId="0" xfId="0" applyAlignment="1" applyFont="1">
      <alignment readingOrder="0" shrinkToFit="0" vertical="top" wrapText="1"/>
    </xf>
    <xf borderId="0" fillId="33" fontId="2" numFmtId="0" xfId="0" applyAlignment="1" applyFont="1">
      <alignment readingOrder="0" shrinkToFit="0" vertical="top" wrapText="1"/>
    </xf>
    <xf borderId="21" fillId="0" fontId="2" numFmtId="0" xfId="0" applyAlignment="1" applyBorder="1" applyFont="1">
      <alignment horizontal="center" vertical="center"/>
    </xf>
    <xf borderId="21" fillId="0" fontId="2" numFmtId="0" xfId="0" applyBorder="1" applyFont="1"/>
    <xf borderId="22" fillId="0" fontId="2" numFmtId="0" xfId="0" applyAlignment="1" applyBorder="1" applyFont="1">
      <alignment horizontal="center" vertical="center"/>
    </xf>
    <xf borderId="22" fillId="0" fontId="41" numFmtId="0" xfId="0" applyAlignment="1" applyBorder="1" applyFont="1">
      <alignment readingOrder="0" vertical="center"/>
    </xf>
    <xf borderId="22" fillId="0" fontId="41" numFmtId="0" xfId="0" applyAlignment="1" applyBorder="1" applyFont="1">
      <alignment horizontal="center" readingOrder="0" vertical="center"/>
    </xf>
    <xf borderId="22" fillId="0" fontId="41" numFmtId="0" xfId="0" applyAlignment="1" applyBorder="1" applyFont="1">
      <alignment horizontal="center" readingOrder="0" shrinkToFit="0" vertical="center" wrapText="1"/>
    </xf>
    <xf borderId="23" fillId="0" fontId="41" numFmtId="0" xfId="0" applyAlignment="1" applyBorder="1" applyFont="1">
      <alignment horizontal="center" readingOrder="0" vertical="center"/>
    </xf>
    <xf borderId="22" fillId="0" fontId="41" numFmtId="0" xfId="0" applyAlignment="1" applyBorder="1" applyFont="1">
      <alignment readingOrder="0" shrinkToFit="0" vertical="center" wrapText="1"/>
    </xf>
    <xf borderId="0" fillId="0" fontId="41" numFmtId="0" xfId="0" applyAlignment="1" applyFont="1">
      <alignment readingOrder="0" shrinkToFit="0" vertical="center" wrapText="1"/>
    </xf>
    <xf borderId="0" fillId="3" fontId="41" numFmtId="0" xfId="0" applyAlignment="1" applyFont="1">
      <alignment horizontal="center" readingOrder="0" vertical="center"/>
    </xf>
    <xf borderId="21" fillId="0" fontId="35" numFmtId="0" xfId="0" applyAlignment="1" applyBorder="1" applyFont="1">
      <alignment horizontal="center" vertical="center"/>
    </xf>
    <xf borderId="0" fillId="0" fontId="35" numFmtId="0" xfId="0" applyAlignment="1" applyFont="1">
      <alignment shrinkToFit="0" vertical="center" wrapText="1"/>
    </xf>
    <xf borderId="21" fillId="0" fontId="35" numFmtId="0" xfId="0" applyAlignment="1" applyBorder="1" applyFont="1">
      <alignment readingOrder="0" vertical="center"/>
    </xf>
    <xf borderId="0" fillId="0" fontId="35" numFmtId="0" xfId="0" applyAlignment="1" applyFont="1">
      <alignment horizontal="center" vertical="center"/>
    </xf>
    <xf borderId="0" fillId="0" fontId="42" numFmtId="0" xfId="0" applyAlignment="1" applyFont="1">
      <alignment horizontal="center" readingOrder="0" vertical="center"/>
    </xf>
    <xf borderId="0" fillId="0" fontId="35" numFmtId="0" xfId="0" applyAlignment="1" applyFont="1">
      <alignment horizontal="center" readingOrder="0" vertical="center"/>
    </xf>
    <xf borderId="21" fillId="0" fontId="35" numFmtId="0" xfId="0" applyAlignment="1" applyBorder="1" applyFont="1">
      <alignment horizontal="center" readingOrder="0" vertical="center"/>
    </xf>
    <xf borderId="0" fillId="0" fontId="35" numFmtId="0" xfId="0" applyAlignment="1" applyFont="1">
      <alignment readingOrder="0" shrinkToFit="0" vertical="center" wrapText="1"/>
    </xf>
    <xf borderId="0" fillId="3" fontId="35" numFmtId="0" xfId="0" applyAlignment="1" applyFont="1">
      <alignment horizontal="center" readingOrder="0" vertical="center"/>
    </xf>
    <xf borderId="21" fillId="0" fontId="35" numFmtId="0" xfId="0" applyAlignment="1" applyBorder="1" applyFont="1">
      <alignment readingOrder="0" shrinkToFit="0" vertical="center" wrapText="1"/>
    </xf>
    <xf borderId="21" fillId="0" fontId="43" numFmtId="0" xfId="0" applyAlignment="1" applyBorder="1" applyFont="1">
      <alignment readingOrder="0" vertical="center"/>
    </xf>
    <xf borderId="0" fillId="0" fontId="44" numFmtId="0" xfId="0" applyAlignment="1" applyFont="1">
      <alignment readingOrder="0" shrinkToFit="0" vertical="center" wrapText="1"/>
    </xf>
    <xf quotePrefix="1" borderId="21" fillId="0" fontId="45" numFmtId="0" xfId="0" applyAlignment="1" applyBorder="1" applyFont="1">
      <alignment horizontal="center" readingOrder="0" vertical="center"/>
    </xf>
    <xf borderId="0" fillId="0" fontId="35" numFmtId="0" xfId="0" applyAlignment="1" applyFont="1">
      <alignment readingOrder="0" vertical="center"/>
    </xf>
    <xf borderId="0" fillId="0" fontId="41" numFmtId="0" xfId="0" applyAlignment="1" applyFont="1">
      <alignment horizontal="center"/>
    </xf>
    <xf borderId="0" fillId="0" fontId="46" numFmtId="0" xfId="0" applyAlignment="1" applyFont="1">
      <alignment readingOrder="0"/>
    </xf>
    <xf borderId="0" fillId="0" fontId="47" numFmtId="0" xfId="0" applyAlignment="1" applyFont="1">
      <alignment horizontal="center" readingOrder="0"/>
    </xf>
    <xf borderId="0" fillId="3" fontId="47" numFmtId="0" xfId="0" applyAlignment="1" applyFont="1">
      <alignment horizontal="center" readingOrder="0" vertical="center"/>
    </xf>
    <xf borderId="0" fillId="0" fontId="12" numFmtId="0" xfId="0" applyAlignment="1" applyFont="1">
      <alignment readingOrder="0" shrinkToFit="0" vertical="bottom" wrapText="0"/>
    </xf>
    <xf borderId="0" fillId="0" fontId="12" numFmtId="0" xfId="0" applyAlignment="1" applyFont="1">
      <alignment vertical="bottom"/>
    </xf>
    <xf borderId="0" fillId="0" fontId="12" numFmtId="0" xfId="0" applyAlignment="1" applyFont="1">
      <alignment shrinkToFit="0" vertical="bottom" wrapText="1"/>
    </xf>
    <xf borderId="0" fillId="0" fontId="9" numFmtId="0" xfId="0" applyAlignment="1" applyFont="1">
      <alignment readingOrder="0" shrinkToFit="0" vertical="bottom" wrapText="1"/>
    </xf>
    <xf borderId="0" fillId="0" fontId="9"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readingOrder="0" shrinkToFit="0" vertical="bottom" wrapText="0"/>
    </xf>
    <xf borderId="0" fillId="0" fontId="3" numFmtId="0" xfId="0" applyAlignment="1" applyFont="1">
      <alignment horizontal="right" readingOrder="0"/>
    </xf>
    <xf borderId="0" fillId="11" fontId="9" numFmtId="0" xfId="0" applyAlignment="1" applyFont="1">
      <alignment readingOrder="0" shrinkToFit="0" vertical="bottom" wrapText="0"/>
    </xf>
    <xf borderId="0" fillId="11" fontId="9" numFmtId="0" xfId="0" applyAlignment="1" applyFont="1">
      <alignment vertical="bottom"/>
    </xf>
    <xf borderId="0" fillId="0" fontId="12" numFmtId="0" xfId="0" applyAlignment="1" applyFont="1">
      <alignment horizontal="right" readingOrder="0" vertical="bottom"/>
    </xf>
    <xf borderId="0" fillId="11" fontId="9" numFmtId="0" xfId="0" applyAlignment="1" applyFont="1">
      <alignment shrinkToFit="0" vertical="bottom" wrapText="0"/>
    </xf>
    <xf borderId="0" fillId="0" fontId="9" numFmtId="0" xfId="0" applyAlignment="1" applyFont="1">
      <alignment horizontal="right" readingOrder="0" vertical="bottom"/>
    </xf>
    <xf borderId="0" fillId="0" fontId="48" numFmtId="0" xfId="0" applyAlignment="1" applyFont="1">
      <alignment readingOrder="0" vertical="bottom"/>
    </xf>
    <xf borderId="0" fillId="0" fontId="12" numFmtId="0" xfId="0" applyAlignment="1" applyFont="1">
      <alignment horizontal="center" readingOrder="0" shrinkToFit="0" vertical="center" wrapText="1"/>
    </xf>
    <xf borderId="0" fillId="0" fontId="12" numFmtId="0" xfId="0" applyAlignment="1" applyFont="1">
      <alignment horizontal="center" vertical="center"/>
    </xf>
    <xf borderId="0" fillId="0" fontId="12" numFmtId="0" xfId="0" applyAlignment="1" applyFont="1">
      <alignment horizontal="center" shrinkToFit="0" vertical="center" wrapText="1"/>
    </xf>
    <xf borderId="22" fillId="0" fontId="12" numFmtId="0" xfId="0" applyAlignment="1" applyBorder="1" applyFont="1">
      <alignment horizontal="center" readingOrder="0" shrinkToFit="0" vertical="center" wrapText="1"/>
    </xf>
    <xf borderId="22" fillId="0" fontId="12" numFmtId="0" xfId="0" applyAlignment="1" applyBorder="1" applyFont="1">
      <alignment horizontal="center" vertical="center"/>
    </xf>
    <xf borderId="22" fillId="0" fontId="12" numFmtId="0" xfId="0" applyAlignment="1" applyBorder="1" applyFont="1">
      <alignment horizontal="center" shrinkToFit="0" vertical="center" wrapText="1"/>
    </xf>
    <xf borderId="22" fillId="0" fontId="12" numFmtId="0" xfId="0" applyAlignment="1" applyBorder="1" applyFont="1">
      <alignment horizontal="left" readingOrder="0" shrinkToFit="0" vertical="center" wrapText="1"/>
    </xf>
    <xf borderId="22" fillId="0" fontId="9" numFmtId="0" xfId="0" applyAlignment="1" applyBorder="1" applyFont="1">
      <alignment horizontal="center" vertical="center"/>
    </xf>
    <xf borderId="0" fillId="33" fontId="9" numFmtId="0" xfId="0" applyAlignment="1" applyFont="1">
      <alignment horizontal="right" vertical="center"/>
    </xf>
    <xf borderId="0" fillId="0" fontId="12" numFmtId="0" xfId="0" applyAlignment="1" applyFont="1">
      <alignment vertical="center"/>
    </xf>
    <xf borderId="0" fillId="0" fontId="9" numFmtId="0" xfId="0" applyAlignment="1" applyFont="1">
      <alignment horizontal="left" vertical="center"/>
    </xf>
    <xf borderId="0" fillId="17" fontId="9" numFmtId="0" xfId="0" applyAlignment="1" applyFont="1">
      <alignment vertical="center"/>
    </xf>
    <xf borderId="0" fillId="54" fontId="9" numFmtId="0" xfId="0" applyAlignment="1" applyFill="1" applyFont="1">
      <alignment horizontal="right" vertical="center"/>
    </xf>
    <xf borderId="0" fillId="21" fontId="9" numFmtId="0" xfId="0" applyAlignment="1" applyFont="1">
      <alignment vertical="center"/>
    </xf>
    <xf borderId="0" fillId="55" fontId="9" numFmtId="0" xfId="0" applyAlignment="1" applyFill="1" applyFont="1">
      <alignment horizontal="right" vertical="center"/>
    </xf>
    <xf borderId="0" fillId="3" fontId="9" numFmtId="0" xfId="0" applyAlignment="1" applyFont="1">
      <alignment vertical="center"/>
    </xf>
    <xf borderId="0" fillId="11" fontId="9" numFmtId="0" xfId="0" applyAlignment="1" applyFont="1">
      <alignment readingOrder="0" shrinkToFit="0" vertical="center" wrapText="1"/>
    </xf>
    <xf borderId="0" fillId="56" fontId="9" numFmtId="0" xfId="0" applyAlignment="1" applyFill="1" applyFont="1">
      <alignment horizontal="right" vertical="center"/>
    </xf>
    <xf borderId="0" fillId="23" fontId="9" numFmtId="0" xfId="0" applyAlignment="1" applyFont="1">
      <alignment readingOrder="0" vertical="center"/>
    </xf>
    <xf borderId="0" fillId="9" fontId="9" numFmtId="0" xfId="0" applyAlignment="1" applyFont="1">
      <alignment vertical="center"/>
    </xf>
    <xf borderId="0" fillId="6" fontId="9" numFmtId="0" xfId="0" applyAlignment="1" applyFont="1">
      <alignment vertical="center"/>
    </xf>
    <xf borderId="0" fillId="0" fontId="9" numFmtId="0" xfId="0" applyAlignment="1" applyFont="1">
      <alignment shrinkToFit="0" vertical="center" wrapText="1"/>
    </xf>
    <xf borderId="0" fillId="6" fontId="9" numFmtId="0" xfId="0" applyAlignment="1" applyFont="1">
      <alignment readingOrder="0" shrinkToFit="0" vertical="center" wrapText="1"/>
    </xf>
    <xf borderId="0" fillId="0" fontId="9" numFmtId="0" xfId="0" applyAlignment="1" applyFont="1">
      <alignment horizontal="right" vertical="center"/>
    </xf>
    <xf borderId="0" fillId="31" fontId="9" numFmtId="0" xfId="0" applyAlignment="1" applyFont="1">
      <alignment vertical="center"/>
    </xf>
    <xf borderId="0" fillId="31" fontId="9" numFmtId="0" xfId="0" applyAlignment="1" applyFont="1">
      <alignment shrinkToFit="0" vertical="center" wrapText="1"/>
    </xf>
    <xf borderId="0" fillId="31" fontId="9" numFmtId="0" xfId="0" applyAlignment="1" applyFont="1">
      <alignment horizontal="left" vertical="center"/>
    </xf>
    <xf borderId="0" fillId="31" fontId="9" numFmtId="0" xfId="0" applyAlignment="1" applyFont="1">
      <alignment readingOrder="0" shrinkToFit="0" vertical="center" wrapText="0"/>
    </xf>
    <xf borderId="0" fillId="7" fontId="9" numFmtId="0" xfId="0" applyAlignment="1" applyFont="1">
      <alignment readingOrder="0" vertical="center"/>
    </xf>
    <xf borderId="0" fillId="3" fontId="12" numFmtId="0" xfId="0" applyAlignment="1" applyFont="1">
      <alignment vertical="center"/>
    </xf>
    <xf borderId="0" fillId="28" fontId="9" numFmtId="0" xfId="0" applyAlignment="1" applyFont="1">
      <alignment vertical="center"/>
    </xf>
    <xf borderId="0" fillId="11" fontId="9" numFmtId="0" xfId="0" applyAlignment="1" applyFont="1">
      <alignment readingOrder="0" vertical="center"/>
    </xf>
    <xf borderId="0" fillId="19" fontId="9" numFmtId="0" xfId="0" applyAlignment="1" applyFont="1">
      <alignment readingOrder="0" vertical="center"/>
    </xf>
    <xf borderId="0" fillId="9" fontId="9" numFmtId="0" xfId="0" applyAlignment="1" applyFont="1">
      <alignment readingOrder="0" vertical="center"/>
    </xf>
    <xf borderId="0" fillId="57" fontId="9" numFmtId="0" xfId="0" applyAlignment="1" applyFill="1" applyFont="1">
      <alignment horizontal="right" vertical="center"/>
    </xf>
    <xf borderId="0" fillId="11" fontId="9" numFmtId="0" xfId="0" applyAlignment="1" applyFont="1">
      <alignment vertical="center"/>
    </xf>
    <xf borderId="0" fillId="8" fontId="9" numFmtId="0" xfId="0" applyAlignment="1" applyFont="1">
      <alignment vertical="center"/>
    </xf>
    <xf borderId="24" fillId="0" fontId="12" numFmtId="0" xfId="0" applyAlignment="1" applyBorder="1" applyFont="1">
      <alignment horizontal="right" vertical="center"/>
    </xf>
    <xf borderId="24" fillId="0" fontId="12" numFmtId="0" xfId="0" applyAlignment="1" applyBorder="1" applyFont="1">
      <alignment vertical="center"/>
    </xf>
    <xf borderId="24" fillId="0" fontId="9" numFmtId="0" xfId="0" applyAlignment="1" applyBorder="1" applyFont="1">
      <alignment shrinkToFit="0" vertical="center" wrapText="0"/>
    </xf>
    <xf borderId="24" fillId="0" fontId="9" numFmtId="0" xfId="0" applyAlignment="1" applyBorder="1" applyFont="1">
      <alignment vertical="center"/>
    </xf>
    <xf borderId="24" fillId="0" fontId="9" numFmtId="0" xfId="0" applyAlignment="1" applyBorder="1" applyFont="1">
      <alignment shrinkToFit="0" vertical="center" wrapText="1"/>
    </xf>
    <xf borderId="24" fillId="0" fontId="9" numFmtId="0" xfId="0" applyAlignment="1" applyBorder="1" applyFont="1">
      <alignment horizontal="left" vertical="center"/>
    </xf>
    <xf borderId="24" fillId="0" fontId="9" numFmtId="0" xfId="0" applyAlignment="1" applyBorder="1" applyFont="1">
      <alignment readingOrder="0" shrinkToFit="0" vertical="center" wrapText="0"/>
    </xf>
    <xf borderId="0" fillId="0" fontId="9" numFmtId="0" xfId="0" applyAlignment="1" applyFont="1">
      <alignment horizontal="right" readingOrder="0" vertical="center"/>
    </xf>
    <xf borderId="0" fillId="31" fontId="12" numFmtId="0" xfId="0" applyAlignment="1" applyFont="1">
      <alignment shrinkToFit="0" vertical="center" wrapText="0"/>
    </xf>
    <xf borderId="0" fillId="0" fontId="9" numFmtId="0" xfId="0" applyAlignment="1" applyFont="1">
      <alignment shrinkToFit="0" vertical="center" wrapText="0"/>
    </xf>
    <xf borderId="0" fillId="4" fontId="9" numFmtId="0" xfId="0" applyAlignment="1" applyFont="1">
      <alignment vertical="center"/>
    </xf>
    <xf borderId="0" fillId="0" fontId="9" numFmtId="0" xfId="0" applyAlignment="1" applyFont="1">
      <alignment readingOrder="0" shrinkToFit="0" vertical="center" wrapText="0"/>
    </xf>
    <xf borderId="0" fillId="28" fontId="9" numFmtId="0" xfId="0" applyAlignment="1" applyFont="1">
      <alignment readingOrder="0" vertical="center"/>
    </xf>
    <xf borderId="0" fillId="0" fontId="9" numFmtId="0" xfId="0" applyAlignment="1" applyFont="1">
      <alignment horizontal="left" vertical="bottom"/>
    </xf>
    <xf borderId="0" fillId="0" fontId="49" numFmtId="0" xfId="0" applyAlignment="1" applyFont="1">
      <alignment readingOrder="0" shrinkToFit="0" vertical="bottom" wrapText="1"/>
    </xf>
    <xf borderId="0" fillId="0" fontId="9" numFmtId="0" xfId="0" applyAlignment="1" applyFont="1">
      <alignment shrinkToFit="0" vertical="bottom" wrapText="0"/>
    </xf>
    <xf borderId="0" fillId="7" fontId="9" numFmtId="0" xfId="0" applyAlignment="1" applyFont="1">
      <alignment vertical="center"/>
    </xf>
    <xf borderId="0" fillId="26" fontId="9" numFmtId="0" xfId="0" applyAlignment="1" applyFont="1">
      <alignment vertical="center"/>
    </xf>
    <xf borderId="0" fillId="0" fontId="1" numFmtId="0" xfId="0" applyAlignment="1" applyFont="1">
      <alignment horizontal="left" readingOrder="0" vertical="center"/>
    </xf>
    <xf borderId="0" fillId="23" fontId="1" numFmtId="0" xfId="0" applyAlignment="1" applyFont="1">
      <alignment horizontal="center" readingOrder="0" vertical="center"/>
    </xf>
    <xf borderId="0" fillId="9" fontId="1" numFmtId="0" xfId="0" applyAlignment="1" applyFont="1">
      <alignment horizontal="center" readingOrder="0" vertical="center"/>
    </xf>
    <xf borderId="0" fillId="6" fontId="1" numFmtId="0" xfId="0" applyAlignment="1" applyFont="1">
      <alignment horizontal="center" readingOrder="0" vertical="center"/>
    </xf>
    <xf borderId="0" fillId="31" fontId="1" numFmtId="0" xfId="0" applyAlignment="1" applyFont="1">
      <alignment horizontal="center" readingOrder="0" vertical="center"/>
    </xf>
    <xf borderId="0" fillId="3" fontId="1" numFmtId="0" xfId="0" applyAlignment="1" applyFont="1">
      <alignment horizontal="center" readingOrder="0" vertical="center"/>
    </xf>
    <xf borderId="0" fillId="8" fontId="1" numFmtId="0" xfId="0" applyAlignment="1" applyFont="1">
      <alignment horizontal="center" readingOrder="0" vertical="center"/>
    </xf>
    <xf borderId="0" fillId="11" fontId="1" numFmtId="0" xfId="0" applyAlignment="1" applyFont="1">
      <alignment horizontal="center" readingOrder="0" vertical="center"/>
    </xf>
    <xf borderId="0" fillId="13" fontId="1" numFmtId="0" xfId="0" applyAlignment="1" applyFont="1">
      <alignment horizontal="center" readingOrder="0" shrinkToFit="0" vertical="center" wrapText="1"/>
    </xf>
    <xf borderId="0" fillId="0" fontId="2" numFmtId="0" xfId="0" applyAlignment="1" applyFont="1">
      <alignment horizontal="left" readingOrder="0" vertical="bottom"/>
    </xf>
    <xf borderId="24" fillId="0" fontId="1" numFmtId="0" xfId="0" applyAlignment="1" applyBorder="1" applyFont="1">
      <alignment horizontal="left" readingOrder="0"/>
    </xf>
    <xf borderId="24" fillId="0" fontId="2" numFmtId="0" xfId="0" applyAlignment="1" applyBorder="1" applyFont="1">
      <alignment horizontal="left" readingOrder="0"/>
    </xf>
    <xf borderId="24" fillId="0" fontId="2" numFmtId="9" xfId="0" applyAlignment="1" applyBorder="1" applyFont="1" applyNumberFormat="1">
      <alignment horizontal="center" readingOrder="0"/>
    </xf>
    <xf borderId="24" fillId="0" fontId="2" numFmtId="0" xfId="0" applyAlignment="1" applyBorder="1" applyFont="1">
      <alignment horizontal="center" readingOrder="0"/>
    </xf>
    <xf borderId="24" fillId="0" fontId="2" numFmtId="0" xfId="0" applyAlignment="1" applyBorder="1" applyFont="1">
      <alignment horizontal="center"/>
    </xf>
    <xf borderId="17" fillId="0" fontId="2" numFmtId="0" xfId="0" applyAlignment="1" applyBorder="1" applyFont="1">
      <alignment horizontal="left"/>
    </xf>
    <xf borderId="0" fillId="0" fontId="2" numFmtId="0" xfId="0" applyAlignment="1" applyFont="1">
      <alignment horizontal="left" readingOrder="0"/>
    </xf>
    <xf borderId="0" fillId="0" fontId="2" numFmtId="9" xfId="0" applyAlignment="1" applyFont="1" applyNumberFormat="1">
      <alignment horizontal="center" readingOrder="0"/>
    </xf>
    <xf borderId="0" fillId="0" fontId="2" numFmtId="0" xfId="0" applyAlignment="1" applyFont="1">
      <alignment horizontal="left"/>
    </xf>
    <xf borderId="1" fillId="0" fontId="1" numFmtId="0" xfId="0" applyAlignment="1" applyBorder="1" applyFont="1">
      <alignment horizontal="center" readingOrder="0" vertical="center"/>
    </xf>
    <xf borderId="25" fillId="0" fontId="1" numFmtId="0" xfId="0" applyAlignment="1" applyBorder="1" applyFont="1">
      <alignment horizontal="center" readingOrder="0" vertical="center"/>
    </xf>
    <xf borderId="15" fillId="6" fontId="1" numFmtId="0" xfId="0" applyAlignment="1" applyBorder="1" applyFont="1">
      <alignment horizontal="center" readingOrder="0" vertical="center"/>
    </xf>
    <xf borderId="26" fillId="0"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27" fillId="0" fontId="2" numFmtId="0" xfId="0" applyAlignment="1" applyBorder="1" applyFont="1">
      <alignment horizontal="center" readingOrder="0" shrinkToFit="0" vertical="center" wrapText="1"/>
    </xf>
    <xf borderId="24" fillId="9" fontId="1" numFmtId="0" xfId="0" applyAlignment="1" applyBorder="1" applyFont="1">
      <alignment horizontal="center" readingOrder="0" vertical="center"/>
    </xf>
    <xf borderId="28" fillId="0" fontId="2" numFmtId="0" xfId="0" applyAlignment="1" applyBorder="1" applyFont="1">
      <alignment horizontal="center" readingOrder="0" shrinkToFit="0" vertical="center" wrapText="1"/>
    </xf>
    <xf borderId="29" fillId="0" fontId="2" numFmtId="0" xfId="0" applyAlignment="1" applyBorder="1" applyFont="1">
      <alignment horizontal="center" readingOrder="0" shrinkToFit="0" vertical="center" wrapText="1"/>
    </xf>
    <xf borderId="16" fillId="0" fontId="2" numFmtId="0" xfId="0" applyAlignment="1" applyBorder="1" applyFont="1">
      <alignment horizontal="center" readingOrder="0" shrinkToFit="0" vertical="center" wrapText="1"/>
    </xf>
    <xf borderId="24" fillId="11" fontId="1" numFmtId="0" xfId="0" applyAlignment="1" applyBorder="1" applyFont="1">
      <alignment horizontal="center" readingOrder="0" vertical="center"/>
    </xf>
    <xf borderId="28" fillId="0" fontId="9" numFmtId="0" xfId="0" applyAlignment="1" applyBorder="1" applyFont="1">
      <alignment horizontal="center" readingOrder="0" shrinkToFit="0" vertical="center" wrapText="1"/>
    </xf>
    <xf borderId="29" fillId="0" fontId="9" numFmtId="0" xfId="0" applyAlignment="1" applyBorder="1" applyFont="1">
      <alignment horizontal="center" readingOrder="0" shrinkToFit="0" vertical="center" wrapText="1"/>
    </xf>
    <xf borderId="16" fillId="0" fontId="9" numFmtId="0" xfId="0" applyAlignment="1" applyBorder="1" applyFont="1">
      <alignment horizontal="center" readingOrder="0" shrinkToFit="0" vertical="center" wrapText="1"/>
    </xf>
    <xf borderId="24" fillId="23" fontId="1" numFmtId="0" xfId="0" applyAlignment="1" applyBorder="1" applyFont="1">
      <alignment horizontal="center" readingOrder="0" vertical="center"/>
    </xf>
    <xf borderId="13" fillId="35" fontId="1" numFmtId="0" xfId="0" applyAlignment="1" applyBorder="1" applyFont="1">
      <alignment horizontal="center" readingOrder="0" vertical="center"/>
    </xf>
    <xf borderId="30" fillId="0" fontId="9"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0" fillId="21" fontId="2" numFmtId="0" xfId="0" applyAlignment="1" applyFont="1">
      <alignment readingOrder="0" shrinkToFit="0" wrapText="1"/>
    </xf>
    <xf borderId="31" fillId="0" fontId="2" numFmtId="0" xfId="0" applyAlignment="1" applyBorder="1" applyFont="1">
      <alignment horizontal="center" readingOrder="0" vertical="center"/>
    </xf>
    <xf borderId="28" fillId="0" fontId="2" numFmtId="0" xfId="0" applyAlignment="1" applyBorder="1" applyFont="1">
      <alignment horizontal="center" readingOrder="0" vertical="center"/>
    </xf>
    <xf borderId="32" fillId="26" fontId="1" numFmtId="0" xfId="0" applyAlignment="1" applyBorder="1" applyFont="1">
      <alignment horizontal="center" readingOrder="0" shrinkToFit="0" wrapText="1"/>
    </xf>
    <xf borderId="33" fillId="0" fontId="2" numFmtId="0" xfId="0" applyAlignment="1" applyBorder="1" applyFont="1">
      <alignment horizontal="center" readingOrder="0" vertical="center"/>
    </xf>
    <xf borderId="0" fillId="0" fontId="2" numFmtId="0" xfId="0" applyAlignment="1" applyFont="1">
      <alignment horizontal="left" readingOrder="0" vertical="center"/>
    </xf>
    <xf borderId="0" fillId="0" fontId="13" numFmtId="0" xfId="0" applyAlignment="1" applyFont="1">
      <alignment readingOrder="0" vertical="center"/>
    </xf>
    <xf borderId="0" fillId="0" fontId="2" numFmtId="10" xfId="0" applyAlignment="1" applyFont="1" applyNumberFormat="1">
      <alignment shrinkToFit="0" vertical="center" wrapText="1"/>
    </xf>
    <xf borderId="0" fillId="0" fontId="36" numFmtId="0" xfId="0" applyAlignment="1" applyFont="1">
      <alignment readingOrder="0"/>
    </xf>
    <xf borderId="0" fillId="0" fontId="50" numFmtId="0" xfId="0" applyAlignment="1" applyFont="1">
      <alignment readingOrder="0"/>
    </xf>
    <xf borderId="0" fillId="0" fontId="2" numFmtId="166" xfId="0" applyAlignment="1" applyFont="1" applyNumberFormat="1">
      <alignment readingOrder="0"/>
    </xf>
    <xf borderId="0" fillId="0" fontId="2" numFmtId="166" xfId="0" applyFont="1" applyNumberFormat="1"/>
    <xf borderId="0" fillId="0" fontId="13" numFmtId="166" xfId="0" applyAlignment="1" applyFont="1" applyNumberFormat="1">
      <alignment readingOrder="0"/>
    </xf>
    <xf borderId="0" fillId="0" fontId="51" numFmtId="0" xfId="0" applyAlignment="1" applyFont="1">
      <alignment horizontal="right" vertical="bottom"/>
    </xf>
    <xf borderId="0" fillId="0" fontId="51" numFmtId="166" xfId="0" applyAlignment="1" applyFont="1" applyNumberFormat="1">
      <alignment horizontal="right" vertical="bottom"/>
    </xf>
    <xf borderId="0" fillId="0" fontId="51" numFmtId="0" xfId="0" applyAlignment="1" applyFont="1">
      <alignment horizontal="right" vertical="bottom"/>
    </xf>
    <xf borderId="0" fillId="0" fontId="51" numFmtId="0" xfId="0" applyAlignment="1" applyFont="1">
      <alignment horizontal="right" readingOrder="0" vertical="bottom"/>
    </xf>
    <xf borderId="0" fillId="0" fontId="9" numFmtId="166" xfId="0" applyAlignment="1" applyFont="1" applyNumberFormat="1">
      <alignment horizontal="right" vertical="bottom"/>
    </xf>
    <xf borderId="0" fillId="31" fontId="9" numFmtId="0" xfId="0" applyAlignment="1" applyFont="1">
      <alignment readingOrder="0" vertical="bottom"/>
    </xf>
    <xf borderId="0" fillId="3" fontId="9" numFmtId="0" xfId="0" applyAlignment="1" applyFont="1">
      <alignment readingOrder="0" vertical="bottom"/>
    </xf>
    <xf borderId="0" fillId="8" fontId="9" numFmtId="0" xfId="0" applyAlignment="1" applyFont="1">
      <alignment vertical="bottom"/>
    </xf>
    <xf borderId="0" fillId="6" fontId="9" numFmtId="0" xfId="0" applyAlignment="1" applyFont="1">
      <alignment readingOrder="0" vertical="bottom"/>
    </xf>
    <xf borderId="0" fillId="31" fontId="9" numFmtId="0" xfId="0" applyAlignment="1" applyFont="1">
      <alignment vertical="bottom"/>
    </xf>
    <xf borderId="0" fillId="3" fontId="9" numFmtId="0" xfId="0" applyAlignment="1" applyFont="1">
      <alignment vertical="bottom"/>
    </xf>
    <xf borderId="0" fillId="58" fontId="2" numFmtId="0" xfId="0" applyAlignment="1" applyFill="1" applyFont="1">
      <alignment readingOrder="0"/>
    </xf>
    <xf borderId="0" fillId="0" fontId="2" numFmtId="0" xfId="0" applyAlignment="1" applyFont="1">
      <alignment readingOrder="0"/>
    </xf>
    <xf borderId="0" fillId="0" fontId="2" numFmtId="0" xfId="0" applyFont="1"/>
    <xf borderId="0" fillId="0" fontId="9" numFmtId="0" xfId="0" applyAlignment="1" applyFont="1">
      <alignment horizontal="right" vertical="bottom"/>
    </xf>
    <xf borderId="0" fillId="59" fontId="9" numFmtId="0" xfId="0" applyAlignment="1" applyFill="1" applyFont="1">
      <alignment readingOrder="0" vertical="bottom"/>
    </xf>
    <xf borderId="0" fillId="58" fontId="9" numFmtId="0" xfId="0" applyAlignment="1" applyFont="1">
      <alignment readingOrder="0" vertical="bottom"/>
    </xf>
    <xf borderId="0" fillId="9" fontId="1" numFmtId="0" xfId="0" applyAlignment="1" applyFont="1">
      <alignment readingOrder="0"/>
    </xf>
    <xf borderId="0" fillId="6" fontId="1" numFmtId="0" xfId="0" applyAlignment="1" applyFont="1">
      <alignment readingOrder="0"/>
    </xf>
    <xf borderId="0" fillId="3" fontId="1" numFmtId="0" xfId="0" applyAlignment="1" applyFont="1">
      <alignment readingOrder="0"/>
    </xf>
    <xf borderId="4" fillId="0" fontId="2" numFmtId="0" xfId="0" applyBorder="1" applyFont="1"/>
    <xf borderId="6" fillId="0" fontId="25" numFmtId="0" xfId="0" applyAlignment="1" applyBorder="1" applyFont="1">
      <alignment readingOrder="0"/>
    </xf>
    <xf borderId="13" fillId="0" fontId="25" numFmtId="0" xfId="0" applyBorder="1" applyFont="1"/>
    <xf borderId="34" fillId="0" fontId="25" numFmtId="0" xfId="0" applyBorder="1" applyFont="1"/>
    <xf borderId="11" fillId="0" fontId="25" numFmtId="0" xfId="0" applyAlignment="1" applyBorder="1" applyFont="1">
      <alignment readingOrder="0"/>
    </xf>
    <xf borderId="15" fillId="0" fontId="25" numFmtId="0" xfId="0" applyBorder="1" applyFont="1"/>
    <xf borderId="18" fillId="0" fontId="25" numFmtId="0" xfId="0" applyBorder="1" applyFont="1"/>
    <xf borderId="15" fillId="0" fontId="2" numFmtId="0" xfId="0" applyAlignment="1" applyBorder="1" applyFont="1">
      <alignment horizontal="right" readingOrder="0"/>
    </xf>
    <xf borderId="16" fillId="0" fontId="2" numFmtId="0" xfId="0" applyAlignment="1" applyBorder="1" applyFont="1">
      <alignment readingOrder="0"/>
    </xf>
    <xf borderId="24" fillId="0" fontId="2" numFmtId="0" xfId="0" applyAlignment="1" applyBorder="1" applyFont="1">
      <alignment readingOrder="0"/>
    </xf>
    <xf borderId="24" fillId="0" fontId="2" numFmtId="0" xfId="0" applyBorder="1" applyFont="1"/>
    <xf borderId="17" fillId="0" fontId="2" numFmtId="0" xfId="0" applyBorder="1" applyFont="1"/>
    <xf borderId="0" fillId="0" fontId="9" numFmtId="9" xfId="0" applyAlignment="1" applyFont="1" applyNumberFormat="1">
      <alignment horizontal="right" vertical="bottom"/>
    </xf>
    <xf borderId="0" fillId="0" fontId="2" numFmtId="9" xfId="0" applyAlignment="1" applyFont="1" applyNumberFormat="1">
      <alignment readingOrder="0"/>
    </xf>
    <xf borderId="0" fillId="0" fontId="1" numFmtId="0" xfId="0" applyAlignment="1" applyFont="1">
      <alignment horizontal="right" readingOrder="0"/>
    </xf>
  </cellXfs>
  <cellStyles count="1">
    <cellStyle xfId="0" name="Normal" builtinId="0"/>
  </cellStyles>
  <dxfs count="7">
    <dxf>
      <font/>
      <fill>
        <patternFill patternType="solid">
          <fgColor rgb="FFF4CCCC"/>
          <bgColor rgb="FFF4CCCC"/>
        </patternFill>
      </fill>
      <border/>
    </dxf>
    <dxf>
      <font/>
      <fill>
        <patternFill patternType="solid">
          <fgColor rgb="FFF3F3F3"/>
          <bgColor rgb="FFF3F3F3"/>
        </patternFill>
      </fill>
      <border/>
    </dxf>
    <dxf>
      <font/>
      <fill>
        <patternFill patternType="solid">
          <fgColor rgb="FFFCE5CD"/>
          <bgColor rgb="FFFCE5CD"/>
        </patternFill>
      </fill>
      <border/>
    </dxf>
    <dxf>
      <font/>
      <fill>
        <patternFill patternType="solid">
          <fgColor rgb="FFD9EAD3"/>
          <bgColor rgb="FFD9EAD3"/>
        </patternFill>
      </fill>
      <border/>
    </dxf>
    <dxf>
      <font/>
      <fill>
        <patternFill patternType="solid">
          <fgColor rgb="FFCFE2F3"/>
          <bgColor rgb="FFCFE2F3"/>
        </patternFill>
      </fill>
      <border/>
    </dxf>
    <dxf>
      <font/>
      <fill>
        <patternFill patternType="solid">
          <fgColor rgb="FFB4A7D6"/>
          <bgColor rgb="FFB4A7D6"/>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 Rally  Hold Court  Steal Res'!$O$12</c:f>
            </c:strRef>
          </c:tx>
          <c:spPr>
            <a:ln cmpd="sng">
              <a:solidFill>
                <a:srgbClr val="FF9900">
                  <a:alpha val="100000"/>
                </a:srgbClr>
              </a:solidFill>
            </a:ln>
          </c:spPr>
          <c:marker>
            <c:symbol val="none"/>
          </c:marker>
          <c:cat>
            <c:strRef>
              <c:f>'📈 Rally  Hold Court  Steal Res'!$N$13:$N$17</c:f>
            </c:strRef>
          </c:cat>
          <c:val>
            <c:numRef>
              <c:f>'📈 Rally  Hold Court  Steal Res'!$O$13:$O$17</c:f>
              <c:numCache/>
            </c:numRef>
          </c:val>
          <c:smooth val="0"/>
        </c:ser>
        <c:ser>
          <c:idx val="1"/>
          <c:order val="1"/>
          <c:tx>
            <c:strRef>
              <c:f>'📈 Rally  Hold Court  Steal Res'!$O$12</c:f>
            </c:strRef>
          </c:tx>
          <c:spPr>
            <a:ln cmpd="sng">
              <a:solidFill>
                <a:srgbClr val="9900FF">
                  <a:alpha val="100000"/>
                </a:srgbClr>
              </a:solidFill>
            </a:ln>
          </c:spPr>
          <c:marker>
            <c:symbol val="none"/>
          </c:marker>
          <c:cat>
            <c:strRef>
              <c:f>'📈 Rally  Hold Court  Steal Res'!$N$13:$N$17</c:f>
            </c:strRef>
          </c:cat>
          <c:val>
            <c:numRef>
              <c:f>'📈 Rally  Hold Court  Steal Res'!$O$13:$O$17</c:f>
              <c:numCache/>
            </c:numRef>
          </c:val>
          <c:smooth val="0"/>
        </c:ser>
        <c:axId val="1405733541"/>
        <c:axId val="689913754"/>
      </c:lineChart>
      <c:catAx>
        <c:axId val="1405733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9913754"/>
      </c:catAx>
      <c:valAx>
        <c:axId val="689913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573354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Leader Science vs. Wisdom</a:t>
            </a:r>
          </a:p>
        </c:rich>
      </c:tx>
      <c:overlay val="0"/>
    </c:title>
    <c:plotArea>
      <c:layout/>
      <c:lineChart>
        <c:ser>
          <c:idx val="0"/>
          <c:order val="0"/>
          <c:tx>
            <c:strRef>
              <c:f>'🟣 Wisdom Base'!$B$4</c:f>
            </c:strRef>
          </c:tx>
          <c:spPr>
            <a:ln cmpd="sng">
              <a:solidFill>
                <a:srgbClr val="9900FF">
                  <a:alpha val="100000"/>
                </a:srgbClr>
              </a:solidFill>
            </a:ln>
          </c:spPr>
          <c:marker>
            <c:symbol val="none"/>
          </c:marker>
          <c:cat>
            <c:strRef>
              <c:f>'🟣 Wisdom Base'!$A$5:$A$23</c:f>
            </c:strRef>
          </c:cat>
          <c:val>
            <c:numRef>
              <c:f>'🟣 Wisdom Base'!$B$5:$B$23</c:f>
              <c:numCache/>
            </c:numRef>
          </c:val>
          <c:smooth val="0"/>
        </c:ser>
        <c:axId val="982427043"/>
        <c:axId val="997608908"/>
      </c:lineChart>
      <c:catAx>
        <c:axId val="982427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Wisdom</a:t>
                </a:r>
              </a:p>
            </c:rich>
          </c:tx>
          <c:overlay val="0"/>
        </c:title>
        <c:numFmt formatCode="General" sourceLinked="1"/>
        <c:majorTickMark val="none"/>
        <c:minorTickMark val="none"/>
        <c:spPr/>
        <c:txPr>
          <a:bodyPr/>
          <a:lstStyle/>
          <a:p>
            <a:pPr lvl="0">
              <a:defRPr b="0">
                <a:solidFill>
                  <a:srgbClr val="000000"/>
                </a:solidFill>
                <a:latin typeface="+mn-lt"/>
              </a:defRPr>
            </a:pPr>
          </a:p>
        </c:txPr>
        <c:crossAx val="997608908"/>
      </c:catAx>
      <c:valAx>
        <c:axId val="997608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Science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242704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Leader Civics vs. Charisma</a:t>
            </a:r>
          </a:p>
        </c:rich>
      </c:tx>
      <c:layout>
        <c:manualLayout>
          <c:xMode val="edge"/>
          <c:yMode val="edge"/>
          <c:x val="0.03512569832402235"/>
          <c:y val="0.05"/>
        </c:manualLayout>
      </c:layout>
      <c:overlay val="0"/>
    </c:title>
    <c:plotArea>
      <c:layout/>
      <c:lineChart>
        <c:ser>
          <c:idx val="0"/>
          <c:order val="0"/>
          <c:tx>
            <c:strRef>
              <c:f>'🧡 Charisma Base'!$B$4</c:f>
            </c:strRef>
          </c:tx>
          <c:spPr>
            <a:ln cmpd="sng">
              <a:solidFill>
                <a:srgbClr val="F6B26B">
                  <a:alpha val="100000"/>
                </a:srgbClr>
              </a:solidFill>
            </a:ln>
          </c:spPr>
          <c:marker>
            <c:symbol val="none"/>
          </c:marker>
          <c:cat>
            <c:strRef>
              <c:f>'🧡 Charisma Base'!$A$5:$A$23</c:f>
            </c:strRef>
          </c:cat>
          <c:val>
            <c:numRef>
              <c:f>'🧡 Charisma Base'!$B$5:$B$23</c:f>
              <c:numCache/>
            </c:numRef>
          </c:val>
          <c:smooth val="0"/>
        </c:ser>
        <c:axId val="2135372733"/>
        <c:axId val="1302533766"/>
      </c:lineChart>
      <c:catAx>
        <c:axId val="2135372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Charisma</a:t>
                </a:r>
              </a:p>
            </c:rich>
          </c:tx>
          <c:overlay val="0"/>
        </c:title>
        <c:numFmt formatCode="General" sourceLinked="1"/>
        <c:majorTickMark val="none"/>
        <c:minorTickMark val="none"/>
        <c:spPr/>
        <c:txPr>
          <a:bodyPr/>
          <a:lstStyle/>
          <a:p>
            <a:pPr lvl="0">
              <a:defRPr b="0">
                <a:solidFill>
                  <a:srgbClr val="000000"/>
                </a:solidFill>
                <a:latin typeface="+mn-lt"/>
              </a:defRPr>
            </a:pPr>
          </a:p>
        </c:txPr>
        <c:crossAx val="1302533766"/>
      </c:catAx>
      <c:valAx>
        <c:axId val="1302533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Civics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537273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Leader Training vs. Courage</a:t>
            </a:r>
          </a:p>
        </c:rich>
      </c:tx>
      <c:layout>
        <c:manualLayout>
          <c:xMode val="edge"/>
          <c:yMode val="edge"/>
          <c:x val="0.03512569832402235"/>
          <c:y val="0.05"/>
        </c:manualLayout>
      </c:layout>
      <c:overlay val="0"/>
    </c:title>
    <c:plotArea>
      <c:layout/>
      <c:lineChart>
        <c:ser>
          <c:idx val="0"/>
          <c:order val="0"/>
          <c:tx>
            <c:strRef>
              <c:f>'🔺 Courage Base'!$B$4</c:f>
            </c:strRef>
          </c:tx>
          <c:spPr>
            <a:ln cmpd="sng">
              <a:solidFill>
                <a:schemeClr val="accent2"/>
              </a:solidFill>
            </a:ln>
          </c:spPr>
          <c:marker>
            <c:symbol val="none"/>
          </c:marker>
          <c:cat>
            <c:strRef>
              <c:f>'🔺 Courage Base'!$A$5:$A$23</c:f>
            </c:strRef>
          </c:cat>
          <c:val>
            <c:numRef>
              <c:f>'🔺 Courage Base'!$B$5:$B$23</c:f>
              <c:numCache/>
            </c:numRef>
          </c:val>
          <c:smooth val="0"/>
        </c:ser>
        <c:axId val="1018622346"/>
        <c:axId val="610822407"/>
      </c:lineChart>
      <c:catAx>
        <c:axId val="1018622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Courage</a:t>
                </a:r>
              </a:p>
            </c:rich>
          </c:tx>
          <c:overlay val="0"/>
        </c:title>
        <c:numFmt formatCode="General" sourceLinked="1"/>
        <c:majorTickMark val="none"/>
        <c:minorTickMark val="none"/>
        <c:spPr/>
        <c:txPr>
          <a:bodyPr/>
          <a:lstStyle/>
          <a:p>
            <a:pPr lvl="0">
              <a:defRPr b="0">
                <a:solidFill>
                  <a:srgbClr val="000000"/>
                </a:solidFill>
                <a:latin typeface="+mn-lt"/>
              </a:defRPr>
            </a:pPr>
          </a:p>
        </c:txPr>
        <c:crossAx val="610822407"/>
      </c:catAx>
      <c:valAx>
        <c:axId val="610822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Training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862234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Leader Money vs. Discipline</a:t>
            </a:r>
          </a:p>
        </c:rich>
      </c:tx>
      <c:layout>
        <c:manualLayout>
          <c:xMode val="edge"/>
          <c:yMode val="edge"/>
          <c:x val="0.03512569832402235"/>
          <c:y val="0.05"/>
        </c:manualLayout>
      </c:layout>
      <c:overlay val="0"/>
    </c:title>
    <c:plotArea>
      <c:layout/>
      <c:lineChart>
        <c:ser>
          <c:idx val="0"/>
          <c:order val="0"/>
          <c:tx>
            <c:strRef>
              <c:f>'⚡ Discipline Base'!$B$4</c:f>
            </c:strRef>
          </c:tx>
          <c:spPr>
            <a:ln cmpd="sng">
              <a:solidFill>
                <a:schemeClr val="accent3"/>
              </a:solidFill>
            </a:ln>
          </c:spPr>
          <c:marker>
            <c:symbol val="none"/>
          </c:marker>
          <c:cat>
            <c:strRef>
              <c:f>'⚡ Discipline Base'!$A$5:$A$23</c:f>
            </c:strRef>
          </c:cat>
          <c:val>
            <c:numRef>
              <c:f>'⚡ Discipline Base'!$B$5:$B$23</c:f>
              <c:numCache/>
            </c:numRef>
          </c:val>
          <c:smooth val="0"/>
        </c:ser>
        <c:axId val="1236277720"/>
        <c:axId val="1997334267"/>
      </c:lineChart>
      <c:catAx>
        <c:axId val="12362777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Discipline</a:t>
                </a:r>
              </a:p>
            </c:rich>
          </c:tx>
          <c:overlay val="0"/>
        </c:title>
        <c:numFmt formatCode="General" sourceLinked="1"/>
        <c:majorTickMark val="none"/>
        <c:minorTickMark val="none"/>
        <c:spPr/>
        <c:txPr>
          <a:bodyPr/>
          <a:lstStyle/>
          <a:p>
            <a:pPr lvl="0">
              <a:defRPr b="0">
                <a:solidFill>
                  <a:srgbClr val="000000"/>
                </a:solidFill>
                <a:latin typeface="+mn-lt"/>
              </a:defRPr>
            </a:pPr>
          </a:p>
        </c:txPr>
        <c:crossAx val="1997334267"/>
      </c:catAx>
      <c:valAx>
        <c:axId val="19973342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Money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627772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Leader Science vs. Wisdom</a:t>
            </a:r>
          </a:p>
        </c:rich>
      </c:tx>
      <c:overlay val="0"/>
    </c:title>
    <c:plotArea>
      <c:layout/>
      <c:lineChart>
        <c:ser>
          <c:idx val="0"/>
          <c:order val="0"/>
          <c:tx>
            <c:strRef>
              <c:f>'🟣 Wisdom CM'!$B$4</c:f>
            </c:strRef>
          </c:tx>
          <c:spPr>
            <a:ln cmpd="sng">
              <a:solidFill>
                <a:srgbClr val="9900FF">
                  <a:alpha val="100000"/>
                </a:srgbClr>
              </a:solidFill>
            </a:ln>
          </c:spPr>
          <c:marker>
            <c:symbol val="none"/>
          </c:marker>
          <c:cat>
            <c:strRef>
              <c:f>'🟣 Wisdom CM'!$A$5:$A$23</c:f>
            </c:strRef>
          </c:cat>
          <c:val>
            <c:numRef>
              <c:f>'🟣 Wisdom CM'!$B$5:$B$23</c:f>
              <c:numCache/>
            </c:numRef>
          </c:val>
          <c:smooth val="0"/>
        </c:ser>
        <c:axId val="1214396105"/>
        <c:axId val="187840146"/>
      </c:lineChart>
      <c:catAx>
        <c:axId val="1214396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Wisdom</a:t>
                </a:r>
              </a:p>
            </c:rich>
          </c:tx>
          <c:overlay val="0"/>
        </c:title>
        <c:numFmt formatCode="General" sourceLinked="1"/>
        <c:majorTickMark val="none"/>
        <c:minorTickMark val="none"/>
        <c:spPr/>
        <c:txPr>
          <a:bodyPr/>
          <a:lstStyle/>
          <a:p>
            <a:pPr lvl="0">
              <a:defRPr b="0">
                <a:solidFill>
                  <a:srgbClr val="000000"/>
                </a:solidFill>
                <a:latin typeface="+mn-lt"/>
              </a:defRPr>
            </a:pPr>
          </a:p>
        </c:txPr>
        <c:crossAx val="187840146"/>
      </c:catAx>
      <c:valAx>
        <c:axId val="187840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Science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439610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Leader Civics vs. Charisma</a:t>
            </a:r>
          </a:p>
        </c:rich>
      </c:tx>
      <c:layout>
        <c:manualLayout>
          <c:xMode val="edge"/>
          <c:yMode val="edge"/>
          <c:x val="0.03512569832402235"/>
          <c:y val="0.05"/>
        </c:manualLayout>
      </c:layout>
      <c:overlay val="0"/>
    </c:title>
    <c:plotArea>
      <c:layout/>
      <c:lineChart>
        <c:ser>
          <c:idx val="0"/>
          <c:order val="0"/>
          <c:tx>
            <c:strRef>
              <c:f>'🧡 Charisma CM'!$B$4</c:f>
            </c:strRef>
          </c:tx>
          <c:spPr>
            <a:ln cmpd="sng">
              <a:solidFill>
                <a:srgbClr val="F6B26B">
                  <a:alpha val="100000"/>
                </a:srgbClr>
              </a:solidFill>
            </a:ln>
          </c:spPr>
          <c:marker>
            <c:symbol val="none"/>
          </c:marker>
          <c:cat>
            <c:strRef>
              <c:f>'🧡 Charisma CM'!$A$5:$A$23</c:f>
            </c:strRef>
          </c:cat>
          <c:val>
            <c:numRef>
              <c:f>'🧡 Charisma CM'!$B$5:$B$23</c:f>
              <c:numCache/>
            </c:numRef>
          </c:val>
          <c:smooth val="0"/>
        </c:ser>
        <c:axId val="1711676273"/>
        <c:axId val="1800311112"/>
      </c:lineChart>
      <c:catAx>
        <c:axId val="1711676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Charisma</a:t>
                </a:r>
              </a:p>
            </c:rich>
          </c:tx>
          <c:overlay val="0"/>
        </c:title>
        <c:numFmt formatCode="General" sourceLinked="1"/>
        <c:majorTickMark val="none"/>
        <c:minorTickMark val="none"/>
        <c:spPr/>
        <c:txPr>
          <a:bodyPr/>
          <a:lstStyle/>
          <a:p>
            <a:pPr lvl="0">
              <a:defRPr b="0">
                <a:solidFill>
                  <a:srgbClr val="000000"/>
                </a:solidFill>
                <a:latin typeface="+mn-lt"/>
              </a:defRPr>
            </a:pPr>
          </a:p>
        </c:txPr>
        <c:crossAx val="1800311112"/>
      </c:catAx>
      <c:valAx>
        <c:axId val="1800311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Civics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167627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Leader Training vs. Courage</a:t>
            </a:r>
          </a:p>
        </c:rich>
      </c:tx>
      <c:layout>
        <c:manualLayout>
          <c:xMode val="edge"/>
          <c:yMode val="edge"/>
          <c:x val="0.03512569832402235"/>
          <c:y val="0.05"/>
        </c:manualLayout>
      </c:layout>
      <c:overlay val="0"/>
    </c:title>
    <c:plotArea>
      <c:layout/>
      <c:lineChart>
        <c:ser>
          <c:idx val="0"/>
          <c:order val="0"/>
          <c:tx>
            <c:strRef>
              <c:f>'🔺 Courage CM'!$B$4</c:f>
            </c:strRef>
          </c:tx>
          <c:spPr>
            <a:ln cmpd="sng">
              <a:solidFill>
                <a:schemeClr val="accent2"/>
              </a:solidFill>
            </a:ln>
          </c:spPr>
          <c:marker>
            <c:symbol val="none"/>
          </c:marker>
          <c:cat>
            <c:strRef>
              <c:f>'🔺 Courage CM'!$A$5:$A$23</c:f>
            </c:strRef>
          </c:cat>
          <c:val>
            <c:numRef>
              <c:f>'🔺 Courage CM'!$B$5:$B$23</c:f>
              <c:numCache/>
            </c:numRef>
          </c:val>
          <c:smooth val="0"/>
        </c:ser>
        <c:axId val="1455317477"/>
        <c:axId val="1149970199"/>
      </c:lineChart>
      <c:catAx>
        <c:axId val="1455317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Courage</a:t>
                </a:r>
              </a:p>
            </c:rich>
          </c:tx>
          <c:overlay val="0"/>
        </c:title>
        <c:numFmt formatCode="General" sourceLinked="1"/>
        <c:majorTickMark val="none"/>
        <c:minorTickMark val="none"/>
        <c:spPr/>
        <c:txPr>
          <a:bodyPr/>
          <a:lstStyle/>
          <a:p>
            <a:pPr lvl="0">
              <a:defRPr b="0">
                <a:solidFill>
                  <a:srgbClr val="000000"/>
                </a:solidFill>
                <a:latin typeface="+mn-lt"/>
              </a:defRPr>
            </a:pPr>
          </a:p>
        </c:txPr>
        <c:crossAx val="1149970199"/>
      </c:catAx>
      <c:valAx>
        <c:axId val="1149970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Training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531747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Leader Money vs. Discipline</a:t>
            </a:r>
          </a:p>
        </c:rich>
      </c:tx>
      <c:layout>
        <c:manualLayout>
          <c:xMode val="edge"/>
          <c:yMode val="edge"/>
          <c:x val="0.03512569832402235"/>
          <c:y val="0.05"/>
        </c:manualLayout>
      </c:layout>
      <c:overlay val="0"/>
    </c:title>
    <c:plotArea>
      <c:layout/>
      <c:lineChart>
        <c:ser>
          <c:idx val="0"/>
          <c:order val="0"/>
          <c:tx>
            <c:strRef>
              <c:f>'⚡ Discipline CM'!$B$4</c:f>
            </c:strRef>
          </c:tx>
          <c:spPr>
            <a:ln cmpd="sng">
              <a:solidFill>
                <a:schemeClr val="accent3"/>
              </a:solidFill>
            </a:ln>
          </c:spPr>
          <c:marker>
            <c:symbol val="none"/>
          </c:marker>
          <c:cat>
            <c:strRef>
              <c:f>'⚡ Discipline CM'!$A$5:$A$23</c:f>
            </c:strRef>
          </c:cat>
          <c:val>
            <c:numRef>
              <c:f>'⚡ Discipline CM'!$B$5:$B$23</c:f>
              <c:numCache/>
            </c:numRef>
          </c:val>
          <c:smooth val="0"/>
        </c:ser>
        <c:axId val="1766741313"/>
        <c:axId val="870147924"/>
      </c:lineChart>
      <c:catAx>
        <c:axId val="1766741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Discipline</a:t>
                </a:r>
              </a:p>
            </c:rich>
          </c:tx>
          <c:overlay val="0"/>
        </c:title>
        <c:numFmt formatCode="General" sourceLinked="1"/>
        <c:majorTickMark val="none"/>
        <c:minorTickMark val="none"/>
        <c:spPr/>
        <c:txPr>
          <a:bodyPr/>
          <a:lstStyle/>
          <a:p>
            <a:pPr lvl="0">
              <a:defRPr b="0">
                <a:solidFill>
                  <a:srgbClr val="000000"/>
                </a:solidFill>
                <a:latin typeface="+mn-lt"/>
              </a:defRPr>
            </a:pPr>
          </a:p>
        </c:txPr>
        <c:crossAx val="870147924"/>
      </c:catAx>
      <c:valAx>
        <c:axId val="870147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Leader Money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674131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2.png"/><Relationship Id="rId10" Type="http://schemas.openxmlformats.org/officeDocument/2006/relationships/image" Target="../media/image4.png"/><Relationship Id="rId13" Type="http://schemas.openxmlformats.org/officeDocument/2006/relationships/image" Target="../media/image11.png"/><Relationship Id="rId12" Type="http://schemas.openxmlformats.org/officeDocument/2006/relationships/image" Target="../media/image10.png"/><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image" Target="../media/image15.png"/><Relationship Id="rId14" Type="http://schemas.openxmlformats.org/officeDocument/2006/relationships/image" Target="../media/image6.png"/><Relationship Id="rId5" Type="http://schemas.openxmlformats.org/officeDocument/2006/relationships/image" Target="../media/image12.png"/><Relationship Id="rId6" Type="http://schemas.openxmlformats.org/officeDocument/2006/relationships/image" Target="../media/image14.png"/><Relationship Id="rId7" Type="http://schemas.openxmlformats.org/officeDocument/2006/relationships/image" Target="../media/image13.png"/><Relationship Id="rId8" Type="http://schemas.openxmlformats.org/officeDocument/2006/relationships/image" Target="../media/image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23.png"/><Relationship Id="rId3" Type="http://schemas.openxmlformats.org/officeDocument/2006/relationships/image" Target="../media/image21.png"/><Relationship Id="rId4" Type="http://schemas.openxmlformats.org/officeDocument/2006/relationships/image" Target="../media/image20.png"/><Relationship Id="rId9" Type="http://schemas.openxmlformats.org/officeDocument/2006/relationships/image" Target="../media/image42.png"/><Relationship Id="rId5" Type="http://schemas.openxmlformats.org/officeDocument/2006/relationships/image" Target="../media/image22.png"/><Relationship Id="rId6" Type="http://schemas.openxmlformats.org/officeDocument/2006/relationships/image" Target="../media/image17.png"/><Relationship Id="rId7" Type="http://schemas.openxmlformats.org/officeDocument/2006/relationships/image" Target="../media/image19.png"/><Relationship Id="rId8"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1" Type="http://schemas.openxmlformats.org/officeDocument/2006/relationships/image" Target="../media/image35.png"/><Relationship Id="rId10" Type="http://schemas.openxmlformats.org/officeDocument/2006/relationships/image" Target="../media/image31.png"/><Relationship Id="rId1" Type="http://schemas.openxmlformats.org/officeDocument/2006/relationships/image" Target="../media/image36.png"/><Relationship Id="rId2" Type="http://schemas.openxmlformats.org/officeDocument/2006/relationships/image" Target="../media/image29.png"/><Relationship Id="rId3" Type="http://schemas.openxmlformats.org/officeDocument/2006/relationships/image" Target="../media/image24.png"/><Relationship Id="rId4" Type="http://schemas.openxmlformats.org/officeDocument/2006/relationships/image" Target="../media/image26.png"/><Relationship Id="rId9" Type="http://schemas.openxmlformats.org/officeDocument/2006/relationships/image" Target="../media/image25.png"/><Relationship Id="rId5" Type="http://schemas.openxmlformats.org/officeDocument/2006/relationships/image" Target="../media/image51.png"/><Relationship Id="rId6" Type="http://schemas.openxmlformats.org/officeDocument/2006/relationships/image" Target="../media/image30.png"/><Relationship Id="rId7" Type="http://schemas.openxmlformats.org/officeDocument/2006/relationships/image" Target="../media/image27.png"/><Relationship Id="rId8" Type="http://schemas.openxmlformats.org/officeDocument/2006/relationships/image" Target="../media/image28.png"/></Relationships>
</file>

<file path=xl/drawings/_rels/drawing17.xml.rels><?xml version="1.0" encoding="UTF-8" standalone="yes"?><Relationships xmlns="http://schemas.openxmlformats.org/package/2006/relationships"><Relationship Id="rId11" Type="http://schemas.openxmlformats.org/officeDocument/2006/relationships/image" Target="../media/image38.png"/><Relationship Id="rId10" Type="http://schemas.openxmlformats.org/officeDocument/2006/relationships/image" Target="../media/image50.png"/><Relationship Id="rId13" Type="http://schemas.openxmlformats.org/officeDocument/2006/relationships/image" Target="../media/image40.png"/><Relationship Id="rId12" Type="http://schemas.openxmlformats.org/officeDocument/2006/relationships/image" Target="../media/image47.png"/><Relationship Id="rId1" Type="http://schemas.openxmlformats.org/officeDocument/2006/relationships/image" Target="../media/image44.png"/><Relationship Id="rId2" Type="http://schemas.openxmlformats.org/officeDocument/2006/relationships/image" Target="../media/image48.png"/><Relationship Id="rId3" Type="http://schemas.openxmlformats.org/officeDocument/2006/relationships/image" Target="../media/image41.png"/><Relationship Id="rId4" Type="http://schemas.openxmlformats.org/officeDocument/2006/relationships/image" Target="../media/image39.png"/><Relationship Id="rId9" Type="http://schemas.openxmlformats.org/officeDocument/2006/relationships/image" Target="../media/image43.png"/><Relationship Id="rId15" Type="http://schemas.openxmlformats.org/officeDocument/2006/relationships/image" Target="../media/image46.png"/><Relationship Id="rId14" Type="http://schemas.openxmlformats.org/officeDocument/2006/relationships/image" Target="../media/image37.png"/><Relationship Id="rId16" Type="http://schemas.openxmlformats.org/officeDocument/2006/relationships/image" Target="../media/image45.png"/><Relationship Id="rId5" Type="http://schemas.openxmlformats.org/officeDocument/2006/relationships/image" Target="../media/image32.png"/><Relationship Id="rId6" Type="http://schemas.openxmlformats.org/officeDocument/2006/relationships/image" Target="../media/image33.png"/><Relationship Id="rId7" Type="http://schemas.openxmlformats.org/officeDocument/2006/relationships/image" Target="../media/image49.png"/><Relationship Id="rId8" Type="http://schemas.openxmlformats.org/officeDocument/2006/relationships/image" Target="../media/image34.png"/></Relationships>
</file>

<file path=xl/drawings/_rels/drawing19.xml.rels><?xml version="1.0" encoding="UTF-8" standalone="yes"?><Relationships xmlns="http://schemas.openxmlformats.org/package/2006/relationships"><Relationship Id="rId20" Type="http://schemas.openxmlformats.org/officeDocument/2006/relationships/image" Target="../media/image66.png"/><Relationship Id="rId11" Type="http://schemas.openxmlformats.org/officeDocument/2006/relationships/image" Target="../media/image59.png"/><Relationship Id="rId22" Type="http://schemas.openxmlformats.org/officeDocument/2006/relationships/image" Target="../media/image57.png"/><Relationship Id="rId10" Type="http://schemas.openxmlformats.org/officeDocument/2006/relationships/image" Target="../media/image62.png"/><Relationship Id="rId21" Type="http://schemas.openxmlformats.org/officeDocument/2006/relationships/image" Target="../media/image75.png"/><Relationship Id="rId13" Type="http://schemas.openxmlformats.org/officeDocument/2006/relationships/image" Target="../media/image63.png"/><Relationship Id="rId24" Type="http://schemas.openxmlformats.org/officeDocument/2006/relationships/image" Target="../media/image68.png"/><Relationship Id="rId12" Type="http://schemas.openxmlformats.org/officeDocument/2006/relationships/image" Target="../media/image61.png"/><Relationship Id="rId23" Type="http://schemas.openxmlformats.org/officeDocument/2006/relationships/image" Target="../media/image56.png"/><Relationship Id="rId1" Type="http://schemas.openxmlformats.org/officeDocument/2006/relationships/image" Target="../media/image73.png"/><Relationship Id="rId2" Type="http://schemas.openxmlformats.org/officeDocument/2006/relationships/image" Target="../media/image52.png"/><Relationship Id="rId3" Type="http://schemas.openxmlformats.org/officeDocument/2006/relationships/image" Target="../media/image70.png"/><Relationship Id="rId4" Type="http://schemas.openxmlformats.org/officeDocument/2006/relationships/image" Target="../media/image69.png"/><Relationship Id="rId9" Type="http://schemas.openxmlformats.org/officeDocument/2006/relationships/image" Target="../media/image60.png"/><Relationship Id="rId15" Type="http://schemas.openxmlformats.org/officeDocument/2006/relationships/image" Target="../media/image54.png"/><Relationship Id="rId14" Type="http://schemas.openxmlformats.org/officeDocument/2006/relationships/image" Target="../media/image55.png"/><Relationship Id="rId17" Type="http://schemas.openxmlformats.org/officeDocument/2006/relationships/image" Target="../media/image67.png"/><Relationship Id="rId16" Type="http://schemas.openxmlformats.org/officeDocument/2006/relationships/image" Target="../media/image65.png"/><Relationship Id="rId5" Type="http://schemas.openxmlformats.org/officeDocument/2006/relationships/image" Target="../media/image72.png"/><Relationship Id="rId19" Type="http://schemas.openxmlformats.org/officeDocument/2006/relationships/image" Target="../media/image71.png"/><Relationship Id="rId6" Type="http://schemas.openxmlformats.org/officeDocument/2006/relationships/image" Target="../media/image64.png"/><Relationship Id="rId18" Type="http://schemas.openxmlformats.org/officeDocument/2006/relationships/image" Target="../media/image58.png"/><Relationship Id="rId7" Type="http://schemas.openxmlformats.org/officeDocument/2006/relationships/image" Target="../media/image74.png"/><Relationship Id="rId8" Type="http://schemas.openxmlformats.org/officeDocument/2006/relationships/image" Target="../media/image53.png"/></Relationships>
</file>

<file path=xl/drawings/_rels/drawing21.xml.rels><?xml version="1.0" encoding="UTF-8" standalone="yes"?><Relationships xmlns="http://schemas.openxmlformats.org/package/2006/relationships"><Relationship Id="rId40" Type="http://schemas.openxmlformats.org/officeDocument/2006/relationships/image" Target="../media/image117.png"/><Relationship Id="rId42" Type="http://schemas.openxmlformats.org/officeDocument/2006/relationships/image" Target="../media/image108.png"/><Relationship Id="rId41" Type="http://schemas.openxmlformats.org/officeDocument/2006/relationships/image" Target="../media/image114.png"/><Relationship Id="rId44" Type="http://schemas.openxmlformats.org/officeDocument/2006/relationships/image" Target="../media/image123.png"/><Relationship Id="rId43" Type="http://schemas.openxmlformats.org/officeDocument/2006/relationships/image" Target="../media/image113.png"/><Relationship Id="rId46" Type="http://schemas.openxmlformats.org/officeDocument/2006/relationships/image" Target="../media/image118.png"/><Relationship Id="rId45" Type="http://schemas.openxmlformats.org/officeDocument/2006/relationships/image" Target="../media/image112.png"/><Relationship Id="rId1" Type="http://schemas.openxmlformats.org/officeDocument/2006/relationships/image" Target="../media/image76.png"/><Relationship Id="rId2" Type="http://schemas.openxmlformats.org/officeDocument/2006/relationships/image" Target="../media/image86.png"/><Relationship Id="rId3" Type="http://schemas.openxmlformats.org/officeDocument/2006/relationships/image" Target="../media/image94.png"/><Relationship Id="rId4" Type="http://schemas.openxmlformats.org/officeDocument/2006/relationships/image" Target="../media/image84.png"/><Relationship Id="rId9" Type="http://schemas.openxmlformats.org/officeDocument/2006/relationships/image" Target="../media/image90.png"/><Relationship Id="rId48" Type="http://schemas.openxmlformats.org/officeDocument/2006/relationships/image" Target="../media/image115.png"/><Relationship Id="rId47" Type="http://schemas.openxmlformats.org/officeDocument/2006/relationships/image" Target="../media/image111.png"/><Relationship Id="rId49" Type="http://schemas.openxmlformats.org/officeDocument/2006/relationships/image" Target="../media/image116.png"/><Relationship Id="rId5" Type="http://schemas.openxmlformats.org/officeDocument/2006/relationships/image" Target="../media/image83.png"/><Relationship Id="rId6" Type="http://schemas.openxmlformats.org/officeDocument/2006/relationships/image" Target="../media/image79.png"/><Relationship Id="rId7" Type="http://schemas.openxmlformats.org/officeDocument/2006/relationships/image" Target="../media/image80.png"/><Relationship Id="rId8" Type="http://schemas.openxmlformats.org/officeDocument/2006/relationships/image" Target="../media/image78.png"/><Relationship Id="rId31" Type="http://schemas.openxmlformats.org/officeDocument/2006/relationships/image" Target="../media/image106.png"/><Relationship Id="rId30" Type="http://schemas.openxmlformats.org/officeDocument/2006/relationships/image" Target="../media/image103.png"/><Relationship Id="rId33" Type="http://schemas.openxmlformats.org/officeDocument/2006/relationships/image" Target="../media/image99.png"/><Relationship Id="rId32" Type="http://schemas.openxmlformats.org/officeDocument/2006/relationships/image" Target="../media/image97.png"/><Relationship Id="rId35" Type="http://schemas.openxmlformats.org/officeDocument/2006/relationships/image" Target="../media/image105.png"/><Relationship Id="rId34" Type="http://schemas.openxmlformats.org/officeDocument/2006/relationships/image" Target="../media/image110.png"/><Relationship Id="rId37" Type="http://schemas.openxmlformats.org/officeDocument/2006/relationships/image" Target="../media/image101.png"/><Relationship Id="rId36" Type="http://schemas.openxmlformats.org/officeDocument/2006/relationships/image" Target="../media/image96.png"/><Relationship Id="rId39" Type="http://schemas.openxmlformats.org/officeDocument/2006/relationships/image" Target="../media/image100.png"/><Relationship Id="rId38" Type="http://schemas.openxmlformats.org/officeDocument/2006/relationships/image" Target="../media/image124.png"/><Relationship Id="rId20" Type="http://schemas.openxmlformats.org/officeDocument/2006/relationships/image" Target="../media/image93.png"/><Relationship Id="rId22" Type="http://schemas.openxmlformats.org/officeDocument/2006/relationships/image" Target="../media/image92.png"/><Relationship Id="rId21" Type="http://schemas.openxmlformats.org/officeDocument/2006/relationships/image" Target="../media/image91.png"/><Relationship Id="rId24" Type="http://schemas.openxmlformats.org/officeDocument/2006/relationships/image" Target="../media/image119.png"/><Relationship Id="rId23" Type="http://schemas.openxmlformats.org/officeDocument/2006/relationships/image" Target="../media/image122.png"/><Relationship Id="rId26" Type="http://schemas.openxmlformats.org/officeDocument/2006/relationships/image" Target="../media/image102.png"/><Relationship Id="rId25" Type="http://schemas.openxmlformats.org/officeDocument/2006/relationships/image" Target="../media/image82.png"/><Relationship Id="rId28" Type="http://schemas.openxmlformats.org/officeDocument/2006/relationships/image" Target="../media/image107.png"/><Relationship Id="rId27" Type="http://schemas.openxmlformats.org/officeDocument/2006/relationships/image" Target="../media/image98.png"/><Relationship Id="rId29" Type="http://schemas.openxmlformats.org/officeDocument/2006/relationships/image" Target="../media/image109.png"/><Relationship Id="rId11" Type="http://schemas.openxmlformats.org/officeDocument/2006/relationships/image" Target="../media/image104.png"/><Relationship Id="rId10" Type="http://schemas.openxmlformats.org/officeDocument/2006/relationships/image" Target="../media/image77.png"/><Relationship Id="rId13" Type="http://schemas.openxmlformats.org/officeDocument/2006/relationships/image" Target="../media/image88.png"/><Relationship Id="rId12" Type="http://schemas.openxmlformats.org/officeDocument/2006/relationships/image" Target="../media/image81.png"/><Relationship Id="rId15" Type="http://schemas.openxmlformats.org/officeDocument/2006/relationships/image" Target="../media/image121.png"/><Relationship Id="rId14" Type="http://schemas.openxmlformats.org/officeDocument/2006/relationships/image" Target="../media/image85.png"/><Relationship Id="rId17" Type="http://schemas.openxmlformats.org/officeDocument/2006/relationships/image" Target="../media/image95.png"/><Relationship Id="rId16" Type="http://schemas.openxmlformats.org/officeDocument/2006/relationships/image" Target="../media/image120.png"/><Relationship Id="rId19" Type="http://schemas.openxmlformats.org/officeDocument/2006/relationships/image" Target="../media/image89.png"/><Relationship Id="rId18" Type="http://schemas.openxmlformats.org/officeDocument/2006/relationships/image" Target="../media/image87.png"/></Relationships>
</file>

<file path=xl/drawings/_rels/drawing22.xml.rels><?xml version="1.0" encoding="UTF-8" standalone="yes"?><Relationships xmlns="http://schemas.openxmlformats.org/package/2006/relationships"><Relationship Id="rId40" Type="http://schemas.openxmlformats.org/officeDocument/2006/relationships/image" Target="../media/image117.png"/><Relationship Id="rId42" Type="http://schemas.openxmlformats.org/officeDocument/2006/relationships/image" Target="../media/image108.png"/><Relationship Id="rId41" Type="http://schemas.openxmlformats.org/officeDocument/2006/relationships/image" Target="../media/image114.png"/><Relationship Id="rId44" Type="http://schemas.openxmlformats.org/officeDocument/2006/relationships/image" Target="../media/image123.png"/><Relationship Id="rId43" Type="http://schemas.openxmlformats.org/officeDocument/2006/relationships/image" Target="../media/image113.png"/><Relationship Id="rId46" Type="http://schemas.openxmlformats.org/officeDocument/2006/relationships/image" Target="../media/image118.png"/><Relationship Id="rId45" Type="http://schemas.openxmlformats.org/officeDocument/2006/relationships/image" Target="../media/image112.png"/><Relationship Id="rId1" Type="http://schemas.openxmlformats.org/officeDocument/2006/relationships/image" Target="../media/image76.png"/><Relationship Id="rId2" Type="http://schemas.openxmlformats.org/officeDocument/2006/relationships/image" Target="../media/image86.png"/><Relationship Id="rId3" Type="http://schemas.openxmlformats.org/officeDocument/2006/relationships/image" Target="../media/image94.png"/><Relationship Id="rId4" Type="http://schemas.openxmlformats.org/officeDocument/2006/relationships/image" Target="../media/image84.png"/><Relationship Id="rId9" Type="http://schemas.openxmlformats.org/officeDocument/2006/relationships/image" Target="../media/image90.png"/><Relationship Id="rId48" Type="http://schemas.openxmlformats.org/officeDocument/2006/relationships/image" Target="../media/image115.png"/><Relationship Id="rId47" Type="http://schemas.openxmlformats.org/officeDocument/2006/relationships/image" Target="../media/image111.png"/><Relationship Id="rId49" Type="http://schemas.openxmlformats.org/officeDocument/2006/relationships/image" Target="../media/image116.png"/><Relationship Id="rId5" Type="http://schemas.openxmlformats.org/officeDocument/2006/relationships/image" Target="../media/image83.png"/><Relationship Id="rId6" Type="http://schemas.openxmlformats.org/officeDocument/2006/relationships/image" Target="../media/image79.png"/><Relationship Id="rId7" Type="http://schemas.openxmlformats.org/officeDocument/2006/relationships/image" Target="../media/image80.png"/><Relationship Id="rId8" Type="http://schemas.openxmlformats.org/officeDocument/2006/relationships/image" Target="../media/image78.png"/><Relationship Id="rId31" Type="http://schemas.openxmlformats.org/officeDocument/2006/relationships/image" Target="../media/image106.png"/><Relationship Id="rId30" Type="http://schemas.openxmlformats.org/officeDocument/2006/relationships/image" Target="../media/image103.png"/><Relationship Id="rId33" Type="http://schemas.openxmlformats.org/officeDocument/2006/relationships/image" Target="../media/image99.png"/><Relationship Id="rId32" Type="http://schemas.openxmlformats.org/officeDocument/2006/relationships/image" Target="../media/image97.png"/><Relationship Id="rId35" Type="http://schemas.openxmlformats.org/officeDocument/2006/relationships/image" Target="../media/image105.png"/><Relationship Id="rId34" Type="http://schemas.openxmlformats.org/officeDocument/2006/relationships/image" Target="../media/image110.png"/><Relationship Id="rId37" Type="http://schemas.openxmlformats.org/officeDocument/2006/relationships/image" Target="../media/image101.png"/><Relationship Id="rId36" Type="http://schemas.openxmlformats.org/officeDocument/2006/relationships/image" Target="../media/image96.png"/><Relationship Id="rId39" Type="http://schemas.openxmlformats.org/officeDocument/2006/relationships/image" Target="../media/image100.png"/><Relationship Id="rId38" Type="http://schemas.openxmlformats.org/officeDocument/2006/relationships/image" Target="../media/image124.png"/><Relationship Id="rId20" Type="http://schemas.openxmlformats.org/officeDocument/2006/relationships/image" Target="../media/image93.png"/><Relationship Id="rId22" Type="http://schemas.openxmlformats.org/officeDocument/2006/relationships/image" Target="../media/image92.png"/><Relationship Id="rId21" Type="http://schemas.openxmlformats.org/officeDocument/2006/relationships/image" Target="../media/image91.png"/><Relationship Id="rId24" Type="http://schemas.openxmlformats.org/officeDocument/2006/relationships/image" Target="../media/image119.png"/><Relationship Id="rId23" Type="http://schemas.openxmlformats.org/officeDocument/2006/relationships/image" Target="../media/image122.png"/><Relationship Id="rId26" Type="http://schemas.openxmlformats.org/officeDocument/2006/relationships/image" Target="../media/image102.png"/><Relationship Id="rId25" Type="http://schemas.openxmlformats.org/officeDocument/2006/relationships/image" Target="../media/image82.png"/><Relationship Id="rId28" Type="http://schemas.openxmlformats.org/officeDocument/2006/relationships/image" Target="../media/image107.png"/><Relationship Id="rId27" Type="http://schemas.openxmlformats.org/officeDocument/2006/relationships/image" Target="../media/image98.png"/><Relationship Id="rId29" Type="http://schemas.openxmlformats.org/officeDocument/2006/relationships/image" Target="../media/image109.png"/><Relationship Id="rId11" Type="http://schemas.openxmlformats.org/officeDocument/2006/relationships/image" Target="../media/image104.png"/><Relationship Id="rId10" Type="http://schemas.openxmlformats.org/officeDocument/2006/relationships/image" Target="../media/image77.png"/><Relationship Id="rId13" Type="http://schemas.openxmlformats.org/officeDocument/2006/relationships/image" Target="../media/image88.png"/><Relationship Id="rId12" Type="http://schemas.openxmlformats.org/officeDocument/2006/relationships/image" Target="../media/image81.png"/><Relationship Id="rId15" Type="http://schemas.openxmlformats.org/officeDocument/2006/relationships/image" Target="../media/image121.png"/><Relationship Id="rId14" Type="http://schemas.openxmlformats.org/officeDocument/2006/relationships/image" Target="../media/image85.png"/><Relationship Id="rId17" Type="http://schemas.openxmlformats.org/officeDocument/2006/relationships/image" Target="../media/image95.png"/><Relationship Id="rId16" Type="http://schemas.openxmlformats.org/officeDocument/2006/relationships/image" Target="../media/image120.png"/><Relationship Id="rId19" Type="http://schemas.openxmlformats.org/officeDocument/2006/relationships/image" Target="../media/image89.png"/><Relationship Id="rId18" Type="http://schemas.openxmlformats.org/officeDocument/2006/relationships/image" Target="../media/image87.png"/></Relationships>
</file>

<file path=xl/drawings/_rels/drawing27.xml.rels><?xml version="1.0" encoding="UTF-8" standalone="yes"?><Relationships xmlns="http://schemas.openxmlformats.org/package/2006/relationships"><Relationship Id="rId40" Type="http://schemas.openxmlformats.org/officeDocument/2006/relationships/image" Target="../media/image166.png"/><Relationship Id="rId42" Type="http://schemas.openxmlformats.org/officeDocument/2006/relationships/image" Target="../media/image151.png"/><Relationship Id="rId41" Type="http://schemas.openxmlformats.org/officeDocument/2006/relationships/image" Target="../media/image162.png"/><Relationship Id="rId44" Type="http://schemas.openxmlformats.org/officeDocument/2006/relationships/image" Target="../media/image167.png"/><Relationship Id="rId43" Type="http://schemas.openxmlformats.org/officeDocument/2006/relationships/image" Target="../media/image161.png"/><Relationship Id="rId1" Type="http://schemas.openxmlformats.org/officeDocument/2006/relationships/image" Target="../media/image154.png"/><Relationship Id="rId2" Type="http://schemas.openxmlformats.org/officeDocument/2006/relationships/image" Target="../media/image141.png"/><Relationship Id="rId3" Type="http://schemas.openxmlformats.org/officeDocument/2006/relationships/image" Target="../media/image135.png"/><Relationship Id="rId4" Type="http://schemas.openxmlformats.org/officeDocument/2006/relationships/image" Target="../media/image137.png"/><Relationship Id="rId9" Type="http://schemas.openxmlformats.org/officeDocument/2006/relationships/image" Target="../media/image150.png"/><Relationship Id="rId5" Type="http://schemas.openxmlformats.org/officeDocument/2006/relationships/image" Target="../media/image168.png"/><Relationship Id="rId6" Type="http://schemas.openxmlformats.org/officeDocument/2006/relationships/image" Target="../media/image157.png"/><Relationship Id="rId7" Type="http://schemas.openxmlformats.org/officeDocument/2006/relationships/image" Target="../media/image165.png"/><Relationship Id="rId8" Type="http://schemas.openxmlformats.org/officeDocument/2006/relationships/image" Target="../media/image128.png"/><Relationship Id="rId31" Type="http://schemas.openxmlformats.org/officeDocument/2006/relationships/image" Target="../media/image159.png"/><Relationship Id="rId30" Type="http://schemas.openxmlformats.org/officeDocument/2006/relationships/image" Target="../media/image140.png"/><Relationship Id="rId33" Type="http://schemas.openxmlformats.org/officeDocument/2006/relationships/image" Target="../media/image156.png"/><Relationship Id="rId32" Type="http://schemas.openxmlformats.org/officeDocument/2006/relationships/image" Target="../media/image153.png"/><Relationship Id="rId35" Type="http://schemas.openxmlformats.org/officeDocument/2006/relationships/image" Target="../media/image148.png"/><Relationship Id="rId34" Type="http://schemas.openxmlformats.org/officeDocument/2006/relationships/image" Target="../media/image155.png"/><Relationship Id="rId37" Type="http://schemas.openxmlformats.org/officeDocument/2006/relationships/image" Target="../media/image158.png"/><Relationship Id="rId36" Type="http://schemas.openxmlformats.org/officeDocument/2006/relationships/image" Target="../media/image142.png"/><Relationship Id="rId39" Type="http://schemas.openxmlformats.org/officeDocument/2006/relationships/image" Target="../media/image147.png"/><Relationship Id="rId38" Type="http://schemas.openxmlformats.org/officeDocument/2006/relationships/image" Target="../media/image143.png"/><Relationship Id="rId20" Type="http://schemas.openxmlformats.org/officeDocument/2006/relationships/image" Target="../media/image163.png"/><Relationship Id="rId22" Type="http://schemas.openxmlformats.org/officeDocument/2006/relationships/image" Target="../media/image132.png"/><Relationship Id="rId21" Type="http://schemas.openxmlformats.org/officeDocument/2006/relationships/image" Target="../media/image131.png"/><Relationship Id="rId24" Type="http://schemas.openxmlformats.org/officeDocument/2006/relationships/image" Target="../media/image129.png"/><Relationship Id="rId23" Type="http://schemas.openxmlformats.org/officeDocument/2006/relationships/image" Target="../media/image126.png"/><Relationship Id="rId26" Type="http://schemas.openxmlformats.org/officeDocument/2006/relationships/image" Target="../media/image144.png"/><Relationship Id="rId25" Type="http://schemas.openxmlformats.org/officeDocument/2006/relationships/image" Target="../media/image139.png"/><Relationship Id="rId28" Type="http://schemas.openxmlformats.org/officeDocument/2006/relationships/image" Target="../media/image152.png"/><Relationship Id="rId27" Type="http://schemas.openxmlformats.org/officeDocument/2006/relationships/image" Target="../media/image146.png"/><Relationship Id="rId29" Type="http://schemas.openxmlformats.org/officeDocument/2006/relationships/image" Target="../media/image149.png"/><Relationship Id="rId11" Type="http://schemas.openxmlformats.org/officeDocument/2006/relationships/image" Target="../media/image160.png"/><Relationship Id="rId10" Type="http://schemas.openxmlformats.org/officeDocument/2006/relationships/image" Target="../media/image125.png"/><Relationship Id="rId13" Type="http://schemas.openxmlformats.org/officeDocument/2006/relationships/image" Target="../media/image133.png"/><Relationship Id="rId12" Type="http://schemas.openxmlformats.org/officeDocument/2006/relationships/image" Target="../media/image145.png"/><Relationship Id="rId15" Type="http://schemas.openxmlformats.org/officeDocument/2006/relationships/image" Target="../media/image127.png"/><Relationship Id="rId14" Type="http://schemas.openxmlformats.org/officeDocument/2006/relationships/image" Target="../media/image136.png"/><Relationship Id="rId17" Type="http://schemas.openxmlformats.org/officeDocument/2006/relationships/image" Target="../media/image164.png"/><Relationship Id="rId16" Type="http://schemas.openxmlformats.org/officeDocument/2006/relationships/image" Target="../media/image134.png"/><Relationship Id="rId19" Type="http://schemas.openxmlformats.org/officeDocument/2006/relationships/image" Target="../media/image130.png"/><Relationship Id="rId18" Type="http://schemas.openxmlformats.org/officeDocument/2006/relationships/image" Target="../media/image138.png"/></Relationships>
</file>

<file path=xl/drawings/_rels/drawing3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69.png"/></Relationships>
</file>

<file path=xl/drawings/_rels/drawing3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70.png"/></Relationships>
</file>

<file path=xl/drawings/_rels/drawing3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70.png"/></Relationships>
</file>

<file path=xl/drawings/_rels/drawing3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3</xdr:row>
      <xdr:rowOff>200025</xdr:rowOff>
    </xdr:from>
    <xdr:ext cx="190500"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666750</xdr:rowOff>
    </xdr:from>
    <xdr:ext cx="676275" cy="6762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666750" cy="666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666750" cy="6667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666750" cy="6667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666750" cy="6667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666750" cy="666750"/>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666750" cy="66675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666750" cy="66675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666750" cy="666750"/>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666750" cy="666750"/>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666750" cy="666750"/>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666750" cy="66675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666750" cy="666750"/>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666750" cy="666750"/>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666750" cy="666750"/>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76250" cy="47625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466725" cy="466725"/>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476250" cy="4762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xdr:row>
      <xdr:rowOff>0</xdr:rowOff>
    </xdr:from>
    <xdr:ext cx="466725" cy="466725"/>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10</xdr:row>
      <xdr:rowOff>0</xdr:rowOff>
    </xdr:from>
    <xdr:ext cx="476250" cy="476250"/>
    <xdr:pic>
      <xdr:nvPicPr>
        <xdr:cNvPr id="0" name="image2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12</xdr:row>
      <xdr:rowOff>0</xdr:rowOff>
    </xdr:from>
    <xdr:ext cx="476250" cy="47625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xdr:row>
      <xdr:rowOff>0</xdr:rowOff>
    </xdr:from>
    <xdr:ext cx="476250" cy="47625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16</xdr:row>
      <xdr:rowOff>0</xdr:rowOff>
    </xdr:from>
    <xdr:ext cx="476250" cy="47625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18</xdr:row>
      <xdr:rowOff>0</xdr:rowOff>
    </xdr:from>
    <xdr:ext cx="476250" cy="476250"/>
    <xdr:pic>
      <xdr:nvPicPr>
        <xdr:cNvPr id="0" name="image42.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809625" cy="809625"/>
    <xdr:pic>
      <xdr:nvPicPr>
        <xdr:cNvPr id="0" name="image3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809625" cy="809625"/>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809625" cy="809625"/>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809625" cy="80962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809625" cy="80962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809625" cy="809625"/>
    <xdr:pic>
      <xdr:nvPicPr>
        <xdr:cNvPr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809625" cy="809625"/>
    <xdr:pic>
      <xdr:nvPicPr>
        <xdr:cNvPr id="0" name="image30.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809625" cy="809625"/>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809625" cy="80962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809625" cy="809625"/>
    <xdr:pic>
      <xdr:nvPicPr>
        <xdr:cNvPr id="0" name="image25.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809625" cy="809625"/>
    <xdr:pic>
      <xdr:nvPicPr>
        <xdr:cNvPr id="0" name="image31.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809625" cy="809625"/>
    <xdr:pic>
      <xdr:nvPicPr>
        <xdr:cNvPr id="0" name="image35.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809625" cy="80962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190500" cy="190500"/>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190500" cy="190500"/>
    <xdr:pic>
      <xdr:nvPicPr>
        <xdr:cNvPr id="0" name="image48.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190500" cy="19050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190500" cy="190500"/>
    <xdr:pic>
      <xdr:nvPicPr>
        <xdr:cNvPr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xdr:row>
      <xdr:rowOff>0</xdr:rowOff>
    </xdr:from>
    <xdr:ext cx="200025" cy="200025"/>
    <xdr:pic>
      <xdr:nvPicPr>
        <xdr:cNvPr id="0" name="image3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11</xdr:row>
      <xdr:rowOff>0</xdr:rowOff>
    </xdr:from>
    <xdr:ext cx="200025" cy="200025"/>
    <xdr:pic>
      <xdr:nvPicPr>
        <xdr:cNvPr id="0" name="image33.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xdr:row>
      <xdr:rowOff>0</xdr:rowOff>
    </xdr:from>
    <xdr:ext cx="200025" cy="200025"/>
    <xdr:pic>
      <xdr:nvPicPr>
        <xdr:cNvPr id="0" name="image4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14</xdr:row>
      <xdr:rowOff>0</xdr:rowOff>
    </xdr:from>
    <xdr:ext cx="200025" cy="200025"/>
    <xdr:pic>
      <xdr:nvPicPr>
        <xdr:cNvPr id="0" name="image34.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20</xdr:row>
      <xdr:rowOff>0</xdr:rowOff>
    </xdr:from>
    <xdr:ext cx="200025" cy="200025"/>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20</xdr:row>
      <xdr:rowOff>0</xdr:rowOff>
    </xdr:from>
    <xdr:ext cx="200025" cy="200025"/>
    <xdr:pic>
      <xdr:nvPicPr>
        <xdr:cNvPr id="0" name="image5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23</xdr:row>
      <xdr:rowOff>0</xdr:rowOff>
    </xdr:from>
    <xdr:ext cx="200025" cy="200025"/>
    <xdr:pic>
      <xdr:nvPicPr>
        <xdr:cNvPr id="0" name="image38.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47.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26</xdr:row>
      <xdr:rowOff>0</xdr:rowOff>
    </xdr:from>
    <xdr:ext cx="200025" cy="200025"/>
    <xdr:pic>
      <xdr:nvPicPr>
        <xdr:cNvPr id="0" name="image40.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30</xdr:row>
      <xdr:rowOff>0</xdr:rowOff>
    </xdr:from>
    <xdr:ext cx="200025" cy="200025"/>
    <xdr:pic>
      <xdr:nvPicPr>
        <xdr:cNvPr id="0" name="image37.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34</xdr:row>
      <xdr:rowOff>0</xdr:rowOff>
    </xdr:from>
    <xdr:ext cx="200025" cy="200025"/>
    <xdr:pic>
      <xdr:nvPicPr>
        <xdr:cNvPr id="0" name="image46.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38</xdr:row>
      <xdr:rowOff>0</xdr:rowOff>
    </xdr:from>
    <xdr:ext cx="200025" cy="200025"/>
    <xdr:pic>
      <xdr:nvPicPr>
        <xdr:cNvPr id="0" name="image45.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 cy="571500"/>
    <xdr:pic>
      <xdr:nvPicPr>
        <xdr:cNvPr id="0" name="image7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571500" cy="571500"/>
    <xdr:pic>
      <xdr:nvPicPr>
        <xdr:cNvPr id="0" name="image5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571500" cy="571500"/>
    <xdr:pic>
      <xdr:nvPicPr>
        <xdr:cNvPr id="0" name="image7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571500" cy="571500"/>
    <xdr:pic>
      <xdr:nvPicPr>
        <xdr:cNvPr id="0" name="image69.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571500" cy="571500"/>
    <xdr:pic>
      <xdr:nvPicPr>
        <xdr:cNvPr id="0" name="image7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571500" cy="571500"/>
    <xdr:pic>
      <xdr:nvPicPr>
        <xdr:cNvPr id="0" name="image64.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xdr:row>
      <xdr:rowOff>0</xdr:rowOff>
    </xdr:from>
    <xdr:ext cx="571500" cy="571500"/>
    <xdr:pic>
      <xdr:nvPicPr>
        <xdr:cNvPr id="0" name="image74.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571500" cy="571500"/>
    <xdr:pic>
      <xdr:nvPicPr>
        <xdr:cNvPr id="0" name="image53.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11</xdr:row>
      <xdr:rowOff>0</xdr:rowOff>
    </xdr:from>
    <xdr:ext cx="571500" cy="571500"/>
    <xdr:pic>
      <xdr:nvPicPr>
        <xdr:cNvPr id="0" name="image60.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13</xdr:row>
      <xdr:rowOff>0</xdr:rowOff>
    </xdr:from>
    <xdr:ext cx="571500" cy="571500"/>
    <xdr:pic>
      <xdr:nvPicPr>
        <xdr:cNvPr id="0" name="image62.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14</xdr:row>
      <xdr:rowOff>0</xdr:rowOff>
    </xdr:from>
    <xdr:ext cx="571500" cy="571500"/>
    <xdr:pic>
      <xdr:nvPicPr>
        <xdr:cNvPr id="0" name="image5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15</xdr:row>
      <xdr:rowOff>0</xdr:rowOff>
    </xdr:from>
    <xdr:ext cx="571500" cy="571500"/>
    <xdr:pic>
      <xdr:nvPicPr>
        <xdr:cNvPr id="0" name="image61.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17</xdr:row>
      <xdr:rowOff>0</xdr:rowOff>
    </xdr:from>
    <xdr:ext cx="571500" cy="571500"/>
    <xdr:pic>
      <xdr:nvPicPr>
        <xdr:cNvPr id="0" name="image63.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18</xdr:row>
      <xdr:rowOff>0</xdr:rowOff>
    </xdr:from>
    <xdr:ext cx="571500" cy="571500"/>
    <xdr:pic>
      <xdr:nvPicPr>
        <xdr:cNvPr id="0" name="image5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19</xdr:row>
      <xdr:rowOff>0</xdr:rowOff>
    </xdr:from>
    <xdr:ext cx="571500" cy="571500"/>
    <xdr:pic>
      <xdr:nvPicPr>
        <xdr:cNvPr id="0" name="image54.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20</xdr:row>
      <xdr:rowOff>0</xdr:rowOff>
    </xdr:from>
    <xdr:ext cx="571500" cy="571500"/>
    <xdr:pic>
      <xdr:nvPicPr>
        <xdr:cNvPr id="0" name="image65.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22</xdr:row>
      <xdr:rowOff>0</xdr:rowOff>
    </xdr:from>
    <xdr:ext cx="571500" cy="571500"/>
    <xdr:pic>
      <xdr:nvPicPr>
        <xdr:cNvPr id="0" name="image67.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23</xdr:row>
      <xdr:rowOff>0</xdr:rowOff>
    </xdr:from>
    <xdr:ext cx="571500" cy="571500"/>
    <xdr:pic>
      <xdr:nvPicPr>
        <xdr:cNvPr id="0" name="image5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25</xdr:row>
      <xdr:rowOff>0</xdr:rowOff>
    </xdr:from>
    <xdr:ext cx="571500" cy="571500"/>
    <xdr:pic>
      <xdr:nvPicPr>
        <xdr:cNvPr id="0" name="image71.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26</xdr:row>
      <xdr:rowOff>0</xdr:rowOff>
    </xdr:from>
    <xdr:ext cx="571500" cy="571500"/>
    <xdr:pic>
      <xdr:nvPicPr>
        <xdr:cNvPr id="0" name="image66.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27</xdr:row>
      <xdr:rowOff>0</xdr:rowOff>
    </xdr:from>
    <xdr:ext cx="571500" cy="571500"/>
    <xdr:pic>
      <xdr:nvPicPr>
        <xdr:cNvPr id="0" name="image75.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28</xdr:row>
      <xdr:rowOff>0</xdr:rowOff>
    </xdr:from>
    <xdr:ext cx="571500" cy="571500"/>
    <xdr:pic>
      <xdr:nvPicPr>
        <xdr:cNvPr id="0" name="image57.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29</xdr:row>
      <xdr:rowOff>0</xdr:rowOff>
    </xdr:from>
    <xdr:ext cx="571500" cy="571500"/>
    <xdr:pic>
      <xdr:nvPicPr>
        <xdr:cNvPr id="0" name="image56.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31</xdr:row>
      <xdr:rowOff>0</xdr:rowOff>
    </xdr:from>
    <xdr:ext cx="581025" cy="581025"/>
    <xdr:pic>
      <xdr:nvPicPr>
        <xdr:cNvPr id="0" name="image68.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561975" cy="561975"/>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571500" cy="561975"/>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561975" cy="561975"/>
    <xdr:pic>
      <xdr:nvPicPr>
        <xdr:cNvPr id="0" name="image94.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571500" cy="561975"/>
    <xdr:pic>
      <xdr:nvPicPr>
        <xdr:cNvPr id="0" name="image8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561975" cy="571500"/>
    <xdr:pic>
      <xdr:nvPicPr>
        <xdr:cNvPr id="0" name="image83.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561975" cy="561975"/>
    <xdr:pic>
      <xdr:nvPicPr>
        <xdr:cNvPr id="0" name="image79.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571500" cy="571500"/>
    <xdr:pic>
      <xdr:nvPicPr>
        <xdr:cNvPr id="0" name="image80.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571500" cy="561975"/>
    <xdr:pic>
      <xdr:nvPicPr>
        <xdr:cNvPr id="0" name="image7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571500" cy="571500"/>
    <xdr:pic>
      <xdr:nvPicPr>
        <xdr:cNvPr id="0" name="image90.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561975" cy="571500"/>
    <xdr:pic>
      <xdr:nvPicPr>
        <xdr:cNvPr id="0" name="image77.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571500" cy="571500"/>
    <xdr:pic>
      <xdr:nvPicPr>
        <xdr:cNvPr id="0" name="image104.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571500" cy="571500"/>
    <xdr:pic>
      <xdr:nvPicPr>
        <xdr:cNvPr id="0" name="image81.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571500" cy="571500"/>
    <xdr:pic>
      <xdr:nvPicPr>
        <xdr:cNvPr id="0" name="image88.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571500" cy="561975"/>
    <xdr:pic>
      <xdr:nvPicPr>
        <xdr:cNvPr id="0" name="image8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571500" cy="571500"/>
    <xdr:pic>
      <xdr:nvPicPr>
        <xdr:cNvPr id="0" name="image121.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571500" cy="571500"/>
    <xdr:pic>
      <xdr:nvPicPr>
        <xdr:cNvPr id="0" name="image120.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581025" cy="561975"/>
    <xdr:pic>
      <xdr:nvPicPr>
        <xdr:cNvPr id="0" name="image95.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571500" cy="561975"/>
    <xdr:pic>
      <xdr:nvPicPr>
        <xdr:cNvPr id="0" name="image87.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571500" cy="571500"/>
    <xdr:pic>
      <xdr:nvPicPr>
        <xdr:cNvPr id="0" name="image89.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571500" cy="561975"/>
    <xdr:pic>
      <xdr:nvPicPr>
        <xdr:cNvPr id="0" name="image93.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561975" cy="561975"/>
    <xdr:pic>
      <xdr:nvPicPr>
        <xdr:cNvPr id="0" name="image9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571500" cy="571500"/>
    <xdr:pic>
      <xdr:nvPicPr>
        <xdr:cNvPr id="0" name="image9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581025" cy="561975"/>
    <xdr:pic>
      <xdr:nvPicPr>
        <xdr:cNvPr id="0" name="image122.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561975" cy="571500"/>
    <xdr:pic>
      <xdr:nvPicPr>
        <xdr:cNvPr id="0" name="image119.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561975" cy="561975"/>
    <xdr:pic>
      <xdr:nvPicPr>
        <xdr:cNvPr id="0" name="image82.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571500" cy="571500"/>
    <xdr:pic>
      <xdr:nvPicPr>
        <xdr:cNvPr id="0" name="image102.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561975" cy="571500"/>
    <xdr:pic>
      <xdr:nvPicPr>
        <xdr:cNvPr id="0" name="image98.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571500" cy="561975"/>
    <xdr:pic>
      <xdr:nvPicPr>
        <xdr:cNvPr id="0" name="image107.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571500" cy="571500"/>
    <xdr:pic>
      <xdr:nvPicPr>
        <xdr:cNvPr id="0" name="image109.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561975" cy="571500"/>
    <xdr:pic>
      <xdr:nvPicPr>
        <xdr:cNvPr id="0" name="image103.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571500" cy="571500"/>
    <xdr:pic>
      <xdr:nvPicPr>
        <xdr:cNvPr id="0" name="image106.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571500" cy="571500"/>
    <xdr:pic>
      <xdr:nvPicPr>
        <xdr:cNvPr id="0" name="image97.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571500" cy="571500"/>
    <xdr:pic>
      <xdr:nvPicPr>
        <xdr:cNvPr id="0" name="image99.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561975" cy="571500"/>
    <xdr:pic>
      <xdr:nvPicPr>
        <xdr:cNvPr id="0" name="image110.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561975" cy="561975"/>
    <xdr:pic>
      <xdr:nvPicPr>
        <xdr:cNvPr id="0" name="image105.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571500" cy="571500"/>
    <xdr:pic>
      <xdr:nvPicPr>
        <xdr:cNvPr id="0" name="image96.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561975" cy="561975"/>
    <xdr:pic>
      <xdr:nvPicPr>
        <xdr:cNvPr id="0" name="image101.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561975" cy="561975"/>
    <xdr:pic>
      <xdr:nvPicPr>
        <xdr:cNvPr id="0" name="image124.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571500" cy="571500"/>
    <xdr:pic>
      <xdr:nvPicPr>
        <xdr:cNvPr id="0" name="image100.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571500" cy="561975"/>
    <xdr:pic>
      <xdr:nvPicPr>
        <xdr:cNvPr id="0" name="image117.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571500" cy="561975"/>
    <xdr:pic>
      <xdr:nvPicPr>
        <xdr:cNvPr id="0" name="image114.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561975" cy="571500"/>
    <xdr:pic>
      <xdr:nvPicPr>
        <xdr:cNvPr id="0" name="image108.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571500" cy="561975"/>
    <xdr:pic>
      <xdr:nvPicPr>
        <xdr:cNvPr id="0" name="image113.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571500" cy="571500"/>
    <xdr:pic>
      <xdr:nvPicPr>
        <xdr:cNvPr id="0" name="image123.pn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571500" cy="561975"/>
    <xdr:pic>
      <xdr:nvPicPr>
        <xdr:cNvPr id="0" name="image112.pn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571500" cy="571500"/>
    <xdr:pic>
      <xdr:nvPicPr>
        <xdr:cNvPr id="0" name="image118.pn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571500" cy="561975"/>
    <xdr:pic>
      <xdr:nvPicPr>
        <xdr:cNvPr id="0" name="image111.pn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571500" cy="571500"/>
    <xdr:pic>
      <xdr:nvPicPr>
        <xdr:cNvPr id="0" name="image115.pn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571500" cy="571500"/>
    <xdr:pic>
      <xdr:nvPicPr>
        <xdr:cNvPr id="0" name="image116.png"/>
        <xdr:cNvPicPr preferRelativeResize="0"/>
      </xdr:nvPicPr>
      <xdr:blipFill>
        <a:blip cstate="print" r:embed="rId49"/>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561975" cy="561975"/>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571500" cy="561975"/>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561975" cy="561975"/>
    <xdr:pic>
      <xdr:nvPicPr>
        <xdr:cNvPr id="0" name="image94.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571500" cy="561975"/>
    <xdr:pic>
      <xdr:nvPicPr>
        <xdr:cNvPr id="0" name="image8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561975" cy="571500"/>
    <xdr:pic>
      <xdr:nvPicPr>
        <xdr:cNvPr id="0" name="image83.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561975" cy="561975"/>
    <xdr:pic>
      <xdr:nvPicPr>
        <xdr:cNvPr id="0" name="image79.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571500" cy="571500"/>
    <xdr:pic>
      <xdr:nvPicPr>
        <xdr:cNvPr id="0" name="image80.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571500" cy="561975"/>
    <xdr:pic>
      <xdr:nvPicPr>
        <xdr:cNvPr id="0" name="image7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571500" cy="571500"/>
    <xdr:pic>
      <xdr:nvPicPr>
        <xdr:cNvPr id="0" name="image90.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561975" cy="571500"/>
    <xdr:pic>
      <xdr:nvPicPr>
        <xdr:cNvPr id="0" name="image77.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571500" cy="571500"/>
    <xdr:pic>
      <xdr:nvPicPr>
        <xdr:cNvPr id="0" name="image104.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571500" cy="571500"/>
    <xdr:pic>
      <xdr:nvPicPr>
        <xdr:cNvPr id="0" name="image81.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571500" cy="571500"/>
    <xdr:pic>
      <xdr:nvPicPr>
        <xdr:cNvPr id="0" name="image88.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571500" cy="561975"/>
    <xdr:pic>
      <xdr:nvPicPr>
        <xdr:cNvPr id="0" name="image85.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571500" cy="571500"/>
    <xdr:pic>
      <xdr:nvPicPr>
        <xdr:cNvPr id="0" name="image121.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571500" cy="571500"/>
    <xdr:pic>
      <xdr:nvPicPr>
        <xdr:cNvPr id="0" name="image120.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581025" cy="561975"/>
    <xdr:pic>
      <xdr:nvPicPr>
        <xdr:cNvPr id="0" name="image95.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571500" cy="561975"/>
    <xdr:pic>
      <xdr:nvPicPr>
        <xdr:cNvPr id="0" name="image87.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571500" cy="571500"/>
    <xdr:pic>
      <xdr:nvPicPr>
        <xdr:cNvPr id="0" name="image89.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571500" cy="561975"/>
    <xdr:pic>
      <xdr:nvPicPr>
        <xdr:cNvPr id="0" name="image93.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561975" cy="561975"/>
    <xdr:pic>
      <xdr:nvPicPr>
        <xdr:cNvPr id="0" name="image9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571500" cy="571500"/>
    <xdr:pic>
      <xdr:nvPicPr>
        <xdr:cNvPr id="0" name="image9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581025" cy="561975"/>
    <xdr:pic>
      <xdr:nvPicPr>
        <xdr:cNvPr id="0" name="image122.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561975" cy="571500"/>
    <xdr:pic>
      <xdr:nvPicPr>
        <xdr:cNvPr id="0" name="image119.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561975" cy="561975"/>
    <xdr:pic>
      <xdr:nvPicPr>
        <xdr:cNvPr id="0" name="image82.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571500" cy="571500"/>
    <xdr:pic>
      <xdr:nvPicPr>
        <xdr:cNvPr id="0" name="image102.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561975" cy="571500"/>
    <xdr:pic>
      <xdr:nvPicPr>
        <xdr:cNvPr id="0" name="image98.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571500" cy="561975"/>
    <xdr:pic>
      <xdr:nvPicPr>
        <xdr:cNvPr id="0" name="image107.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571500" cy="571500"/>
    <xdr:pic>
      <xdr:nvPicPr>
        <xdr:cNvPr id="0" name="image109.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561975" cy="571500"/>
    <xdr:pic>
      <xdr:nvPicPr>
        <xdr:cNvPr id="0" name="image103.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571500" cy="571500"/>
    <xdr:pic>
      <xdr:nvPicPr>
        <xdr:cNvPr id="0" name="image106.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571500" cy="571500"/>
    <xdr:pic>
      <xdr:nvPicPr>
        <xdr:cNvPr id="0" name="image97.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571500" cy="571500"/>
    <xdr:pic>
      <xdr:nvPicPr>
        <xdr:cNvPr id="0" name="image99.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561975" cy="571500"/>
    <xdr:pic>
      <xdr:nvPicPr>
        <xdr:cNvPr id="0" name="image110.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561975" cy="561975"/>
    <xdr:pic>
      <xdr:nvPicPr>
        <xdr:cNvPr id="0" name="image105.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571500" cy="571500"/>
    <xdr:pic>
      <xdr:nvPicPr>
        <xdr:cNvPr id="0" name="image96.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561975" cy="561975"/>
    <xdr:pic>
      <xdr:nvPicPr>
        <xdr:cNvPr id="0" name="image101.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561975" cy="561975"/>
    <xdr:pic>
      <xdr:nvPicPr>
        <xdr:cNvPr id="0" name="image124.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571500" cy="571500"/>
    <xdr:pic>
      <xdr:nvPicPr>
        <xdr:cNvPr id="0" name="image100.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571500" cy="561975"/>
    <xdr:pic>
      <xdr:nvPicPr>
        <xdr:cNvPr id="0" name="image117.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571500" cy="561975"/>
    <xdr:pic>
      <xdr:nvPicPr>
        <xdr:cNvPr id="0" name="image114.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561975" cy="571500"/>
    <xdr:pic>
      <xdr:nvPicPr>
        <xdr:cNvPr id="0" name="image108.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571500" cy="561975"/>
    <xdr:pic>
      <xdr:nvPicPr>
        <xdr:cNvPr id="0" name="image113.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571500" cy="571500"/>
    <xdr:pic>
      <xdr:nvPicPr>
        <xdr:cNvPr id="0" name="image123.pn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571500" cy="561975"/>
    <xdr:pic>
      <xdr:nvPicPr>
        <xdr:cNvPr id="0" name="image112.pn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571500" cy="571500"/>
    <xdr:pic>
      <xdr:nvPicPr>
        <xdr:cNvPr id="0" name="image118.pn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571500" cy="561975"/>
    <xdr:pic>
      <xdr:nvPicPr>
        <xdr:cNvPr id="0" name="image111.pn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571500" cy="571500"/>
    <xdr:pic>
      <xdr:nvPicPr>
        <xdr:cNvPr id="0" name="image115.pn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571500" cy="571500"/>
    <xdr:pic>
      <xdr:nvPicPr>
        <xdr:cNvPr id="0" name="image116.png"/>
        <xdr:cNvPicPr preferRelativeResize="0"/>
      </xdr:nvPicPr>
      <xdr:blipFill>
        <a:blip cstate="print" r:embed="rId49"/>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00025" cy="200025"/>
    <xdr:pic>
      <xdr:nvPicPr>
        <xdr:cNvPr id="0" name="image15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190500" cy="200025"/>
    <xdr:pic>
      <xdr:nvPicPr>
        <xdr:cNvPr id="0" name="image14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200025" cy="200025"/>
    <xdr:pic>
      <xdr:nvPicPr>
        <xdr:cNvPr id="0" name="image13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200025" cy="200025"/>
    <xdr:pic>
      <xdr:nvPicPr>
        <xdr:cNvPr id="0" name="image13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200025" cy="200025"/>
    <xdr:pic>
      <xdr:nvPicPr>
        <xdr:cNvPr id="0" name="image16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200025" cy="200025"/>
    <xdr:pic>
      <xdr:nvPicPr>
        <xdr:cNvPr id="0" name="image157.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190500" cy="200025"/>
    <xdr:pic>
      <xdr:nvPicPr>
        <xdr:cNvPr id="0" name="image165.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200025" cy="200025"/>
    <xdr:pic>
      <xdr:nvPicPr>
        <xdr:cNvPr id="0" name="image128.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200025" cy="200025"/>
    <xdr:pic>
      <xdr:nvPicPr>
        <xdr:cNvPr id="0" name="image150.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200025" cy="200025"/>
    <xdr:pic>
      <xdr:nvPicPr>
        <xdr:cNvPr id="0" name="image125.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200025" cy="200025"/>
    <xdr:pic>
      <xdr:nvPicPr>
        <xdr:cNvPr id="0" name="image160.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145.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200025" cy="200025"/>
    <xdr:pic>
      <xdr:nvPicPr>
        <xdr:cNvPr id="0" name="image133.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200025" cy="200025"/>
    <xdr:pic>
      <xdr:nvPicPr>
        <xdr:cNvPr id="0" name="image136.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190500" cy="200025"/>
    <xdr:pic>
      <xdr:nvPicPr>
        <xdr:cNvPr id="0" name="image127.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200025" cy="200025"/>
    <xdr:pic>
      <xdr:nvPicPr>
        <xdr:cNvPr id="0" name="image134.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200025" cy="200025"/>
    <xdr:pic>
      <xdr:nvPicPr>
        <xdr:cNvPr id="0" name="image164.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200025" cy="200025"/>
    <xdr:pic>
      <xdr:nvPicPr>
        <xdr:cNvPr id="0" name="image138.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190500" cy="200025"/>
    <xdr:pic>
      <xdr:nvPicPr>
        <xdr:cNvPr id="0" name="image130.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200025" cy="200025"/>
    <xdr:pic>
      <xdr:nvPicPr>
        <xdr:cNvPr id="0" name="image163.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190500" cy="200025"/>
    <xdr:pic>
      <xdr:nvPicPr>
        <xdr:cNvPr id="0" name="image131.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190500" cy="200025"/>
    <xdr:pic>
      <xdr:nvPicPr>
        <xdr:cNvPr id="0" name="image13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200025" cy="200025"/>
    <xdr:pic>
      <xdr:nvPicPr>
        <xdr:cNvPr id="0" name="image126.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200025" cy="200025"/>
    <xdr:pic>
      <xdr:nvPicPr>
        <xdr:cNvPr id="0" name="image129.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190500" cy="200025"/>
    <xdr:pic>
      <xdr:nvPicPr>
        <xdr:cNvPr id="0" name="image139.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200025" cy="200025"/>
    <xdr:pic>
      <xdr:nvPicPr>
        <xdr:cNvPr id="0" name="image144.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200025" cy="200025"/>
    <xdr:pic>
      <xdr:nvPicPr>
        <xdr:cNvPr id="0" name="image146.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200025" cy="200025"/>
    <xdr:pic>
      <xdr:nvPicPr>
        <xdr:cNvPr id="0" name="image152.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200025" cy="200025"/>
    <xdr:pic>
      <xdr:nvPicPr>
        <xdr:cNvPr id="0" name="image149.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200025" cy="200025"/>
    <xdr:pic>
      <xdr:nvPicPr>
        <xdr:cNvPr id="0" name="image140.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190500" cy="200025"/>
    <xdr:pic>
      <xdr:nvPicPr>
        <xdr:cNvPr id="0" name="image159.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200025" cy="200025"/>
    <xdr:pic>
      <xdr:nvPicPr>
        <xdr:cNvPr id="0" name="image153.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190500" cy="200025"/>
    <xdr:pic>
      <xdr:nvPicPr>
        <xdr:cNvPr id="0" name="image156.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200025" cy="200025"/>
    <xdr:pic>
      <xdr:nvPicPr>
        <xdr:cNvPr id="0" name="image155.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200025" cy="200025"/>
    <xdr:pic>
      <xdr:nvPicPr>
        <xdr:cNvPr id="0" name="image148.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190500" cy="200025"/>
    <xdr:pic>
      <xdr:nvPicPr>
        <xdr:cNvPr id="0" name="image142.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200025" cy="200025"/>
    <xdr:pic>
      <xdr:nvPicPr>
        <xdr:cNvPr id="0" name="image158.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200025" cy="200025"/>
    <xdr:pic>
      <xdr:nvPicPr>
        <xdr:cNvPr id="0" name="image143.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190500" cy="200025"/>
    <xdr:pic>
      <xdr:nvPicPr>
        <xdr:cNvPr id="0" name="image147.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200025" cy="200025"/>
    <xdr:pic>
      <xdr:nvPicPr>
        <xdr:cNvPr id="0" name="image166.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200025" cy="200025"/>
    <xdr:pic>
      <xdr:nvPicPr>
        <xdr:cNvPr id="0" name="image162.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200025" cy="200025"/>
    <xdr:pic>
      <xdr:nvPicPr>
        <xdr:cNvPr id="0" name="image151.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190500" cy="200025"/>
    <xdr:pic>
      <xdr:nvPicPr>
        <xdr:cNvPr id="0" name="image161.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47</xdr:row>
      <xdr:rowOff>0</xdr:rowOff>
    </xdr:from>
    <xdr:ext cx="200025" cy="200025"/>
    <xdr:pic>
      <xdr:nvPicPr>
        <xdr:cNvPr id="0" name="image167.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10</xdr:row>
      <xdr:rowOff>38100</xdr:rowOff>
    </xdr:from>
    <xdr:ext cx="6581775" cy="4067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180975</xdr:rowOff>
    </xdr:from>
    <xdr:ext cx="4200525" cy="3381375"/>
    <xdr:pic>
      <xdr:nvPicPr>
        <xdr:cNvPr id="0" name="image16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24</xdr:row>
      <xdr:rowOff>66675</xdr:rowOff>
    </xdr:from>
    <xdr:ext cx="6819900" cy="42195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54</xdr:row>
      <xdr:rowOff>0</xdr:rowOff>
    </xdr:from>
    <xdr:ext cx="7800975" cy="3743325"/>
    <xdr:pic>
      <xdr:nvPicPr>
        <xdr:cNvPr id="0" name="image17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23</xdr:row>
      <xdr:rowOff>180975</xdr:rowOff>
    </xdr:from>
    <xdr:ext cx="6819900" cy="42195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24</xdr:row>
      <xdr:rowOff>76200</xdr:rowOff>
    </xdr:from>
    <xdr:ext cx="6819900" cy="42195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24</xdr:row>
      <xdr:rowOff>28575</xdr:rowOff>
    </xdr:from>
    <xdr:ext cx="6819900" cy="42195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24</xdr:row>
      <xdr:rowOff>66675</xdr:rowOff>
    </xdr:from>
    <xdr:ext cx="6819900" cy="42195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54</xdr:row>
      <xdr:rowOff>0</xdr:rowOff>
    </xdr:from>
    <xdr:ext cx="7800975" cy="3743325"/>
    <xdr:pic>
      <xdr:nvPicPr>
        <xdr:cNvPr id="0" name="image17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23</xdr:row>
      <xdr:rowOff>180975</xdr:rowOff>
    </xdr:from>
    <xdr:ext cx="6819900" cy="42195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24</xdr:row>
      <xdr:rowOff>76200</xdr:rowOff>
    </xdr:from>
    <xdr:ext cx="6819900" cy="42195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24</xdr:row>
      <xdr:rowOff>28575</xdr:rowOff>
    </xdr:from>
    <xdr:ext cx="6819900" cy="42195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Fim Bulvetr" id="{72fba8f4-f6c7-4e2c-babb-d61fb11dbf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22T14:10:11.00" personId="{72fba8f4-f6c7-4e2c-babb-d61fb11dbfd2}" id="{2f6ffc6e-0823-46d9-9318-6ed5e0f3a719}" done="0">
    <x18tc:text xml:space="preserve">Citizenship prereq removed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inyurl.com/oldworldspreadsheet/" TargetMode="External"/><Relationship Id="rId9" Type="http://schemas.openxmlformats.org/officeDocument/2006/relationships/hyperlink" Target="https://www.youtube.com/c/alcaras" TargetMode="External"/><Relationship Id="rId5" Type="http://schemas.openxmlformats.org/officeDocument/2006/relationships/hyperlink" Target="https://alcaras.github.io/owtt/" TargetMode="External"/><Relationship Id="rId6" Type="http://schemas.openxmlformats.org/officeDocument/2006/relationships/hyperlink" Target="https://drive.google.com/file/d/1hb4dmDKxpf3pJJtpdFA4y4OOY-d2yrz1/view" TargetMode="External"/><Relationship Id="rId7" Type="http://schemas.openxmlformats.org/officeDocument/2006/relationships/hyperlink" Target="https://discord.gg/eg4gBUV" TargetMode="External"/><Relationship Id="rId8" Type="http://schemas.openxmlformats.org/officeDocument/2006/relationships/hyperlink" Target="http://oldworldwiki.org/" TargetMode="External"/><Relationship Id="rId11" Type="http://schemas.openxmlformats.org/officeDocument/2006/relationships/drawing" Target="../drawings/drawing1.xml"/><Relationship Id="rId10" Type="http://schemas.openxmlformats.org/officeDocument/2006/relationships/hyperlink" Target="https://www.youtube.com/channel/UCgBOvr9U9E7cp2O9-ozpPxg" TargetMode="External"/><Relationship Id="rId1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reddit.com/r/OldWorldGame/comments/114inek/opinion_overview/"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lcaras.github.io/owtt/" TargetMode="External"/><Relationship Id="rId2" Type="http://schemas.openxmlformats.org/officeDocument/2006/relationships/hyperlink" Target="https://alcaras.github.io/owtt/?o=3,1,-1,0,7,-4,10,24,5,12,2,9,4,6,14,11,17,-11,13,20,26"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oldworldwiki.org/index.php/Specialists"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s>
  <sheetData>
    <row r="1">
      <c r="A1" s="1" t="s">
        <v>0</v>
      </c>
      <c r="B1" s="2"/>
      <c r="C1" s="2"/>
      <c r="D1" s="2"/>
    </row>
    <row r="2">
      <c r="A2" s="1" t="s">
        <v>1</v>
      </c>
      <c r="B2" s="1" t="s">
        <v>2</v>
      </c>
      <c r="C2" s="1" t="s">
        <v>3</v>
      </c>
      <c r="D2" s="1" t="s">
        <v>4</v>
      </c>
      <c r="E2" s="3" t="s">
        <v>5</v>
      </c>
      <c r="F2" s="4"/>
    </row>
    <row r="3">
      <c r="A3" s="5" t="s">
        <v>6</v>
      </c>
      <c r="B3" s="6" t="s">
        <v>7</v>
      </c>
      <c r="C3" s="6" t="s">
        <v>8</v>
      </c>
      <c r="D3" s="7" t="s">
        <v>9</v>
      </c>
      <c r="E3" s="8" t="s">
        <v>10</v>
      </c>
    </row>
    <row r="4">
      <c r="A4" s="9" t="s">
        <v>11</v>
      </c>
      <c r="B4" s="10" t="s">
        <v>12</v>
      </c>
      <c r="C4" s="10" t="s">
        <v>13</v>
      </c>
      <c r="D4" s="11" t="s">
        <v>14</v>
      </c>
      <c r="E4" s="8" t="s">
        <v>15</v>
      </c>
    </row>
    <row r="5">
      <c r="A5" s="12" t="s">
        <v>16</v>
      </c>
      <c r="B5" s="13" t="s">
        <v>17</v>
      </c>
      <c r="C5" s="13" t="s">
        <v>18</v>
      </c>
      <c r="D5" s="2"/>
      <c r="E5" s="8" t="s">
        <v>19</v>
      </c>
    </row>
    <row r="6">
      <c r="A6" s="14" t="s">
        <v>20</v>
      </c>
      <c r="B6" s="15" t="s">
        <v>21</v>
      </c>
      <c r="C6" s="15" t="s">
        <v>22</v>
      </c>
      <c r="D6" s="2"/>
      <c r="E6" s="8" t="s">
        <v>23</v>
      </c>
    </row>
    <row r="7">
      <c r="A7" s="16" t="s">
        <v>24</v>
      </c>
      <c r="B7" s="2"/>
      <c r="C7" s="17" t="s">
        <v>25</v>
      </c>
      <c r="D7" s="2"/>
      <c r="E7" s="8" t="s">
        <v>26</v>
      </c>
    </row>
    <row r="8">
      <c r="A8" s="18" t="s">
        <v>27</v>
      </c>
      <c r="B8" s="2"/>
      <c r="C8" s="19" t="s">
        <v>28</v>
      </c>
      <c r="D8" s="2"/>
      <c r="E8" s="8" t="s">
        <v>29</v>
      </c>
    </row>
    <row r="9">
      <c r="A9" s="20" t="s">
        <v>30</v>
      </c>
      <c r="B9" s="2"/>
      <c r="C9" s="21" t="s">
        <v>31</v>
      </c>
      <c r="D9" s="2"/>
    </row>
    <row r="10">
      <c r="A10" s="22" t="s">
        <v>32</v>
      </c>
      <c r="B10" s="2"/>
      <c r="C10" s="23" t="s">
        <v>33</v>
      </c>
      <c r="D10" s="2"/>
    </row>
    <row r="11">
      <c r="A11" s="24" t="s">
        <v>34</v>
      </c>
      <c r="B11" s="2"/>
      <c r="C11" s="25" t="s">
        <v>35</v>
      </c>
      <c r="D11" s="2"/>
    </row>
    <row r="12">
      <c r="A12" s="26" t="s">
        <v>36</v>
      </c>
      <c r="B12" s="2"/>
      <c r="C12" s="27" t="s">
        <v>37</v>
      </c>
      <c r="D12" s="2"/>
    </row>
    <row r="13">
      <c r="A13" s="28" t="s">
        <v>38</v>
      </c>
      <c r="B13" s="2"/>
      <c r="C13" s="29" t="s">
        <v>39</v>
      </c>
      <c r="D13" s="2"/>
    </row>
    <row r="14">
      <c r="A14" s="30" t="s">
        <v>40</v>
      </c>
      <c r="B14" s="2"/>
      <c r="C14" s="31" t="s">
        <v>41</v>
      </c>
      <c r="D14" s="2"/>
    </row>
    <row r="15">
      <c r="A15" s="32" t="s">
        <v>42</v>
      </c>
      <c r="B15" s="2"/>
      <c r="C15" s="33" t="s">
        <v>43</v>
      </c>
      <c r="D15" s="34"/>
    </row>
    <row r="16">
      <c r="A16" s="2"/>
      <c r="B16" s="2"/>
      <c r="C16" s="35" t="s">
        <v>44</v>
      </c>
      <c r="D16" s="2"/>
    </row>
    <row r="18">
      <c r="B18" s="36" t="s">
        <v>45</v>
      </c>
    </row>
    <row r="20">
      <c r="A20" s="37" t="s">
        <v>46</v>
      </c>
      <c r="D20" s="38" t="s">
        <v>47</v>
      </c>
    </row>
    <row r="21">
      <c r="C21" s="39" t="s">
        <v>48</v>
      </c>
      <c r="D21" s="40" t="s">
        <v>49</v>
      </c>
    </row>
    <row r="23">
      <c r="A23" s="3" t="s">
        <v>50</v>
      </c>
    </row>
    <row r="24">
      <c r="A24" s="36" t="s">
        <v>51</v>
      </c>
      <c r="C24" s="41" t="s">
        <v>52</v>
      </c>
      <c r="E24" s="41" t="s">
        <v>53</v>
      </c>
      <c r="G24" s="42"/>
    </row>
    <row r="26">
      <c r="A26" s="3" t="s">
        <v>54</v>
      </c>
    </row>
    <row r="27">
      <c r="A27" s="8" t="s">
        <v>55</v>
      </c>
    </row>
    <row r="28">
      <c r="A28" s="8" t="s">
        <v>56</v>
      </c>
    </row>
    <row r="29">
      <c r="A29" s="36" t="s">
        <v>57</v>
      </c>
    </row>
    <row r="30">
      <c r="A30" s="36" t="s">
        <v>58</v>
      </c>
    </row>
    <row r="32">
      <c r="A32" s="3" t="s">
        <v>59</v>
      </c>
    </row>
    <row r="33">
      <c r="A33" s="43">
        <v>0.46</v>
      </c>
      <c r="B33" s="44">
        <v>46087.0</v>
      </c>
      <c r="C33" s="42" t="s">
        <v>60</v>
      </c>
    </row>
    <row r="34">
      <c r="A34" s="43">
        <v>0.45</v>
      </c>
      <c r="B34" s="44">
        <v>45948.0</v>
      </c>
      <c r="C34" s="36" t="s">
        <v>61</v>
      </c>
    </row>
    <row r="35">
      <c r="A35" s="43">
        <v>0.44</v>
      </c>
      <c r="B35" s="44">
        <v>45745.0</v>
      </c>
      <c r="C35" s="36" t="s">
        <v>62</v>
      </c>
    </row>
    <row r="36">
      <c r="A36" s="43">
        <v>0.43</v>
      </c>
      <c r="B36" s="44">
        <v>45699.0</v>
      </c>
      <c r="C36" s="36" t="s">
        <v>63</v>
      </c>
    </row>
    <row r="37">
      <c r="A37" s="43">
        <v>0.42</v>
      </c>
      <c r="B37" s="44">
        <v>45690.0</v>
      </c>
      <c r="C37" s="42" t="s">
        <v>64</v>
      </c>
    </row>
    <row r="38">
      <c r="A38" s="43">
        <v>0.41</v>
      </c>
      <c r="B38" s="44">
        <v>45685.0</v>
      </c>
      <c r="C38" s="42" t="s">
        <v>65</v>
      </c>
    </row>
    <row r="39">
      <c r="A39" s="45">
        <v>0.4</v>
      </c>
      <c r="B39" s="46">
        <v>45623.0</v>
      </c>
      <c r="C39" s="47" t="s">
        <v>66</v>
      </c>
      <c r="D39" s="48"/>
      <c r="E39" s="48"/>
      <c r="F39" s="48"/>
      <c r="G39" s="48"/>
      <c r="H39" s="48"/>
      <c r="I39" s="48"/>
      <c r="J39" s="48"/>
      <c r="K39" s="48"/>
      <c r="L39" s="48"/>
      <c r="M39" s="48"/>
      <c r="N39" s="48"/>
      <c r="O39" s="48"/>
      <c r="P39" s="48"/>
    </row>
    <row r="40">
      <c r="A40" s="49">
        <v>0.39</v>
      </c>
      <c r="B40" s="46">
        <v>45501.0</v>
      </c>
      <c r="C40" s="47" t="s">
        <v>67</v>
      </c>
      <c r="D40" s="48"/>
      <c r="E40" s="48"/>
      <c r="F40" s="48"/>
      <c r="G40" s="48"/>
      <c r="H40" s="48"/>
      <c r="I40" s="48"/>
      <c r="J40" s="48"/>
      <c r="K40" s="48"/>
      <c r="L40" s="48"/>
      <c r="M40" s="48"/>
      <c r="N40" s="48"/>
      <c r="O40" s="48"/>
      <c r="P40" s="48"/>
    </row>
    <row r="41">
      <c r="A41" s="49">
        <v>0.38</v>
      </c>
      <c r="B41" s="46">
        <v>45494.0</v>
      </c>
      <c r="C41" s="47" t="s">
        <v>68</v>
      </c>
      <c r="D41" s="48"/>
      <c r="E41" s="48"/>
      <c r="F41" s="48"/>
      <c r="G41" s="48"/>
      <c r="H41" s="48"/>
      <c r="I41" s="48"/>
      <c r="J41" s="48"/>
      <c r="K41" s="48"/>
      <c r="L41" s="48"/>
      <c r="M41" s="48"/>
      <c r="N41" s="48"/>
      <c r="O41" s="48"/>
      <c r="P41" s="48"/>
    </row>
    <row r="42">
      <c r="A42" s="49">
        <v>0.37</v>
      </c>
      <c r="B42" s="46">
        <v>45474.0</v>
      </c>
      <c r="C42" s="50" t="s">
        <v>69</v>
      </c>
      <c r="D42" s="48"/>
      <c r="E42" s="48"/>
      <c r="F42" s="48"/>
      <c r="G42" s="48"/>
      <c r="H42" s="48"/>
      <c r="I42" s="48"/>
      <c r="J42" s="48"/>
      <c r="K42" s="48"/>
      <c r="L42" s="48"/>
      <c r="M42" s="48"/>
      <c r="N42" s="48"/>
      <c r="O42" s="48"/>
      <c r="P42" s="48"/>
    </row>
    <row r="43">
      <c r="A43" s="49">
        <v>0.36</v>
      </c>
      <c r="B43" s="46">
        <v>45352.0</v>
      </c>
      <c r="C43" s="48" t="s">
        <v>70</v>
      </c>
      <c r="D43" s="48"/>
      <c r="E43" s="48"/>
      <c r="F43" s="48"/>
      <c r="G43" s="48"/>
      <c r="H43" s="48"/>
      <c r="I43" s="48"/>
      <c r="J43" s="48"/>
      <c r="K43" s="48"/>
      <c r="L43" s="48"/>
      <c r="M43" s="48"/>
      <c r="N43" s="48"/>
      <c r="O43" s="48"/>
      <c r="P43" s="48"/>
    </row>
    <row r="44">
      <c r="A44" s="49">
        <v>0.35</v>
      </c>
      <c r="B44" s="46">
        <v>45338.0</v>
      </c>
      <c r="C44" s="48" t="s">
        <v>71</v>
      </c>
      <c r="D44" s="48"/>
      <c r="E44" s="48"/>
      <c r="F44" s="48"/>
      <c r="G44" s="48"/>
      <c r="H44" s="48"/>
      <c r="I44" s="48"/>
      <c r="J44" s="48"/>
      <c r="K44" s="48"/>
      <c r="L44" s="48"/>
      <c r="M44" s="48"/>
      <c r="N44" s="48"/>
      <c r="O44" s="48"/>
      <c r="P44" s="48"/>
    </row>
    <row r="45">
      <c r="A45" s="49">
        <v>0.34</v>
      </c>
      <c r="B45" s="46">
        <v>45276.0</v>
      </c>
      <c r="C45" s="48" t="s">
        <v>72</v>
      </c>
      <c r="D45" s="48"/>
      <c r="E45" s="48"/>
      <c r="F45" s="48"/>
      <c r="G45" s="48"/>
      <c r="H45" s="48"/>
      <c r="I45" s="48"/>
      <c r="J45" s="48"/>
      <c r="K45" s="48"/>
      <c r="L45" s="48"/>
      <c r="M45" s="48"/>
      <c r="N45" s="48"/>
      <c r="O45" s="48"/>
      <c r="P45" s="48"/>
    </row>
    <row r="46">
      <c r="A46" s="49">
        <v>0.33</v>
      </c>
      <c r="B46" s="51">
        <v>45261.0</v>
      </c>
      <c r="C46" s="48" t="s">
        <v>73</v>
      </c>
      <c r="D46" s="48"/>
      <c r="E46" s="48"/>
      <c r="F46" s="48"/>
      <c r="G46" s="48"/>
      <c r="H46" s="48"/>
      <c r="I46" s="48"/>
      <c r="J46" s="48"/>
      <c r="K46" s="48"/>
      <c r="L46" s="48"/>
      <c r="M46" s="48"/>
      <c r="N46" s="48"/>
      <c r="O46" s="48"/>
      <c r="P46" s="48"/>
    </row>
    <row r="47">
      <c r="A47" s="49">
        <v>0.32</v>
      </c>
      <c r="B47" s="46">
        <v>45059.0</v>
      </c>
      <c r="C47" s="48" t="s">
        <v>74</v>
      </c>
      <c r="D47" s="48"/>
      <c r="E47" s="48"/>
      <c r="F47" s="48"/>
      <c r="G47" s="48"/>
      <c r="H47" s="48"/>
      <c r="I47" s="48"/>
      <c r="J47" s="48"/>
      <c r="K47" s="48"/>
      <c r="L47" s="48"/>
      <c r="M47" s="48"/>
      <c r="N47" s="48"/>
      <c r="O47" s="48"/>
      <c r="P47" s="48"/>
    </row>
    <row r="48">
      <c r="A48" s="49">
        <v>0.31</v>
      </c>
      <c r="B48" s="46">
        <v>45037.0</v>
      </c>
      <c r="C48" s="48" t="s">
        <v>75</v>
      </c>
      <c r="D48" s="48"/>
      <c r="E48" s="48"/>
      <c r="F48" s="48"/>
      <c r="G48" s="48"/>
      <c r="H48" s="48"/>
      <c r="I48" s="48"/>
      <c r="J48" s="48"/>
      <c r="K48" s="48"/>
      <c r="L48" s="48"/>
      <c r="M48" s="48"/>
      <c r="N48" s="48"/>
      <c r="O48" s="48"/>
      <c r="P48" s="48"/>
    </row>
    <row r="49">
      <c r="A49" s="49">
        <v>0.3</v>
      </c>
      <c r="B49" s="46">
        <v>44974.0</v>
      </c>
      <c r="C49" s="48" t="s">
        <v>76</v>
      </c>
      <c r="D49" s="48"/>
      <c r="E49" s="48"/>
      <c r="F49" s="48"/>
      <c r="G49" s="48"/>
      <c r="H49" s="48"/>
      <c r="I49" s="48"/>
      <c r="J49" s="48"/>
      <c r="K49" s="48"/>
      <c r="L49" s="48"/>
      <c r="M49" s="48"/>
      <c r="N49" s="48"/>
      <c r="O49" s="48"/>
      <c r="P49" s="48"/>
    </row>
    <row r="50">
      <c r="A50" s="49">
        <v>0.29</v>
      </c>
      <c r="B50" s="46">
        <v>44895.0</v>
      </c>
      <c r="C50" s="48" t="s">
        <v>77</v>
      </c>
      <c r="D50" s="48"/>
      <c r="E50" s="48"/>
      <c r="F50" s="48"/>
      <c r="G50" s="48"/>
      <c r="H50" s="48"/>
      <c r="I50" s="48"/>
      <c r="J50" s="48"/>
      <c r="K50" s="48"/>
      <c r="L50" s="48"/>
      <c r="M50" s="48"/>
      <c r="N50" s="48"/>
      <c r="O50" s="48"/>
      <c r="P50" s="48"/>
    </row>
    <row r="51">
      <c r="A51" s="49">
        <v>0.28</v>
      </c>
      <c r="B51" s="46">
        <v>44843.0</v>
      </c>
      <c r="C51" s="48" t="s">
        <v>78</v>
      </c>
      <c r="D51" s="48"/>
      <c r="E51" s="48"/>
      <c r="F51" s="48"/>
      <c r="G51" s="48"/>
      <c r="H51" s="48"/>
      <c r="I51" s="48"/>
      <c r="J51" s="48"/>
      <c r="K51" s="48"/>
      <c r="L51" s="48"/>
      <c r="M51" s="48"/>
      <c r="N51" s="48"/>
      <c r="O51" s="48"/>
      <c r="P51" s="48"/>
    </row>
    <row r="52">
      <c r="A52" s="49">
        <v>0.27</v>
      </c>
      <c r="B52" s="52" t="s">
        <v>79</v>
      </c>
      <c r="C52" s="48" t="s">
        <v>80</v>
      </c>
      <c r="D52" s="48"/>
      <c r="E52" s="48"/>
      <c r="F52" s="48"/>
      <c r="G52" s="48"/>
      <c r="H52" s="48"/>
      <c r="I52" s="48"/>
      <c r="J52" s="48"/>
      <c r="K52" s="48"/>
      <c r="L52" s="48"/>
      <c r="M52" s="48"/>
      <c r="N52" s="48"/>
      <c r="O52" s="48"/>
      <c r="P52" s="48"/>
    </row>
    <row r="53">
      <c r="A53" s="49">
        <v>0.26</v>
      </c>
      <c r="B53" s="46" t="s">
        <v>81</v>
      </c>
      <c r="C53" s="48" t="s">
        <v>82</v>
      </c>
      <c r="D53" s="48"/>
      <c r="E53" s="48"/>
      <c r="F53" s="48"/>
      <c r="G53" s="48"/>
      <c r="H53" s="48"/>
      <c r="I53" s="48"/>
      <c r="J53" s="48"/>
      <c r="K53" s="48"/>
      <c r="L53" s="48"/>
      <c r="M53" s="48"/>
      <c r="N53" s="48"/>
      <c r="O53" s="48"/>
      <c r="P53" s="48"/>
    </row>
    <row r="54">
      <c r="A54" s="49">
        <v>0.25</v>
      </c>
      <c r="B54" s="46">
        <v>44776.0</v>
      </c>
      <c r="C54" s="48" t="s">
        <v>83</v>
      </c>
      <c r="D54" s="48"/>
      <c r="E54" s="48"/>
      <c r="F54" s="48"/>
      <c r="G54" s="48"/>
      <c r="H54" s="48"/>
      <c r="I54" s="48"/>
      <c r="J54" s="48"/>
      <c r="K54" s="48"/>
      <c r="L54" s="48"/>
      <c r="M54" s="48"/>
      <c r="N54" s="48"/>
      <c r="O54" s="48"/>
      <c r="P54" s="48"/>
    </row>
    <row r="55">
      <c r="A55" s="49">
        <v>0.25</v>
      </c>
      <c r="B55" s="46">
        <v>44774.0</v>
      </c>
      <c r="C55" s="48" t="s">
        <v>84</v>
      </c>
      <c r="D55" s="48"/>
      <c r="E55" s="48"/>
      <c r="F55" s="48"/>
      <c r="G55" s="48"/>
      <c r="H55" s="48"/>
      <c r="I55" s="48"/>
      <c r="J55" s="48"/>
      <c r="K55" s="48"/>
      <c r="L55" s="48"/>
      <c r="M55" s="48"/>
      <c r="N55" s="48"/>
      <c r="O55" s="48"/>
      <c r="P55" s="48"/>
    </row>
    <row r="56">
      <c r="A56" s="49">
        <v>0.24</v>
      </c>
      <c r="B56" s="46">
        <v>44752.0</v>
      </c>
      <c r="C56" s="48" t="s">
        <v>85</v>
      </c>
      <c r="D56" s="48"/>
      <c r="E56" s="48"/>
      <c r="F56" s="48"/>
      <c r="G56" s="48"/>
      <c r="H56" s="48"/>
      <c r="I56" s="48"/>
      <c r="J56" s="48"/>
      <c r="K56" s="48"/>
      <c r="L56" s="48"/>
      <c r="M56" s="48"/>
      <c r="N56" s="48"/>
      <c r="O56" s="48"/>
      <c r="P56" s="48"/>
    </row>
    <row r="57">
      <c r="A57" s="49">
        <v>0.23</v>
      </c>
      <c r="B57" s="46">
        <v>44733.0</v>
      </c>
      <c r="C57" s="48" t="s">
        <v>86</v>
      </c>
      <c r="D57" s="48"/>
      <c r="E57" s="48"/>
      <c r="F57" s="48"/>
      <c r="G57" s="48"/>
      <c r="H57" s="48"/>
      <c r="I57" s="48"/>
      <c r="J57" s="48"/>
      <c r="K57" s="48"/>
      <c r="L57" s="48"/>
      <c r="M57" s="48"/>
      <c r="N57" s="48"/>
      <c r="O57" s="48"/>
      <c r="P57" s="48"/>
    </row>
    <row r="58">
      <c r="A58" s="49">
        <v>0.22</v>
      </c>
      <c r="B58" s="46">
        <v>44731.0</v>
      </c>
      <c r="C58" s="48" t="s">
        <v>87</v>
      </c>
      <c r="D58" s="48"/>
      <c r="E58" s="48"/>
      <c r="F58" s="48"/>
      <c r="G58" s="48"/>
      <c r="H58" s="48"/>
      <c r="I58" s="48"/>
      <c r="J58" s="48"/>
      <c r="K58" s="48"/>
      <c r="L58" s="48"/>
      <c r="M58" s="48"/>
      <c r="N58" s="48"/>
      <c r="O58" s="48"/>
      <c r="P58" s="48"/>
    </row>
    <row r="59">
      <c r="A59" s="49">
        <v>0.21</v>
      </c>
      <c r="B59" s="46">
        <v>44730.0</v>
      </c>
      <c r="C59" s="48" t="s">
        <v>88</v>
      </c>
      <c r="D59" s="48"/>
      <c r="E59" s="48"/>
      <c r="F59" s="48"/>
      <c r="G59" s="48"/>
      <c r="H59" s="48"/>
      <c r="I59" s="48"/>
      <c r="J59" s="48"/>
      <c r="K59" s="48"/>
      <c r="L59" s="48"/>
      <c r="M59" s="48"/>
      <c r="N59" s="48"/>
      <c r="O59" s="48"/>
      <c r="P59" s="48"/>
    </row>
    <row r="60">
      <c r="A60" s="49">
        <v>0.2</v>
      </c>
      <c r="B60" s="46">
        <v>44729.0</v>
      </c>
      <c r="C60" s="48" t="s">
        <v>89</v>
      </c>
      <c r="D60" s="48"/>
      <c r="E60" s="48"/>
      <c r="F60" s="48"/>
      <c r="G60" s="48"/>
      <c r="H60" s="48"/>
      <c r="I60" s="48"/>
      <c r="J60" s="48"/>
      <c r="K60" s="48"/>
      <c r="L60" s="48"/>
      <c r="M60" s="48"/>
      <c r="N60" s="48"/>
      <c r="O60" s="48"/>
      <c r="P60" s="48"/>
    </row>
    <row r="61">
      <c r="A61" s="49">
        <v>0.19</v>
      </c>
      <c r="B61" s="46">
        <v>44724.0</v>
      </c>
      <c r="C61" s="48" t="s">
        <v>90</v>
      </c>
      <c r="D61" s="48"/>
      <c r="E61" s="48"/>
      <c r="F61" s="48"/>
      <c r="G61" s="48"/>
      <c r="H61" s="48"/>
      <c r="I61" s="48"/>
      <c r="J61" s="48"/>
      <c r="K61" s="48"/>
      <c r="L61" s="48"/>
      <c r="M61" s="48"/>
      <c r="N61" s="48"/>
      <c r="O61" s="48"/>
      <c r="P61" s="48"/>
    </row>
    <row r="62">
      <c r="A62" s="49">
        <v>0.18</v>
      </c>
      <c r="B62" s="46">
        <v>44721.0</v>
      </c>
      <c r="C62" s="48" t="s">
        <v>91</v>
      </c>
      <c r="D62" s="48"/>
      <c r="E62" s="48"/>
      <c r="F62" s="48"/>
      <c r="G62" s="48"/>
      <c r="H62" s="48"/>
      <c r="I62" s="48"/>
      <c r="J62" s="48"/>
      <c r="K62" s="48"/>
      <c r="L62" s="48"/>
      <c r="M62" s="48"/>
      <c r="N62" s="48"/>
      <c r="O62" s="48"/>
      <c r="P62" s="48"/>
    </row>
    <row r="63">
      <c r="A63" s="49">
        <v>0.17</v>
      </c>
      <c r="B63" s="46">
        <v>44719.0</v>
      </c>
      <c r="C63" s="48" t="s">
        <v>92</v>
      </c>
      <c r="D63" s="48"/>
      <c r="E63" s="48"/>
      <c r="F63" s="48"/>
      <c r="G63" s="48"/>
      <c r="H63" s="48"/>
      <c r="I63" s="48"/>
      <c r="J63" s="48"/>
      <c r="K63" s="48"/>
      <c r="L63" s="48"/>
      <c r="M63" s="48"/>
      <c r="N63" s="48"/>
      <c r="O63" s="48"/>
      <c r="P63" s="48"/>
    </row>
    <row r="64">
      <c r="A64" s="49">
        <v>0.16</v>
      </c>
      <c r="B64" s="46">
        <v>44717.0</v>
      </c>
      <c r="C64" s="48" t="s">
        <v>93</v>
      </c>
      <c r="D64" s="48"/>
      <c r="E64" s="48"/>
      <c r="F64" s="48"/>
      <c r="G64" s="48"/>
      <c r="H64" s="48"/>
      <c r="I64" s="48"/>
      <c r="J64" s="48"/>
      <c r="K64" s="48"/>
      <c r="L64" s="48"/>
      <c r="M64" s="48"/>
      <c r="N64" s="48"/>
      <c r="O64" s="48"/>
      <c r="P64" s="48"/>
    </row>
    <row r="65">
      <c r="A65" s="49">
        <v>0.15</v>
      </c>
      <c r="B65" s="46">
        <v>44702.0</v>
      </c>
      <c r="C65" s="48" t="s">
        <v>94</v>
      </c>
      <c r="D65" s="48"/>
      <c r="E65" s="48"/>
      <c r="F65" s="48"/>
      <c r="G65" s="48"/>
      <c r="H65" s="48"/>
      <c r="I65" s="48"/>
      <c r="J65" s="48"/>
      <c r="K65" s="48"/>
      <c r="L65" s="48"/>
      <c r="M65" s="48"/>
      <c r="N65" s="48"/>
      <c r="O65" s="48"/>
      <c r="P65" s="48"/>
    </row>
    <row r="66">
      <c r="A66" s="49">
        <v>0.14</v>
      </c>
      <c r="B66" s="46">
        <v>44672.0</v>
      </c>
      <c r="C66" s="48" t="s">
        <v>95</v>
      </c>
      <c r="D66" s="48"/>
      <c r="E66" s="48"/>
      <c r="F66" s="48"/>
      <c r="G66" s="48"/>
      <c r="H66" s="48"/>
      <c r="I66" s="48"/>
      <c r="J66" s="48"/>
      <c r="K66" s="48"/>
      <c r="L66" s="48"/>
      <c r="M66" s="48"/>
      <c r="N66" s="48"/>
      <c r="O66" s="48"/>
      <c r="P66" s="48"/>
    </row>
    <row r="67">
      <c r="A67" s="49">
        <v>0.13</v>
      </c>
      <c r="B67" s="46">
        <v>44638.0</v>
      </c>
      <c r="C67" s="48" t="s">
        <v>96</v>
      </c>
      <c r="D67" s="48"/>
      <c r="E67" s="48"/>
      <c r="F67" s="48"/>
      <c r="G67" s="48"/>
      <c r="H67" s="48"/>
      <c r="I67" s="48"/>
      <c r="J67" s="48"/>
      <c r="K67" s="48"/>
      <c r="L67" s="48"/>
      <c r="M67" s="48"/>
      <c r="N67" s="48"/>
      <c r="O67" s="48"/>
      <c r="P67" s="48"/>
    </row>
    <row r="68">
      <c r="A68" s="49">
        <v>0.12</v>
      </c>
      <c r="B68" s="46">
        <v>44587.0</v>
      </c>
      <c r="C68" s="48" t="s">
        <v>97</v>
      </c>
      <c r="D68" s="48"/>
      <c r="E68" s="48"/>
      <c r="F68" s="48"/>
      <c r="G68" s="48"/>
      <c r="H68" s="48"/>
      <c r="I68" s="48"/>
      <c r="J68" s="48"/>
      <c r="K68" s="48"/>
      <c r="L68" s="48"/>
      <c r="M68" s="48"/>
      <c r="N68" s="48"/>
      <c r="O68" s="48"/>
      <c r="P68" s="48"/>
    </row>
    <row r="69">
      <c r="A69" s="49">
        <v>0.11</v>
      </c>
      <c r="B69" s="46">
        <v>44485.0</v>
      </c>
      <c r="C69" s="48" t="s">
        <v>98</v>
      </c>
      <c r="D69" s="48"/>
      <c r="E69" s="48"/>
      <c r="F69" s="48"/>
      <c r="G69" s="48"/>
      <c r="H69" s="48"/>
      <c r="I69" s="48"/>
      <c r="J69" s="48"/>
      <c r="K69" s="48"/>
      <c r="L69" s="48"/>
      <c r="M69" s="48"/>
      <c r="N69" s="48"/>
      <c r="O69" s="48"/>
      <c r="P69" s="48"/>
    </row>
    <row r="70">
      <c r="A70" s="49">
        <v>0.1</v>
      </c>
      <c r="B70" s="46">
        <v>44439.0</v>
      </c>
      <c r="C70" s="48" t="s">
        <v>99</v>
      </c>
      <c r="D70" s="48"/>
      <c r="E70" s="48"/>
      <c r="F70" s="48"/>
      <c r="G70" s="48"/>
      <c r="H70" s="48"/>
      <c r="I70" s="48"/>
      <c r="J70" s="48"/>
      <c r="K70" s="48"/>
      <c r="L70" s="48"/>
      <c r="M70" s="48"/>
      <c r="N70" s="48"/>
      <c r="O70" s="48"/>
      <c r="P70" s="48"/>
    </row>
  </sheetData>
  <mergeCells count="2">
    <mergeCell ref="F2:M2"/>
    <mergeCell ref="A20:C20"/>
  </mergeCells>
  <conditionalFormatting sqref="A4">
    <cfRule type="colorScale" priority="1">
      <colorScale>
        <cfvo type="min"/>
        <cfvo type="max"/>
        <color rgb="FF57BB8A"/>
        <color rgb="FFFFFFFF"/>
      </colorScale>
    </cfRule>
  </conditionalFormatting>
  <hyperlinks>
    <hyperlink display="Please see the Index tab for an overview of what you can find in this spreadsheet" location="Index!A1" ref="B18"/>
    <hyperlink r:id="rId4" ref="D20"/>
    <hyperlink r:id="rId5" ref="D21"/>
    <hyperlink r:id="rId6" ref="A24"/>
    <hyperlink r:id="rId7" ref="C24"/>
    <hyperlink r:id="rId8" ref="E24"/>
    <hyperlink r:id="rId9" ref="A29"/>
    <hyperlink r:id="rId10" ref="A30"/>
    <hyperlink display="Added an Index tab (ty FitlthyRobot for the suggestion)" location="Index!A1" ref="C34"/>
    <hyperlink display="Added Harvest Events" location="'🌾 Harvest Events'!A1" ref="C35"/>
    <hyperlink display="Added Cognomens (Tracker) tab -- you can make a copy and use in your own game" location="'👑Cognomens (Tracker)'!A1" ref="C36"/>
    <hyperlink display="Updates for Wonder rebalancing in Update #125" location="'🏛️ Wonders'!A1" ref="C42"/>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83.38"/>
  </cols>
  <sheetData>
    <row r="1">
      <c r="A1" s="3" t="s">
        <v>100</v>
      </c>
      <c r="B1" s="53" t="s">
        <v>101</v>
      </c>
      <c r="C1" s="54"/>
      <c r="D1" s="54"/>
      <c r="E1" s="54"/>
      <c r="F1" s="54"/>
      <c r="G1" s="54"/>
      <c r="H1" s="54"/>
      <c r="I1" s="54"/>
      <c r="J1" s="54"/>
      <c r="K1" s="54"/>
      <c r="L1" s="54"/>
      <c r="M1" s="54"/>
      <c r="N1" s="54"/>
      <c r="O1" s="54"/>
      <c r="P1" s="54"/>
      <c r="Q1" s="54"/>
      <c r="R1" s="54"/>
      <c r="S1" s="54"/>
      <c r="T1" s="54"/>
      <c r="U1" s="54"/>
      <c r="V1" s="54"/>
      <c r="W1" s="54"/>
      <c r="X1" s="54"/>
      <c r="Y1" s="54"/>
    </row>
    <row r="2">
      <c r="A2" s="36" t="s">
        <v>102</v>
      </c>
      <c r="B2" s="4" t="s">
        <v>103</v>
      </c>
    </row>
    <row r="3">
      <c r="A3" s="36" t="s">
        <v>104</v>
      </c>
      <c r="B3" s="4" t="s">
        <v>105</v>
      </c>
    </row>
    <row r="4">
      <c r="A4" s="36" t="s">
        <v>106</v>
      </c>
      <c r="B4" s="4" t="s">
        <v>107</v>
      </c>
    </row>
    <row r="5">
      <c r="A5" s="36" t="s">
        <v>108</v>
      </c>
      <c r="B5" s="4" t="s">
        <v>109</v>
      </c>
    </row>
    <row r="6">
      <c r="A6" s="36" t="s">
        <v>110</v>
      </c>
      <c r="B6" s="4" t="s">
        <v>111</v>
      </c>
    </row>
    <row r="7">
      <c r="A7" s="36" t="s">
        <v>112</v>
      </c>
      <c r="B7" s="4" t="s">
        <v>113</v>
      </c>
    </row>
    <row r="8">
      <c r="A8" s="36" t="s">
        <v>114</v>
      </c>
      <c r="B8" s="4" t="s">
        <v>115</v>
      </c>
    </row>
    <row r="9">
      <c r="A9" s="36" t="s">
        <v>116</v>
      </c>
      <c r="B9" s="4" t="s">
        <v>117</v>
      </c>
    </row>
    <row r="10">
      <c r="A10" s="36" t="s">
        <v>118</v>
      </c>
      <c r="B10" s="4" t="s">
        <v>119</v>
      </c>
    </row>
    <row r="11">
      <c r="A11" s="36" t="s">
        <v>120</v>
      </c>
      <c r="B11" s="4" t="s">
        <v>121</v>
      </c>
    </row>
    <row r="12">
      <c r="A12" s="36" t="s">
        <v>122</v>
      </c>
      <c r="B12" s="4" t="s">
        <v>123</v>
      </c>
    </row>
    <row r="13">
      <c r="A13" s="36" t="s">
        <v>124</v>
      </c>
      <c r="B13" s="4" t="s">
        <v>125</v>
      </c>
    </row>
    <row r="14">
      <c r="A14" s="36" t="s">
        <v>126</v>
      </c>
      <c r="B14" s="4" t="s">
        <v>127</v>
      </c>
    </row>
    <row r="15">
      <c r="A15" s="36" t="s">
        <v>128</v>
      </c>
      <c r="B15" s="4" t="s">
        <v>129</v>
      </c>
    </row>
    <row r="16">
      <c r="A16" s="36" t="s">
        <v>130</v>
      </c>
      <c r="B16" s="4" t="s">
        <v>131</v>
      </c>
    </row>
    <row r="17">
      <c r="A17" s="36" t="s">
        <v>132</v>
      </c>
      <c r="B17" s="4" t="s">
        <v>133</v>
      </c>
    </row>
    <row r="18">
      <c r="A18" s="36" t="s">
        <v>134</v>
      </c>
      <c r="B18" s="4" t="s">
        <v>135</v>
      </c>
    </row>
    <row r="19">
      <c r="A19" s="36" t="s">
        <v>136</v>
      </c>
      <c r="B19" s="4" t="s">
        <v>137</v>
      </c>
    </row>
    <row r="20">
      <c r="A20" s="36" t="s">
        <v>138</v>
      </c>
      <c r="B20" s="4" t="s">
        <v>139</v>
      </c>
    </row>
    <row r="21">
      <c r="A21" s="36" t="s">
        <v>140</v>
      </c>
      <c r="B21" s="4" t="s">
        <v>141</v>
      </c>
    </row>
    <row r="22">
      <c r="A22" s="36" t="s">
        <v>142</v>
      </c>
      <c r="B22" s="4" t="s">
        <v>143</v>
      </c>
    </row>
    <row r="23">
      <c r="A23" s="36" t="s">
        <v>144</v>
      </c>
      <c r="B23" s="4" t="s">
        <v>145</v>
      </c>
    </row>
    <row r="24">
      <c r="A24" s="36" t="s">
        <v>146</v>
      </c>
      <c r="B24" s="4" t="s">
        <v>147</v>
      </c>
    </row>
    <row r="25">
      <c r="A25" s="36" t="s">
        <v>148</v>
      </c>
      <c r="B25" s="4" t="s">
        <v>149</v>
      </c>
    </row>
    <row r="26">
      <c r="A26" s="36" t="s">
        <v>150</v>
      </c>
      <c r="B26" s="4" t="s">
        <v>151</v>
      </c>
    </row>
    <row r="27">
      <c r="A27" s="36" t="s">
        <v>152</v>
      </c>
      <c r="B27" s="4" t="s">
        <v>153</v>
      </c>
    </row>
    <row r="28">
      <c r="A28" s="36" t="s">
        <v>154</v>
      </c>
      <c r="B28" s="4" t="s">
        <v>155</v>
      </c>
    </row>
    <row r="29">
      <c r="A29" s="36" t="s">
        <v>156</v>
      </c>
      <c r="B29" s="4" t="s">
        <v>157</v>
      </c>
    </row>
    <row r="30">
      <c r="A30" s="36" t="s">
        <v>158</v>
      </c>
      <c r="B30" s="4" t="s">
        <v>159</v>
      </c>
    </row>
    <row r="31">
      <c r="A31" s="36" t="s">
        <v>160</v>
      </c>
      <c r="B31" s="4" t="s">
        <v>161</v>
      </c>
    </row>
    <row r="32">
      <c r="A32" s="36" t="s">
        <v>162</v>
      </c>
      <c r="B32" s="4" t="s">
        <v>163</v>
      </c>
    </row>
    <row r="33">
      <c r="A33" s="36" t="s">
        <v>164</v>
      </c>
      <c r="B33" s="4" t="s">
        <v>165</v>
      </c>
    </row>
    <row r="34">
      <c r="A34" s="36" t="s">
        <v>166</v>
      </c>
      <c r="B34" s="4" t="s">
        <v>167</v>
      </c>
    </row>
    <row r="35">
      <c r="A35" s="36" t="s">
        <v>168</v>
      </c>
      <c r="B35" s="4" t="s">
        <v>169</v>
      </c>
    </row>
    <row r="36">
      <c r="A36" s="36" t="s">
        <v>170</v>
      </c>
      <c r="B36" s="4" t="s">
        <v>171</v>
      </c>
    </row>
    <row r="37">
      <c r="B37" s="55"/>
    </row>
    <row r="38">
      <c r="B38" s="55"/>
    </row>
    <row r="39">
      <c r="B39" s="55"/>
    </row>
    <row r="40">
      <c r="B40" s="55"/>
    </row>
    <row r="41">
      <c r="B41" s="55"/>
    </row>
    <row r="42">
      <c r="B42" s="55"/>
    </row>
    <row r="43">
      <c r="B43" s="55"/>
    </row>
    <row r="44">
      <c r="B44" s="55"/>
    </row>
    <row r="45">
      <c r="B45" s="55"/>
    </row>
    <row r="46">
      <c r="B46" s="55"/>
    </row>
    <row r="47">
      <c r="B47" s="55"/>
    </row>
    <row r="48">
      <c r="B48" s="55"/>
    </row>
    <row r="49">
      <c r="B49" s="55"/>
    </row>
    <row r="50">
      <c r="B50" s="55"/>
    </row>
    <row r="51">
      <c r="B51" s="55"/>
    </row>
    <row r="52">
      <c r="B52" s="55"/>
    </row>
    <row r="53">
      <c r="B53" s="55"/>
    </row>
    <row r="54">
      <c r="B54" s="55"/>
    </row>
    <row r="55">
      <c r="B55" s="55"/>
    </row>
    <row r="56">
      <c r="B56" s="55"/>
    </row>
    <row r="57">
      <c r="B57" s="55"/>
    </row>
    <row r="58">
      <c r="B58" s="55"/>
    </row>
    <row r="59">
      <c r="B59" s="55"/>
    </row>
    <row r="60">
      <c r="B60" s="55"/>
    </row>
    <row r="61">
      <c r="B61" s="55"/>
    </row>
    <row r="62">
      <c r="B62" s="55"/>
    </row>
    <row r="63">
      <c r="B63" s="55"/>
    </row>
    <row r="64">
      <c r="B64" s="55"/>
    </row>
    <row r="65">
      <c r="B65" s="55"/>
    </row>
    <row r="66">
      <c r="B66" s="55"/>
    </row>
    <row r="67">
      <c r="B67" s="55"/>
    </row>
    <row r="68">
      <c r="B68" s="55"/>
    </row>
    <row r="69">
      <c r="B69" s="55"/>
    </row>
    <row r="70">
      <c r="B70" s="55"/>
    </row>
    <row r="71">
      <c r="B71" s="55"/>
    </row>
    <row r="72">
      <c r="B72" s="55"/>
    </row>
    <row r="73">
      <c r="B73" s="55"/>
    </row>
    <row r="74">
      <c r="B74" s="55"/>
    </row>
    <row r="75">
      <c r="B75" s="55"/>
    </row>
    <row r="76">
      <c r="B76" s="55"/>
    </row>
    <row r="77">
      <c r="B77" s="55"/>
    </row>
    <row r="78">
      <c r="B78" s="55"/>
    </row>
    <row r="79">
      <c r="B79" s="55"/>
    </row>
    <row r="80">
      <c r="B80" s="55"/>
    </row>
    <row r="81">
      <c r="B81" s="55"/>
    </row>
    <row r="82">
      <c r="B82" s="55"/>
    </row>
    <row r="83">
      <c r="B83" s="55"/>
    </row>
    <row r="84">
      <c r="B84" s="55"/>
    </row>
    <row r="85">
      <c r="B85" s="55"/>
    </row>
    <row r="86">
      <c r="B86" s="55"/>
    </row>
    <row r="87">
      <c r="B87" s="55"/>
    </row>
    <row r="88">
      <c r="B88" s="55"/>
    </row>
    <row r="89">
      <c r="B89" s="55"/>
    </row>
    <row r="90">
      <c r="B90" s="55"/>
    </row>
    <row r="91">
      <c r="B91" s="55"/>
    </row>
    <row r="92">
      <c r="B92" s="55"/>
    </row>
    <row r="93">
      <c r="B93" s="55"/>
    </row>
    <row r="94">
      <c r="B94" s="55"/>
    </row>
    <row r="95">
      <c r="B95" s="55"/>
    </row>
    <row r="96">
      <c r="B96" s="55"/>
    </row>
    <row r="97">
      <c r="B97" s="55"/>
    </row>
    <row r="98">
      <c r="B98" s="55"/>
    </row>
    <row r="99">
      <c r="B99" s="55"/>
    </row>
    <row r="100">
      <c r="B100" s="55"/>
    </row>
    <row r="101">
      <c r="B101" s="55"/>
    </row>
    <row r="102">
      <c r="B102" s="55"/>
    </row>
    <row r="103">
      <c r="B103" s="55"/>
    </row>
    <row r="104">
      <c r="B104" s="55"/>
    </row>
    <row r="105">
      <c r="B105" s="55"/>
    </row>
    <row r="106">
      <c r="B106" s="55"/>
    </row>
    <row r="107">
      <c r="B107" s="55"/>
    </row>
    <row r="108">
      <c r="B108" s="55"/>
    </row>
    <row r="109">
      <c r="B109" s="55"/>
    </row>
    <row r="110">
      <c r="B110" s="55"/>
    </row>
    <row r="111">
      <c r="B111" s="55"/>
    </row>
    <row r="112">
      <c r="B112" s="55"/>
    </row>
    <row r="113">
      <c r="B113" s="55"/>
    </row>
    <row r="114">
      <c r="B114" s="55"/>
    </row>
    <row r="115">
      <c r="B115" s="55"/>
    </row>
    <row r="116">
      <c r="B116" s="55"/>
    </row>
    <row r="117">
      <c r="B117" s="55"/>
    </row>
    <row r="118">
      <c r="B118" s="55"/>
    </row>
    <row r="119">
      <c r="B119" s="55"/>
    </row>
    <row r="120">
      <c r="B120" s="55"/>
    </row>
    <row r="121">
      <c r="B121" s="55"/>
    </row>
    <row r="122">
      <c r="B122" s="55"/>
    </row>
    <row r="123">
      <c r="B123" s="55"/>
    </row>
    <row r="124">
      <c r="B124" s="55"/>
    </row>
    <row r="125">
      <c r="B125" s="55"/>
    </row>
    <row r="126">
      <c r="B126" s="55"/>
    </row>
    <row r="127">
      <c r="B127" s="55"/>
    </row>
    <row r="128">
      <c r="B128" s="55"/>
    </row>
    <row r="129">
      <c r="B129" s="55"/>
    </row>
    <row r="130">
      <c r="B130" s="55"/>
    </row>
    <row r="131">
      <c r="B131" s="55"/>
    </row>
    <row r="132">
      <c r="B132" s="55"/>
    </row>
    <row r="133">
      <c r="B133" s="55"/>
    </row>
    <row r="134">
      <c r="B134" s="55"/>
    </row>
    <row r="135">
      <c r="B135" s="55"/>
    </row>
    <row r="136">
      <c r="B136" s="55"/>
    </row>
    <row r="137">
      <c r="B137" s="55"/>
    </row>
    <row r="138">
      <c r="B138" s="55"/>
    </row>
    <row r="139">
      <c r="B139" s="55"/>
    </row>
    <row r="140">
      <c r="B140" s="55"/>
    </row>
    <row r="141">
      <c r="B141" s="55"/>
    </row>
    <row r="142">
      <c r="B142" s="55"/>
    </row>
    <row r="143">
      <c r="B143" s="55"/>
    </row>
    <row r="144">
      <c r="B144" s="55"/>
    </row>
    <row r="145">
      <c r="B145" s="55"/>
    </row>
    <row r="146">
      <c r="B146" s="55"/>
    </row>
    <row r="147">
      <c r="B147" s="55"/>
    </row>
    <row r="148">
      <c r="B148" s="55"/>
    </row>
    <row r="149">
      <c r="B149" s="55"/>
    </row>
    <row r="150">
      <c r="B150" s="55"/>
    </row>
    <row r="151">
      <c r="B151" s="55"/>
    </row>
    <row r="152">
      <c r="B152" s="55"/>
    </row>
    <row r="153">
      <c r="B153" s="55"/>
    </row>
    <row r="154">
      <c r="B154" s="55"/>
    </row>
    <row r="155">
      <c r="B155" s="55"/>
    </row>
    <row r="156">
      <c r="B156" s="55"/>
    </row>
    <row r="157">
      <c r="B157" s="55"/>
    </row>
    <row r="158">
      <c r="B158" s="55"/>
    </row>
    <row r="159">
      <c r="B159" s="55"/>
    </row>
    <row r="160">
      <c r="B160" s="55"/>
    </row>
    <row r="161">
      <c r="B161" s="55"/>
    </row>
    <row r="162">
      <c r="B162" s="55"/>
    </row>
    <row r="163">
      <c r="B163" s="55"/>
    </row>
    <row r="164">
      <c r="B164" s="55"/>
    </row>
    <row r="165">
      <c r="B165" s="55"/>
    </row>
    <row r="166">
      <c r="B166" s="55"/>
    </row>
    <row r="167">
      <c r="B167" s="55"/>
    </row>
    <row r="168">
      <c r="B168" s="55"/>
    </row>
    <row r="169">
      <c r="B169" s="55"/>
    </row>
    <row r="170">
      <c r="B170" s="55"/>
    </row>
    <row r="171">
      <c r="B171" s="55"/>
    </row>
    <row r="172">
      <c r="B172" s="55"/>
    </row>
    <row r="173">
      <c r="B173" s="55"/>
    </row>
    <row r="174">
      <c r="B174" s="55"/>
    </row>
    <row r="175">
      <c r="B175" s="55"/>
    </row>
    <row r="176">
      <c r="B176" s="55"/>
    </row>
    <row r="177">
      <c r="B177" s="55"/>
    </row>
    <row r="178">
      <c r="B178" s="55"/>
    </row>
    <row r="179">
      <c r="B179" s="55"/>
    </row>
    <row r="180">
      <c r="B180" s="55"/>
    </row>
    <row r="181">
      <c r="B181" s="55"/>
    </row>
    <row r="182">
      <c r="B182" s="55"/>
    </row>
    <row r="183">
      <c r="B183" s="55"/>
    </row>
    <row r="184">
      <c r="B184" s="55"/>
    </row>
    <row r="185">
      <c r="B185" s="55"/>
    </row>
    <row r="186">
      <c r="B186" s="55"/>
    </row>
    <row r="187">
      <c r="B187" s="55"/>
    </row>
    <row r="188">
      <c r="B188" s="55"/>
    </row>
    <row r="189">
      <c r="B189" s="55"/>
    </row>
    <row r="190">
      <c r="B190" s="55"/>
    </row>
    <row r="191">
      <c r="B191" s="55"/>
    </row>
    <row r="192">
      <c r="B192" s="55"/>
    </row>
    <row r="193">
      <c r="B193" s="55"/>
    </row>
    <row r="194">
      <c r="B194" s="55"/>
    </row>
    <row r="195">
      <c r="B195" s="55"/>
    </row>
    <row r="196">
      <c r="B196" s="55"/>
    </row>
    <row r="197">
      <c r="B197" s="55"/>
    </row>
    <row r="198">
      <c r="B198" s="55"/>
    </row>
    <row r="199">
      <c r="B199" s="55"/>
    </row>
    <row r="200">
      <c r="B200" s="55"/>
    </row>
    <row r="201">
      <c r="B201" s="55"/>
    </row>
    <row r="202">
      <c r="B202" s="55"/>
    </row>
    <row r="203">
      <c r="B203" s="55"/>
    </row>
    <row r="204">
      <c r="B204" s="55"/>
    </row>
    <row r="205">
      <c r="B205" s="55"/>
    </row>
    <row r="206">
      <c r="B206" s="55"/>
    </row>
    <row r="207">
      <c r="B207" s="55"/>
    </row>
    <row r="208">
      <c r="B208" s="55"/>
    </row>
    <row r="209">
      <c r="B209" s="55"/>
    </row>
    <row r="210">
      <c r="B210" s="55"/>
    </row>
    <row r="211">
      <c r="B211" s="55"/>
    </row>
    <row r="212">
      <c r="B212" s="55"/>
    </row>
    <row r="213">
      <c r="B213" s="55"/>
    </row>
    <row r="214">
      <c r="B214" s="55"/>
    </row>
    <row r="215">
      <c r="B215" s="55"/>
    </row>
    <row r="216">
      <c r="B216" s="55"/>
    </row>
    <row r="217">
      <c r="B217" s="55"/>
    </row>
    <row r="218">
      <c r="B218" s="55"/>
    </row>
    <row r="219">
      <c r="B219" s="55"/>
    </row>
    <row r="220">
      <c r="B220" s="55"/>
    </row>
    <row r="221">
      <c r="B221" s="55"/>
    </row>
    <row r="222">
      <c r="B222" s="55"/>
    </row>
    <row r="223">
      <c r="B223" s="55"/>
    </row>
    <row r="224">
      <c r="B224" s="55"/>
    </row>
    <row r="225">
      <c r="B225" s="55"/>
    </row>
    <row r="226">
      <c r="B226" s="55"/>
    </row>
    <row r="227">
      <c r="B227" s="55"/>
    </row>
    <row r="228">
      <c r="B228" s="55"/>
    </row>
    <row r="229">
      <c r="B229" s="55"/>
    </row>
    <row r="230">
      <c r="B230" s="55"/>
    </row>
    <row r="231">
      <c r="B231" s="55"/>
    </row>
    <row r="232">
      <c r="B232" s="55"/>
    </row>
    <row r="233">
      <c r="B233" s="55"/>
    </row>
    <row r="234">
      <c r="B234" s="55"/>
    </row>
    <row r="235">
      <c r="B235" s="55"/>
    </row>
    <row r="236">
      <c r="B236" s="55"/>
    </row>
    <row r="237">
      <c r="B237" s="55"/>
    </row>
    <row r="238">
      <c r="B238" s="55"/>
    </row>
    <row r="239">
      <c r="B239" s="55"/>
    </row>
    <row r="240">
      <c r="B240" s="55"/>
    </row>
    <row r="241">
      <c r="B241" s="55"/>
    </row>
    <row r="242">
      <c r="B242" s="55"/>
    </row>
    <row r="243">
      <c r="B243" s="55"/>
    </row>
    <row r="244">
      <c r="B244" s="55"/>
    </row>
    <row r="245">
      <c r="B245" s="55"/>
    </row>
    <row r="246">
      <c r="B246" s="55"/>
    </row>
    <row r="247">
      <c r="B247" s="55"/>
    </row>
    <row r="248">
      <c r="B248" s="55"/>
    </row>
    <row r="249">
      <c r="B249" s="55"/>
    </row>
    <row r="250">
      <c r="B250" s="55"/>
    </row>
    <row r="251">
      <c r="B251" s="55"/>
    </row>
    <row r="252">
      <c r="B252" s="55"/>
    </row>
    <row r="253">
      <c r="B253" s="55"/>
    </row>
    <row r="254">
      <c r="B254" s="55"/>
    </row>
    <row r="255">
      <c r="B255" s="55"/>
    </row>
    <row r="256">
      <c r="B256" s="55"/>
    </row>
    <row r="257">
      <c r="B257" s="55"/>
    </row>
    <row r="258">
      <c r="B258" s="55"/>
    </row>
    <row r="259">
      <c r="B259" s="55"/>
    </row>
    <row r="260">
      <c r="B260" s="55"/>
    </row>
    <row r="261">
      <c r="B261" s="55"/>
    </row>
    <row r="262">
      <c r="B262" s="55"/>
    </row>
    <row r="263">
      <c r="B263" s="55"/>
    </row>
    <row r="264">
      <c r="B264" s="55"/>
    </row>
    <row r="265">
      <c r="B265" s="55"/>
    </row>
    <row r="266">
      <c r="B266" s="55"/>
    </row>
    <row r="267">
      <c r="B267" s="55"/>
    </row>
    <row r="268">
      <c r="B268" s="55"/>
    </row>
    <row r="269">
      <c r="B269" s="55"/>
    </row>
    <row r="270">
      <c r="B270" s="55"/>
    </row>
    <row r="271">
      <c r="B271" s="55"/>
    </row>
    <row r="272">
      <c r="B272" s="55"/>
    </row>
    <row r="273">
      <c r="B273" s="55"/>
    </row>
    <row r="274">
      <c r="B274" s="55"/>
    </row>
    <row r="275">
      <c r="B275" s="55"/>
    </row>
    <row r="276">
      <c r="B276" s="55"/>
    </row>
    <row r="277">
      <c r="B277" s="55"/>
    </row>
    <row r="278">
      <c r="B278" s="55"/>
    </row>
    <row r="279">
      <c r="B279" s="55"/>
    </row>
    <row r="280">
      <c r="B280" s="55"/>
    </row>
    <row r="281">
      <c r="B281" s="55"/>
    </row>
    <row r="282">
      <c r="B282" s="55"/>
    </row>
    <row r="283">
      <c r="B283" s="55"/>
    </row>
    <row r="284">
      <c r="B284" s="55"/>
    </row>
    <row r="285">
      <c r="B285" s="55"/>
    </row>
    <row r="286">
      <c r="B286" s="55"/>
    </row>
    <row r="287">
      <c r="B287" s="55"/>
    </row>
    <row r="288">
      <c r="B288" s="55"/>
    </row>
    <row r="289">
      <c r="B289" s="55"/>
    </row>
    <row r="290">
      <c r="B290" s="55"/>
    </row>
    <row r="291">
      <c r="B291" s="55"/>
    </row>
    <row r="292">
      <c r="B292" s="55"/>
    </row>
    <row r="293">
      <c r="B293" s="55"/>
    </row>
    <row r="294">
      <c r="B294" s="55"/>
    </row>
    <row r="295">
      <c r="B295" s="55"/>
    </row>
    <row r="296">
      <c r="B296" s="55"/>
    </row>
    <row r="297">
      <c r="B297" s="55"/>
    </row>
    <row r="298">
      <c r="B298" s="55"/>
    </row>
    <row r="299">
      <c r="B299" s="55"/>
    </row>
    <row r="300">
      <c r="B300" s="55"/>
    </row>
    <row r="301">
      <c r="B301" s="55"/>
    </row>
    <row r="302">
      <c r="B302" s="55"/>
    </row>
    <row r="303">
      <c r="B303" s="55"/>
    </row>
    <row r="304">
      <c r="B304" s="55"/>
    </row>
    <row r="305">
      <c r="B305" s="55"/>
    </row>
    <row r="306">
      <c r="B306" s="55"/>
    </row>
    <row r="307">
      <c r="B307" s="55"/>
    </row>
    <row r="308">
      <c r="B308" s="55"/>
    </row>
    <row r="309">
      <c r="B309" s="55"/>
    </row>
    <row r="310">
      <c r="B310" s="55"/>
    </row>
    <row r="311">
      <c r="B311" s="55"/>
    </row>
    <row r="312">
      <c r="B312" s="55"/>
    </row>
    <row r="313">
      <c r="B313" s="55"/>
    </row>
    <row r="314">
      <c r="B314" s="55"/>
    </row>
    <row r="315">
      <c r="B315" s="55"/>
    </row>
    <row r="316">
      <c r="B316" s="55"/>
    </row>
    <row r="317">
      <c r="B317" s="55"/>
    </row>
    <row r="318">
      <c r="B318" s="55"/>
    </row>
    <row r="319">
      <c r="B319" s="55"/>
    </row>
    <row r="320">
      <c r="B320" s="55"/>
    </row>
    <row r="321">
      <c r="B321" s="55"/>
    </row>
    <row r="322">
      <c r="B322" s="55"/>
    </row>
    <row r="323">
      <c r="B323" s="55"/>
    </row>
    <row r="324">
      <c r="B324" s="55"/>
    </row>
    <row r="325">
      <c r="B325" s="55"/>
    </row>
    <row r="326">
      <c r="B326" s="55"/>
    </row>
    <row r="327">
      <c r="B327" s="55"/>
    </row>
    <row r="328">
      <c r="B328" s="55"/>
    </row>
    <row r="329">
      <c r="B329" s="55"/>
    </row>
    <row r="330">
      <c r="B330" s="55"/>
    </row>
    <row r="331">
      <c r="B331" s="55"/>
    </row>
    <row r="332">
      <c r="B332" s="55"/>
    </row>
    <row r="333">
      <c r="B333" s="55"/>
    </row>
    <row r="334">
      <c r="B334" s="55"/>
    </row>
    <row r="335">
      <c r="B335" s="55"/>
    </row>
    <row r="336">
      <c r="B336" s="55"/>
    </row>
    <row r="337">
      <c r="B337" s="55"/>
    </row>
    <row r="338">
      <c r="B338" s="55"/>
    </row>
    <row r="339">
      <c r="B339" s="55"/>
    </row>
    <row r="340">
      <c r="B340" s="55"/>
    </row>
    <row r="341">
      <c r="B341" s="55"/>
    </row>
    <row r="342">
      <c r="B342" s="55"/>
    </row>
    <row r="343">
      <c r="B343" s="55"/>
    </row>
    <row r="344">
      <c r="B344" s="55"/>
    </row>
    <row r="345">
      <c r="B345" s="55"/>
    </row>
    <row r="346">
      <c r="B346" s="55"/>
    </row>
    <row r="347">
      <c r="B347" s="55"/>
    </row>
    <row r="348">
      <c r="B348" s="55"/>
    </row>
    <row r="349">
      <c r="B349" s="55"/>
    </row>
    <row r="350">
      <c r="B350" s="55"/>
    </row>
    <row r="351">
      <c r="B351" s="55"/>
    </row>
    <row r="352">
      <c r="B352" s="55"/>
    </row>
    <row r="353">
      <c r="B353" s="55"/>
    </row>
    <row r="354">
      <c r="B354" s="55"/>
    </row>
    <row r="355">
      <c r="B355" s="55"/>
    </row>
    <row r="356">
      <c r="B356" s="55"/>
    </row>
    <row r="357">
      <c r="B357" s="55"/>
    </row>
    <row r="358">
      <c r="B358" s="55"/>
    </row>
    <row r="359">
      <c r="B359" s="55"/>
    </row>
    <row r="360">
      <c r="B360" s="55"/>
    </row>
    <row r="361">
      <c r="B361" s="55"/>
    </row>
    <row r="362">
      <c r="B362" s="55"/>
    </row>
    <row r="363">
      <c r="B363" s="55"/>
    </row>
    <row r="364">
      <c r="B364" s="55"/>
    </row>
    <row r="365">
      <c r="B365" s="55"/>
    </row>
    <row r="366">
      <c r="B366" s="55"/>
    </row>
    <row r="367">
      <c r="B367" s="55"/>
    </row>
    <row r="368">
      <c r="B368" s="55"/>
    </row>
    <row r="369">
      <c r="B369" s="55"/>
    </row>
    <row r="370">
      <c r="B370" s="55"/>
    </row>
    <row r="371">
      <c r="B371" s="55"/>
    </row>
    <row r="372">
      <c r="B372" s="55"/>
    </row>
    <row r="373">
      <c r="B373" s="55"/>
    </row>
    <row r="374">
      <c r="B374" s="55"/>
    </row>
    <row r="375">
      <c r="B375" s="55"/>
    </row>
    <row r="376">
      <c r="B376" s="55"/>
    </row>
    <row r="377">
      <c r="B377" s="55"/>
    </row>
    <row r="378">
      <c r="B378" s="55"/>
    </row>
    <row r="379">
      <c r="B379" s="55"/>
    </row>
    <row r="380">
      <c r="B380" s="55"/>
    </row>
    <row r="381">
      <c r="B381" s="55"/>
    </row>
    <row r="382">
      <c r="B382" s="55"/>
    </row>
    <row r="383">
      <c r="B383" s="55"/>
    </row>
    <row r="384">
      <c r="B384" s="55"/>
    </row>
    <row r="385">
      <c r="B385" s="55"/>
    </row>
    <row r="386">
      <c r="B386" s="55"/>
    </row>
    <row r="387">
      <c r="B387" s="55"/>
    </row>
    <row r="388">
      <c r="B388" s="55"/>
    </row>
    <row r="389">
      <c r="B389" s="55"/>
    </row>
    <row r="390">
      <c r="B390" s="55"/>
    </row>
    <row r="391">
      <c r="B391" s="55"/>
    </row>
    <row r="392">
      <c r="B392" s="55"/>
    </row>
    <row r="393">
      <c r="B393" s="55"/>
    </row>
    <row r="394">
      <c r="B394" s="55"/>
    </row>
    <row r="395">
      <c r="B395" s="55"/>
    </row>
    <row r="396">
      <c r="B396" s="55"/>
    </row>
    <row r="397">
      <c r="B397" s="55"/>
    </row>
    <row r="398">
      <c r="B398" s="55"/>
    </row>
    <row r="399">
      <c r="B399" s="55"/>
    </row>
    <row r="400">
      <c r="B400" s="55"/>
    </row>
    <row r="401">
      <c r="B401" s="55"/>
    </row>
    <row r="402">
      <c r="B402" s="55"/>
    </row>
    <row r="403">
      <c r="B403" s="55"/>
    </row>
    <row r="404">
      <c r="B404" s="55"/>
    </row>
    <row r="405">
      <c r="B405" s="55"/>
    </row>
    <row r="406">
      <c r="B406" s="55"/>
    </row>
    <row r="407">
      <c r="B407" s="55"/>
    </row>
    <row r="408">
      <c r="B408" s="55"/>
    </row>
    <row r="409">
      <c r="B409" s="55"/>
    </row>
    <row r="410">
      <c r="B410" s="55"/>
    </row>
    <row r="411">
      <c r="B411" s="55"/>
    </row>
    <row r="412">
      <c r="B412" s="55"/>
    </row>
    <row r="413">
      <c r="B413" s="55"/>
    </row>
    <row r="414">
      <c r="B414" s="55"/>
    </row>
    <row r="415">
      <c r="B415" s="55"/>
    </row>
    <row r="416">
      <c r="B416" s="55"/>
    </row>
    <row r="417">
      <c r="B417" s="55"/>
    </row>
    <row r="418">
      <c r="B418" s="55"/>
    </row>
    <row r="419">
      <c r="B419" s="55"/>
    </row>
    <row r="420">
      <c r="B420" s="55"/>
    </row>
    <row r="421">
      <c r="B421" s="55"/>
    </row>
    <row r="422">
      <c r="B422" s="55"/>
    </row>
    <row r="423">
      <c r="B423" s="55"/>
    </row>
    <row r="424">
      <c r="B424" s="55"/>
    </row>
    <row r="425">
      <c r="B425" s="55"/>
    </row>
    <row r="426">
      <c r="B426" s="55"/>
    </row>
    <row r="427">
      <c r="B427" s="55"/>
    </row>
    <row r="428">
      <c r="B428" s="55"/>
    </row>
    <row r="429">
      <c r="B429" s="55"/>
    </row>
    <row r="430">
      <c r="B430" s="55"/>
    </row>
    <row r="431">
      <c r="B431" s="55"/>
    </row>
    <row r="432">
      <c r="B432" s="55"/>
    </row>
    <row r="433">
      <c r="B433" s="55"/>
    </row>
    <row r="434">
      <c r="B434" s="55"/>
    </row>
    <row r="435">
      <c r="B435" s="55"/>
    </row>
    <row r="436">
      <c r="B436" s="55"/>
    </row>
    <row r="437">
      <c r="B437" s="55"/>
    </row>
    <row r="438">
      <c r="B438" s="55"/>
    </row>
    <row r="439">
      <c r="B439" s="55"/>
    </row>
    <row r="440">
      <c r="B440" s="55"/>
    </row>
    <row r="441">
      <c r="B441" s="55"/>
    </row>
    <row r="442">
      <c r="B442" s="55"/>
    </row>
    <row r="443">
      <c r="B443" s="55"/>
    </row>
    <row r="444">
      <c r="B444" s="55"/>
    </row>
    <row r="445">
      <c r="B445" s="55"/>
    </row>
    <row r="446">
      <c r="B446" s="55"/>
    </row>
    <row r="447">
      <c r="B447" s="55"/>
    </row>
    <row r="448">
      <c r="B448" s="55"/>
    </row>
    <row r="449">
      <c r="B449" s="55"/>
    </row>
    <row r="450">
      <c r="B450" s="55"/>
    </row>
    <row r="451">
      <c r="B451" s="55"/>
    </row>
    <row r="452">
      <c r="B452" s="55"/>
    </row>
    <row r="453">
      <c r="B453" s="55"/>
    </row>
    <row r="454">
      <c r="B454" s="55"/>
    </row>
    <row r="455">
      <c r="B455" s="55"/>
    </row>
    <row r="456">
      <c r="B456" s="55"/>
    </row>
    <row r="457">
      <c r="B457" s="55"/>
    </row>
    <row r="458">
      <c r="B458" s="55"/>
    </row>
    <row r="459">
      <c r="B459" s="55"/>
    </row>
    <row r="460">
      <c r="B460" s="55"/>
    </row>
    <row r="461">
      <c r="B461" s="55"/>
    </row>
    <row r="462">
      <c r="B462" s="55"/>
    </row>
    <row r="463">
      <c r="B463" s="55"/>
    </row>
    <row r="464">
      <c r="B464" s="55"/>
    </row>
    <row r="465">
      <c r="B465" s="55"/>
    </row>
    <row r="466">
      <c r="B466" s="55"/>
    </row>
    <row r="467">
      <c r="B467" s="55"/>
    </row>
    <row r="468">
      <c r="B468" s="55"/>
    </row>
    <row r="469">
      <c r="B469" s="55"/>
    </row>
    <row r="470">
      <c r="B470" s="55"/>
    </row>
    <row r="471">
      <c r="B471" s="55"/>
    </row>
    <row r="472">
      <c r="B472" s="55"/>
    </row>
    <row r="473">
      <c r="B473" s="55"/>
    </row>
    <row r="474">
      <c r="B474" s="55"/>
    </row>
    <row r="475">
      <c r="B475" s="55"/>
    </row>
    <row r="476">
      <c r="B476" s="55"/>
    </row>
    <row r="477">
      <c r="B477" s="55"/>
    </row>
    <row r="478">
      <c r="B478" s="55"/>
    </row>
    <row r="479">
      <c r="B479" s="55"/>
    </row>
    <row r="480">
      <c r="B480" s="55"/>
    </row>
    <row r="481">
      <c r="B481" s="55"/>
    </row>
    <row r="482">
      <c r="B482" s="55"/>
    </row>
    <row r="483">
      <c r="B483" s="55"/>
    </row>
    <row r="484">
      <c r="B484" s="55"/>
    </row>
    <row r="485">
      <c r="B485" s="55"/>
    </row>
    <row r="486">
      <c r="B486" s="55"/>
    </row>
    <row r="487">
      <c r="B487" s="55"/>
    </row>
    <row r="488">
      <c r="B488" s="55"/>
    </row>
    <row r="489">
      <c r="B489" s="55"/>
    </row>
    <row r="490">
      <c r="B490" s="55"/>
    </row>
    <row r="491">
      <c r="B491" s="55"/>
    </row>
    <row r="492">
      <c r="B492" s="55"/>
    </row>
    <row r="493">
      <c r="B493" s="55"/>
    </row>
    <row r="494">
      <c r="B494" s="55"/>
    </row>
    <row r="495">
      <c r="B495" s="55"/>
    </row>
    <row r="496">
      <c r="B496" s="55"/>
    </row>
    <row r="497">
      <c r="B497" s="55"/>
    </row>
    <row r="498">
      <c r="B498" s="55"/>
    </row>
    <row r="499">
      <c r="B499" s="55"/>
    </row>
    <row r="500">
      <c r="B500" s="55"/>
    </row>
    <row r="501">
      <c r="B501" s="55"/>
    </row>
    <row r="502">
      <c r="B502" s="55"/>
    </row>
    <row r="503">
      <c r="B503" s="55"/>
    </row>
    <row r="504">
      <c r="B504" s="55"/>
    </row>
    <row r="505">
      <c r="B505" s="55"/>
    </row>
    <row r="506">
      <c r="B506" s="55"/>
    </row>
    <row r="507">
      <c r="B507" s="55"/>
    </row>
    <row r="508">
      <c r="B508" s="55"/>
    </row>
    <row r="509">
      <c r="B509" s="55"/>
    </row>
    <row r="510">
      <c r="B510" s="55"/>
    </row>
    <row r="511">
      <c r="B511" s="55"/>
    </row>
    <row r="512">
      <c r="B512" s="55"/>
    </row>
    <row r="513">
      <c r="B513" s="55"/>
    </row>
    <row r="514">
      <c r="B514" s="55"/>
    </row>
    <row r="515">
      <c r="B515" s="55"/>
    </row>
    <row r="516">
      <c r="B516" s="55"/>
    </row>
    <row r="517">
      <c r="B517" s="55"/>
    </row>
    <row r="518">
      <c r="B518" s="55"/>
    </row>
    <row r="519">
      <c r="B519" s="55"/>
    </row>
    <row r="520">
      <c r="B520" s="55"/>
    </row>
    <row r="521">
      <c r="B521" s="55"/>
    </row>
    <row r="522">
      <c r="B522" s="55"/>
    </row>
    <row r="523">
      <c r="B523" s="55"/>
    </row>
    <row r="524">
      <c r="B524" s="55"/>
    </row>
    <row r="525">
      <c r="B525" s="55"/>
    </row>
    <row r="526">
      <c r="B526" s="55"/>
    </row>
    <row r="527">
      <c r="B527" s="55"/>
    </row>
    <row r="528">
      <c r="B528" s="55"/>
    </row>
    <row r="529">
      <c r="B529" s="55"/>
    </row>
    <row r="530">
      <c r="B530" s="55"/>
    </row>
    <row r="531">
      <c r="B531" s="55"/>
    </row>
    <row r="532">
      <c r="B532" s="55"/>
    </row>
    <row r="533">
      <c r="B533" s="55"/>
    </row>
    <row r="534">
      <c r="B534" s="55"/>
    </row>
    <row r="535">
      <c r="B535" s="55"/>
    </row>
    <row r="536">
      <c r="B536" s="55"/>
    </row>
    <row r="537">
      <c r="B537" s="55"/>
    </row>
    <row r="538">
      <c r="B538" s="55"/>
    </row>
    <row r="539">
      <c r="B539" s="55"/>
    </row>
    <row r="540">
      <c r="B540" s="55"/>
    </row>
    <row r="541">
      <c r="B541" s="55"/>
    </row>
    <row r="542">
      <c r="B542" s="55"/>
    </row>
    <row r="543">
      <c r="B543" s="55"/>
    </row>
    <row r="544">
      <c r="B544" s="55"/>
    </row>
    <row r="545">
      <c r="B545" s="55"/>
    </row>
    <row r="546">
      <c r="B546" s="55"/>
    </row>
    <row r="547">
      <c r="B547" s="55"/>
    </row>
    <row r="548">
      <c r="B548" s="55"/>
    </row>
    <row r="549">
      <c r="B549" s="55"/>
    </row>
    <row r="550">
      <c r="B550" s="55"/>
    </row>
    <row r="551">
      <c r="B551" s="55"/>
    </row>
    <row r="552">
      <c r="B552" s="55"/>
    </row>
    <row r="553">
      <c r="B553" s="55"/>
    </row>
    <row r="554">
      <c r="B554" s="55"/>
    </row>
    <row r="555">
      <c r="B555" s="55"/>
    </row>
    <row r="556">
      <c r="B556" s="55"/>
    </row>
    <row r="557">
      <c r="B557" s="55"/>
    </row>
    <row r="558">
      <c r="B558" s="55"/>
    </row>
    <row r="559">
      <c r="B559" s="55"/>
    </row>
    <row r="560">
      <c r="B560" s="55"/>
    </row>
    <row r="561">
      <c r="B561" s="55"/>
    </row>
    <row r="562">
      <c r="B562" s="55"/>
    </row>
    <row r="563">
      <c r="B563" s="55"/>
    </row>
    <row r="564">
      <c r="B564" s="55"/>
    </row>
    <row r="565">
      <c r="B565" s="55"/>
    </row>
    <row r="566">
      <c r="B566" s="55"/>
    </row>
    <row r="567">
      <c r="B567" s="55"/>
    </row>
    <row r="568">
      <c r="B568" s="55"/>
    </row>
    <row r="569">
      <c r="B569" s="55"/>
    </row>
    <row r="570">
      <c r="B570" s="55"/>
    </row>
    <row r="571">
      <c r="B571" s="55"/>
    </row>
    <row r="572">
      <c r="B572" s="55"/>
    </row>
    <row r="573">
      <c r="B573" s="55"/>
    </row>
    <row r="574">
      <c r="B574" s="55"/>
    </row>
    <row r="575">
      <c r="B575" s="55"/>
    </row>
    <row r="576">
      <c r="B576" s="55"/>
    </row>
    <row r="577">
      <c r="B577" s="55"/>
    </row>
    <row r="578">
      <c r="B578" s="55"/>
    </row>
    <row r="579">
      <c r="B579" s="55"/>
    </row>
    <row r="580">
      <c r="B580" s="55"/>
    </row>
    <row r="581">
      <c r="B581" s="55"/>
    </row>
    <row r="582">
      <c r="B582" s="55"/>
    </row>
    <row r="583">
      <c r="B583" s="55"/>
    </row>
    <row r="584">
      <c r="B584" s="55"/>
    </row>
    <row r="585">
      <c r="B585" s="55"/>
    </row>
    <row r="586">
      <c r="B586" s="55"/>
    </row>
    <row r="587">
      <c r="B587" s="55"/>
    </row>
    <row r="588">
      <c r="B588" s="55"/>
    </row>
    <row r="589">
      <c r="B589" s="55"/>
    </row>
    <row r="590">
      <c r="B590" s="55"/>
    </row>
    <row r="591">
      <c r="B591" s="55"/>
    </row>
    <row r="592">
      <c r="B592" s="55"/>
    </row>
    <row r="593">
      <c r="B593" s="55"/>
    </row>
    <row r="594">
      <c r="B594" s="55"/>
    </row>
    <row r="595">
      <c r="B595" s="55"/>
    </row>
    <row r="596">
      <c r="B596" s="55"/>
    </row>
    <row r="597">
      <c r="B597" s="55"/>
    </row>
    <row r="598">
      <c r="B598" s="55"/>
    </row>
    <row r="599">
      <c r="B599" s="55"/>
    </row>
    <row r="600">
      <c r="B600" s="55"/>
    </row>
    <row r="601">
      <c r="B601" s="55"/>
    </row>
    <row r="602">
      <c r="B602" s="55"/>
    </row>
    <row r="603">
      <c r="B603" s="55"/>
    </row>
    <row r="604">
      <c r="B604" s="55"/>
    </row>
    <row r="605">
      <c r="B605" s="55"/>
    </row>
    <row r="606">
      <c r="B606" s="55"/>
    </row>
    <row r="607">
      <c r="B607" s="55"/>
    </row>
    <row r="608">
      <c r="B608" s="55"/>
    </row>
    <row r="609">
      <c r="B609" s="55"/>
    </row>
    <row r="610">
      <c r="B610" s="55"/>
    </row>
    <row r="611">
      <c r="B611" s="55"/>
    </row>
    <row r="612">
      <c r="B612" s="55"/>
    </row>
    <row r="613">
      <c r="B613" s="55"/>
    </row>
    <row r="614">
      <c r="B614" s="55"/>
    </row>
    <row r="615">
      <c r="B615" s="55"/>
    </row>
    <row r="616">
      <c r="B616" s="55"/>
    </row>
    <row r="617">
      <c r="B617" s="55"/>
    </row>
    <row r="618">
      <c r="B618" s="55"/>
    </row>
    <row r="619">
      <c r="B619" s="55"/>
    </row>
    <row r="620">
      <c r="B620" s="55"/>
    </row>
    <row r="621">
      <c r="B621" s="55"/>
    </row>
    <row r="622">
      <c r="B622" s="55"/>
    </row>
    <row r="623">
      <c r="B623" s="55"/>
    </row>
    <row r="624">
      <c r="B624" s="55"/>
    </row>
    <row r="625">
      <c r="B625" s="55"/>
    </row>
    <row r="626">
      <c r="B626" s="55"/>
    </row>
    <row r="627">
      <c r="B627" s="55"/>
    </row>
    <row r="628">
      <c r="B628" s="55"/>
    </row>
    <row r="629">
      <c r="B629" s="55"/>
    </row>
    <row r="630">
      <c r="B630" s="55"/>
    </row>
    <row r="631">
      <c r="B631" s="55"/>
    </row>
    <row r="632">
      <c r="B632" s="55"/>
    </row>
    <row r="633">
      <c r="B633" s="55"/>
    </row>
    <row r="634">
      <c r="B634" s="55"/>
    </row>
    <row r="635">
      <c r="B635" s="55"/>
    </row>
    <row r="636">
      <c r="B636" s="55"/>
    </row>
    <row r="637">
      <c r="B637" s="55"/>
    </row>
    <row r="638">
      <c r="B638" s="55"/>
    </row>
    <row r="639">
      <c r="B639" s="55"/>
    </row>
    <row r="640">
      <c r="B640" s="55"/>
    </row>
    <row r="641">
      <c r="B641" s="55"/>
    </row>
    <row r="642">
      <c r="B642" s="55"/>
    </row>
    <row r="643">
      <c r="B643" s="55"/>
    </row>
    <row r="644">
      <c r="B644" s="55"/>
    </row>
    <row r="645">
      <c r="B645" s="55"/>
    </row>
    <row r="646">
      <c r="B646" s="55"/>
    </row>
    <row r="647">
      <c r="B647" s="55"/>
    </row>
    <row r="648">
      <c r="B648" s="55"/>
    </row>
    <row r="649">
      <c r="B649" s="55"/>
    </row>
    <row r="650">
      <c r="B650" s="55"/>
    </row>
    <row r="651">
      <c r="B651" s="55"/>
    </row>
    <row r="652">
      <c r="B652" s="55"/>
    </row>
    <row r="653">
      <c r="B653" s="55"/>
    </row>
    <row r="654">
      <c r="B654" s="55"/>
    </row>
    <row r="655">
      <c r="B655" s="55"/>
    </row>
    <row r="656">
      <c r="B656" s="55"/>
    </row>
    <row r="657">
      <c r="B657" s="55"/>
    </row>
    <row r="658">
      <c r="B658" s="55"/>
    </row>
    <row r="659">
      <c r="B659" s="55"/>
    </row>
    <row r="660">
      <c r="B660" s="55"/>
    </row>
    <row r="661">
      <c r="B661" s="55"/>
    </row>
    <row r="662">
      <c r="B662" s="55"/>
    </row>
    <row r="663">
      <c r="B663" s="55"/>
    </row>
    <row r="664">
      <c r="B664" s="55"/>
    </row>
    <row r="665">
      <c r="B665" s="55"/>
    </row>
    <row r="666">
      <c r="B666" s="55"/>
    </row>
    <row r="667">
      <c r="B667" s="55"/>
    </row>
    <row r="668">
      <c r="B668" s="55"/>
    </row>
    <row r="669">
      <c r="B669" s="55"/>
    </row>
    <row r="670">
      <c r="B670" s="55"/>
    </row>
    <row r="671">
      <c r="B671" s="55"/>
    </row>
    <row r="672">
      <c r="B672" s="55"/>
    </row>
    <row r="673">
      <c r="B673" s="55"/>
    </row>
    <row r="674">
      <c r="B674" s="55"/>
    </row>
    <row r="675">
      <c r="B675" s="55"/>
    </row>
    <row r="676">
      <c r="B676" s="55"/>
    </row>
    <row r="677">
      <c r="B677" s="55"/>
    </row>
    <row r="678">
      <c r="B678" s="55"/>
    </row>
    <row r="679">
      <c r="B679" s="55"/>
    </row>
    <row r="680">
      <c r="B680" s="55"/>
    </row>
    <row r="681">
      <c r="B681" s="55"/>
    </row>
    <row r="682">
      <c r="B682" s="55"/>
    </row>
    <row r="683">
      <c r="B683" s="55"/>
    </row>
    <row r="684">
      <c r="B684" s="55"/>
    </row>
    <row r="685">
      <c r="B685" s="55"/>
    </row>
    <row r="686">
      <c r="B686" s="55"/>
    </row>
    <row r="687">
      <c r="B687" s="55"/>
    </row>
    <row r="688">
      <c r="B688" s="55"/>
    </row>
    <row r="689">
      <c r="B689" s="55"/>
    </row>
    <row r="690">
      <c r="B690" s="55"/>
    </row>
    <row r="691">
      <c r="B691" s="55"/>
    </row>
    <row r="692">
      <c r="B692" s="55"/>
    </row>
    <row r="693">
      <c r="B693" s="55"/>
    </row>
    <row r="694">
      <c r="B694" s="55"/>
    </row>
    <row r="695">
      <c r="B695" s="55"/>
    </row>
    <row r="696">
      <c r="B696" s="55"/>
    </row>
    <row r="697">
      <c r="B697" s="55"/>
    </row>
    <row r="698">
      <c r="B698" s="55"/>
    </row>
    <row r="699">
      <c r="B699" s="55"/>
    </row>
    <row r="700">
      <c r="B700" s="55"/>
    </row>
    <row r="701">
      <c r="B701" s="55"/>
    </row>
    <row r="702">
      <c r="B702" s="55"/>
    </row>
    <row r="703">
      <c r="B703" s="55"/>
    </row>
    <row r="704">
      <c r="B704" s="55"/>
    </row>
    <row r="705">
      <c r="B705" s="55"/>
    </row>
    <row r="706">
      <c r="B706" s="55"/>
    </row>
    <row r="707">
      <c r="B707" s="55"/>
    </row>
    <row r="708">
      <c r="B708" s="55"/>
    </row>
    <row r="709">
      <c r="B709" s="55"/>
    </row>
    <row r="710">
      <c r="B710" s="55"/>
    </row>
    <row r="711">
      <c r="B711" s="55"/>
    </row>
    <row r="712">
      <c r="B712" s="55"/>
    </row>
    <row r="713">
      <c r="B713" s="55"/>
    </row>
    <row r="714">
      <c r="B714" s="55"/>
    </row>
    <row r="715">
      <c r="B715" s="55"/>
    </row>
    <row r="716">
      <c r="B716" s="55"/>
    </row>
    <row r="717">
      <c r="B717" s="55"/>
    </row>
    <row r="718">
      <c r="B718" s="55"/>
    </row>
    <row r="719">
      <c r="B719" s="55"/>
    </row>
    <row r="720">
      <c r="B720" s="55"/>
    </row>
    <row r="721">
      <c r="B721" s="55"/>
    </row>
    <row r="722">
      <c r="B722" s="55"/>
    </row>
    <row r="723">
      <c r="B723" s="55"/>
    </row>
    <row r="724">
      <c r="B724" s="55"/>
    </row>
    <row r="725">
      <c r="B725" s="55"/>
    </row>
    <row r="726">
      <c r="B726" s="55"/>
    </row>
    <row r="727">
      <c r="B727" s="55"/>
    </row>
    <row r="728">
      <c r="B728" s="55"/>
    </row>
    <row r="729">
      <c r="B729" s="55"/>
    </row>
    <row r="730">
      <c r="B730" s="55"/>
    </row>
    <row r="731">
      <c r="B731" s="55"/>
    </row>
    <row r="732">
      <c r="B732" s="55"/>
    </row>
    <row r="733">
      <c r="B733" s="55"/>
    </row>
    <row r="734">
      <c r="B734" s="55"/>
    </row>
    <row r="735">
      <c r="B735" s="55"/>
    </row>
    <row r="736">
      <c r="B736" s="55"/>
    </row>
    <row r="737">
      <c r="B737" s="55"/>
    </row>
    <row r="738">
      <c r="B738" s="55"/>
    </row>
    <row r="739">
      <c r="B739" s="55"/>
    </row>
    <row r="740">
      <c r="B740" s="55"/>
    </row>
    <row r="741">
      <c r="B741" s="55"/>
    </row>
    <row r="742">
      <c r="B742" s="55"/>
    </row>
    <row r="743">
      <c r="B743" s="55"/>
    </row>
    <row r="744">
      <c r="B744" s="55"/>
    </row>
    <row r="745">
      <c r="B745" s="55"/>
    </row>
    <row r="746">
      <c r="B746" s="55"/>
    </row>
    <row r="747">
      <c r="B747" s="55"/>
    </row>
    <row r="748">
      <c r="B748" s="55"/>
    </row>
    <row r="749">
      <c r="B749" s="55"/>
    </row>
    <row r="750">
      <c r="B750" s="55"/>
    </row>
    <row r="751">
      <c r="B751" s="55"/>
    </row>
    <row r="752">
      <c r="B752" s="55"/>
    </row>
    <row r="753">
      <c r="B753" s="55"/>
    </row>
    <row r="754">
      <c r="B754" s="55"/>
    </row>
    <row r="755">
      <c r="B755" s="55"/>
    </row>
    <row r="756">
      <c r="B756" s="55"/>
    </row>
    <row r="757">
      <c r="B757" s="55"/>
    </row>
    <row r="758">
      <c r="B758" s="55"/>
    </row>
    <row r="759">
      <c r="B759" s="55"/>
    </row>
    <row r="760">
      <c r="B760" s="55"/>
    </row>
    <row r="761">
      <c r="B761" s="55"/>
    </row>
    <row r="762">
      <c r="B762" s="55"/>
    </row>
    <row r="763">
      <c r="B763" s="55"/>
    </row>
    <row r="764">
      <c r="B764" s="55"/>
    </row>
    <row r="765">
      <c r="B765" s="55"/>
    </row>
    <row r="766">
      <c r="B766" s="55"/>
    </row>
    <row r="767">
      <c r="B767" s="55"/>
    </row>
    <row r="768">
      <c r="B768" s="55"/>
    </row>
    <row r="769">
      <c r="B769" s="55"/>
    </row>
    <row r="770">
      <c r="B770" s="55"/>
    </row>
    <row r="771">
      <c r="B771" s="55"/>
    </row>
    <row r="772">
      <c r="B772" s="55"/>
    </row>
    <row r="773">
      <c r="B773" s="55"/>
    </row>
    <row r="774">
      <c r="B774" s="55"/>
    </row>
    <row r="775">
      <c r="B775" s="55"/>
    </row>
    <row r="776">
      <c r="B776" s="55"/>
    </row>
    <row r="777">
      <c r="B777" s="55"/>
    </row>
    <row r="778">
      <c r="B778" s="55"/>
    </row>
    <row r="779">
      <c r="B779" s="55"/>
    </row>
    <row r="780">
      <c r="B780" s="55"/>
    </row>
    <row r="781">
      <c r="B781" s="55"/>
    </row>
    <row r="782">
      <c r="B782" s="55"/>
    </row>
    <row r="783">
      <c r="B783" s="55"/>
    </row>
    <row r="784">
      <c r="B784" s="55"/>
    </row>
    <row r="785">
      <c r="B785" s="55"/>
    </row>
    <row r="786">
      <c r="B786" s="55"/>
    </row>
    <row r="787">
      <c r="B787" s="55"/>
    </row>
    <row r="788">
      <c r="B788" s="55"/>
    </row>
    <row r="789">
      <c r="B789" s="55"/>
    </row>
    <row r="790">
      <c r="B790" s="55"/>
    </row>
    <row r="791">
      <c r="B791" s="55"/>
    </row>
    <row r="792">
      <c r="B792" s="55"/>
    </row>
    <row r="793">
      <c r="B793" s="55"/>
    </row>
    <row r="794">
      <c r="B794" s="55"/>
    </row>
    <row r="795">
      <c r="B795" s="55"/>
    </row>
    <row r="796">
      <c r="B796" s="55"/>
    </row>
    <row r="797">
      <c r="B797" s="55"/>
    </row>
    <row r="798">
      <c r="B798" s="55"/>
    </row>
    <row r="799">
      <c r="B799" s="55"/>
    </row>
    <row r="800">
      <c r="B800" s="55"/>
    </row>
    <row r="801">
      <c r="B801" s="55"/>
    </row>
    <row r="802">
      <c r="B802" s="55"/>
    </row>
    <row r="803">
      <c r="B803" s="55"/>
    </row>
    <row r="804">
      <c r="B804" s="55"/>
    </row>
    <row r="805">
      <c r="B805" s="55"/>
    </row>
    <row r="806">
      <c r="B806" s="55"/>
    </row>
    <row r="807">
      <c r="B807" s="55"/>
    </row>
    <row r="808">
      <c r="B808" s="55"/>
    </row>
    <row r="809">
      <c r="B809" s="55"/>
    </row>
    <row r="810">
      <c r="B810" s="55"/>
    </row>
    <row r="811">
      <c r="B811" s="55"/>
    </row>
    <row r="812">
      <c r="B812" s="55"/>
    </row>
    <row r="813">
      <c r="B813" s="55"/>
    </row>
    <row r="814">
      <c r="B814" s="55"/>
    </row>
    <row r="815">
      <c r="B815" s="55"/>
    </row>
    <row r="816">
      <c r="B816" s="55"/>
    </row>
    <row r="817">
      <c r="B817" s="55"/>
    </row>
    <row r="818">
      <c r="B818" s="55"/>
    </row>
    <row r="819">
      <c r="B819" s="55"/>
    </row>
    <row r="820">
      <c r="B820" s="55"/>
    </row>
    <row r="821">
      <c r="B821" s="55"/>
    </row>
    <row r="822">
      <c r="B822" s="55"/>
    </row>
    <row r="823">
      <c r="B823" s="55"/>
    </row>
    <row r="824">
      <c r="B824" s="55"/>
    </row>
    <row r="825">
      <c r="B825" s="55"/>
    </row>
    <row r="826">
      <c r="B826" s="55"/>
    </row>
    <row r="827">
      <c r="B827" s="55"/>
    </row>
    <row r="828">
      <c r="B828" s="55"/>
    </row>
    <row r="829">
      <c r="B829" s="55"/>
    </row>
    <row r="830">
      <c r="B830" s="55"/>
    </row>
    <row r="831">
      <c r="B831" s="55"/>
    </row>
    <row r="832">
      <c r="B832" s="55"/>
    </row>
    <row r="833">
      <c r="B833" s="55"/>
    </row>
    <row r="834">
      <c r="B834" s="55"/>
    </row>
    <row r="835">
      <c r="B835" s="55"/>
    </row>
    <row r="836">
      <c r="B836" s="55"/>
    </row>
    <row r="837">
      <c r="B837" s="55"/>
    </row>
    <row r="838">
      <c r="B838" s="55"/>
    </row>
    <row r="839">
      <c r="B839" s="55"/>
    </row>
    <row r="840">
      <c r="B840" s="55"/>
    </row>
    <row r="841">
      <c r="B841" s="55"/>
    </row>
    <row r="842">
      <c r="B842" s="55"/>
    </row>
    <row r="843">
      <c r="B843" s="55"/>
    </row>
    <row r="844">
      <c r="B844" s="55"/>
    </row>
    <row r="845">
      <c r="B845" s="55"/>
    </row>
    <row r="846">
      <c r="B846" s="55"/>
    </row>
    <row r="847">
      <c r="B847" s="55"/>
    </row>
    <row r="848">
      <c r="B848" s="55"/>
    </row>
    <row r="849">
      <c r="B849" s="55"/>
    </row>
    <row r="850">
      <c r="B850" s="55"/>
    </row>
    <row r="851">
      <c r="B851" s="55"/>
    </row>
    <row r="852">
      <c r="B852" s="55"/>
    </row>
    <row r="853">
      <c r="B853" s="55"/>
    </row>
    <row r="854">
      <c r="B854" s="55"/>
    </row>
    <row r="855">
      <c r="B855" s="55"/>
    </row>
    <row r="856">
      <c r="B856" s="55"/>
    </row>
    <row r="857">
      <c r="B857" s="55"/>
    </row>
    <row r="858">
      <c r="B858" s="55"/>
    </row>
    <row r="859">
      <c r="B859" s="55"/>
    </row>
    <row r="860">
      <c r="B860" s="55"/>
    </row>
    <row r="861">
      <c r="B861" s="55"/>
    </row>
    <row r="862">
      <c r="B862" s="55"/>
    </row>
    <row r="863">
      <c r="B863" s="55"/>
    </row>
    <row r="864">
      <c r="B864" s="55"/>
    </row>
    <row r="865">
      <c r="B865" s="55"/>
    </row>
    <row r="866">
      <c r="B866" s="55"/>
    </row>
    <row r="867">
      <c r="B867" s="55"/>
    </row>
    <row r="868">
      <c r="B868" s="55"/>
    </row>
    <row r="869">
      <c r="B869" s="55"/>
    </row>
    <row r="870">
      <c r="B870" s="55"/>
    </row>
    <row r="871">
      <c r="B871" s="55"/>
    </row>
    <row r="872">
      <c r="B872" s="55"/>
    </row>
    <row r="873">
      <c r="B873" s="55"/>
    </row>
    <row r="874">
      <c r="B874" s="55"/>
    </row>
    <row r="875">
      <c r="B875" s="55"/>
    </row>
    <row r="876">
      <c r="B876" s="55"/>
    </row>
    <row r="877">
      <c r="B877" s="55"/>
    </row>
    <row r="878">
      <c r="B878" s="55"/>
    </row>
    <row r="879">
      <c r="B879" s="55"/>
    </row>
    <row r="880">
      <c r="B880" s="55"/>
    </row>
    <row r="881">
      <c r="B881" s="55"/>
    </row>
    <row r="882">
      <c r="B882" s="55"/>
    </row>
    <row r="883">
      <c r="B883" s="55"/>
    </row>
    <row r="884">
      <c r="B884" s="55"/>
    </row>
    <row r="885">
      <c r="B885" s="55"/>
    </row>
    <row r="886">
      <c r="B886" s="55"/>
    </row>
    <row r="887">
      <c r="B887" s="55"/>
    </row>
    <row r="888">
      <c r="B888" s="55"/>
    </row>
    <row r="889">
      <c r="B889" s="55"/>
    </row>
    <row r="890">
      <c r="B890" s="55"/>
    </row>
    <row r="891">
      <c r="B891" s="55"/>
    </row>
    <row r="892">
      <c r="B892" s="55"/>
    </row>
    <row r="893">
      <c r="B893" s="55"/>
    </row>
    <row r="894">
      <c r="B894" s="55"/>
    </row>
    <row r="895">
      <c r="B895" s="55"/>
    </row>
    <row r="896">
      <c r="B896" s="55"/>
    </row>
    <row r="897">
      <c r="B897" s="55"/>
    </row>
    <row r="898">
      <c r="B898" s="55"/>
    </row>
    <row r="899">
      <c r="B899" s="55"/>
    </row>
    <row r="900">
      <c r="B900" s="55"/>
    </row>
    <row r="901">
      <c r="B901" s="55"/>
    </row>
    <row r="902">
      <c r="B902" s="55"/>
    </row>
    <row r="903">
      <c r="B903" s="55"/>
    </row>
    <row r="904">
      <c r="B904" s="55"/>
    </row>
    <row r="905">
      <c r="B905" s="55"/>
    </row>
    <row r="906">
      <c r="B906" s="55"/>
    </row>
    <row r="907">
      <c r="B907" s="55"/>
    </row>
    <row r="908">
      <c r="B908" s="55"/>
    </row>
    <row r="909">
      <c r="B909" s="55"/>
    </row>
    <row r="910">
      <c r="B910" s="55"/>
    </row>
    <row r="911">
      <c r="B911" s="55"/>
    </row>
    <row r="912">
      <c r="B912" s="55"/>
    </row>
    <row r="913">
      <c r="B913" s="55"/>
    </row>
    <row r="914">
      <c r="B914" s="55"/>
    </row>
    <row r="915">
      <c r="B915" s="55"/>
    </row>
    <row r="916">
      <c r="B916" s="55"/>
    </row>
    <row r="917">
      <c r="B917" s="55"/>
    </row>
    <row r="918">
      <c r="B918" s="55"/>
    </row>
    <row r="919">
      <c r="B919" s="55"/>
    </row>
    <row r="920">
      <c r="B920" s="55"/>
    </row>
    <row r="921">
      <c r="B921" s="55"/>
    </row>
    <row r="922">
      <c r="B922" s="55"/>
    </row>
    <row r="923">
      <c r="B923" s="55"/>
    </row>
    <row r="924">
      <c r="B924" s="55"/>
    </row>
    <row r="925">
      <c r="B925" s="55"/>
    </row>
    <row r="926">
      <c r="B926" s="55"/>
    </row>
    <row r="927">
      <c r="B927" s="55"/>
    </row>
    <row r="928">
      <c r="B928" s="55"/>
    </row>
    <row r="929">
      <c r="B929" s="55"/>
    </row>
    <row r="930">
      <c r="B930" s="55"/>
    </row>
    <row r="931">
      <c r="B931" s="55"/>
    </row>
    <row r="932">
      <c r="B932" s="55"/>
    </row>
    <row r="933">
      <c r="B933" s="55"/>
    </row>
    <row r="934">
      <c r="B934" s="55"/>
    </row>
    <row r="935">
      <c r="B935" s="55"/>
    </row>
    <row r="936">
      <c r="B936" s="55"/>
    </row>
    <row r="937">
      <c r="B937" s="55"/>
    </row>
    <row r="938">
      <c r="B938" s="55"/>
    </row>
    <row r="939">
      <c r="B939" s="55"/>
    </row>
    <row r="940">
      <c r="B940" s="55"/>
    </row>
    <row r="941">
      <c r="B941" s="55"/>
    </row>
    <row r="942">
      <c r="B942" s="55"/>
    </row>
    <row r="943">
      <c r="B943" s="55"/>
    </row>
    <row r="944">
      <c r="B944" s="55"/>
    </row>
    <row r="945">
      <c r="B945" s="55"/>
    </row>
    <row r="946">
      <c r="B946" s="55"/>
    </row>
    <row r="947">
      <c r="B947" s="55"/>
    </row>
    <row r="948">
      <c r="B948" s="55"/>
    </row>
    <row r="949">
      <c r="B949" s="55"/>
    </row>
    <row r="950">
      <c r="B950" s="55"/>
    </row>
    <row r="951">
      <c r="B951" s="55"/>
    </row>
    <row r="952">
      <c r="B952" s="55"/>
    </row>
    <row r="953">
      <c r="B953" s="55"/>
    </row>
    <row r="954">
      <c r="B954" s="55"/>
    </row>
    <row r="955">
      <c r="B955" s="55"/>
    </row>
    <row r="956">
      <c r="B956" s="55"/>
    </row>
    <row r="957">
      <c r="B957" s="55"/>
    </row>
    <row r="958">
      <c r="B958" s="55"/>
    </row>
    <row r="959">
      <c r="B959" s="55"/>
    </row>
    <row r="960">
      <c r="B960" s="55"/>
    </row>
    <row r="961">
      <c r="B961" s="55"/>
    </row>
    <row r="962">
      <c r="B962" s="55"/>
    </row>
    <row r="963">
      <c r="B963" s="55"/>
    </row>
    <row r="964">
      <c r="B964" s="55"/>
    </row>
    <row r="965">
      <c r="B965" s="55"/>
    </row>
    <row r="966">
      <c r="B966" s="55"/>
    </row>
    <row r="967">
      <c r="B967" s="55"/>
    </row>
    <row r="968">
      <c r="B968" s="55"/>
    </row>
    <row r="969">
      <c r="B969" s="55"/>
    </row>
    <row r="970">
      <c r="B970" s="55"/>
    </row>
    <row r="971">
      <c r="B971" s="55"/>
    </row>
    <row r="972">
      <c r="B972" s="55"/>
    </row>
    <row r="973">
      <c r="B973" s="55"/>
    </row>
    <row r="974">
      <c r="B974" s="55"/>
    </row>
    <row r="975">
      <c r="B975" s="55"/>
    </row>
    <row r="976">
      <c r="B976" s="55"/>
    </row>
    <row r="977">
      <c r="B977" s="55"/>
    </row>
    <row r="978">
      <c r="B978" s="55"/>
    </row>
    <row r="979">
      <c r="B979" s="55"/>
    </row>
    <row r="980">
      <c r="B980" s="55"/>
    </row>
    <row r="981">
      <c r="B981" s="55"/>
    </row>
    <row r="982">
      <c r="B982" s="55"/>
    </row>
    <row r="983">
      <c r="B983" s="55"/>
    </row>
    <row r="984">
      <c r="B984" s="55"/>
    </row>
    <row r="985">
      <c r="B985" s="55"/>
    </row>
    <row r="986">
      <c r="B986" s="55"/>
    </row>
    <row r="987">
      <c r="B987" s="55"/>
    </row>
    <row r="988">
      <c r="B988" s="55"/>
    </row>
    <row r="989">
      <c r="B989" s="55"/>
    </row>
    <row r="990">
      <c r="B990" s="55"/>
    </row>
    <row r="991">
      <c r="B991" s="55"/>
    </row>
    <row r="992">
      <c r="B992" s="55"/>
    </row>
    <row r="993">
      <c r="B993" s="55"/>
    </row>
    <row r="994">
      <c r="B994" s="55"/>
    </row>
    <row r="995">
      <c r="B995" s="55"/>
    </row>
    <row r="996">
      <c r="B996" s="55"/>
    </row>
    <row r="997">
      <c r="B997" s="55"/>
    </row>
  </sheetData>
  <hyperlinks>
    <hyperlink display="👑 Nations" location="'👑 Nations'!A1" ref="A2"/>
    <hyperlink display="👪 Families" location="'👪 Families'!A1" ref="A3"/>
    <hyperlink display="🎓 Archetypes" location="'🎓 Archetypes'!A1" ref="A4"/>
    <hyperlink display="💼 Jobs" location="'💼 Jobs'!A1" ref="A5"/>
    <hyperlink display="👑👪🎓 Nations, Families, and Archetype Tendencies" location="'👑👪🎓 Nations, Families, and A'!A1" ref="A6"/>
    <hyperlink display="❤️ Opinion" location="'❤️ Opinion'!A1" ref="A7"/>
    <hyperlink display="👑Cognomens (Tracker)" location="'👑Cognomens (Tracker)'!A1" ref="A8"/>
    <hyperlink display="🧬 Trait Inheritance" location="'🧬 Trait Inheritance'!A1" ref="A9"/>
    <hyperlink display="🎓 Study Events" location="'🎓 Study Events'!A1" ref="A10"/>
    <hyperlink display="🌾 Harvest Events" location="'🌾 Harvest Events'!A1" ref="A11"/>
    <hyperlink display="⛏️ Rural Improvements" location="'⛏️ Rural Improvements'!A1" ref="A12"/>
    <hyperlink display="🏡 Urban Buildings" location="'🏡 Urban Buildings'!A1" ref="A13"/>
    <hyperlink display="🔱 Shrines" location="'🔱 Shrines'!A1" ref="A14"/>
    <hyperlink display="🕍 World Religion Buildings" location="'🕍 World Religion Buildings'!A1" ref="A15"/>
    <hyperlink display="🙏 Theologies" location="'🙏 Theologies'!A1" ref="A16"/>
    <hyperlink display="🏛️ Wonders" location="'🏛️ Wonders'!A1" ref="A17"/>
    <hyperlink display="⚖️ Laws" location="'⚖️ Laws'!A1" ref="A18"/>
    <hyperlink display="🔮Tech" location="'🔮Tech '!A1" ref="A19"/>
    <hyperlink display="🧭 Tech Priority Queue" location="'🧭 Tech Priority Queue'!A1" ref="A20"/>
    <hyperlink display="👨‍🌾 Specialists" location="'👨‍🌾 Specialists'!A1" ref="A21"/>
    <hyperlink display="⏩ Hurrying Production" location="'⏩ Hurrying Production'!A1" ref="A22"/>
    <hyperlink display="🎖️ Promotions" location="'🎖️ Promotions'!A1" ref="A23"/>
    <hyperlink display="⚔️ Combat Damage Formula" location="'⚔️ Combat Damage Formula'!A1" ref="A24"/>
    <hyperlink display="⚔️ Unit Counters at-a-glance" location="'⚔️ Unit Counters at-a-glance'!A1" ref="A25"/>
    <hyperlink display="⚔️ Unit Damage &amp; Counters" location="'⚔️ Unit Damage &amp; Counters'!A1" ref="A26"/>
    <hyperlink display="📈 Rally / Hold Court / Steal Research Scaling" location="'📈 Rally  Hold Court  Steal Res'!A1" ref="A27"/>
    <hyperlink display="🙏 Religious Conversion Mechanics" location="'🙏 Religious Conversion Mechani'!A1" ref="A28"/>
    <hyperlink display="🟣 Wisdom [Base]" location="'🟣 Wisdom Base'!A1" ref="A29"/>
    <hyperlink display="🧡 Charisma [Base]" location="'🧡 Charisma Base'!A1" ref="A30"/>
    <hyperlink display="🔺 Courage [Base]" location="'🔺 Courage Base'!A1" ref="A31"/>
    <hyperlink display="⚡ Discipline [Base]" location="'⚡ Discipline Base'!A1" ref="A32"/>
    <hyperlink display="🟣 Wisdom [CM]" location="'🟣 Wisdom CM'!A1" ref="A33"/>
    <hyperlink display="🧡 Charisma [CM]" location="'🧡 Charisma CM'!A1" ref="A34"/>
    <hyperlink display="🔺 Courage [CM]" location="'🔺 Courage CM'!A1" ref="A35"/>
    <hyperlink display="⚡ Discipline [CM]" location="'⚡ Discipline CM'!A1" ref="A3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9" width="22.63"/>
    <col customWidth="1" min="10" max="10" width="21.75"/>
    <col customWidth="1" min="11" max="11" width="24.25"/>
    <col customWidth="1" min="12" max="12" width="22.0"/>
    <col customWidth="1" min="13" max="13" width="25.63"/>
    <col customWidth="1" min="14" max="14" width="23.0"/>
  </cols>
  <sheetData>
    <row r="1">
      <c r="A1" s="56" t="s">
        <v>172</v>
      </c>
      <c r="B1" s="57" t="s">
        <v>6</v>
      </c>
      <c r="C1" s="58" t="s">
        <v>11</v>
      </c>
      <c r="D1" s="59" t="s">
        <v>16</v>
      </c>
      <c r="E1" s="60" t="s">
        <v>20</v>
      </c>
      <c r="F1" s="61" t="s">
        <v>24</v>
      </c>
      <c r="G1" s="62" t="s">
        <v>32</v>
      </c>
      <c r="H1" s="63" t="s">
        <v>27</v>
      </c>
      <c r="I1" s="64" t="s">
        <v>30</v>
      </c>
      <c r="J1" s="65" t="s">
        <v>34</v>
      </c>
      <c r="K1" s="66" t="s">
        <v>36</v>
      </c>
      <c r="L1" s="67" t="s">
        <v>38</v>
      </c>
      <c r="M1" s="68" t="s">
        <v>40</v>
      </c>
      <c r="N1" s="69" t="s">
        <v>42</v>
      </c>
    </row>
    <row r="2">
      <c r="A2" s="70"/>
      <c r="G2" s="48"/>
      <c r="K2" s="71"/>
      <c r="M2" s="72" t="s">
        <v>173</v>
      </c>
      <c r="N2" s="71"/>
    </row>
    <row r="3">
      <c r="A3" s="73" t="s">
        <v>174</v>
      </c>
      <c r="B3" s="74" t="s">
        <v>175</v>
      </c>
      <c r="C3" s="75" t="s">
        <v>176</v>
      </c>
      <c r="D3" s="76" t="s">
        <v>177</v>
      </c>
      <c r="E3" s="77" t="str">
        <f>"+400 Stone"</f>
        <v>+400 Stone</v>
      </c>
      <c r="F3" s="78" t="s">
        <v>178</v>
      </c>
      <c r="G3" s="79" t="str">
        <f>"+2 Civics/City"</f>
        <v>+2 Civics/City</v>
      </c>
      <c r="H3" s="80" t="str">
        <f>"+50% Harvest"</f>
        <v>+50% Harvest</v>
      </c>
      <c r="I3" s="81" t="str">
        <f>"+1 Fatigue Limit"</f>
        <v>+1 Fatigue Limit</v>
      </c>
      <c r="J3" s="82" t="s">
        <v>179</v>
      </c>
      <c r="K3" s="11" t="s">
        <v>180</v>
      </c>
      <c r="L3" s="79" t="str">
        <f>"-50% Civic Mission Costs"</f>
        <v>-50% Civic Mission Costs</v>
      </c>
      <c r="M3" s="79" t="str">
        <f>"+1 Civic/Shrine &amp; Sangam"</f>
        <v>+1 Civic/Shrine &amp; Sangam</v>
      </c>
      <c r="N3" s="8" t="s">
        <v>181</v>
      </c>
    </row>
    <row r="4">
      <c r="A4" s="73" t="s">
        <v>182</v>
      </c>
      <c r="B4" s="82" t="s">
        <v>183</v>
      </c>
      <c r="C4" s="83" t="s">
        <v>184</v>
      </c>
      <c r="D4" s="82" t="s">
        <v>185</v>
      </c>
      <c r="E4" s="84" t="str">
        <f>"+40% Farm on River"</f>
        <v>+40% Farm on River</v>
      </c>
      <c r="F4" s="85" t="str">
        <f>"+2 Culture/City"</f>
        <v>+2 Culture/City</v>
      </c>
      <c r="G4" s="48" t="s">
        <v>186</v>
      </c>
      <c r="H4" s="80" t="str">
        <f>"-25% Cost Ranged"</f>
        <v>-25% Cost Ranged</v>
      </c>
      <c r="I4" s="86" t="str">
        <f>"+2 Training/City"</f>
        <v>+2 Training/City</v>
      </c>
      <c r="J4" s="87" t="s">
        <v>187</v>
      </c>
      <c r="K4" s="88" t="s">
        <v>188</v>
      </c>
      <c r="L4" s="78" t="s">
        <v>189</v>
      </c>
      <c r="M4" s="86" t="str">
        <f>"+2 Training+Elephant/City"</f>
        <v>+2 Training+Elephant/City</v>
      </c>
      <c r="N4" s="48" t="s">
        <v>190</v>
      </c>
    </row>
    <row r="5">
      <c r="A5" s="73" t="s">
        <v>191</v>
      </c>
      <c r="B5" s="80" t="str">
        <f>"+100% Pillage Yield"</f>
        <v>+100% Pillage Yield</v>
      </c>
      <c r="C5" s="84" t="str">
        <f>"+20% Growth"</f>
        <v>+20% Growth</v>
      </c>
      <c r="D5" s="77" t="str">
        <f>"+10 Money/Turn Connected"</f>
        <v>+10 Money/Turn Connected</v>
      </c>
      <c r="E5" s="80" t="str">
        <f>"-20% Cost for Adj Imp"</f>
        <v>-20% Cost for Adj Imp</v>
      </c>
      <c r="F5" s="80" t="str">
        <f>"-25% Settler Cost"</f>
        <v>-25% Settler Cost</v>
      </c>
      <c r="G5" s="48" t="s">
        <v>192</v>
      </c>
      <c r="H5" s="89" t="str">
        <f>"Pastures +0.5 Orders"</f>
        <v>Pastures +0.5 Orders</v>
      </c>
      <c r="J5" s="8" t="s">
        <v>193</v>
      </c>
      <c r="K5" s="71" t="s">
        <v>194</v>
      </c>
      <c r="L5" s="90" t="s">
        <v>195</v>
      </c>
      <c r="M5" s="91" t="str">
        <f>"+1     Harbor &amp; 20% national str"</f>
        <v>+1     Harbor &amp; 20% national str</v>
      </c>
      <c r="N5" s="71" t="s">
        <v>196</v>
      </c>
    </row>
    <row r="6">
      <c r="A6" s="70"/>
      <c r="G6" s="48"/>
      <c r="K6" s="48"/>
      <c r="M6" s="48"/>
    </row>
    <row r="7">
      <c r="A7" s="70"/>
      <c r="G7" s="48"/>
      <c r="K7" s="48"/>
      <c r="L7" s="8" t="s">
        <v>197</v>
      </c>
      <c r="M7" s="8" t="s">
        <v>197</v>
      </c>
      <c r="N7" s="8" t="s">
        <v>197</v>
      </c>
    </row>
    <row r="8">
      <c r="A8" s="73" t="s">
        <v>198</v>
      </c>
      <c r="B8" s="78" t="str">
        <f>"+2 Training, +10 XP / Unit"</f>
        <v>+2 Training, +10 XP / Unit</v>
      </c>
      <c r="C8" s="92" t="str">
        <f>"+1 Sci, +1 Civ/Odeon"</f>
        <v>+1 Sci, +1 Civ/Odeon</v>
      </c>
      <c r="D8" s="93" t="str">
        <f>"+20 Money, +20% Nets"</f>
        <v>+20 Money, +20% Nets</v>
      </c>
      <c r="E8" s="94" t="str">
        <f>"+0.5 Orders, +20% Farms"</f>
        <v>+0.5 Orders, +20% Farms</v>
      </c>
      <c r="F8" s="92" t="str">
        <f>"+1 Sci, +1 Civ/Courthouse"</f>
        <v>+1 Sci, +1 Civ/Courthouse</v>
      </c>
      <c r="G8" s="95" t="str">
        <f>"+2 Training, +10 XP / Unit"</f>
        <v>+2 Training, +10 XP / Unit</v>
      </c>
      <c r="H8" s="78" t="str">
        <f>"+1 Train/LM, +20% Mines"</f>
        <v>+1 Train/LM, +20% Mines</v>
      </c>
      <c r="I8" s="78" t="str">
        <f t="shared" ref="I8:K8" si="1">"+2 Training, +10 XP / Unit"</f>
        <v>+2 Training, +10 XP / Unit</v>
      </c>
      <c r="J8" s="78" t="str">
        <f t="shared" si="1"/>
        <v>+2 Training, +10 XP / Unit</v>
      </c>
      <c r="K8" s="95" t="str">
        <f t="shared" si="1"/>
        <v>+2 Training, +10 XP / Unit</v>
      </c>
      <c r="L8" s="92" t="str">
        <f>"+1 Sci, +1 Civ/Courthouse"</f>
        <v>+1 Sci, +1 Civ/Courthouse</v>
      </c>
      <c r="M8" s="92" t="str">
        <f>"+1 Sci, +1 Civ/Odeon"</f>
        <v>+1 Sci, +1 Civ/Odeon</v>
      </c>
      <c r="N8" s="78" t="str">
        <f>"+2 Training, +10 XP / Unit"</f>
        <v>+2 Training, +10 XP / Unit</v>
      </c>
    </row>
    <row r="9">
      <c r="A9" s="73" t="s">
        <v>199</v>
      </c>
      <c r="B9" s="78" t="str">
        <f>"+1 Train/LM, +20% Mines"</f>
        <v>+1 Train/LM, +20% Mines</v>
      </c>
      <c r="C9" s="96" t="str">
        <f t="shared" ref="C9:D9" si="2">"+2 Growth, +20% Pastures"</f>
        <v>+2 Growth, +20% Pastures</v>
      </c>
      <c r="D9" s="96" t="str">
        <f t="shared" si="2"/>
        <v>+2 Growth, +20% Pastures</v>
      </c>
      <c r="E9" s="88" t="str">
        <f>"+2 Cult, +Cult%/MtnVolc"</f>
        <v>+2 Cult, +Cult%/MtnVolc</v>
      </c>
      <c r="F9" s="93" t="str">
        <f>"+20 Money, +20% Nets"</f>
        <v>+20 Money, +20% Nets</v>
      </c>
      <c r="G9" s="97" t="str">
        <f>"+2 Cult, +10 Money/Resource"</f>
        <v>+2 Cult, +10 Money/Resource</v>
      </c>
      <c r="H9" s="94" t="str">
        <f>"+0.5 Orders, +20% Farms"</f>
        <v>+0.5 Orders, +20% Farms</v>
      </c>
      <c r="I9" s="78" t="str">
        <f>"+1 Train/LM, +20% Mines"</f>
        <v>+1 Train/LM, +20% Mines</v>
      </c>
      <c r="J9" s="94" t="str">
        <f>"+0.5 Orders, +20% Farms"</f>
        <v>+0.5 Orders, +20% Farms</v>
      </c>
      <c r="K9" s="95" t="str">
        <f>"+1 Train/LM, +20% Mines"</f>
        <v>+1 Train/LM, +20% Mines</v>
      </c>
      <c r="L9" s="94" t="str">
        <f>"+0.5 Orders, +20% Farms"</f>
        <v>+0.5 Orders, +20% Farms</v>
      </c>
      <c r="M9" s="95" t="str">
        <f>"+1 Train/LM, +20% Mines"</f>
        <v>+1 Train/LM, +20% Mines</v>
      </c>
      <c r="N9" s="97" t="str">
        <f>"+2 Cult, +10 Money/Resource"</f>
        <v>+2 Cult, +10 Money/Resource</v>
      </c>
    </row>
    <row r="10">
      <c r="A10" s="73" t="s">
        <v>200</v>
      </c>
      <c r="B10" s="94" t="str">
        <f>"+0.5 Orders, +20% Farms"</f>
        <v>+0.5 Orders, +20% Farms</v>
      </c>
      <c r="C10" s="88" t="str">
        <f>"+2 Cult, +Cult%/MtnVolc"</f>
        <v>+2 Cult, +Cult%/MtnVolc</v>
      </c>
      <c r="D10" s="96" t="str">
        <f t="shared" ref="D10:E10" si="3">"+2 Growth/Grove, +Healer"</f>
        <v>+2 Growth/Grove, +Healer</v>
      </c>
      <c r="E10" s="96" t="str">
        <f t="shared" si="3"/>
        <v>+2 Growth/Grove, +Healer</v>
      </c>
      <c r="F10" s="88" t="str">
        <f>"+2 Cult, +Cult%/MtnVolc"</f>
        <v>+2 Cult, +Cult%/MtnVolc</v>
      </c>
      <c r="G10" s="96" t="str">
        <f>"+2 Growth/Grove, +Healer"</f>
        <v>+2 Growth/Grove, +Healer</v>
      </c>
      <c r="H10" s="93" t="str">
        <f>"+20 Money, +20% Nets"</f>
        <v>+20 Money, +20% Nets</v>
      </c>
      <c r="I10" s="96" t="str">
        <f t="shared" ref="I10:J10" si="4">"+2 Growth, +20% Pastures"</f>
        <v>+2 Growth, +20% Pastures</v>
      </c>
      <c r="J10" s="96" t="str">
        <f t="shared" si="4"/>
        <v>+2 Growth, +20% Pastures</v>
      </c>
      <c r="K10" s="98" t="str">
        <f>"+20 Money, +20% Nets"</f>
        <v>+20 Money, +20% Nets</v>
      </c>
      <c r="L10" s="96" t="str">
        <f>"+2 Growth/Grove, +Healer"</f>
        <v>+2 Growth/Grove, +Healer</v>
      </c>
      <c r="M10" s="99" t="str">
        <f>"+2 Growth, +20% Pastures"</f>
        <v>+2 Growth, +20% Pastures</v>
      </c>
      <c r="N10" s="88" t="str">
        <f>"+2 Cult, +Cult%/MtnVolc"</f>
        <v>+2 Cult, +Cult%/MtnVolc</v>
      </c>
    </row>
    <row r="11">
      <c r="A11" s="73" t="s">
        <v>201</v>
      </c>
      <c r="B11" s="76" t="str">
        <f t="shared" ref="B11:C11" si="5">"+2 Civics, +1 Order/Wonder"</f>
        <v>+2 Civics, +1 Order/Wonder</v>
      </c>
      <c r="C11" s="76" t="str">
        <f t="shared" si="5"/>
        <v>+2 Civics, +1 Order/Wonder</v>
      </c>
      <c r="D11" s="88" t="str">
        <f>"+2 Cult, +10 Money/Resource"</f>
        <v>+2 Cult, +10 Money/Resource</v>
      </c>
      <c r="E11" s="82" t="str">
        <f>"+1 Ranged Lvl, +20% Camps"</f>
        <v>+1 Ranged Lvl, +20% Camps</v>
      </c>
      <c r="F11" s="76" t="str">
        <f>"+2 Civics, +1 Order/Wonder"</f>
        <v>+2 Civics, +1 Order/Wonder</v>
      </c>
      <c r="G11" s="100" t="str">
        <f t="shared" ref="G11:H11" si="6">"+1 Ranged Lvl, +20% Camps"</f>
        <v>+1 Ranged Lvl, +20% Camps</v>
      </c>
      <c r="H11" s="82" t="str">
        <f t="shared" si="6"/>
        <v>+1 Ranged Lvl, +20% Camps</v>
      </c>
      <c r="I11" s="97" t="str">
        <f>"+2 Cult, +10 Money/Resource"</f>
        <v>+2 Cult, +10 Money/Resource</v>
      </c>
      <c r="J11" s="76" t="str">
        <f>"+2 Civics, +1 Order/Wonder"</f>
        <v>+2 Civics, +1 Order/Wonder</v>
      </c>
      <c r="K11" s="99" t="str">
        <f>"+2 Growth, +20% Pastures"</f>
        <v>+2 Growth, +20% Pastures</v>
      </c>
      <c r="L11" s="76" t="str">
        <f>"+2 Civics, +1 Order/Wonder"</f>
        <v>+2 Civics, +1 Order/Wonder</v>
      </c>
      <c r="M11" s="93" t="str">
        <f>"+20 Money, +20% Nets"</f>
        <v>+20 Money, +20% Nets</v>
      </c>
      <c r="N11" s="82" t="str">
        <f>"+1 Ranged Lvl, +20% Camps"</f>
        <v>+1 Ranged Lvl, +20% Camps</v>
      </c>
    </row>
    <row r="12">
      <c r="A12" s="70"/>
      <c r="G12" s="48"/>
      <c r="K12" s="48"/>
      <c r="M12" s="48"/>
      <c r="N12" s="48"/>
    </row>
    <row r="13">
      <c r="A13" s="73" t="s">
        <v>202</v>
      </c>
      <c r="B13" s="8" t="s">
        <v>203</v>
      </c>
      <c r="C13" s="8" t="s">
        <v>204</v>
      </c>
      <c r="D13" s="8" t="s">
        <v>205</v>
      </c>
      <c r="E13" s="8" t="s">
        <v>206</v>
      </c>
      <c r="F13" s="8" t="s">
        <v>207</v>
      </c>
      <c r="G13" s="8" t="s">
        <v>208</v>
      </c>
      <c r="H13" s="8" t="s">
        <v>209</v>
      </c>
      <c r="I13" s="8" t="s">
        <v>210</v>
      </c>
      <c r="J13" s="8" t="s">
        <v>211</v>
      </c>
      <c r="K13" s="48" t="s">
        <v>212</v>
      </c>
      <c r="L13" s="8" t="s">
        <v>213</v>
      </c>
      <c r="M13" s="8" t="s">
        <v>214</v>
      </c>
      <c r="N13" s="8" t="s">
        <v>215</v>
      </c>
    </row>
    <row r="14">
      <c r="A14" s="73" t="s">
        <v>216</v>
      </c>
      <c r="B14" s="8" t="s">
        <v>217</v>
      </c>
      <c r="C14" s="8" t="s">
        <v>218</v>
      </c>
      <c r="D14" s="8" t="s">
        <v>219</v>
      </c>
      <c r="E14" s="8" t="s">
        <v>220</v>
      </c>
      <c r="F14" s="8" t="s">
        <v>221</v>
      </c>
      <c r="G14" s="48" t="s">
        <v>222</v>
      </c>
      <c r="H14" s="8" t="s">
        <v>223</v>
      </c>
      <c r="I14" s="8" t="s">
        <v>224</v>
      </c>
      <c r="J14" s="8" t="s">
        <v>225</v>
      </c>
      <c r="K14" s="71" t="s">
        <v>226</v>
      </c>
      <c r="L14" s="8" t="s">
        <v>227</v>
      </c>
      <c r="M14" s="8" t="s">
        <v>228</v>
      </c>
      <c r="N14" s="71" t="s">
        <v>229</v>
      </c>
    </row>
    <row r="15">
      <c r="A15" s="73" t="s">
        <v>230</v>
      </c>
      <c r="B15" s="8" t="s">
        <v>231</v>
      </c>
      <c r="C15" s="8" t="s">
        <v>232</v>
      </c>
      <c r="D15" s="8" t="s">
        <v>233</v>
      </c>
      <c r="E15" s="8" t="s">
        <v>233</v>
      </c>
      <c r="F15" s="8" t="s">
        <v>234</v>
      </c>
      <c r="G15" s="8" t="s">
        <v>233</v>
      </c>
      <c r="H15" s="8" t="s">
        <v>235</v>
      </c>
      <c r="I15" s="8" t="s">
        <v>236</v>
      </c>
      <c r="J15" s="8" t="s">
        <v>232</v>
      </c>
      <c r="K15" s="8" t="s">
        <v>236</v>
      </c>
      <c r="L15" s="8" t="s">
        <v>237</v>
      </c>
      <c r="M15" s="8" t="s">
        <v>233</v>
      </c>
      <c r="N15" s="8" t="s">
        <v>235</v>
      </c>
    </row>
    <row r="16">
      <c r="A16" s="73" t="s">
        <v>238</v>
      </c>
      <c r="B16" s="8" t="str">
        <f>"-2/-4 wood"</f>
        <v>-2/-4 wood</v>
      </c>
      <c r="C16" s="8" t="str">
        <f>"-2/-4 wood, -1 food"</f>
        <v>-2/-4 wood, -1 food</v>
      </c>
      <c r="D16" s="8" t="str">
        <f t="shared" ref="D16:E16" si="7">"-4/-6 food"</f>
        <v>-4/-6 food</v>
      </c>
      <c r="E16" s="8" t="str">
        <f t="shared" si="7"/>
        <v>-4/-6 food</v>
      </c>
      <c r="F16" s="8" t="str">
        <f>"-2/-4 iron, -1 food"</f>
        <v>-2/-4 iron, -1 food</v>
      </c>
      <c r="G16" s="8" t="s">
        <v>239</v>
      </c>
      <c r="H16" s="8" t="str">
        <f t="shared" ref="H16:I16" si="8">"-2/-4 iron, -1 food"</f>
        <v>-2/-4 iron, -1 food</v>
      </c>
      <c r="I16" s="8" t="str">
        <f t="shared" si="8"/>
        <v>-2/-4 iron, -1 food</v>
      </c>
      <c r="J16" s="8" t="str">
        <f>"-2/-4 wood, -1 food"</f>
        <v>-2/-4 wood, -1 food</v>
      </c>
      <c r="K16" s="8" t="str">
        <f>"-2/-4 iron, -1 food"</f>
        <v>-2/-4 iron, -1 food</v>
      </c>
      <c r="L16" s="8" t="s">
        <v>240</v>
      </c>
      <c r="M16" s="8" t="s">
        <v>241</v>
      </c>
      <c r="N16" s="8" t="str">
        <f>"-2/-4 iron, -1 food"</f>
        <v>-2/-4 iron, -1 food</v>
      </c>
    </row>
    <row r="17">
      <c r="A17" s="73" t="s">
        <v>242</v>
      </c>
      <c r="B17" s="8" t="s">
        <v>243</v>
      </c>
      <c r="C17" s="8" t="s">
        <v>244</v>
      </c>
      <c r="D17" s="8" t="s">
        <v>245</v>
      </c>
      <c r="E17" s="8" t="s">
        <v>246</v>
      </c>
      <c r="F17" s="8" t="s">
        <v>245</v>
      </c>
      <c r="G17" s="8" t="s">
        <v>247</v>
      </c>
      <c r="H17" s="8" t="s">
        <v>248</v>
      </c>
      <c r="I17" s="8" t="s">
        <v>245</v>
      </c>
      <c r="J17" s="8" t="s">
        <v>244</v>
      </c>
      <c r="K17" s="8" t="s">
        <v>245</v>
      </c>
      <c r="L17" s="8" t="s">
        <v>249</v>
      </c>
      <c r="M17" s="8" t="s">
        <v>250</v>
      </c>
      <c r="N17" s="8" t="s">
        <v>251</v>
      </c>
    </row>
    <row r="18">
      <c r="A18" s="73" t="s">
        <v>252</v>
      </c>
      <c r="B18" s="8" t="s">
        <v>253</v>
      </c>
      <c r="C18" s="8" t="s">
        <v>253</v>
      </c>
      <c r="D18" s="8" t="s">
        <v>253</v>
      </c>
      <c r="E18" s="8" t="s">
        <v>253</v>
      </c>
      <c r="F18" s="8" t="s">
        <v>253</v>
      </c>
      <c r="G18" s="8" t="s">
        <v>253</v>
      </c>
      <c r="H18" s="8" t="s">
        <v>253</v>
      </c>
      <c r="I18" s="8" t="s">
        <v>253</v>
      </c>
      <c r="J18" s="8" t="s">
        <v>253</v>
      </c>
      <c r="K18" s="8" t="s">
        <v>253</v>
      </c>
      <c r="L18" s="8" t="s">
        <v>253</v>
      </c>
      <c r="M18" s="8" t="s">
        <v>253</v>
      </c>
      <c r="N18" s="8" t="s">
        <v>253</v>
      </c>
    </row>
    <row r="19">
      <c r="A19" s="73" t="s">
        <v>254</v>
      </c>
      <c r="B19" s="8" t="s">
        <v>255</v>
      </c>
      <c r="C19" s="8" t="s">
        <v>255</v>
      </c>
      <c r="D19" s="8" t="s">
        <v>255</v>
      </c>
      <c r="E19" s="8" t="s">
        <v>255</v>
      </c>
      <c r="F19" s="8" t="s">
        <v>255</v>
      </c>
      <c r="G19" s="8" t="s">
        <v>255</v>
      </c>
      <c r="H19" s="8" t="s">
        <v>255</v>
      </c>
      <c r="I19" s="8" t="s">
        <v>255</v>
      </c>
      <c r="J19" s="8" t="s">
        <v>255</v>
      </c>
      <c r="K19" s="8" t="s">
        <v>255</v>
      </c>
      <c r="L19" s="8" t="s">
        <v>255</v>
      </c>
      <c r="M19" s="8" t="s">
        <v>255</v>
      </c>
      <c r="N19" s="8" t="s">
        <v>255</v>
      </c>
    </row>
    <row r="20">
      <c r="A20" s="70"/>
      <c r="K20" s="48"/>
      <c r="M20" s="48"/>
      <c r="N20" s="48"/>
    </row>
    <row r="21">
      <c r="A21" s="73" t="s">
        <v>256</v>
      </c>
      <c r="B21" s="8" t="s">
        <v>257</v>
      </c>
      <c r="C21" s="8" t="s">
        <v>257</v>
      </c>
      <c r="D21" s="8" t="s">
        <v>257</v>
      </c>
      <c r="E21" s="48" t="s">
        <v>258</v>
      </c>
      <c r="F21" s="8" t="s">
        <v>258</v>
      </c>
      <c r="G21" s="48" t="s">
        <v>258</v>
      </c>
      <c r="H21" s="8" t="s">
        <v>258</v>
      </c>
      <c r="I21" s="8" t="s">
        <v>258</v>
      </c>
      <c r="J21" s="8" t="s">
        <v>257</v>
      </c>
      <c r="K21" s="48" t="s">
        <v>257</v>
      </c>
      <c r="L21" s="8" t="s">
        <v>258</v>
      </c>
      <c r="M21" s="8" t="s">
        <v>258</v>
      </c>
      <c r="N21" s="8" t="s">
        <v>259</v>
      </c>
    </row>
    <row r="22">
      <c r="A22" s="73" t="s">
        <v>260</v>
      </c>
      <c r="B22" s="8" t="s">
        <v>261</v>
      </c>
      <c r="C22" s="8" t="s">
        <v>261</v>
      </c>
      <c r="D22" s="8" t="s">
        <v>262</v>
      </c>
      <c r="E22" s="47" t="s">
        <v>263</v>
      </c>
      <c r="F22" s="8" t="s">
        <v>263</v>
      </c>
      <c r="G22" s="48" t="s">
        <v>261</v>
      </c>
      <c r="H22" s="8" t="s">
        <v>257</v>
      </c>
      <c r="I22" s="8" t="s">
        <v>263</v>
      </c>
      <c r="J22" s="8" t="s">
        <v>263</v>
      </c>
      <c r="K22" s="48" t="s">
        <v>261</v>
      </c>
      <c r="L22" s="8" t="s">
        <v>263</v>
      </c>
      <c r="M22" s="8" t="s">
        <v>257</v>
      </c>
      <c r="N22" s="8" t="s">
        <v>264</v>
      </c>
    </row>
    <row r="23">
      <c r="A23" s="73" t="s">
        <v>265</v>
      </c>
      <c r="B23" s="8" t="s">
        <v>264</v>
      </c>
      <c r="C23" s="8" t="s">
        <v>266</v>
      </c>
      <c r="D23" s="8" t="s">
        <v>267</v>
      </c>
      <c r="E23" s="8" t="s">
        <v>268</v>
      </c>
      <c r="F23" s="8" t="s">
        <v>269</v>
      </c>
      <c r="G23" s="48" t="s">
        <v>259</v>
      </c>
      <c r="H23" s="8" t="s">
        <v>259</v>
      </c>
      <c r="I23" s="8" t="s">
        <v>270</v>
      </c>
      <c r="J23" s="8" t="s">
        <v>262</v>
      </c>
      <c r="K23" s="48" t="s">
        <v>268</v>
      </c>
      <c r="L23" s="8" t="s">
        <v>261</v>
      </c>
      <c r="M23" s="8" t="s">
        <v>262</v>
      </c>
    </row>
    <row r="24">
      <c r="A24" s="73"/>
      <c r="G24" s="48"/>
      <c r="K24" s="48"/>
      <c r="M24" s="48"/>
      <c r="N24" s="48"/>
    </row>
    <row r="25">
      <c r="A25" s="73" t="s">
        <v>271</v>
      </c>
      <c r="B25" s="8" t="s">
        <v>272</v>
      </c>
      <c r="C25" s="8" t="s">
        <v>273</v>
      </c>
      <c r="D25" s="8" t="s">
        <v>274</v>
      </c>
      <c r="E25" s="8" t="s">
        <v>274</v>
      </c>
      <c r="F25" s="8" t="s">
        <v>272</v>
      </c>
      <c r="G25" s="95" t="s">
        <v>274</v>
      </c>
      <c r="H25" s="8" t="s">
        <v>274</v>
      </c>
      <c r="I25" s="8" t="s">
        <v>272</v>
      </c>
      <c r="J25" s="8" t="s">
        <v>273</v>
      </c>
      <c r="K25" s="95" t="s">
        <v>272</v>
      </c>
      <c r="L25" s="8" t="s">
        <v>272</v>
      </c>
      <c r="M25" s="8" t="s">
        <v>275</v>
      </c>
      <c r="N25" s="8" t="s">
        <v>272</v>
      </c>
    </row>
    <row r="26">
      <c r="A26" s="73" t="s">
        <v>276</v>
      </c>
      <c r="B26" s="8" t="s">
        <v>273</v>
      </c>
      <c r="C26" s="8" t="s">
        <v>275</v>
      </c>
      <c r="D26" s="8" t="s">
        <v>275</v>
      </c>
      <c r="E26" s="8" t="s">
        <v>277</v>
      </c>
      <c r="F26" s="8" t="s">
        <v>275</v>
      </c>
      <c r="G26" s="99" t="s">
        <v>277</v>
      </c>
      <c r="H26" s="8" t="s">
        <v>273</v>
      </c>
      <c r="I26" s="8" t="s">
        <v>277</v>
      </c>
      <c r="J26" s="8" t="s">
        <v>275</v>
      </c>
      <c r="K26" s="79" t="s">
        <v>278</v>
      </c>
      <c r="L26" s="8" t="s">
        <v>273</v>
      </c>
      <c r="M26" s="8" t="s">
        <v>279</v>
      </c>
      <c r="N26" s="8" t="s">
        <v>274</v>
      </c>
    </row>
    <row r="27">
      <c r="A27" s="73" t="s">
        <v>280</v>
      </c>
      <c r="B27" s="8" t="s">
        <v>278</v>
      </c>
      <c r="C27" s="8" t="s">
        <v>279</v>
      </c>
      <c r="D27" s="8" t="s">
        <v>279</v>
      </c>
      <c r="E27" s="8" t="s">
        <v>281</v>
      </c>
      <c r="F27" s="8" t="s">
        <v>278</v>
      </c>
      <c r="G27" s="79" t="s">
        <v>278</v>
      </c>
      <c r="H27" s="8" t="s">
        <v>281</v>
      </c>
      <c r="I27" s="8" t="s">
        <v>278</v>
      </c>
      <c r="J27" s="8" t="s">
        <v>279</v>
      </c>
      <c r="K27" s="101" t="s">
        <v>279</v>
      </c>
      <c r="L27" s="8" t="s">
        <v>274</v>
      </c>
      <c r="M27" s="8" t="s">
        <v>277</v>
      </c>
      <c r="N27" s="102" t="s">
        <v>281</v>
      </c>
    </row>
    <row r="28">
      <c r="A28" s="73" t="s">
        <v>282</v>
      </c>
      <c r="B28" s="8" t="s">
        <v>281</v>
      </c>
      <c r="C28" s="8" t="s">
        <v>283</v>
      </c>
      <c r="D28" s="8" t="s">
        <v>284</v>
      </c>
      <c r="E28" s="8" t="s">
        <v>283</v>
      </c>
      <c r="F28" s="8" t="s">
        <v>283</v>
      </c>
      <c r="G28" s="101" t="s">
        <v>279</v>
      </c>
      <c r="H28" s="8" t="s">
        <v>284</v>
      </c>
      <c r="I28" s="8" t="s">
        <v>284</v>
      </c>
      <c r="J28" s="8" t="s">
        <v>277</v>
      </c>
      <c r="K28" s="102" t="s">
        <v>281</v>
      </c>
      <c r="L28" s="79" t="s">
        <v>278</v>
      </c>
      <c r="M28" s="48"/>
      <c r="N28" s="101" t="s">
        <v>279</v>
      </c>
    </row>
    <row r="29">
      <c r="A29" s="73" t="s">
        <v>285</v>
      </c>
      <c r="B29" s="8"/>
      <c r="G29" s="48"/>
      <c r="H29" s="8"/>
      <c r="K29" s="48"/>
      <c r="L29" s="8" t="s">
        <v>283</v>
      </c>
      <c r="M29" s="48"/>
      <c r="N29" s="48"/>
    </row>
    <row r="30">
      <c r="A30" s="73" t="s">
        <v>286</v>
      </c>
      <c r="G30" s="48"/>
      <c r="K30" s="71"/>
      <c r="L30" s="8" t="s">
        <v>284</v>
      </c>
      <c r="M30" s="48"/>
      <c r="N30" s="48"/>
    </row>
    <row r="31">
      <c r="A31" s="103"/>
      <c r="B31" s="48"/>
      <c r="C31" s="48"/>
      <c r="D31" s="48"/>
      <c r="E31" s="48"/>
      <c r="F31" s="48"/>
      <c r="G31" s="48"/>
      <c r="H31" s="48"/>
      <c r="I31" s="48"/>
      <c r="J31" s="48"/>
      <c r="K31" s="47"/>
      <c r="M31" s="48"/>
      <c r="N31" s="48"/>
    </row>
    <row r="32">
      <c r="A32" s="103" t="s">
        <v>287</v>
      </c>
      <c r="B32" s="48" t="s">
        <v>288</v>
      </c>
      <c r="C32" s="48" t="s">
        <v>289</v>
      </c>
      <c r="D32" s="48" t="s">
        <v>290</v>
      </c>
      <c r="E32" s="48" t="s">
        <v>291</v>
      </c>
      <c r="F32" s="48" t="s">
        <v>292</v>
      </c>
      <c r="G32" s="48" t="s">
        <v>293</v>
      </c>
      <c r="H32" s="48" t="s">
        <v>294</v>
      </c>
      <c r="I32" s="48" t="s">
        <v>295</v>
      </c>
      <c r="J32" s="48" t="s">
        <v>296</v>
      </c>
      <c r="K32" s="47" t="s">
        <v>297</v>
      </c>
      <c r="L32" s="8" t="s">
        <v>298</v>
      </c>
      <c r="M32" s="71" t="s">
        <v>299</v>
      </c>
      <c r="N32" s="71" t="s">
        <v>300</v>
      </c>
    </row>
    <row r="33">
      <c r="A33" s="103" t="s">
        <v>301</v>
      </c>
      <c r="B33" s="48"/>
      <c r="C33" s="48" t="s">
        <v>302</v>
      </c>
      <c r="D33" s="48"/>
      <c r="E33" s="48"/>
      <c r="F33" s="48" t="s">
        <v>303</v>
      </c>
      <c r="G33" s="48"/>
      <c r="H33" s="48"/>
      <c r="I33" s="48"/>
      <c r="J33" s="48"/>
      <c r="K33" s="48" t="s">
        <v>304</v>
      </c>
      <c r="L33" s="8" t="s">
        <v>305</v>
      </c>
      <c r="M33" s="48"/>
      <c r="N33" s="71" t="s">
        <v>306</v>
      </c>
    </row>
    <row r="34">
      <c r="A34" s="104" t="s">
        <v>307</v>
      </c>
      <c r="B34" s="48" t="s">
        <v>308</v>
      </c>
      <c r="C34" s="48" t="s">
        <v>309</v>
      </c>
      <c r="D34" s="48"/>
      <c r="E34" s="48" t="s">
        <v>310</v>
      </c>
      <c r="F34" s="48" t="s">
        <v>311</v>
      </c>
      <c r="G34" s="48"/>
      <c r="H34" s="48" t="s">
        <v>312</v>
      </c>
      <c r="I34" s="48" t="s">
        <v>313</v>
      </c>
      <c r="J34" s="48" t="s">
        <v>314</v>
      </c>
      <c r="K34" s="48" t="s">
        <v>315</v>
      </c>
    </row>
    <row r="35">
      <c r="A35" s="104" t="s">
        <v>316</v>
      </c>
      <c r="B35" s="48"/>
      <c r="C35" s="48" t="s">
        <v>317</v>
      </c>
      <c r="D35" s="48"/>
      <c r="E35" s="48" t="s">
        <v>318</v>
      </c>
      <c r="F35" s="48"/>
      <c r="G35" s="48"/>
      <c r="H35" s="48"/>
      <c r="I35" s="48"/>
      <c r="J35" s="48" t="s">
        <v>319</v>
      </c>
      <c r="K35" s="48" t="s">
        <v>317</v>
      </c>
    </row>
    <row r="36">
      <c r="C36" s="105"/>
      <c r="D36" s="105"/>
      <c r="E36" s="105"/>
      <c r="F36" s="105"/>
      <c r="G36" s="105"/>
      <c r="H36" s="34"/>
      <c r="I36" s="105"/>
      <c r="J36" s="105"/>
      <c r="K36" s="34"/>
      <c r="L36" s="105"/>
      <c r="M36" s="34"/>
      <c r="N36" s="34"/>
    </row>
    <row r="37">
      <c r="B37" s="3"/>
    </row>
    <row r="38">
      <c r="B38" s="3"/>
      <c r="L38" s="106"/>
      <c r="M38" s="106"/>
      <c r="N38" s="106"/>
    </row>
    <row r="39">
      <c r="L39" s="106"/>
      <c r="M39" s="106"/>
      <c r="N39" s="106"/>
    </row>
  </sheetData>
  <conditionalFormatting sqref="D36">
    <cfRule type="colorScale" priority="1">
      <colorScale>
        <cfvo type="min"/>
        <cfvo type="max"/>
        <color rgb="FF57BB8A"/>
        <color rgb="FFFFFFFF"/>
      </colorScale>
    </cfRule>
  </conditionalFormatting>
  <conditionalFormatting sqref="B25:F28 H25:J28 L25:M27 N25:N26 L29:L30">
    <cfRule type="cellIs" dxfId="0" priority="2" operator="equal">
      <formula>"Champions"</formula>
    </cfRule>
  </conditionalFormatting>
  <conditionalFormatting sqref="B25:F28 H25:J28 L25:M27 N25:N26 L29:L30">
    <cfRule type="cellIs" dxfId="0" priority="3" operator="equal">
      <formula>"Hunters"</formula>
    </cfRule>
  </conditionalFormatting>
  <conditionalFormatting sqref="B25:F28 H25:J28 L25:M27 N25:N26 L29:L30">
    <cfRule type="cellIs" dxfId="0" priority="4" operator="equal">
      <formula>"Riders"</formula>
    </cfRule>
  </conditionalFormatting>
  <conditionalFormatting sqref="B25:F28 H25:J28 L25:M27 N25:N26 L29:L30">
    <cfRule type="cellIs" dxfId="1" priority="5" operator="equal">
      <formula>"Statesmen"</formula>
    </cfRule>
  </conditionalFormatting>
  <conditionalFormatting sqref="B25:F28 H25:J28 L25:M27 N25:N26 L29:L30">
    <cfRule type="cellIs" dxfId="2" priority="6" operator="equal">
      <formula>"Sages"</formula>
    </cfRule>
  </conditionalFormatting>
  <conditionalFormatting sqref="B25:F28 H25:J28 L25:M27 N25:N26 L29:L30">
    <cfRule type="cellIs" dxfId="3" priority="7" operator="equal">
      <formula>"Landowners"</formula>
    </cfRule>
  </conditionalFormatting>
  <conditionalFormatting sqref="B25:F28 H25:J28 L25:M27 N25:N26 L29:L30">
    <cfRule type="cellIs" dxfId="4" priority="8" operator="equal">
      <formula>"Artisans"</formula>
    </cfRule>
  </conditionalFormatting>
  <conditionalFormatting sqref="B25:F28 H25:J28 L25:M27 N25:N26 L29:L30">
    <cfRule type="cellIs" dxfId="5" priority="9" operator="equal">
      <formula>"Clerics"</formula>
    </cfRule>
  </conditionalFormatting>
  <conditionalFormatting sqref="B25:F28 H25:J28 L25:M27 N25:N26 L29:L30">
    <cfRule type="cellIs" dxfId="6" priority="10" operator="equal">
      <formula>"Traders"</formula>
    </cfRule>
  </conditionalFormatting>
  <conditionalFormatting sqref="B25:F28 H25:J28 L25:M27 N25:N26 L29:L30">
    <cfRule type="cellIs" dxfId="2" priority="11" operator="equal">
      <formula>"Patrons"</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11" width="17.25"/>
  </cols>
  <sheetData>
    <row r="1">
      <c r="A1" s="107"/>
      <c r="B1" s="108" t="s">
        <v>272</v>
      </c>
      <c r="C1" s="109" t="s">
        <v>273</v>
      </c>
      <c r="D1" s="110" t="s">
        <v>274</v>
      </c>
      <c r="E1" s="111" t="s">
        <v>284</v>
      </c>
      <c r="F1" s="112" t="s">
        <v>283</v>
      </c>
      <c r="G1" s="113" t="s">
        <v>278</v>
      </c>
      <c r="H1" s="114" t="s">
        <v>275</v>
      </c>
      <c r="I1" s="115" t="s">
        <v>277</v>
      </c>
      <c r="J1" s="116" t="s">
        <v>281</v>
      </c>
      <c r="K1" s="117" t="s">
        <v>279</v>
      </c>
    </row>
    <row r="2">
      <c r="A2" s="118" t="s">
        <v>320</v>
      </c>
      <c r="B2" s="119" t="str">
        <f t="shared" ref="B2:D2" si="1">"+2 Training"</f>
        <v>+2 Training</v>
      </c>
      <c r="C2" s="119" t="str">
        <f t="shared" si="1"/>
        <v>+2 Training</v>
      </c>
      <c r="D2" s="119" t="str">
        <f t="shared" si="1"/>
        <v>+2 Training</v>
      </c>
      <c r="E2" s="120" t="str">
        <f>"+1 Order"</f>
        <v>+1 Order</v>
      </c>
      <c r="F2" s="121" t="str">
        <f t="shared" ref="F2:G2" si="2">"+2 Civics"</f>
        <v>+2 Civics</v>
      </c>
      <c r="G2" s="121" t="str">
        <f t="shared" si="2"/>
        <v>+2 Civics</v>
      </c>
      <c r="H2" s="122" t="str">
        <f>"+4 Culture"</f>
        <v>+4 Culture</v>
      </c>
      <c r="I2" s="123" t="str">
        <f>"+2 Growth"</f>
        <v>+2 Growth</v>
      </c>
      <c r="J2" s="124" t="str">
        <f>"+1 Happiness"</f>
        <v>+1 Happiness</v>
      </c>
      <c r="K2" s="125" t="s">
        <v>321</v>
      </c>
    </row>
    <row r="3">
      <c r="A3" s="118" t="s">
        <v>322</v>
      </c>
      <c r="B3" s="126" t="str">
        <f>"+50% City Defense"</f>
        <v>+50% City Defense</v>
      </c>
      <c r="C3" s="126" t="str">
        <f>"+Sentinel Ranged"</f>
        <v>+Sentinel Ranged</v>
      </c>
      <c r="D3" s="125" t="s">
        <v>323</v>
      </c>
      <c r="E3" s="127" t="str">
        <f>"+1 Civic/Family Opinion Level"</f>
        <v>+1 Civic/Family Opinion Level</v>
      </c>
      <c r="F3" s="128" t="str">
        <f>"+1 Sci/Specialist"</f>
        <v>+1 Sci/Specialist</v>
      </c>
      <c r="G3" s="129" t="s">
        <v>324</v>
      </c>
      <c r="H3" s="91" t="str">
        <f>"-25% Cost Ship/Siege"</f>
        <v>-25% Cost Ship/Siege</v>
      </c>
      <c r="I3" s="130" t="str">
        <f>"+5 Money/Farm"</f>
        <v>+5 Money/Farm</v>
      </c>
      <c r="J3" s="125" t="s">
        <v>325</v>
      </c>
      <c r="K3" s="130" t="str">
        <f>"+6 Money/Specialist"</f>
        <v>+6 Money/Specialist</v>
      </c>
    </row>
    <row r="4">
      <c r="A4" s="118" t="s">
        <v>326</v>
      </c>
      <c r="B4" s="126" t="str">
        <f>"+Steadfast"</f>
        <v>+Steadfast</v>
      </c>
      <c r="C4" s="123" t="str">
        <f>"+100% Camps"</f>
        <v>+100% Camps</v>
      </c>
      <c r="D4" s="126" t="str">
        <f>"+Saddleborn Mounted"</f>
        <v>+Saddleborn Mounted</v>
      </c>
      <c r="E4" s="121" t="str">
        <f>"-20% Urban Specialist Cost (food)"</f>
        <v>-20% Urban Specialist Cost (food)</v>
      </c>
      <c r="F4" s="128" t="str">
        <f>"+Archive I"</f>
        <v>+Archive I</v>
      </c>
      <c r="G4" s="105" t="s">
        <v>327</v>
      </c>
      <c r="H4" s="131" t="str">
        <f>"+20% Mines&amp;Lumber"</f>
        <v>+20% Mines&amp;Lumber</v>
      </c>
      <c r="I4" s="131" t="str">
        <f>"-50% Rural Specialist Build Time"</f>
        <v>-50% Rural Specialist Build Time</v>
      </c>
      <c r="J4" s="131" t="str">
        <f>"+100% Monast/Temple"</f>
        <v>+100% Monast/Temple</v>
      </c>
      <c r="K4" s="123" t="str">
        <f>"+100% Nets"</f>
        <v>+100% Nets</v>
      </c>
    </row>
    <row r="5">
      <c r="A5" s="118"/>
      <c r="B5" s="132"/>
      <c r="C5" s="105"/>
      <c r="D5" s="105"/>
      <c r="E5" s="133"/>
      <c r="F5" s="105"/>
      <c r="G5" s="132"/>
      <c r="H5" s="105"/>
      <c r="I5" s="105"/>
      <c r="J5" s="132"/>
      <c r="K5" s="105"/>
    </row>
    <row r="6">
      <c r="A6" s="118" t="s">
        <v>328</v>
      </c>
      <c r="B6" s="119" t="str">
        <f>"+50% City Training"</f>
        <v>+50% City Training</v>
      </c>
      <c r="C6" s="134" t="s">
        <v>329</v>
      </c>
      <c r="D6" s="91" t="s">
        <v>330</v>
      </c>
      <c r="E6" s="135" t="s">
        <v>331</v>
      </c>
      <c r="F6" s="136" t="s">
        <v>332</v>
      </c>
      <c r="G6" s="137" t="s">
        <v>333</v>
      </c>
      <c r="H6" s="125" t="s">
        <v>334</v>
      </c>
      <c r="I6" s="125" t="s">
        <v>335</v>
      </c>
      <c r="J6" s="138" t="s">
        <v>336</v>
      </c>
      <c r="K6" s="139" t="s">
        <v>337</v>
      </c>
    </row>
    <row r="7">
      <c r="A7" s="118"/>
      <c r="B7" s="140"/>
      <c r="C7" s="141"/>
      <c r="D7" s="120" t="str">
        <f>"+2 Orders"</f>
        <v>+2 Orders</v>
      </c>
      <c r="E7" s="142"/>
      <c r="F7" s="143"/>
      <c r="G7" s="140"/>
      <c r="H7" s="141"/>
      <c r="I7" s="141"/>
      <c r="J7" s="140"/>
      <c r="K7" s="141"/>
    </row>
    <row r="8">
      <c r="A8" s="118" t="s">
        <v>338</v>
      </c>
      <c r="B8" s="126" t="str">
        <f>"+Militia"</f>
        <v>+Militia</v>
      </c>
      <c r="C8" s="130" t="str">
        <f>"+50 iron, stone, wood"</f>
        <v>+50 iron, stone, wood</v>
      </c>
      <c r="D8" s="132" t="str">
        <f>"+Scout"</f>
        <v>+Scout</v>
      </c>
      <c r="E8" s="127" t="s">
        <v>339</v>
      </c>
      <c r="F8" s="144" t="s">
        <v>340</v>
      </c>
      <c r="G8" s="145" t="str">
        <f>"+Court Minister"</f>
        <v>+Court Minister</v>
      </c>
      <c r="H8" s="125" t="str">
        <f>"+Worker"</f>
        <v>+Worker</v>
      </c>
      <c r="I8" s="123" t="str">
        <f>"+2 Citizens"</f>
        <v>+2 Citizens</v>
      </c>
      <c r="J8" s="144" t="s">
        <v>341</v>
      </c>
      <c r="K8" s="130" t="str">
        <f>"+Court Merchant"</f>
        <v>+Court Merchant</v>
      </c>
    </row>
    <row r="9">
      <c r="A9" s="118"/>
      <c r="B9" s="132"/>
      <c r="C9" s="132"/>
      <c r="D9" s="132"/>
      <c r="E9" s="132"/>
      <c r="F9" s="105"/>
      <c r="G9" s="105"/>
      <c r="H9" s="105"/>
      <c r="I9" s="132"/>
      <c r="J9" s="105"/>
      <c r="K9" s="132"/>
    </row>
    <row r="10">
      <c r="A10" s="118" t="s">
        <v>342</v>
      </c>
      <c r="B10" s="105" t="s">
        <v>343</v>
      </c>
      <c r="C10" s="105" t="s">
        <v>344</v>
      </c>
      <c r="D10" s="105" t="s">
        <v>345</v>
      </c>
      <c r="E10" s="105" t="s">
        <v>346</v>
      </c>
      <c r="F10" s="105" t="s">
        <v>347</v>
      </c>
      <c r="G10" s="105" t="s">
        <v>348</v>
      </c>
      <c r="H10" s="105" t="str">
        <f>"-20 / Pillaged"</f>
        <v>-20 / Pillaged</v>
      </c>
      <c r="I10" s="105" t="s">
        <v>349</v>
      </c>
      <c r="J10" s="105" t="s">
        <v>350</v>
      </c>
      <c r="K10" s="105" t="s">
        <v>351</v>
      </c>
    </row>
    <row r="11">
      <c r="A11" s="118" t="s">
        <v>352</v>
      </c>
      <c r="B11" s="105" t="s">
        <v>353</v>
      </c>
      <c r="C11" s="105" t="s">
        <v>354</v>
      </c>
      <c r="D11" s="105" t="s">
        <v>355</v>
      </c>
      <c r="E11" s="105" t="s">
        <v>356</v>
      </c>
      <c r="F11" s="105" t="s">
        <v>357</v>
      </c>
      <c r="G11" s="105" t="s">
        <v>358</v>
      </c>
      <c r="H11" s="132" t="str">
        <f>"+20 / Lux"</f>
        <v>+20 / Lux</v>
      </c>
      <c r="I11" s="105" t="s">
        <v>359</v>
      </c>
      <c r="J11" s="105" t="s">
        <v>360</v>
      </c>
      <c r="K11" s="105" t="s">
        <v>361</v>
      </c>
    </row>
    <row r="12">
      <c r="A12" s="118" t="s">
        <v>362</v>
      </c>
      <c r="B12" s="105"/>
      <c r="C12" s="105"/>
      <c r="D12" s="105"/>
      <c r="E12" s="105"/>
      <c r="F12" s="105"/>
      <c r="G12" s="105" t="s">
        <v>363</v>
      </c>
      <c r="H12" s="132"/>
      <c r="I12" s="105" t="s">
        <v>364</v>
      </c>
      <c r="J12" s="105"/>
      <c r="K12" s="105"/>
    </row>
    <row r="13">
      <c r="A13" s="118" t="s">
        <v>365</v>
      </c>
      <c r="B13" s="105" t="s">
        <v>366</v>
      </c>
      <c r="C13" s="105" t="s">
        <v>367</v>
      </c>
      <c r="D13" s="105" t="s">
        <v>368</v>
      </c>
      <c r="E13" s="105" t="s">
        <v>366</v>
      </c>
      <c r="F13" s="105" t="s">
        <v>368</v>
      </c>
      <c r="G13" s="105" t="s">
        <v>369</v>
      </c>
      <c r="H13" s="105" t="s">
        <v>369</v>
      </c>
      <c r="I13" s="105" t="s">
        <v>370</v>
      </c>
      <c r="J13" s="105" t="s">
        <v>371</v>
      </c>
      <c r="K13" s="105" t="s">
        <v>372</v>
      </c>
    </row>
    <row r="14">
      <c r="A14" s="118" t="s">
        <v>373</v>
      </c>
      <c r="B14" s="105" t="s">
        <v>374</v>
      </c>
      <c r="C14" s="105" t="s">
        <v>370</v>
      </c>
      <c r="D14" s="105" t="s">
        <v>367</v>
      </c>
      <c r="E14" s="105" t="s">
        <v>375</v>
      </c>
      <c r="F14" s="105" t="s">
        <v>376</v>
      </c>
      <c r="G14" s="105" t="s">
        <v>371</v>
      </c>
      <c r="H14" s="105" t="s">
        <v>374</v>
      </c>
      <c r="I14" s="105" t="s">
        <v>372</v>
      </c>
      <c r="J14" s="105" t="s">
        <v>376</v>
      </c>
      <c r="K14" s="105" t="s">
        <v>375</v>
      </c>
    </row>
    <row r="15">
      <c r="A15" s="118" t="s">
        <v>377</v>
      </c>
      <c r="B15" s="146" t="s">
        <v>378</v>
      </c>
      <c r="C15" s="13" t="s">
        <v>379</v>
      </c>
      <c r="D15" s="13" t="s">
        <v>380</v>
      </c>
      <c r="E15" s="147" t="s">
        <v>381</v>
      </c>
      <c r="F15" s="6" t="s">
        <v>382</v>
      </c>
      <c r="G15" s="148" t="s">
        <v>383</v>
      </c>
      <c r="H15" s="149" t="s">
        <v>384</v>
      </c>
      <c r="I15" s="15" t="s">
        <v>385</v>
      </c>
      <c r="J15" s="25" t="s">
        <v>386</v>
      </c>
      <c r="K15" s="15" t="s">
        <v>387</v>
      </c>
    </row>
    <row r="16">
      <c r="A16" s="118" t="s">
        <v>388</v>
      </c>
      <c r="B16" s="105" t="s">
        <v>389</v>
      </c>
      <c r="C16" s="105" t="s">
        <v>390</v>
      </c>
      <c r="D16" s="105" t="s">
        <v>391</v>
      </c>
      <c r="E16" s="105" t="s">
        <v>392</v>
      </c>
      <c r="F16" s="105" t="s">
        <v>393</v>
      </c>
      <c r="G16" s="105" t="s">
        <v>394</v>
      </c>
      <c r="H16" s="105" t="s">
        <v>395</v>
      </c>
      <c r="I16" s="105" t="s">
        <v>396</v>
      </c>
      <c r="J16" s="105" t="s">
        <v>397</v>
      </c>
      <c r="K16" s="105" t="s">
        <v>398</v>
      </c>
    </row>
    <row r="17">
      <c r="A17" s="118"/>
      <c r="B17" s="105"/>
      <c r="C17" s="2"/>
      <c r="D17" s="2"/>
      <c r="E17" s="2"/>
      <c r="F17" s="2"/>
      <c r="G17" s="2"/>
      <c r="H17" s="2"/>
      <c r="I17" s="2"/>
      <c r="J17" s="2"/>
      <c r="K17" s="2"/>
    </row>
    <row r="18">
      <c r="A18" s="118" t="s">
        <v>399</v>
      </c>
      <c r="B18" s="105" t="s">
        <v>400</v>
      </c>
      <c r="C18" s="105" t="s">
        <v>401</v>
      </c>
      <c r="D18" s="105" t="s">
        <v>402</v>
      </c>
      <c r="E18" s="105" t="s">
        <v>403</v>
      </c>
      <c r="F18" s="105" t="s">
        <v>404</v>
      </c>
      <c r="G18" s="105" t="s">
        <v>405</v>
      </c>
      <c r="H18" s="105" t="s">
        <v>406</v>
      </c>
      <c r="I18" s="105" t="s">
        <v>407</v>
      </c>
      <c r="J18" s="105" t="s">
        <v>402</v>
      </c>
      <c r="K18" s="105" t="s">
        <v>408</v>
      </c>
    </row>
    <row r="19">
      <c r="A19" s="118" t="s">
        <v>409</v>
      </c>
      <c r="B19" s="105" t="s">
        <v>410</v>
      </c>
      <c r="C19" s="105" t="s">
        <v>411</v>
      </c>
      <c r="D19" s="105" t="s">
        <v>411</v>
      </c>
      <c r="E19" s="105" t="s">
        <v>412</v>
      </c>
      <c r="F19" s="105" t="s">
        <v>413</v>
      </c>
      <c r="G19" s="105" t="s">
        <v>414</v>
      </c>
      <c r="H19" s="105" t="s">
        <v>414</v>
      </c>
      <c r="I19" s="105" t="s">
        <v>415</v>
      </c>
      <c r="J19" s="105" t="s">
        <v>412</v>
      </c>
      <c r="K19" s="105" t="s">
        <v>416</v>
      </c>
    </row>
    <row r="20">
      <c r="A20" s="118" t="s">
        <v>417</v>
      </c>
      <c r="B20" s="132"/>
      <c r="C20" s="105" t="s">
        <v>418</v>
      </c>
      <c r="D20" s="105" t="s">
        <v>419</v>
      </c>
      <c r="E20" s="105" t="s">
        <v>413</v>
      </c>
      <c r="F20" s="105" t="s">
        <v>415</v>
      </c>
      <c r="G20" s="105" t="s">
        <v>420</v>
      </c>
      <c r="H20" s="105" t="s">
        <v>416</v>
      </c>
      <c r="I20" s="105" t="s">
        <v>419</v>
      </c>
      <c r="J20" s="105" t="s">
        <v>420</v>
      </c>
      <c r="K20" s="105" t="s">
        <v>418</v>
      </c>
    </row>
    <row r="21">
      <c r="A21" s="118"/>
      <c r="B21" s="132"/>
      <c r="C21" s="105"/>
      <c r="D21" s="105"/>
      <c r="E21" s="105"/>
      <c r="F21" s="105"/>
      <c r="G21" s="105"/>
      <c r="H21" s="105"/>
      <c r="I21" s="105"/>
      <c r="J21" s="105"/>
      <c r="K21" s="105"/>
    </row>
    <row r="22">
      <c r="A22" s="118" t="s">
        <v>421</v>
      </c>
      <c r="B22" s="5" t="s">
        <v>6</v>
      </c>
      <c r="C22" s="5" t="s">
        <v>6</v>
      </c>
      <c r="D22" s="12" t="s">
        <v>16</v>
      </c>
      <c r="E22" s="12" t="s">
        <v>16</v>
      </c>
      <c r="F22" s="9" t="s">
        <v>11</v>
      </c>
      <c r="G22" s="5" t="s">
        <v>6</v>
      </c>
      <c r="H22" s="9" t="s">
        <v>11</v>
      </c>
      <c r="I22" s="14" t="s">
        <v>20</v>
      </c>
      <c r="J22" s="5" t="s">
        <v>6</v>
      </c>
      <c r="K22" s="9" t="s">
        <v>11</v>
      </c>
    </row>
    <row r="23">
      <c r="A23" s="118" t="s">
        <v>422</v>
      </c>
      <c r="B23" s="20" t="s">
        <v>30</v>
      </c>
      <c r="C23" s="9" t="s">
        <v>11</v>
      </c>
      <c r="D23" s="14" t="s">
        <v>20</v>
      </c>
      <c r="E23" s="18" t="s">
        <v>27</v>
      </c>
      <c r="F23" s="14" t="s">
        <v>20</v>
      </c>
      <c r="G23" s="16" t="s">
        <v>24</v>
      </c>
      <c r="H23" s="12" t="s">
        <v>16</v>
      </c>
      <c r="I23" s="20" t="s">
        <v>30</v>
      </c>
      <c r="J23" s="14" t="s">
        <v>20</v>
      </c>
      <c r="K23" s="12" t="s">
        <v>16</v>
      </c>
    </row>
    <row r="24">
      <c r="A24" s="118" t="s">
        <v>423</v>
      </c>
      <c r="B24" s="16" t="s">
        <v>24</v>
      </c>
      <c r="C24" s="18" t="s">
        <v>27</v>
      </c>
      <c r="D24" s="18" t="s">
        <v>27</v>
      </c>
      <c r="E24" s="20" t="s">
        <v>30</v>
      </c>
      <c r="F24" s="16" t="s">
        <v>24</v>
      </c>
      <c r="G24" s="20" t="s">
        <v>30</v>
      </c>
      <c r="H24" s="16" t="s">
        <v>24</v>
      </c>
      <c r="I24" s="22" t="s">
        <v>32</v>
      </c>
      <c r="J24" s="18" t="s">
        <v>27</v>
      </c>
      <c r="K24" s="22" t="s">
        <v>32</v>
      </c>
    </row>
    <row r="25">
      <c r="A25" s="118" t="s">
        <v>424</v>
      </c>
      <c r="B25" s="28" t="s">
        <v>38</v>
      </c>
      <c r="C25" s="28" t="s">
        <v>38</v>
      </c>
      <c r="D25" s="28" t="s">
        <v>38</v>
      </c>
      <c r="E25" s="28" t="s">
        <v>38</v>
      </c>
      <c r="F25" s="28" t="s">
        <v>38</v>
      </c>
      <c r="G25" s="28" t="s">
        <v>38</v>
      </c>
      <c r="H25" s="24" t="s">
        <v>34</v>
      </c>
      <c r="I25" s="24" t="s">
        <v>34</v>
      </c>
      <c r="J25" s="26" t="s">
        <v>36</v>
      </c>
      <c r="K25" s="24" t="s">
        <v>34</v>
      </c>
    </row>
    <row r="26">
      <c r="A26" s="118" t="s">
        <v>425</v>
      </c>
      <c r="B26" s="32" t="s">
        <v>42</v>
      </c>
      <c r="C26" s="24" t="s">
        <v>34</v>
      </c>
      <c r="D26" s="22" t="s">
        <v>32</v>
      </c>
      <c r="E26" s="132"/>
      <c r="F26" s="132"/>
      <c r="G26" s="22" t="s">
        <v>32</v>
      </c>
      <c r="H26" s="30" t="s">
        <v>40</v>
      </c>
      <c r="I26" s="30" t="s">
        <v>40</v>
      </c>
      <c r="J26" s="32" t="s">
        <v>42</v>
      </c>
      <c r="K26" s="30" t="s">
        <v>40</v>
      </c>
    </row>
    <row r="27">
      <c r="A27" s="118" t="s">
        <v>426</v>
      </c>
      <c r="B27" s="26" t="s">
        <v>36</v>
      </c>
      <c r="C27" s="55"/>
      <c r="D27" s="32" t="s">
        <v>42</v>
      </c>
      <c r="E27" s="55"/>
      <c r="F27" s="55"/>
      <c r="G27" s="26" t="s">
        <v>36</v>
      </c>
      <c r="H27" s="55"/>
      <c r="I27" s="55"/>
      <c r="J27" s="55"/>
      <c r="K27" s="26" t="s">
        <v>36</v>
      </c>
    </row>
    <row r="28">
      <c r="A28" s="118" t="s">
        <v>427</v>
      </c>
      <c r="B28" s="55"/>
      <c r="C28" s="55"/>
      <c r="D28" s="55"/>
      <c r="E28" s="55"/>
      <c r="F28" s="55"/>
      <c r="G28" s="55"/>
      <c r="H28" s="55"/>
      <c r="I28" s="55"/>
      <c r="J28" s="55"/>
      <c r="K28" s="32" t="s">
        <v>42</v>
      </c>
    </row>
    <row r="29">
      <c r="A29" s="150"/>
      <c r="B29" s="55"/>
      <c r="C29" s="55"/>
      <c r="D29" s="55"/>
      <c r="E29" s="55"/>
      <c r="F29" s="55"/>
      <c r="G29" s="55"/>
      <c r="H29" s="55"/>
      <c r="I29" s="55"/>
      <c r="J29" s="55"/>
      <c r="K29" s="55"/>
    </row>
    <row r="30">
      <c r="A30" s="150"/>
      <c r="B30" s="55"/>
      <c r="C30" s="55"/>
      <c r="D30" s="55"/>
      <c r="E30" s="55"/>
      <c r="F30" s="55"/>
      <c r="G30" s="55"/>
      <c r="H30" s="55"/>
      <c r="I30" s="55"/>
      <c r="J30" s="55"/>
      <c r="K30" s="55"/>
    </row>
    <row r="31">
      <c r="A31" s="150"/>
      <c r="B31" s="55"/>
      <c r="C31" s="55"/>
      <c r="D31" s="55"/>
      <c r="E31" s="55"/>
      <c r="F31" s="55"/>
      <c r="G31" s="55"/>
      <c r="H31" s="55"/>
      <c r="I31" s="55"/>
      <c r="J31" s="55"/>
      <c r="K31" s="55"/>
    </row>
    <row r="32">
      <c r="A32" s="150"/>
      <c r="B32" s="55"/>
      <c r="C32" s="55"/>
      <c r="D32" s="55"/>
      <c r="E32" s="55"/>
      <c r="F32" s="55"/>
      <c r="G32" s="55"/>
      <c r="H32" s="55"/>
      <c r="I32" s="55"/>
      <c r="J32" s="55"/>
      <c r="K32" s="55"/>
    </row>
    <row r="33">
      <c r="A33" s="150"/>
      <c r="B33" s="55"/>
      <c r="C33" s="55"/>
      <c r="D33" s="55"/>
      <c r="E33" s="55"/>
      <c r="F33" s="55"/>
      <c r="G33" s="55"/>
      <c r="H33" s="55"/>
      <c r="I33" s="55"/>
      <c r="J33" s="55"/>
      <c r="K33" s="55"/>
    </row>
    <row r="34">
      <c r="A34" s="150"/>
      <c r="B34" s="55"/>
      <c r="C34" s="55"/>
      <c r="D34" s="55"/>
      <c r="E34" s="55"/>
      <c r="F34" s="55"/>
      <c r="G34" s="55"/>
      <c r="H34" s="55"/>
      <c r="I34" s="55"/>
      <c r="J34" s="55"/>
      <c r="K34" s="55"/>
    </row>
    <row r="35">
      <c r="A35" s="150"/>
      <c r="B35" s="55"/>
      <c r="C35" s="55"/>
      <c r="D35" s="55"/>
      <c r="E35" s="55"/>
      <c r="F35" s="55"/>
      <c r="G35" s="55"/>
      <c r="H35" s="55"/>
      <c r="I35" s="55"/>
      <c r="J35" s="55"/>
      <c r="K35" s="55"/>
    </row>
    <row r="36">
      <c r="A36" s="150"/>
      <c r="B36" s="55"/>
      <c r="C36" s="55"/>
      <c r="D36" s="55"/>
      <c r="E36" s="55"/>
      <c r="F36" s="55"/>
      <c r="G36" s="55"/>
      <c r="H36" s="55"/>
      <c r="I36" s="55"/>
      <c r="J36" s="55"/>
      <c r="K36" s="55"/>
    </row>
    <row r="37">
      <c r="A37" s="150"/>
      <c r="B37" s="55"/>
      <c r="C37" s="55"/>
      <c r="D37" s="55"/>
      <c r="E37" s="55"/>
      <c r="F37" s="55"/>
      <c r="G37" s="55"/>
      <c r="H37" s="55"/>
      <c r="I37" s="55"/>
      <c r="J37" s="55"/>
      <c r="K37" s="55"/>
    </row>
    <row r="38">
      <c r="A38" s="150"/>
      <c r="B38" s="55"/>
      <c r="C38" s="55"/>
      <c r="D38" s="55"/>
      <c r="E38" s="55"/>
      <c r="F38" s="55"/>
      <c r="G38" s="55"/>
      <c r="H38" s="55"/>
      <c r="I38" s="55"/>
      <c r="J38" s="55"/>
      <c r="K38" s="55"/>
    </row>
    <row r="39">
      <c r="A39" s="150"/>
      <c r="B39" s="55"/>
      <c r="C39" s="55"/>
      <c r="D39" s="55"/>
      <c r="E39" s="55"/>
      <c r="F39" s="55"/>
      <c r="G39" s="55"/>
      <c r="H39" s="55"/>
      <c r="I39" s="55"/>
      <c r="J39" s="55"/>
      <c r="K39" s="55"/>
    </row>
    <row r="40">
      <c r="A40" s="150"/>
      <c r="B40" s="55"/>
      <c r="C40" s="55"/>
      <c r="D40" s="55"/>
      <c r="E40" s="55"/>
      <c r="F40" s="55"/>
      <c r="G40" s="55"/>
      <c r="H40" s="55"/>
      <c r="I40" s="55"/>
      <c r="J40" s="55"/>
      <c r="K40" s="55"/>
    </row>
    <row r="41">
      <c r="A41" s="150"/>
      <c r="B41" s="55"/>
      <c r="C41" s="55"/>
      <c r="D41" s="55"/>
      <c r="E41" s="55"/>
      <c r="F41" s="55"/>
      <c r="G41" s="55"/>
      <c r="H41" s="55"/>
      <c r="I41" s="55"/>
      <c r="J41" s="55"/>
      <c r="K41" s="55"/>
    </row>
    <row r="42">
      <c r="A42" s="150"/>
      <c r="B42" s="55"/>
      <c r="C42" s="55"/>
      <c r="D42" s="55"/>
      <c r="E42" s="55"/>
      <c r="F42" s="55"/>
      <c r="G42" s="55"/>
      <c r="H42" s="55"/>
      <c r="I42" s="55"/>
      <c r="J42" s="55"/>
      <c r="K42" s="55"/>
    </row>
    <row r="43">
      <c r="A43" s="150"/>
      <c r="B43" s="55"/>
      <c r="C43" s="55"/>
      <c r="D43" s="55"/>
      <c r="E43" s="55"/>
      <c r="F43" s="55"/>
      <c r="G43" s="55"/>
      <c r="H43" s="55"/>
      <c r="I43" s="55"/>
      <c r="J43" s="55"/>
      <c r="K43" s="55"/>
    </row>
    <row r="44">
      <c r="A44" s="150"/>
      <c r="B44" s="55"/>
      <c r="C44" s="55"/>
      <c r="D44" s="55"/>
      <c r="E44" s="55"/>
      <c r="F44" s="55"/>
      <c r="G44" s="55"/>
      <c r="H44" s="55"/>
      <c r="I44" s="55"/>
      <c r="J44" s="55"/>
      <c r="K44" s="55"/>
    </row>
    <row r="45">
      <c r="A45" s="150"/>
      <c r="B45" s="55"/>
      <c r="C45" s="55"/>
      <c r="D45" s="55"/>
      <c r="E45" s="55"/>
      <c r="F45" s="55"/>
      <c r="G45" s="55"/>
      <c r="H45" s="55"/>
      <c r="I45" s="55"/>
      <c r="J45" s="55"/>
      <c r="K45" s="55"/>
    </row>
    <row r="46">
      <c r="A46" s="150"/>
      <c r="B46" s="55"/>
      <c r="C46" s="55"/>
      <c r="D46" s="55"/>
      <c r="E46" s="55"/>
      <c r="F46" s="55"/>
      <c r="G46" s="55"/>
      <c r="H46" s="55"/>
      <c r="I46" s="55"/>
      <c r="J46" s="55"/>
      <c r="K46" s="55"/>
    </row>
    <row r="47">
      <c r="A47" s="150"/>
      <c r="B47" s="55"/>
      <c r="C47" s="55"/>
      <c r="D47" s="55"/>
      <c r="E47" s="55"/>
      <c r="F47" s="55"/>
      <c r="G47" s="55"/>
      <c r="H47" s="55"/>
      <c r="I47" s="55"/>
      <c r="J47" s="55"/>
      <c r="K47" s="55"/>
    </row>
    <row r="48">
      <c r="A48" s="150"/>
      <c r="B48" s="55"/>
      <c r="C48" s="55"/>
      <c r="D48" s="55"/>
      <c r="E48" s="55"/>
      <c r="F48" s="55"/>
      <c r="G48" s="55"/>
      <c r="H48" s="55"/>
      <c r="I48" s="55"/>
      <c r="J48" s="55"/>
      <c r="K48" s="55"/>
    </row>
    <row r="49">
      <c r="A49" s="150"/>
      <c r="B49" s="55"/>
      <c r="C49" s="55"/>
      <c r="D49" s="55"/>
      <c r="E49" s="55"/>
      <c r="F49" s="55"/>
      <c r="G49" s="55"/>
      <c r="H49" s="55"/>
      <c r="I49" s="55"/>
      <c r="J49" s="55"/>
      <c r="K49" s="55"/>
    </row>
    <row r="50">
      <c r="A50" s="150"/>
      <c r="B50" s="55"/>
      <c r="C50" s="55"/>
      <c r="D50" s="55"/>
      <c r="E50" s="55"/>
      <c r="F50" s="55"/>
      <c r="G50" s="55"/>
      <c r="H50" s="55"/>
      <c r="I50" s="55"/>
      <c r="J50" s="55"/>
      <c r="K50" s="55"/>
    </row>
    <row r="51">
      <c r="A51" s="150"/>
      <c r="B51" s="55"/>
      <c r="C51" s="55"/>
      <c r="D51" s="55"/>
      <c r="E51" s="55"/>
      <c r="F51" s="55"/>
      <c r="G51" s="55"/>
      <c r="H51" s="55"/>
      <c r="I51" s="55"/>
      <c r="J51" s="55"/>
      <c r="K51" s="55"/>
    </row>
    <row r="52">
      <c r="A52" s="150"/>
      <c r="B52" s="55"/>
      <c r="C52" s="55"/>
      <c r="D52" s="55"/>
      <c r="E52" s="55"/>
      <c r="F52" s="55"/>
      <c r="G52" s="55"/>
      <c r="H52" s="55"/>
      <c r="I52" s="55"/>
      <c r="J52" s="55"/>
      <c r="K52" s="55"/>
    </row>
    <row r="53">
      <c r="A53" s="150"/>
      <c r="B53" s="55"/>
      <c r="C53" s="55"/>
      <c r="D53" s="55"/>
      <c r="E53" s="55"/>
      <c r="F53" s="55"/>
      <c r="G53" s="55"/>
      <c r="H53" s="55"/>
      <c r="I53" s="55"/>
      <c r="J53" s="55"/>
      <c r="K53" s="55"/>
    </row>
    <row r="54">
      <c r="A54" s="150"/>
      <c r="B54" s="55"/>
      <c r="C54" s="55"/>
      <c r="D54" s="55"/>
      <c r="E54" s="55"/>
      <c r="F54" s="55"/>
      <c r="G54" s="55"/>
      <c r="H54" s="55"/>
      <c r="I54" s="55"/>
      <c r="J54" s="55"/>
      <c r="K54" s="55"/>
    </row>
    <row r="55">
      <c r="A55" s="150"/>
      <c r="B55" s="55"/>
      <c r="C55" s="55"/>
      <c r="D55" s="55"/>
      <c r="E55" s="55"/>
      <c r="F55" s="55"/>
      <c r="G55" s="55"/>
      <c r="H55" s="55"/>
      <c r="I55" s="55"/>
      <c r="J55" s="55"/>
      <c r="K55" s="55"/>
    </row>
    <row r="56">
      <c r="A56" s="150"/>
      <c r="B56" s="55"/>
      <c r="C56" s="55"/>
      <c r="D56" s="55"/>
      <c r="E56" s="55"/>
      <c r="F56" s="55"/>
      <c r="G56" s="55"/>
      <c r="H56" s="55"/>
      <c r="I56" s="55"/>
      <c r="J56" s="55"/>
      <c r="K56" s="55"/>
    </row>
    <row r="57">
      <c r="A57" s="150"/>
      <c r="B57" s="55"/>
      <c r="C57" s="55"/>
      <c r="D57" s="55"/>
      <c r="E57" s="55"/>
      <c r="F57" s="55"/>
      <c r="G57" s="55"/>
      <c r="H57" s="55"/>
      <c r="I57" s="55"/>
      <c r="J57" s="55"/>
      <c r="K57" s="55"/>
    </row>
    <row r="58">
      <c r="A58" s="150"/>
      <c r="B58" s="55"/>
      <c r="C58" s="55"/>
      <c r="D58" s="55"/>
      <c r="E58" s="55"/>
      <c r="F58" s="55"/>
      <c r="G58" s="55"/>
      <c r="H58" s="55"/>
      <c r="I58" s="55"/>
      <c r="J58" s="55"/>
      <c r="K58" s="55"/>
    </row>
    <row r="59">
      <c r="A59" s="150"/>
      <c r="B59" s="55"/>
      <c r="C59" s="55"/>
      <c r="D59" s="55"/>
      <c r="E59" s="55"/>
      <c r="F59" s="55"/>
      <c r="G59" s="55"/>
      <c r="H59" s="55"/>
      <c r="I59" s="55"/>
      <c r="J59" s="55"/>
      <c r="K59" s="55"/>
    </row>
    <row r="60">
      <c r="A60" s="150"/>
      <c r="B60" s="55"/>
      <c r="C60" s="55"/>
      <c r="D60" s="55"/>
      <c r="E60" s="55"/>
      <c r="F60" s="55"/>
      <c r="G60" s="55"/>
      <c r="H60" s="55"/>
      <c r="I60" s="55"/>
      <c r="J60" s="55"/>
      <c r="K60" s="55"/>
    </row>
    <row r="61">
      <c r="A61" s="150"/>
      <c r="B61" s="55"/>
      <c r="C61" s="55"/>
      <c r="D61" s="55"/>
      <c r="E61" s="55"/>
      <c r="F61" s="55"/>
      <c r="G61" s="55"/>
      <c r="H61" s="55"/>
      <c r="I61" s="55"/>
      <c r="J61" s="55"/>
      <c r="K61" s="55"/>
    </row>
    <row r="62">
      <c r="A62" s="150"/>
      <c r="B62" s="55"/>
      <c r="C62" s="55"/>
      <c r="D62" s="55"/>
      <c r="E62" s="55"/>
      <c r="F62" s="55"/>
      <c r="G62" s="55"/>
      <c r="H62" s="55"/>
      <c r="I62" s="55"/>
      <c r="J62" s="55"/>
      <c r="K62" s="55"/>
    </row>
    <row r="63">
      <c r="A63" s="150"/>
      <c r="B63" s="55"/>
      <c r="C63" s="55"/>
      <c r="D63" s="55"/>
      <c r="E63" s="55"/>
      <c r="F63" s="55"/>
      <c r="G63" s="55"/>
      <c r="H63" s="55"/>
      <c r="I63" s="55"/>
      <c r="J63" s="55"/>
      <c r="K63" s="55"/>
    </row>
    <row r="64">
      <c r="A64" s="150"/>
      <c r="B64" s="55"/>
      <c r="C64" s="55"/>
      <c r="D64" s="55"/>
      <c r="E64" s="55"/>
      <c r="F64" s="55"/>
      <c r="G64" s="55"/>
      <c r="H64" s="55"/>
      <c r="I64" s="55"/>
      <c r="J64" s="55"/>
      <c r="K64" s="55"/>
    </row>
    <row r="65">
      <c r="A65" s="150"/>
      <c r="B65" s="55"/>
      <c r="C65" s="55"/>
      <c r="D65" s="55"/>
      <c r="E65" s="55"/>
      <c r="F65" s="55"/>
      <c r="G65" s="55"/>
      <c r="H65" s="55"/>
      <c r="I65" s="55"/>
      <c r="J65" s="55"/>
      <c r="K65" s="55"/>
    </row>
    <row r="66">
      <c r="A66" s="150"/>
      <c r="B66" s="55"/>
      <c r="C66" s="55"/>
      <c r="D66" s="55"/>
      <c r="E66" s="55"/>
      <c r="F66" s="55"/>
      <c r="G66" s="55"/>
      <c r="H66" s="55"/>
      <c r="I66" s="55"/>
      <c r="J66" s="55"/>
      <c r="K66" s="55"/>
    </row>
    <row r="67">
      <c r="A67" s="150"/>
      <c r="B67" s="55"/>
      <c r="C67" s="55"/>
      <c r="D67" s="55"/>
      <c r="E67" s="55"/>
      <c r="F67" s="55"/>
      <c r="G67" s="55"/>
      <c r="H67" s="55"/>
      <c r="I67" s="55"/>
      <c r="J67" s="55"/>
      <c r="K67" s="55"/>
    </row>
    <row r="68">
      <c r="A68" s="150"/>
      <c r="B68" s="55"/>
      <c r="C68" s="55"/>
      <c r="D68" s="55"/>
      <c r="E68" s="55"/>
      <c r="F68" s="55"/>
      <c r="G68" s="55"/>
      <c r="H68" s="55"/>
      <c r="I68" s="55"/>
      <c r="J68" s="55"/>
      <c r="K68" s="55"/>
    </row>
    <row r="69">
      <c r="A69" s="150"/>
      <c r="B69" s="55"/>
      <c r="C69" s="55"/>
      <c r="D69" s="55"/>
      <c r="E69" s="55"/>
      <c r="F69" s="55"/>
      <c r="G69" s="55"/>
      <c r="H69" s="55"/>
      <c r="I69" s="55"/>
      <c r="J69" s="55"/>
      <c r="K69" s="55"/>
    </row>
    <row r="70">
      <c r="A70" s="150"/>
      <c r="B70" s="55"/>
      <c r="C70" s="55"/>
      <c r="D70" s="55"/>
      <c r="E70" s="55"/>
      <c r="F70" s="55"/>
      <c r="G70" s="55"/>
      <c r="H70" s="55"/>
      <c r="I70" s="55"/>
      <c r="J70" s="55"/>
      <c r="K70" s="55"/>
    </row>
    <row r="71">
      <c r="A71" s="150"/>
      <c r="B71" s="55"/>
      <c r="C71" s="55"/>
      <c r="D71" s="55"/>
      <c r="E71" s="55"/>
      <c r="F71" s="55"/>
      <c r="G71" s="55"/>
      <c r="H71" s="55"/>
      <c r="I71" s="55"/>
      <c r="J71" s="55"/>
      <c r="K71" s="55"/>
    </row>
    <row r="72">
      <c r="A72" s="150"/>
      <c r="B72" s="55"/>
      <c r="C72" s="55"/>
      <c r="D72" s="55"/>
      <c r="E72" s="55"/>
      <c r="F72" s="55"/>
      <c r="G72" s="55"/>
      <c r="H72" s="55"/>
      <c r="I72" s="55"/>
      <c r="J72" s="55"/>
      <c r="K72" s="55"/>
    </row>
    <row r="73">
      <c r="A73" s="150"/>
      <c r="B73" s="55"/>
      <c r="C73" s="55"/>
      <c r="D73" s="55"/>
      <c r="E73" s="55"/>
      <c r="F73" s="55"/>
      <c r="G73" s="55"/>
      <c r="H73" s="55"/>
      <c r="I73" s="55"/>
      <c r="J73" s="55"/>
      <c r="K73" s="55"/>
    </row>
    <row r="74">
      <c r="A74" s="150"/>
      <c r="B74" s="55"/>
      <c r="C74" s="55"/>
      <c r="D74" s="55"/>
      <c r="E74" s="55"/>
      <c r="F74" s="55"/>
      <c r="G74" s="55"/>
      <c r="H74" s="55"/>
      <c r="I74" s="55"/>
      <c r="J74" s="55"/>
      <c r="K74" s="55"/>
    </row>
    <row r="75">
      <c r="A75" s="150"/>
      <c r="B75" s="55"/>
      <c r="C75" s="55"/>
      <c r="D75" s="55"/>
      <c r="E75" s="55"/>
      <c r="F75" s="55"/>
      <c r="G75" s="55"/>
      <c r="H75" s="55"/>
      <c r="I75" s="55"/>
      <c r="J75" s="55"/>
      <c r="K75" s="55"/>
    </row>
    <row r="76">
      <c r="A76" s="150"/>
      <c r="B76" s="55"/>
      <c r="C76" s="55"/>
      <c r="D76" s="55"/>
      <c r="E76" s="55"/>
      <c r="F76" s="55"/>
      <c r="G76" s="55"/>
      <c r="H76" s="55"/>
      <c r="I76" s="55"/>
      <c r="J76" s="55"/>
      <c r="K76" s="55"/>
    </row>
    <row r="77">
      <c r="A77" s="150"/>
      <c r="B77" s="55"/>
      <c r="C77" s="55"/>
      <c r="D77" s="55"/>
      <c r="E77" s="55"/>
      <c r="F77" s="55"/>
      <c r="G77" s="55"/>
      <c r="H77" s="55"/>
      <c r="I77" s="55"/>
      <c r="J77" s="55"/>
      <c r="K77" s="55"/>
    </row>
    <row r="78">
      <c r="A78" s="150"/>
      <c r="B78" s="55"/>
      <c r="C78" s="55"/>
      <c r="D78" s="55"/>
      <c r="E78" s="55"/>
      <c r="F78" s="55"/>
      <c r="G78" s="55"/>
      <c r="H78" s="55"/>
      <c r="I78" s="55"/>
      <c r="J78" s="55"/>
      <c r="K78" s="55"/>
    </row>
    <row r="79">
      <c r="A79" s="150"/>
      <c r="B79" s="55"/>
      <c r="C79" s="55"/>
      <c r="D79" s="55"/>
      <c r="E79" s="55"/>
      <c r="F79" s="55"/>
      <c r="G79" s="55"/>
      <c r="H79" s="55"/>
      <c r="I79" s="55"/>
      <c r="J79" s="55"/>
      <c r="K79" s="55"/>
    </row>
    <row r="80">
      <c r="A80" s="150"/>
      <c r="B80" s="55"/>
      <c r="C80" s="55"/>
      <c r="D80" s="55"/>
      <c r="E80" s="55"/>
      <c r="F80" s="55"/>
      <c r="G80" s="55"/>
      <c r="H80" s="55"/>
      <c r="I80" s="55"/>
      <c r="J80" s="55"/>
      <c r="K80" s="55"/>
    </row>
    <row r="81">
      <c r="A81" s="150"/>
      <c r="B81" s="55"/>
      <c r="C81" s="55"/>
      <c r="D81" s="55"/>
      <c r="E81" s="55"/>
      <c r="F81" s="55"/>
      <c r="G81" s="55"/>
      <c r="H81" s="55"/>
      <c r="I81" s="55"/>
      <c r="J81" s="55"/>
      <c r="K81" s="55"/>
    </row>
    <row r="82">
      <c r="A82" s="150"/>
      <c r="B82" s="55"/>
      <c r="C82" s="55"/>
      <c r="D82" s="55"/>
      <c r="E82" s="55"/>
      <c r="F82" s="55"/>
      <c r="G82" s="55"/>
      <c r="H82" s="55"/>
      <c r="I82" s="55"/>
      <c r="J82" s="55"/>
      <c r="K82" s="55"/>
    </row>
    <row r="83">
      <c r="A83" s="150"/>
      <c r="B83" s="55"/>
      <c r="C83" s="55"/>
      <c r="D83" s="55"/>
      <c r="E83" s="55"/>
      <c r="F83" s="55"/>
      <c r="G83" s="55"/>
      <c r="H83" s="55"/>
      <c r="I83" s="55"/>
      <c r="J83" s="55"/>
      <c r="K83" s="55"/>
    </row>
    <row r="84">
      <c r="A84" s="150"/>
      <c r="B84" s="55"/>
      <c r="C84" s="55"/>
      <c r="D84" s="55"/>
      <c r="E84" s="55"/>
      <c r="F84" s="55"/>
      <c r="G84" s="55"/>
      <c r="H84" s="55"/>
      <c r="I84" s="55"/>
      <c r="J84" s="55"/>
      <c r="K84" s="55"/>
    </row>
    <row r="85">
      <c r="A85" s="150"/>
      <c r="B85" s="55"/>
      <c r="C85" s="55"/>
      <c r="D85" s="55"/>
      <c r="E85" s="55"/>
      <c r="F85" s="55"/>
      <c r="G85" s="55"/>
      <c r="H85" s="55"/>
      <c r="I85" s="55"/>
      <c r="J85" s="55"/>
      <c r="K85" s="55"/>
    </row>
    <row r="86">
      <c r="A86" s="150"/>
      <c r="B86" s="55"/>
      <c r="C86" s="55"/>
      <c r="D86" s="55"/>
      <c r="E86" s="55"/>
      <c r="F86" s="55"/>
      <c r="G86" s="55"/>
      <c r="H86" s="55"/>
      <c r="I86" s="55"/>
      <c r="J86" s="55"/>
      <c r="K86" s="55"/>
    </row>
    <row r="87">
      <c r="A87" s="150"/>
      <c r="B87" s="55"/>
      <c r="C87" s="55"/>
      <c r="D87" s="55"/>
      <c r="E87" s="55"/>
      <c r="F87" s="55"/>
      <c r="G87" s="55"/>
      <c r="H87" s="55"/>
      <c r="I87" s="55"/>
      <c r="J87" s="55"/>
      <c r="K87" s="55"/>
    </row>
    <row r="88">
      <c r="A88" s="150"/>
      <c r="B88" s="55"/>
      <c r="C88" s="55"/>
      <c r="D88" s="55"/>
      <c r="E88" s="55"/>
      <c r="F88" s="55"/>
      <c r="G88" s="55"/>
      <c r="H88" s="55"/>
      <c r="I88" s="55"/>
      <c r="J88" s="55"/>
      <c r="K88" s="55"/>
    </row>
    <row r="89">
      <c r="A89" s="150"/>
      <c r="B89" s="55"/>
      <c r="C89" s="55"/>
      <c r="D89" s="55"/>
      <c r="E89" s="55"/>
      <c r="F89" s="55"/>
      <c r="G89" s="55"/>
      <c r="H89" s="55"/>
      <c r="I89" s="55"/>
      <c r="J89" s="55"/>
      <c r="K89" s="55"/>
    </row>
    <row r="90">
      <c r="A90" s="150"/>
      <c r="B90" s="55"/>
      <c r="C90" s="55"/>
      <c r="D90" s="55"/>
      <c r="E90" s="55"/>
      <c r="F90" s="55"/>
      <c r="G90" s="55"/>
      <c r="H90" s="55"/>
      <c r="I90" s="55"/>
      <c r="J90" s="55"/>
      <c r="K90" s="55"/>
    </row>
    <row r="91">
      <c r="A91" s="150"/>
      <c r="B91" s="55"/>
      <c r="C91" s="55"/>
      <c r="D91" s="55"/>
      <c r="E91" s="55"/>
      <c r="F91" s="55"/>
      <c r="G91" s="55"/>
      <c r="H91" s="55"/>
      <c r="I91" s="55"/>
      <c r="J91" s="55"/>
      <c r="K91" s="55"/>
    </row>
    <row r="92">
      <c r="A92" s="150"/>
      <c r="B92" s="55"/>
      <c r="C92" s="55"/>
      <c r="D92" s="55"/>
      <c r="E92" s="55"/>
      <c r="F92" s="55"/>
      <c r="G92" s="55"/>
      <c r="H92" s="55"/>
      <c r="I92" s="55"/>
      <c r="J92" s="55"/>
      <c r="K92" s="55"/>
    </row>
    <row r="93">
      <c r="A93" s="150"/>
      <c r="B93" s="55"/>
      <c r="C93" s="55"/>
      <c r="D93" s="55"/>
      <c r="E93" s="55"/>
      <c r="F93" s="55"/>
      <c r="G93" s="55"/>
      <c r="H93" s="55"/>
      <c r="I93" s="55"/>
      <c r="J93" s="55"/>
      <c r="K93" s="55"/>
    </row>
    <row r="94">
      <c r="A94" s="150"/>
      <c r="B94" s="55"/>
      <c r="C94" s="55"/>
      <c r="D94" s="55"/>
      <c r="E94" s="55"/>
      <c r="F94" s="55"/>
      <c r="G94" s="55"/>
      <c r="H94" s="55"/>
      <c r="I94" s="55"/>
      <c r="J94" s="55"/>
      <c r="K94" s="55"/>
    </row>
    <row r="95">
      <c r="A95" s="150"/>
      <c r="B95" s="55"/>
      <c r="C95" s="55"/>
      <c r="D95" s="55"/>
      <c r="E95" s="55"/>
      <c r="F95" s="55"/>
      <c r="G95" s="55"/>
      <c r="H95" s="55"/>
      <c r="I95" s="55"/>
      <c r="J95" s="55"/>
      <c r="K95" s="55"/>
    </row>
    <row r="96">
      <c r="A96" s="150"/>
      <c r="B96" s="55"/>
      <c r="C96" s="55"/>
      <c r="D96" s="55"/>
      <c r="E96" s="55"/>
      <c r="F96" s="55"/>
      <c r="G96" s="55"/>
      <c r="H96" s="55"/>
      <c r="I96" s="55"/>
      <c r="J96" s="55"/>
      <c r="K96" s="55"/>
    </row>
    <row r="97">
      <c r="A97" s="150"/>
      <c r="B97" s="55"/>
      <c r="C97" s="55"/>
      <c r="D97" s="55"/>
      <c r="E97" s="55"/>
      <c r="F97" s="55"/>
      <c r="G97" s="55"/>
      <c r="H97" s="55"/>
      <c r="I97" s="55"/>
      <c r="J97" s="55"/>
      <c r="K97" s="55"/>
    </row>
    <row r="98">
      <c r="A98" s="150"/>
      <c r="B98" s="55"/>
      <c r="C98" s="55"/>
      <c r="D98" s="55"/>
      <c r="E98" s="55"/>
      <c r="F98" s="55"/>
      <c r="G98" s="55"/>
      <c r="H98" s="55"/>
      <c r="I98" s="55"/>
      <c r="J98" s="55"/>
      <c r="K98" s="55"/>
    </row>
    <row r="99">
      <c r="A99" s="150"/>
      <c r="B99" s="55"/>
      <c r="C99" s="55"/>
      <c r="D99" s="55"/>
      <c r="E99" s="55"/>
      <c r="F99" s="55"/>
      <c r="G99" s="55"/>
      <c r="H99" s="55"/>
      <c r="I99" s="55"/>
      <c r="J99" s="55"/>
      <c r="K99" s="55"/>
    </row>
    <row r="100">
      <c r="A100" s="150"/>
      <c r="B100" s="55"/>
      <c r="C100" s="55"/>
      <c r="D100" s="55"/>
      <c r="E100" s="55"/>
      <c r="F100" s="55"/>
      <c r="G100" s="55"/>
      <c r="H100" s="55"/>
      <c r="I100" s="55"/>
      <c r="J100" s="55"/>
      <c r="K100" s="55"/>
    </row>
    <row r="101">
      <c r="A101" s="150"/>
      <c r="B101" s="55"/>
      <c r="C101" s="55"/>
      <c r="D101" s="55"/>
      <c r="E101" s="55"/>
      <c r="F101" s="55"/>
      <c r="G101" s="55"/>
      <c r="H101" s="55"/>
      <c r="I101" s="55"/>
      <c r="J101" s="55"/>
      <c r="K101" s="55"/>
    </row>
    <row r="102">
      <c r="A102" s="150"/>
      <c r="B102" s="55"/>
      <c r="C102" s="55"/>
      <c r="D102" s="55"/>
      <c r="E102" s="55"/>
      <c r="F102" s="55"/>
      <c r="G102" s="55"/>
      <c r="H102" s="55"/>
      <c r="I102" s="55"/>
      <c r="J102" s="55"/>
      <c r="K102" s="55"/>
    </row>
    <row r="103">
      <c r="A103" s="150"/>
      <c r="B103" s="55"/>
      <c r="C103" s="55"/>
      <c r="D103" s="55"/>
      <c r="E103" s="55"/>
      <c r="F103" s="55"/>
      <c r="G103" s="55"/>
      <c r="H103" s="55"/>
      <c r="I103" s="55"/>
      <c r="J103" s="55"/>
      <c r="K103" s="55"/>
    </row>
    <row r="104">
      <c r="A104" s="150"/>
      <c r="B104" s="55"/>
      <c r="C104" s="55"/>
      <c r="D104" s="55"/>
      <c r="E104" s="55"/>
      <c r="F104" s="55"/>
      <c r="G104" s="55"/>
      <c r="H104" s="55"/>
      <c r="I104" s="55"/>
      <c r="J104" s="55"/>
      <c r="K104" s="55"/>
    </row>
    <row r="105">
      <c r="A105" s="150"/>
      <c r="B105" s="55"/>
      <c r="C105" s="55"/>
      <c r="D105" s="55"/>
      <c r="E105" s="55"/>
      <c r="F105" s="55"/>
      <c r="G105" s="55"/>
      <c r="H105" s="55"/>
      <c r="I105" s="55"/>
      <c r="J105" s="55"/>
      <c r="K105" s="55"/>
    </row>
    <row r="106">
      <c r="A106" s="150"/>
      <c r="B106" s="55"/>
      <c r="C106" s="55"/>
      <c r="D106" s="55"/>
      <c r="E106" s="55"/>
      <c r="F106" s="55"/>
      <c r="G106" s="55"/>
      <c r="H106" s="55"/>
      <c r="I106" s="55"/>
      <c r="J106" s="55"/>
      <c r="K106" s="55"/>
    </row>
    <row r="107">
      <c r="A107" s="150"/>
      <c r="B107" s="55"/>
      <c r="C107" s="55"/>
      <c r="D107" s="55"/>
      <c r="E107" s="55"/>
      <c r="F107" s="55"/>
      <c r="G107" s="55"/>
      <c r="H107" s="55"/>
      <c r="I107" s="55"/>
      <c r="J107" s="55"/>
      <c r="K107" s="55"/>
    </row>
    <row r="108">
      <c r="A108" s="150"/>
      <c r="B108" s="55"/>
      <c r="C108" s="55"/>
      <c r="D108" s="55"/>
      <c r="E108" s="55"/>
      <c r="F108" s="55"/>
      <c r="G108" s="55"/>
      <c r="H108" s="55"/>
      <c r="I108" s="55"/>
      <c r="J108" s="55"/>
      <c r="K108" s="55"/>
    </row>
    <row r="109">
      <c r="A109" s="150"/>
      <c r="B109" s="55"/>
      <c r="C109" s="55"/>
      <c r="D109" s="55"/>
      <c r="E109" s="55"/>
      <c r="F109" s="55"/>
      <c r="G109" s="55"/>
      <c r="H109" s="55"/>
      <c r="I109" s="55"/>
      <c r="J109" s="55"/>
      <c r="K109" s="55"/>
    </row>
    <row r="110">
      <c r="A110" s="150"/>
      <c r="B110" s="55"/>
      <c r="C110" s="55"/>
      <c r="D110" s="55"/>
      <c r="E110" s="55"/>
      <c r="F110" s="55"/>
      <c r="G110" s="55"/>
      <c r="H110" s="55"/>
      <c r="I110" s="55"/>
      <c r="J110" s="55"/>
      <c r="K110" s="55"/>
    </row>
    <row r="111">
      <c r="A111" s="150"/>
      <c r="B111" s="55"/>
      <c r="C111" s="55"/>
      <c r="D111" s="55"/>
      <c r="E111" s="55"/>
      <c r="F111" s="55"/>
      <c r="G111" s="55"/>
      <c r="H111" s="55"/>
      <c r="I111" s="55"/>
      <c r="J111" s="55"/>
      <c r="K111" s="55"/>
    </row>
    <row r="112">
      <c r="A112" s="150"/>
      <c r="B112" s="55"/>
      <c r="C112" s="55"/>
      <c r="D112" s="55"/>
      <c r="E112" s="55"/>
      <c r="F112" s="55"/>
      <c r="G112" s="55"/>
      <c r="H112" s="55"/>
      <c r="I112" s="55"/>
      <c r="J112" s="55"/>
      <c r="K112" s="55"/>
    </row>
    <row r="113">
      <c r="A113" s="150"/>
      <c r="B113" s="55"/>
      <c r="C113" s="55"/>
      <c r="D113" s="55"/>
      <c r="E113" s="55"/>
      <c r="F113" s="55"/>
      <c r="G113" s="55"/>
      <c r="H113" s="55"/>
      <c r="I113" s="55"/>
      <c r="J113" s="55"/>
      <c r="K113" s="55"/>
    </row>
    <row r="114">
      <c r="A114" s="150"/>
      <c r="B114" s="55"/>
      <c r="C114" s="55"/>
      <c r="D114" s="55"/>
      <c r="E114" s="55"/>
      <c r="F114" s="55"/>
      <c r="G114" s="55"/>
      <c r="H114" s="55"/>
      <c r="I114" s="55"/>
      <c r="J114" s="55"/>
      <c r="K114" s="55"/>
    </row>
    <row r="115">
      <c r="A115" s="150"/>
      <c r="B115" s="55"/>
      <c r="C115" s="55"/>
      <c r="D115" s="55"/>
      <c r="E115" s="55"/>
      <c r="F115" s="55"/>
      <c r="G115" s="55"/>
      <c r="H115" s="55"/>
      <c r="I115" s="55"/>
      <c r="J115" s="55"/>
      <c r="K115" s="55"/>
    </row>
    <row r="116">
      <c r="A116" s="150"/>
      <c r="B116" s="55"/>
      <c r="C116" s="55"/>
      <c r="D116" s="55"/>
      <c r="E116" s="55"/>
      <c r="F116" s="55"/>
      <c r="G116" s="55"/>
      <c r="H116" s="55"/>
      <c r="I116" s="55"/>
      <c r="J116" s="55"/>
      <c r="K116" s="55"/>
    </row>
    <row r="117">
      <c r="A117" s="150"/>
      <c r="B117" s="55"/>
      <c r="C117" s="55"/>
      <c r="D117" s="55"/>
      <c r="E117" s="55"/>
      <c r="F117" s="55"/>
      <c r="G117" s="55"/>
      <c r="H117" s="55"/>
      <c r="I117" s="55"/>
      <c r="J117" s="55"/>
      <c r="K117" s="55"/>
    </row>
    <row r="118">
      <c r="A118" s="150"/>
      <c r="B118" s="55"/>
      <c r="C118" s="55"/>
      <c r="D118" s="55"/>
      <c r="E118" s="55"/>
      <c r="F118" s="55"/>
      <c r="G118" s="55"/>
      <c r="H118" s="55"/>
      <c r="I118" s="55"/>
      <c r="J118" s="55"/>
      <c r="K118" s="55"/>
    </row>
    <row r="119">
      <c r="A119" s="150"/>
      <c r="B119" s="55"/>
      <c r="C119" s="55"/>
      <c r="D119" s="55"/>
      <c r="E119" s="55"/>
      <c r="F119" s="55"/>
      <c r="G119" s="55"/>
      <c r="H119" s="55"/>
      <c r="I119" s="55"/>
      <c r="J119" s="55"/>
      <c r="K119" s="55"/>
    </row>
    <row r="120">
      <c r="A120" s="150"/>
      <c r="B120" s="55"/>
      <c r="C120" s="55"/>
      <c r="D120" s="55"/>
      <c r="E120" s="55"/>
      <c r="F120" s="55"/>
      <c r="G120" s="55"/>
      <c r="H120" s="55"/>
      <c r="I120" s="55"/>
      <c r="J120" s="55"/>
      <c r="K120" s="55"/>
    </row>
    <row r="121">
      <c r="A121" s="150"/>
      <c r="B121" s="55"/>
      <c r="C121" s="55"/>
      <c r="D121" s="55"/>
      <c r="E121" s="55"/>
      <c r="F121" s="55"/>
      <c r="G121" s="55"/>
      <c r="H121" s="55"/>
      <c r="I121" s="55"/>
      <c r="J121" s="55"/>
      <c r="K121" s="55"/>
    </row>
    <row r="122">
      <c r="A122" s="150"/>
      <c r="B122" s="55"/>
      <c r="C122" s="55"/>
      <c r="D122" s="55"/>
      <c r="E122" s="55"/>
      <c r="F122" s="55"/>
      <c r="G122" s="55"/>
      <c r="H122" s="55"/>
      <c r="I122" s="55"/>
      <c r="J122" s="55"/>
      <c r="K122" s="55"/>
    </row>
    <row r="123">
      <c r="A123" s="150"/>
      <c r="B123" s="55"/>
      <c r="C123" s="55"/>
      <c r="D123" s="55"/>
      <c r="E123" s="55"/>
      <c r="F123" s="55"/>
      <c r="G123" s="55"/>
      <c r="H123" s="55"/>
      <c r="I123" s="55"/>
      <c r="J123" s="55"/>
      <c r="K123" s="55"/>
    </row>
    <row r="124">
      <c r="A124" s="150"/>
      <c r="B124" s="55"/>
      <c r="C124" s="55"/>
      <c r="D124" s="55"/>
      <c r="E124" s="55"/>
      <c r="F124" s="55"/>
      <c r="G124" s="55"/>
      <c r="H124" s="55"/>
      <c r="I124" s="55"/>
      <c r="J124" s="55"/>
      <c r="K124" s="55"/>
    </row>
    <row r="125">
      <c r="A125" s="150"/>
      <c r="B125" s="55"/>
      <c r="C125" s="55"/>
      <c r="D125" s="55"/>
      <c r="E125" s="55"/>
      <c r="F125" s="55"/>
      <c r="G125" s="55"/>
      <c r="H125" s="55"/>
      <c r="I125" s="55"/>
      <c r="J125" s="55"/>
      <c r="K125" s="55"/>
    </row>
    <row r="126">
      <c r="A126" s="150"/>
      <c r="B126" s="55"/>
      <c r="C126" s="55"/>
      <c r="D126" s="55"/>
      <c r="E126" s="55"/>
      <c r="F126" s="55"/>
      <c r="G126" s="55"/>
      <c r="H126" s="55"/>
      <c r="I126" s="55"/>
      <c r="J126" s="55"/>
      <c r="K126" s="55"/>
    </row>
    <row r="127">
      <c r="A127" s="150"/>
      <c r="B127" s="55"/>
      <c r="C127" s="55"/>
      <c r="D127" s="55"/>
      <c r="E127" s="55"/>
      <c r="F127" s="55"/>
      <c r="G127" s="55"/>
      <c r="H127" s="55"/>
      <c r="I127" s="55"/>
      <c r="J127" s="55"/>
      <c r="K127" s="55"/>
    </row>
    <row r="128">
      <c r="A128" s="150"/>
      <c r="B128" s="55"/>
      <c r="C128" s="55"/>
      <c r="D128" s="55"/>
      <c r="E128" s="55"/>
      <c r="F128" s="55"/>
      <c r="G128" s="55"/>
      <c r="H128" s="55"/>
      <c r="I128" s="55"/>
      <c r="J128" s="55"/>
      <c r="K128" s="55"/>
    </row>
    <row r="129">
      <c r="A129" s="150"/>
      <c r="B129" s="55"/>
      <c r="C129" s="55"/>
      <c r="D129" s="55"/>
      <c r="E129" s="55"/>
      <c r="F129" s="55"/>
      <c r="G129" s="55"/>
      <c r="H129" s="55"/>
      <c r="I129" s="55"/>
      <c r="J129" s="55"/>
      <c r="K129" s="55"/>
    </row>
    <row r="130">
      <c r="A130" s="150"/>
      <c r="B130" s="55"/>
      <c r="C130" s="55"/>
      <c r="D130" s="55"/>
      <c r="E130" s="55"/>
      <c r="F130" s="55"/>
      <c r="G130" s="55"/>
      <c r="H130" s="55"/>
      <c r="I130" s="55"/>
      <c r="J130" s="55"/>
      <c r="K130" s="55"/>
    </row>
    <row r="131">
      <c r="A131" s="150"/>
      <c r="B131" s="55"/>
      <c r="C131" s="55"/>
      <c r="D131" s="55"/>
      <c r="E131" s="55"/>
      <c r="F131" s="55"/>
      <c r="G131" s="55"/>
      <c r="H131" s="55"/>
      <c r="I131" s="55"/>
      <c r="J131" s="55"/>
      <c r="K131" s="55"/>
    </row>
    <row r="132">
      <c r="A132" s="150"/>
      <c r="B132" s="55"/>
      <c r="C132" s="55"/>
      <c r="D132" s="55"/>
      <c r="E132" s="55"/>
      <c r="F132" s="55"/>
      <c r="G132" s="55"/>
      <c r="H132" s="55"/>
      <c r="I132" s="55"/>
      <c r="J132" s="55"/>
      <c r="K132" s="55"/>
    </row>
    <row r="133">
      <c r="A133" s="150"/>
      <c r="B133" s="55"/>
      <c r="C133" s="55"/>
      <c r="D133" s="55"/>
      <c r="E133" s="55"/>
      <c r="F133" s="55"/>
      <c r="G133" s="55"/>
      <c r="H133" s="55"/>
      <c r="I133" s="55"/>
      <c r="J133" s="55"/>
      <c r="K133" s="55"/>
    </row>
    <row r="134">
      <c r="A134" s="150"/>
      <c r="B134" s="55"/>
      <c r="C134" s="55"/>
      <c r="D134" s="55"/>
      <c r="E134" s="55"/>
      <c r="F134" s="55"/>
      <c r="G134" s="55"/>
      <c r="H134" s="55"/>
      <c r="I134" s="55"/>
      <c r="J134" s="55"/>
      <c r="K134" s="55"/>
    </row>
    <row r="135">
      <c r="A135" s="150"/>
      <c r="B135" s="55"/>
      <c r="C135" s="55"/>
      <c r="D135" s="55"/>
      <c r="E135" s="55"/>
      <c r="F135" s="55"/>
      <c r="G135" s="55"/>
      <c r="H135" s="55"/>
      <c r="I135" s="55"/>
      <c r="J135" s="55"/>
      <c r="K135" s="55"/>
    </row>
    <row r="136">
      <c r="A136" s="150"/>
      <c r="B136" s="55"/>
      <c r="C136" s="55"/>
      <c r="D136" s="55"/>
      <c r="E136" s="55"/>
      <c r="F136" s="55"/>
      <c r="G136" s="55"/>
      <c r="H136" s="55"/>
      <c r="I136" s="55"/>
      <c r="J136" s="55"/>
      <c r="K136" s="55"/>
    </row>
    <row r="137">
      <c r="A137" s="150"/>
      <c r="B137" s="55"/>
      <c r="C137" s="55"/>
      <c r="D137" s="55"/>
      <c r="E137" s="55"/>
      <c r="F137" s="55"/>
      <c r="G137" s="55"/>
      <c r="H137" s="55"/>
      <c r="I137" s="55"/>
      <c r="J137" s="55"/>
      <c r="K137" s="55"/>
    </row>
    <row r="138">
      <c r="A138" s="150"/>
      <c r="B138" s="55"/>
      <c r="C138" s="55"/>
      <c r="D138" s="55"/>
      <c r="E138" s="55"/>
      <c r="F138" s="55"/>
      <c r="G138" s="55"/>
      <c r="H138" s="55"/>
      <c r="I138" s="55"/>
      <c r="J138" s="55"/>
      <c r="K138" s="55"/>
    </row>
    <row r="139">
      <c r="A139" s="150"/>
      <c r="B139" s="55"/>
      <c r="C139" s="55"/>
      <c r="D139" s="55"/>
      <c r="E139" s="55"/>
      <c r="F139" s="55"/>
      <c r="G139" s="55"/>
      <c r="H139" s="55"/>
      <c r="I139" s="55"/>
      <c r="J139" s="55"/>
      <c r="K139" s="55"/>
    </row>
    <row r="140">
      <c r="A140" s="150"/>
      <c r="B140" s="55"/>
      <c r="C140" s="55"/>
      <c r="D140" s="55"/>
      <c r="E140" s="55"/>
      <c r="F140" s="55"/>
      <c r="G140" s="55"/>
      <c r="H140" s="55"/>
      <c r="I140" s="55"/>
      <c r="J140" s="55"/>
      <c r="K140" s="55"/>
    </row>
    <row r="141">
      <c r="A141" s="150"/>
      <c r="B141" s="55"/>
      <c r="C141" s="55"/>
      <c r="D141" s="55"/>
      <c r="E141" s="55"/>
      <c r="F141" s="55"/>
      <c r="G141" s="55"/>
      <c r="H141" s="55"/>
      <c r="I141" s="55"/>
      <c r="J141" s="55"/>
      <c r="K141" s="55"/>
    </row>
    <row r="142">
      <c r="A142" s="150"/>
      <c r="B142" s="55"/>
      <c r="C142" s="55"/>
      <c r="D142" s="55"/>
      <c r="E142" s="55"/>
      <c r="F142" s="55"/>
      <c r="G142" s="55"/>
      <c r="H142" s="55"/>
      <c r="I142" s="55"/>
      <c r="J142" s="55"/>
      <c r="K142" s="55"/>
    </row>
    <row r="143">
      <c r="A143" s="150"/>
      <c r="B143" s="55"/>
      <c r="C143" s="55"/>
      <c r="D143" s="55"/>
      <c r="E143" s="55"/>
      <c r="F143" s="55"/>
      <c r="G143" s="55"/>
      <c r="H143" s="55"/>
      <c r="I143" s="55"/>
      <c r="J143" s="55"/>
      <c r="K143" s="55"/>
    </row>
    <row r="144">
      <c r="A144" s="150"/>
      <c r="B144" s="55"/>
      <c r="C144" s="55"/>
      <c r="D144" s="55"/>
      <c r="E144" s="55"/>
      <c r="F144" s="55"/>
      <c r="G144" s="55"/>
      <c r="H144" s="55"/>
      <c r="I144" s="55"/>
      <c r="J144" s="55"/>
      <c r="K144" s="55"/>
    </row>
    <row r="145">
      <c r="A145" s="150"/>
      <c r="B145" s="55"/>
      <c r="C145" s="55"/>
      <c r="D145" s="55"/>
      <c r="E145" s="55"/>
      <c r="F145" s="55"/>
      <c r="G145" s="55"/>
      <c r="H145" s="55"/>
      <c r="I145" s="55"/>
      <c r="J145" s="55"/>
      <c r="K145" s="55"/>
    </row>
    <row r="146">
      <c r="A146" s="150"/>
      <c r="B146" s="55"/>
      <c r="C146" s="55"/>
      <c r="D146" s="55"/>
      <c r="E146" s="55"/>
      <c r="F146" s="55"/>
      <c r="G146" s="55"/>
      <c r="H146" s="55"/>
      <c r="I146" s="55"/>
      <c r="J146" s="55"/>
      <c r="K146" s="55"/>
    </row>
    <row r="147">
      <c r="A147" s="150"/>
      <c r="B147" s="55"/>
      <c r="C147" s="55"/>
      <c r="D147" s="55"/>
      <c r="E147" s="55"/>
      <c r="F147" s="55"/>
      <c r="G147" s="55"/>
      <c r="H147" s="55"/>
      <c r="I147" s="55"/>
      <c r="J147" s="55"/>
      <c r="K147" s="55"/>
    </row>
    <row r="148">
      <c r="A148" s="150"/>
      <c r="B148" s="55"/>
      <c r="C148" s="55"/>
      <c r="D148" s="55"/>
      <c r="E148" s="55"/>
      <c r="F148" s="55"/>
      <c r="G148" s="55"/>
      <c r="H148" s="55"/>
      <c r="I148" s="55"/>
      <c r="J148" s="55"/>
      <c r="K148" s="55"/>
    </row>
    <row r="149">
      <c r="A149" s="150"/>
      <c r="B149" s="55"/>
      <c r="C149" s="55"/>
      <c r="D149" s="55"/>
      <c r="E149" s="55"/>
      <c r="F149" s="55"/>
      <c r="G149" s="55"/>
      <c r="H149" s="55"/>
      <c r="I149" s="55"/>
      <c r="J149" s="55"/>
      <c r="K149" s="55"/>
    </row>
    <row r="150">
      <c r="A150" s="150"/>
      <c r="B150" s="55"/>
      <c r="C150" s="55"/>
      <c r="D150" s="55"/>
      <c r="E150" s="55"/>
      <c r="F150" s="55"/>
      <c r="G150" s="55"/>
      <c r="H150" s="55"/>
      <c r="I150" s="55"/>
      <c r="J150" s="55"/>
      <c r="K150" s="55"/>
    </row>
    <row r="151">
      <c r="A151" s="150"/>
      <c r="B151" s="55"/>
      <c r="C151" s="55"/>
      <c r="D151" s="55"/>
      <c r="E151" s="55"/>
      <c r="F151" s="55"/>
      <c r="G151" s="55"/>
      <c r="H151" s="55"/>
      <c r="I151" s="55"/>
      <c r="J151" s="55"/>
      <c r="K151" s="55"/>
    </row>
    <row r="152">
      <c r="A152" s="150"/>
      <c r="B152" s="55"/>
      <c r="C152" s="55"/>
      <c r="D152" s="55"/>
      <c r="E152" s="55"/>
      <c r="F152" s="55"/>
      <c r="G152" s="55"/>
      <c r="H152" s="55"/>
      <c r="I152" s="55"/>
      <c r="J152" s="55"/>
      <c r="K152" s="55"/>
    </row>
    <row r="153">
      <c r="A153" s="150"/>
      <c r="B153" s="55"/>
      <c r="C153" s="55"/>
      <c r="D153" s="55"/>
      <c r="E153" s="55"/>
      <c r="F153" s="55"/>
      <c r="G153" s="55"/>
      <c r="H153" s="55"/>
      <c r="I153" s="55"/>
      <c r="J153" s="55"/>
      <c r="K153" s="55"/>
    </row>
    <row r="154">
      <c r="A154" s="150"/>
      <c r="B154" s="55"/>
      <c r="C154" s="55"/>
      <c r="D154" s="55"/>
      <c r="E154" s="55"/>
      <c r="F154" s="55"/>
      <c r="G154" s="55"/>
      <c r="H154" s="55"/>
      <c r="I154" s="55"/>
      <c r="J154" s="55"/>
      <c r="K154" s="55"/>
    </row>
    <row r="155">
      <c r="A155" s="150"/>
      <c r="B155" s="55"/>
      <c r="C155" s="55"/>
      <c r="D155" s="55"/>
      <c r="E155" s="55"/>
      <c r="F155" s="55"/>
      <c r="G155" s="55"/>
      <c r="H155" s="55"/>
      <c r="I155" s="55"/>
      <c r="J155" s="55"/>
      <c r="K155" s="55"/>
    </row>
    <row r="156">
      <c r="A156" s="150"/>
      <c r="B156" s="55"/>
      <c r="C156" s="55"/>
      <c r="D156" s="55"/>
      <c r="E156" s="55"/>
      <c r="F156" s="55"/>
      <c r="G156" s="55"/>
      <c r="H156" s="55"/>
      <c r="I156" s="55"/>
      <c r="J156" s="55"/>
      <c r="K156" s="55"/>
    </row>
    <row r="157">
      <c r="A157" s="150"/>
      <c r="B157" s="55"/>
      <c r="C157" s="55"/>
      <c r="D157" s="55"/>
      <c r="E157" s="55"/>
      <c r="F157" s="55"/>
      <c r="G157" s="55"/>
      <c r="H157" s="55"/>
      <c r="I157" s="55"/>
      <c r="J157" s="55"/>
      <c r="K157" s="55"/>
    </row>
    <row r="158">
      <c r="A158" s="150"/>
      <c r="B158" s="55"/>
      <c r="C158" s="55"/>
      <c r="D158" s="55"/>
      <c r="E158" s="55"/>
      <c r="F158" s="55"/>
      <c r="G158" s="55"/>
      <c r="H158" s="55"/>
      <c r="I158" s="55"/>
      <c r="J158" s="55"/>
      <c r="K158" s="55"/>
    </row>
    <row r="159">
      <c r="A159" s="150"/>
      <c r="B159" s="55"/>
      <c r="C159" s="55"/>
      <c r="D159" s="55"/>
      <c r="E159" s="55"/>
      <c r="F159" s="55"/>
      <c r="G159" s="55"/>
      <c r="H159" s="55"/>
      <c r="I159" s="55"/>
      <c r="J159" s="55"/>
      <c r="K159" s="55"/>
    </row>
    <row r="160">
      <c r="A160" s="150"/>
      <c r="B160" s="55"/>
      <c r="C160" s="55"/>
      <c r="D160" s="55"/>
      <c r="E160" s="55"/>
      <c r="F160" s="55"/>
      <c r="G160" s="55"/>
      <c r="H160" s="55"/>
      <c r="I160" s="55"/>
      <c r="J160" s="55"/>
      <c r="K160" s="55"/>
    </row>
    <row r="161">
      <c r="A161" s="150"/>
      <c r="B161" s="55"/>
      <c r="C161" s="55"/>
      <c r="D161" s="55"/>
      <c r="E161" s="55"/>
      <c r="F161" s="55"/>
      <c r="G161" s="55"/>
      <c r="H161" s="55"/>
      <c r="I161" s="55"/>
      <c r="J161" s="55"/>
      <c r="K161" s="55"/>
    </row>
    <row r="162">
      <c r="A162" s="150"/>
      <c r="B162" s="55"/>
      <c r="C162" s="55"/>
      <c r="D162" s="55"/>
      <c r="E162" s="55"/>
      <c r="F162" s="55"/>
      <c r="G162" s="55"/>
      <c r="H162" s="55"/>
      <c r="I162" s="55"/>
      <c r="J162" s="55"/>
      <c r="K162" s="55"/>
    </row>
    <row r="163">
      <c r="A163" s="150"/>
      <c r="B163" s="55"/>
      <c r="C163" s="55"/>
      <c r="D163" s="55"/>
      <c r="E163" s="55"/>
      <c r="F163" s="55"/>
      <c r="G163" s="55"/>
      <c r="H163" s="55"/>
      <c r="I163" s="55"/>
      <c r="J163" s="55"/>
      <c r="K163" s="55"/>
    </row>
    <row r="164">
      <c r="A164" s="150"/>
      <c r="B164" s="55"/>
      <c r="C164" s="55"/>
      <c r="D164" s="55"/>
      <c r="E164" s="55"/>
      <c r="F164" s="55"/>
      <c r="G164" s="55"/>
      <c r="H164" s="55"/>
      <c r="I164" s="55"/>
      <c r="J164" s="55"/>
      <c r="K164" s="55"/>
    </row>
    <row r="165">
      <c r="A165" s="150"/>
      <c r="B165" s="55"/>
      <c r="C165" s="55"/>
      <c r="D165" s="55"/>
      <c r="E165" s="55"/>
      <c r="F165" s="55"/>
      <c r="G165" s="55"/>
      <c r="H165" s="55"/>
      <c r="I165" s="55"/>
      <c r="J165" s="55"/>
      <c r="K165" s="55"/>
    </row>
    <row r="166">
      <c r="A166" s="150"/>
      <c r="B166" s="55"/>
      <c r="C166" s="55"/>
      <c r="D166" s="55"/>
      <c r="E166" s="55"/>
      <c r="F166" s="55"/>
      <c r="G166" s="55"/>
      <c r="H166" s="55"/>
      <c r="I166" s="55"/>
      <c r="J166" s="55"/>
      <c r="K166" s="55"/>
    </row>
    <row r="167">
      <c r="A167" s="150"/>
      <c r="B167" s="55"/>
      <c r="C167" s="55"/>
      <c r="D167" s="55"/>
      <c r="E167" s="55"/>
      <c r="F167" s="55"/>
      <c r="G167" s="55"/>
      <c r="H167" s="55"/>
      <c r="I167" s="55"/>
      <c r="J167" s="55"/>
      <c r="K167" s="55"/>
    </row>
    <row r="168">
      <c r="A168" s="150"/>
      <c r="B168" s="55"/>
      <c r="C168" s="55"/>
      <c r="D168" s="55"/>
      <c r="E168" s="55"/>
      <c r="F168" s="55"/>
      <c r="G168" s="55"/>
      <c r="H168" s="55"/>
      <c r="I168" s="55"/>
      <c r="J168" s="55"/>
      <c r="K168" s="55"/>
    </row>
    <row r="169">
      <c r="A169" s="150"/>
      <c r="B169" s="55"/>
      <c r="C169" s="55"/>
      <c r="D169" s="55"/>
      <c r="E169" s="55"/>
      <c r="F169" s="55"/>
      <c r="G169" s="55"/>
      <c r="H169" s="55"/>
      <c r="I169" s="55"/>
      <c r="J169" s="55"/>
      <c r="K169" s="55"/>
    </row>
    <row r="170">
      <c r="A170" s="150"/>
      <c r="B170" s="55"/>
      <c r="C170" s="55"/>
      <c r="D170" s="55"/>
      <c r="E170" s="55"/>
      <c r="F170" s="55"/>
      <c r="G170" s="55"/>
      <c r="H170" s="55"/>
      <c r="I170" s="55"/>
      <c r="J170" s="55"/>
      <c r="K170" s="55"/>
    </row>
    <row r="171">
      <c r="A171" s="150"/>
      <c r="B171" s="55"/>
      <c r="C171" s="55"/>
      <c r="D171" s="55"/>
      <c r="E171" s="55"/>
      <c r="F171" s="55"/>
      <c r="G171" s="55"/>
      <c r="H171" s="55"/>
      <c r="I171" s="55"/>
      <c r="J171" s="55"/>
      <c r="K171" s="55"/>
    </row>
    <row r="172">
      <c r="A172" s="150"/>
      <c r="B172" s="55"/>
      <c r="C172" s="55"/>
      <c r="D172" s="55"/>
      <c r="E172" s="55"/>
      <c r="F172" s="55"/>
      <c r="G172" s="55"/>
      <c r="H172" s="55"/>
      <c r="I172" s="55"/>
      <c r="J172" s="55"/>
      <c r="K172" s="55"/>
    </row>
    <row r="173">
      <c r="A173" s="150"/>
      <c r="B173" s="55"/>
      <c r="C173" s="55"/>
      <c r="D173" s="55"/>
      <c r="E173" s="55"/>
      <c r="F173" s="55"/>
      <c r="G173" s="55"/>
      <c r="H173" s="55"/>
      <c r="I173" s="55"/>
      <c r="J173" s="55"/>
      <c r="K173" s="55"/>
    </row>
    <row r="174">
      <c r="A174" s="150"/>
      <c r="B174" s="55"/>
      <c r="C174" s="55"/>
      <c r="D174" s="55"/>
      <c r="E174" s="55"/>
      <c r="F174" s="55"/>
      <c r="G174" s="55"/>
      <c r="H174" s="55"/>
      <c r="I174" s="55"/>
      <c r="J174" s="55"/>
      <c r="K174" s="55"/>
    </row>
    <row r="175">
      <c r="A175" s="150"/>
      <c r="B175" s="55"/>
      <c r="C175" s="55"/>
      <c r="D175" s="55"/>
      <c r="E175" s="55"/>
      <c r="F175" s="55"/>
      <c r="G175" s="55"/>
      <c r="H175" s="55"/>
      <c r="I175" s="55"/>
      <c r="J175" s="55"/>
      <c r="K175" s="55"/>
    </row>
    <row r="176">
      <c r="A176" s="150"/>
      <c r="B176" s="55"/>
      <c r="C176" s="55"/>
      <c r="D176" s="55"/>
      <c r="E176" s="55"/>
      <c r="F176" s="55"/>
      <c r="G176" s="55"/>
      <c r="H176" s="55"/>
      <c r="I176" s="55"/>
      <c r="J176" s="55"/>
      <c r="K176" s="55"/>
    </row>
    <row r="177">
      <c r="A177" s="150"/>
      <c r="B177" s="55"/>
      <c r="C177" s="55"/>
      <c r="D177" s="55"/>
      <c r="E177" s="55"/>
      <c r="F177" s="55"/>
      <c r="G177" s="55"/>
      <c r="H177" s="55"/>
      <c r="I177" s="55"/>
      <c r="J177" s="55"/>
      <c r="K177" s="55"/>
    </row>
    <row r="178">
      <c r="A178" s="150"/>
      <c r="B178" s="55"/>
      <c r="C178" s="55"/>
      <c r="D178" s="55"/>
      <c r="E178" s="55"/>
      <c r="F178" s="55"/>
      <c r="G178" s="55"/>
      <c r="H178" s="55"/>
      <c r="I178" s="55"/>
      <c r="J178" s="55"/>
      <c r="K178" s="55"/>
    </row>
    <row r="179">
      <c r="A179" s="150"/>
      <c r="B179" s="55"/>
      <c r="C179" s="55"/>
      <c r="D179" s="55"/>
      <c r="E179" s="55"/>
      <c r="F179" s="55"/>
      <c r="G179" s="55"/>
      <c r="H179" s="55"/>
      <c r="I179" s="55"/>
      <c r="J179" s="55"/>
      <c r="K179" s="55"/>
    </row>
    <row r="180">
      <c r="A180" s="150"/>
      <c r="B180" s="55"/>
      <c r="C180" s="55"/>
      <c r="D180" s="55"/>
      <c r="E180" s="55"/>
      <c r="F180" s="55"/>
      <c r="G180" s="55"/>
      <c r="H180" s="55"/>
      <c r="I180" s="55"/>
      <c r="J180" s="55"/>
      <c r="K180" s="55"/>
    </row>
    <row r="181">
      <c r="A181" s="150"/>
      <c r="B181" s="55"/>
      <c r="C181" s="55"/>
      <c r="D181" s="55"/>
      <c r="E181" s="55"/>
      <c r="F181" s="55"/>
      <c r="G181" s="55"/>
      <c r="H181" s="55"/>
      <c r="I181" s="55"/>
      <c r="J181" s="55"/>
      <c r="K181" s="55"/>
    </row>
    <row r="182">
      <c r="A182" s="150"/>
      <c r="B182" s="55"/>
      <c r="C182" s="55"/>
      <c r="D182" s="55"/>
      <c r="E182" s="55"/>
      <c r="F182" s="55"/>
      <c r="G182" s="55"/>
      <c r="H182" s="55"/>
      <c r="I182" s="55"/>
      <c r="J182" s="55"/>
      <c r="K182" s="55"/>
    </row>
    <row r="183">
      <c r="A183" s="150"/>
      <c r="B183" s="55"/>
      <c r="C183" s="55"/>
      <c r="D183" s="55"/>
      <c r="E183" s="55"/>
      <c r="F183" s="55"/>
      <c r="G183" s="55"/>
      <c r="H183" s="55"/>
      <c r="I183" s="55"/>
      <c r="J183" s="55"/>
      <c r="K183" s="55"/>
    </row>
    <row r="184">
      <c r="A184" s="150"/>
      <c r="B184" s="55"/>
      <c r="C184" s="55"/>
      <c r="D184" s="55"/>
      <c r="E184" s="55"/>
      <c r="F184" s="55"/>
      <c r="G184" s="55"/>
      <c r="H184" s="55"/>
      <c r="I184" s="55"/>
      <c r="J184" s="55"/>
      <c r="K184" s="55"/>
    </row>
    <row r="185">
      <c r="A185" s="150"/>
      <c r="B185" s="55"/>
      <c r="C185" s="55"/>
      <c r="D185" s="55"/>
      <c r="E185" s="55"/>
      <c r="F185" s="55"/>
      <c r="G185" s="55"/>
      <c r="H185" s="55"/>
      <c r="I185" s="55"/>
      <c r="J185" s="55"/>
      <c r="K185" s="55"/>
    </row>
    <row r="186">
      <c r="A186" s="150"/>
      <c r="B186" s="55"/>
      <c r="C186" s="55"/>
      <c r="D186" s="55"/>
      <c r="E186" s="55"/>
      <c r="F186" s="55"/>
      <c r="G186" s="55"/>
      <c r="H186" s="55"/>
      <c r="I186" s="55"/>
      <c r="J186" s="55"/>
      <c r="K186" s="55"/>
    </row>
    <row r="187">
      <c r="A187" s="150"/>
      <c r="B187" s="55"/>
      <c r="C187" s="55"/>
      <c r="D187" s="55"/>
      <c r="E187" s="55"/>
      <c r="F187" s="55"/>
      <c r="G187" s="55"/>
      <c r="H187" s="55"/>
      <c r="I187" s="55"/>
      <c r="J187" s="55"/>
      <c r="K187" s="55"/>
    </row>
    <row r="188">
      <c r="A188" s="150"/>
      <c r="B188" s="55"/>
      <c r="C188" s="55"/>
      <c r="D188" s="55"/>
      <c r="E188" s="55"/>
      <c r="F188" s="55"/>
      <c r="G188" s="55"/>
      <c r="H188" s="55"/>
      <c r="I188" s="55"/>
      <c r="J188" s="55"/>
      <c r="K188" s="55"/>
    </row>
    <row r="189">
      <c r="A189" s="150"/>
      <c r="B189" s="55"/>
      <c r="C189" s="55"/>
      <c r="D189" s="55"/>
      <c r="E189" s="55"/>
      <c r="F189" s="55"/>
      <c r="G189" s="55"/>
      <c r="H189" s="55"/>
      <c r="I189" s="55"/>
      <c r="J189" s="55"/>
      <c r="K189" s="55"/>
    </row>
    <row r="190">
      <c r="A190" s="150"/>
      <c r="B190" s="55"/>
      <c r="C190" s="55"/>
      <c r="D190" s="55"/>
      <c r="E190" s="55"/>
      <c r="F190" s="55"/>
      <c r="G190" s="55"/>
      <c r="H190" s="55"/>
      <c r="I190" s="55"/>
      <c r="J190" s="55"/>
      <c r="K190" s="55"/>
    </row>
    <row r="191">
      <c r="A191" s="150"/>
      <c r="B191" s="55"/>
      <c r="C191" s="55"/>
      <c r="D191" s="55"/>
      <c r="E191" s="55"/>
      <c r="F191" s="55"/>
      <c r="G191" s="55"/>
      <c r="H191" s="55"/>
      <c r="I191" s="55"/>
      <c r="J191" s="55"/>
      <c r="K191" s="55"/>
    </row>
    <row r="192">
      <c r="A192" s="150"/>
      <c r="B192" s="55"/>
      <c r="C192" s="55"/>
      <c r="D192" s="55"/>
      <c r="E192" s="55"/>
      <c r="F192" s="55"/>
      <c r="G192" s="55"/>
      <c r="H192" s="55"/>
      <c r="I192" s="55"/>
      <c r="J192" s="55"/>
      <c r="K192" s="55"/>
    </row>
    <row r="193">
      <c r="A193" s="150"/>
      <c r="B193" s="55"/>
      <c r="C193" s="55"/>
      <c r="D193" s="55"/>
      <c r="E193" s="55"/>
      <c r="F193" s="55"/>
      <c r="G193" s="55"/>
      <c r="H193" s="55"/>
      <c r="I193" s="55"/>
      <c r="J193" s="55"/>
      <c r="K193" s="55"/>
    </row>
    <row r="194">
      <c r="A194" s="150"/>
      <c r="B194" s="55"/>
      <c r="C194" s="55"/>
      <c r="D194" s="55"/>
      <c r="E194" s="55"/>
      <c r="F194" s="55"/>
      <c r="G194" s="55"/>
      <c r="H194" s="55"/>
      <c r="I194" s="55"/>
      <c r="J194" s="55"/>
      <c r="K194" s="55"/>
    </row>
    <row r="195">
      <c r="A195" s="150"/>
      <c r="B195" s="55"/>
      <c r="C195" s="55"/>
      <c r="D195" s="55"/>
      <c r="E195" s="55"/>
      <c r="F195" s="55"/>
      <c r="G195" s="55"/>
      <c r="H195" s="55"/>
      <c r="I195" s="55"/>
      <c r="J195" s="55"/>
      <c r="K195" s="55"/>
    </row>
    <row r="196">
      <c r="A196" s="150"/>
      <c r="B196" s="55"/>
      <c r="C196" s="55"/>
      <c r="D196" s="55"/>
      <c r="E196" s="55"/>
      <c r="F196" s="55"/>
      <c r="G196" s="55"/>
      <c r="H196" s="55"/>
      <c r="I196" s="55"/>
      <c r="J196" s="55"/>
      <c r="K196" s="55"/>
    </row>
    <row r="197">
      <c r="A197" s="150"/>
      <c r="B197" s="55"/>
      <c r="C197" s="55"/>
      <c r="D197" s="55"/>
      <c r="E197" s="55"/>
      <c r="F197" s="55"/>
      <c r="G197" s="55"/>
      <c r="H197" s="55"/>
      <c r="I197" s="55"/>
      <c r="J197" s="55"/>
      <c r="K197" s="55"/>
    </row>
    <row r="198">
      <c r="A198" s="150"/>
      <c r="B198" s="55"/>
      <c r="C198" s="55"/>
      <c r="D198" s="55"/>
      <c r="E198" s="55"/>
      <c r="F198" s="55"/>
      <c r="G198" s="55"/>
      <c r="H198" s="55"/>
      <c r="I198" s="55"/>
      <c r="J198" s="55"/>
      <c r="K198" s="55"/>
    </row>
    <row r="199">
      <c r="A199" s="150"/>
      <c r="B199" s="55"/>
      <c r="C199" s="55"/>
      <c r="D199" s="55"/>
      <c r="E199" s="55"/>
      <c r="F199" s="55"/>
      <c r="G199" s="55"/>
      <c r="H199" s="55"/>
      <c r="I199" s="55"/>
      <c r="J199" s="55"/>
      <c r="K199" s="55"/>
    </row>
    <row r="200">
      <c r="A200" s="150"/>
      <c r="B200" s="55"/>
      <c r="C200" s="55"/>
      <c r="D200" s="55"/>
      <c r="E200" s="55"/>
      <c r="F200" s="55"/>
      <c r="G200" s="55"/>
      <c r="H200" s="55"/>
      <c r="I200" s="55"/>
      <c r="J200" s="55"/>
      <c r="K200" s="55"/>
    </row>
    <row r="201">
      <c r="A201" s="150"/>
      <c r="B201" s="55"/>
      <c r="C201" s="55"/>
      <c r="D201" s="55"/>
      <c r="E201" s="55"/>
      <c r="F201" s="55"/>
      <c r="G201" s="55"/>
      <c r="H201" s="55"/>
      <c r="I201" s="55"/>
      <c r="J201" s="55"/>
      <c r="K201" s="55"/>
    </row>
    <row r="202">
      <c r="A202" s="150"/>
      <c r="B202" s="55"/>
      <c r="C202" s="55"/>
      <c r="D202" s="55"/>
      <c r="E202" s="55"/>
      <c r="F202" s="55"/>
      <c r="G202" s="55"/>
      <c r="H202" s="55"/>
      <c r="I202" s="55"/>
      <c r="J202" s="55"/>
      <c r="K202" s="55"/>
    </row>
    <row r="203">
      <c r="A203" s="150"/>
      <c r="B203" s="55"/>
      <c r="C203" s="55"/>
      <c r="D203" s="55"/>
      <c r="E203" s="55"/>
      <c r="F203" s="55"/>
      <c r="G203" s="55"/>
      <c r="H203" s="55"/>
      <c r="I203" s="55"/>
      <c r="J203" s="55"/>
      <c r="K203" s="55"/>
    </row>
    <row r="204">
      <c r="A204" s="150"/>
      <c r="B204" s="55"/>
      <c r="C204" s="55"/>
      <c r="D204" s="55"/>
      <c r="E204" s="55"/>
      <c r="F204" s="55"/>
      <c r="G204" s="55"/>
      <c r="H204" s="55"/>
      <c r="I204" s="55"/>
      <c r="J204" s="55"/>
      <c r="K204" s="55"/>
    </row>
    <row r="205">
      <c r="A205" s="150"/>
      <c r="B205" s="55"/>
      <c r="C205" s="55"/>
      <c r="D205" s="55"/>
      <c r="E205" s="55"/>
      <c r="F205" s="55"/>
      <c r="G205" s="55"/>
      <c r="H205" s="55"/>
      <c r="I205" s="55"/>
      <c r="J205" s="55"/>
      <c r="K205" s="55"/>
    </row>
    <row r="206">
      <c r="A206" s="150"/>
      <c r="B206" s="55"/>
      <c r="C206" s="55"/>
      <c r="D206" s="55"/>
      <c r="E206" s="55"/>
      <c r="F206" s="55"/>
      <c r="G206" s="55"/>
      <c r="H206" s="55"/>
      <c r="I206" s="55"/>
      <c r="J206" s="55"/>
      <c r="K206" s="55"/>
    </row>
    <row r="207">
      <c r="A207" s="150"/>
      <c r="B207" s="55"/>
      <c r="C207" s="55"/>
      <c r="D207" s="55"/>
      <c r="E207" s="55"/>
      <c r="F207" s="55"/>
      <c r="G207" s="55"/>
      <c r="H207" s="55"/>
      <c r="I207" s="55"/>
      <c r="J207" s="55"/>
      <c r="K207" s="55"/>
    </row>
    <row r="208">
      <c r="A208" s="150"/>
      <c r="B208" s="55"/>
      <c r="C208" s="55"/>
      <c r="D208" s="55"/>
      <c r="E208" s="55"/>
      <c r="F208" s="55"/>
      <c r="G208" s="55"/>
      <c r="H208" s="55"/>
      <c r="I208" s="55"/>
      <c r="J208" s="55"/>
      <c r="K208" s="55"/>
    </row>
    <row r="209">
      <c r="A209" s="150"/>
      <c r="B209" s="55"/>
      <c r="C209" s="55"/>
      <c r="D209" s="55"/>
      <c r="E209" s="55"/>
      <c r="F209" s="55"/>
      <c r="G209" s="55"/>
      <c r="H209" s="55"/>
      <c r="I209" s="55"/>
      <c r="J209" s="55"/>
      <c r="K209" s="55"/>
    </row>
    <row r="210">
      <c r="A210" s="150"/>
      <c r="B210" s="55"/>
      <c r="C210" s="55"/>
      <c r="D210" s="55"/>
      <c r="E210" s="55"/>
      <c r="F210" s="55"/>
      <c r="G210" s="55"/>
      <c r="H210" s="55"/>
      <c r="I210" s="55"/>
      <c r="J210" s="55"/>
      <c r="K210" s="55"/>
    </row>
    <row r="211">
      <c r="A211" s="150"/>
      <c r="B211" s="55"/>
      <c r="C211" s="55"/>
      <c r="D211" s="55"/>
      <c r="E211" s="55"/>
      <c r="F211" s="55"/>
      <c r="G211" s="55"/>
      <c r="H211" s="55"/>
      <c r="I211" s="55"/>
      <c r="J211" s="55"/>
      <c r="K211" s="55"/>
    </row>
    <row r="212">
      <c r="A212" s="150"/>
      <c r="B212" s="55"/>
      <c r="C212" s="55"/>
      <c r="D212" s="55"/>
      <c r="E212" s="55"/>
      <c r="F212" s="55"/>
      <c r="G212" s="55"/>
      <c r="H212" s="55"/>
      <c r="I212" s="55"/>
      <c r="J212" s="55"/>
      <c r="K212" s="55"/>
    </row>
    <row r="213">
      <c r="A213" s="150"/>
      <c r="B213" s="55"/>
      <c r="C213" s="55"/>
      <c r="D213" s="55"/>
      <c r="E213" s="55"/>
      <c r="F213" s="55"/>
      <c r="G213" s="55"/>
      <c r="H213" s="55"/>
      <c r="I213" s="55"/>
      <c r="J213" s="55"/>
      <c r="K213" s="55"/>
    </row>
    <row r="214">
      <c r="A214" s="150"/>
      <c r="B214" s="55"/>
      <c r="C214" s="55"/>
      <c r="D214" s="55"/>
      <c r="E214" s="55"/>
      <c r="F214" s="55"/>
      <c r="G214" s="55"/>
      <c r="H214" s="55"/>
      <c r="I214" s="55"/>
      <c r="J214" s="55"/>
      <c r="K214" s="55"/>
    </row>
    <row r="215">
      <c r="A215" s="150"/>
      <c r="B215" s="55"/>
      <c r="C215" s="55"/>
      <c r="D215" s="55"/>
      <c r="E215" s="55"/>
      <c r="F215" s="55"/>
      <c r="G215" s="55"/>
      <c r="H215" s="55"/>
      <c r="I215" s="55"/>
      <c r="J215" s="55"/>
      <c r="K215" s="55"/>
    </row>
    <row r="216">
      <c r="A216" s="150"/>
      <c r="B216" s="55"/>
      <c r="C216" s="55"/>
      <c r="D216" s="55"/>
      <c r="E216" s="55"/>
      <c r="F216" s="55"/>
      <c r="G216" s="55"/>
      <c r="H216" s="55"/>
      <c r="I216" s="55"/>
      <c r="J216" s="55"/>
      <c r="K216" s="55"/>
    </row>
    <row r="217">
      <c r="A217" s="150"/>
      <c r="B217" s="55"/>
      <c r="C217" s="55"/>
      <c r="D217" s="55"/>
      <c r="E217" s="55"/>
      <c r="F217" s="55"/>
      <c r="G217" s="55"/>
      <c r="H217" s="55"/>
      <c r="I217" s="55"/>
      <c r="J217" s="55"/>
      <c r="K217" s="55"/>
    </row>
    <row r="218">
      <c r="A218" s="150"/>
      <c r="B218" s="55"/>
      <c r="C218" s="55"/>
      <c r="D218" s="55"/>
      <c r="E218" s="55"/>
      <c r="F218" s="55"/>
      <c r="G218" s="55"/>
      <c r="H218" s="55"/>
      <c r="I218" s="55"/>
      <c r="J218" s="55"/>
      <c r="K218" s="55"/>
    </row>
    <row r="219">
      <c r="A219" s="150"/>
      <c r="B219" s="55"/>
      <c r="C219" s="55"/>
      <c r="D219" s="55"/>
      <c r="E219" s="55"/>
      <c r="F219" s="55"/>
      <c r="G219" s="55"/>
      <c r="H219" s="55"/>
      <c r="I219" s="55"/>
      <c r="J219" s="55"/>
      <c r="K219" s="55"/>
    </row>
    <row r="220">
      <c r="A220" s="150"/>
      <c r="B220" s="55"/>
      <c r="C220" s="55"/>
      <c r="D220" s="55"/>
      <c r="E220" s="55"/>
      <c r="F220" s="55"/>
      <c r="G220" s="55"/>
      <c r="H220" s="55"/>
      <c r="I220" s="55"/>
      <c r="J220" s="55"/>
      <c r="K220" s="55"/>
    </row>
    <row r="221">
      <c r="A221" s="150"/>
      <c r="B221" s="55"/>
      <c r="C221" s="55"/>
      <c r="D221" s="55"/>
      <c r="E221" s="55"/>
      <c r="F221" s="55"/>
      <c r="G221" s="55"/>
      <c r="H221" s="55"/>
      <c r="I221" s="55"/>
      <c r="J221" s="55"/>
      <c r="K221" s="55"/>
    </row>
    <row r="222">
      <c r="A222" s="150"/>
      <c r="B222" s="55"/>
      <c r="C222" s="55"/>
      <c r="D222" s="55"/>
      <c r="E222" s="55"/>
      <c r="F222" s="55"/>
      <c r="G222" s="55"/>
      <c r="H222" s="55"/>
      <c r="I222" s="55"/>
      <c r="J222" s="55"/>
      <c r="K222" s="55"/>
    </row>
    <row r="223">
      <c r="A223" s="150"/>
      <c r="B223" s="55"/>
      <c r="C223" s="55"/>
      <c r="D223" s="55"/>
      <c r="E223" s="55"/>
      <c r="F223" s="55"/>
      <c r="G223" s="55"/>
      <c r="H223" s="55"/>
      <c r="I223" s="55"/>
      <c r="J223" s="55"/>
      <c r="K223" s="55"/>
    </row>
    <row r="224">
      <c r="A224" s="150"/>
      <c r="B224" s="55"/>
      <c r="C224" s="55"/>
      <c r="D224" s="55"/>
      <c r="E224" s="55"/>
      <c r="F224" s="55"/>
      <c r="G224" s="55"/>
      <c r="H224" s="55"/>
      <c r="I224" s="55"/>
      <c r="J224" s="55"/>
      <c r="K224" s="55"/>
    </row>
    <row r="225">
      <c r="A225" s="150"/>
      <c r="B225" s="55"/>
      <c r="C225" s="55"/>
      <c r="D225" s="55"/>
      <c r="E225" s="55"/>
      <c r="F225" s="55"/>
      <c r="G225" s="55"/>
      <c r="H225" s="55"/>
      <c r="I225" s="55"/>
      <c r="J225" s="55"/>
      <c r="K225" s="55"/>
    </row>
    <row r="226">
      <c r="A226" s="150"/>
      <c r="B226" s="55"/>
      <c r="C226" s="55"/>
      <c r="D226" s="55"/>
      <c r="E226" s="55"/>
      <c r="F226" s="55"/>
      <c r="G226" s="55"/>
      <c r="H226" s="55"/>
      <c r="I226" s="55"/>
      <c r="J226" s="55"/>
      <c r="K226" s="55"/>
    </row>
    <row r="227">
      <c r="A227" s="150"/>
      <c r="B227" s="55"/>
      <c r="C227" s="55"/>
      <c r="D227" s="55"/>
      <c r="E227" s="55"/>
      <c r="F227" s="55"/>
      <c r="G227" s="55"/>
      <c r="H227" s="55"/>
      <c r="I227" s="55"/>
      <c r="J227" s="55"/>
      <c r="K227" s="55"/>
    </row>
    <row r="228">
      <c r="A228" s="150"/>
      <c r="B228" s="55"/>
      <c r="C228" s="55"/>
      <c r="D228" s="55"/>
      <c r="E228" s="55"/>
      <c r="F228" s="55"/>
      <c r="G228" s="55"/>
      <c r="H228" s="55"/>
      <c r="I228" s="55"/>
      <c r="J228" s="55"/>
      <c r="K228" s="55"/>
    </row>
    <row r="229">
      <c r="A229" s="150"/>
      <c r="B229" s="55"/>
      <c r="C229" s="55"/>
      <c r="D229" s="55"/>
      <c r="E229" s="55"/>
      <c r="F229" s="55"/>
      <c r="G229" s="55"/>
      <c r="H229" s="55"/>
      <c r="I229" s="55"/>
      <c r="J229" s="55"/>
      <c r="K229" s="55"/>
    </row>
    <row r="230">
      <c r="A230" s="150"/>
      <c r="B230" s="55"/>
      <c r="C230" s="55"/>
      <c r="D230" s="55"/>
      <c r="E230" s="55"/>
      <c r="F230" s="55"/>
      <c r="G230" s="55"/>
      <c r="H230" s="55"/>
      <c r="I230" s="55"/>
      <c r="J230" s="55"/>
      <c r="K230" s="55"/>
    </row>
    <row r="231">
      <c r="A231" s="150"/>
      <c r="B231" s="55"/>
      <c r="C231" s="55"/>
      <c r="D231" s="55"/>
      <c r="E231" s="55"/>
      <c r="F231" s="55"/>
      <c r="G231" s="55"/>
      <c r="H231" s="55"/>
      <c r="I231" s="55"/>
      <c r="J231" s="55"/>
      <c r="K231" s="55"/>
    </row>
    <row r="232">
      <c r="A232" s="150"/>
      <c r="B232" s="55"/>
      <c r="C232" s="55"/>
      <c r="D232" s="55"/>
      <c r="E232" s="55"/>
      <c r="F232" s="55"/>
      <c r="G232" s="55"/>
      <c r="H232" s="55"/>
      <c r="I232" s="55"/>
      <c r="J232" s="55"/>
      <c r="K232" s="55"/>
    </row>
    <row r="233">
      <c r="A233" s="150"/>
      <c r="B233" s="55"/>
      <c r="C233" s="55"/>
      <c r="D233" s="55"/>
      <c r="E233" s="55"/>
      <c r="F233" s="55"/>
      <c r="G233" s="55"/>
      <c r="H233" s="55"/>
      <c r="I233" s="55"/>
      <c r="J233" s="55"/>
      <c r="K233" s="55"/>
    </row>
    <row r="234">
      <c r="A234" s="150"/>
      <c r="B234" s="55"/>
      <c r="C234" s="55"/>
      <c r="D234" s="55"/>
      <c r="E234" s="55"/>
      <c r="F234" s="55"/>
      <c r="G234" s="55"/>
      <c r="H234" s="55"/>
      <c r="I234" s="55"/>
      <c r="J234" s="55"/>
      <c r="K234" s="55"/>
    </row>
    <row r="235">
      <c r="A235" s="150"/>
      <c r="B235" s="55"/>
      <c r="C235" s="55"/>
      <c r="D235" s="55"/>
      <c r="E235" s="55"/>
      <c r="F235" s="55"/>
      <c r="G235" s="55"/>
      <c r="H235" s="55"/>
      <c r="I235" s="55"/>
      <c r="J235" s="55"/>
      <c r="K235" s="55"/>
    </row>
    <row r="236">
      <c r="A236" s="150"/>
      <c r="B236" s="55"/>
      <c r="C236" s="55"/>
      <c r="D236" s="55"/>
      <c r="E236" s="55"/>
      <c r="F236" s="55"/>
      <c r="G236" s="55"/>
      <c r="H236" s="55"/>
      <c r="I236" s="55"/>
      <c r="J236" s="55"/>
      <c r="K236" s="55"/>
    </row>
    <row r="237">
      <c r="A237" s="150"/>
      <c r="B237" s="55"/>
      <c r="C237" s="55"/>
      <c r="D237" s="55"/>
      <c r="E237" s="55"/>
      <c r="F237" s="55"/>
      <c r="G237" s="55"/>
      <c r="H237" s="55"/>
      <c r="I237" s="55"/>
      <c r="J237" s="55"/>
      <c r="K237" s="55"/>
    </row>
    <row r="238">
      <c r="A238" s="150"/>
      <c r="B238" s="55"/>
      <c r="C238" s="55"/>
      <c r="D238" s="55"/>
      <c r="E238" s="55"/>
      <c r="F238" s="55"/>
      <c r="G238" s="55"/>
      <c r="H238" s="55"/>
      <c r="I238" s="55"/>
      <c r="J238" s="55"/>
      <c r="K238" s="55"/>
    </row>
    <row r="239">
      <c r="A239" s="150"/>
      <c r="B239" s="55"/>
      <c r="C239" s="55"/>
      <c r="D239" s="55"/>
      <c r="E239" s="55"/>
      <c r="F239" s="55"/>
      <c r="G239" s="55"/>
      <c r="H239" s="55"/>
      <c r="I239" s="55"/>
      <c r="J239" s="55"/>
      <c r="K239" s="55"/>
    </row>
    <row r="240">
      <c r="A240" s="150"/>
      <c r="B240" s="55"/>
      <c r="C240" s="55"/>
      <c r="D240" s="55"/>
      <c r="E240" s="55"/>
      <c r="F240" s="55"/>
      <c r="G240" s="55"/>
      <c r="H240" s="55"/>
      <c r="I240" s="55"/>
      <c r="J240" s="55"/>
      <c r="K240" s="55"/>
    </row>
    <row r="241">
      <c r="A241" s="150"/>
      <c r="B241" s="55"/>
      <c r="C241" s="55"/>
      <c r="D241" s="55"/>
      <c r="E241" s="55"/>
      <c r="F241" s="55"/>
      <c r="G241" s="55"/>
      <c r="H241" s="55"/>
      <c r="I241" s="55"/>
      <c r="J241" s="55"/>
      <c r="K241" s="55"/>
    </row>
    <row r="242">
      <c r="A242" s="150"/>
      <c r="B242" s="55"/>
      <c r="C242" s="55"/>
      <c r="D242" s="55"/>
      <c r="E242" s="55"/>
      <c r="F242" s="55"/>
      <c r="G242" s="55"/>
      <c r="H242" s="55"/>
      <c r="I242" s="55"/>
      <c r="J242" s="55"/>
      <c r="K242" s="55"/>
    </row>
    <row r="243">
      <c r="A243" s="150"/>
      <c r="B243" s="55"/>
      <c r="C243" s="55"/>
      <c r="D243" s="55"/>
      <c r="E243" s="55"/>
      <c r="F243" s="55"/>
      <c r="G243" s="55"/>
      <c r="H243" s="55"/>
      <c r="I243" s="55"/>
      <c r="J243" s="55"/>
      <c r="K243" s="55"/>
    </row>
    <row r="244">
      <c r="A244" s="150"/>
      <c r="B244" s="55"/>
      <c r="C244" s="55"/>
      <c r="D244" s="55"/>
      <c r="E244" s="55"/>
      <c r="F244" s="55"/>
      <c r="G244" s="55"/>
      <c r="H244" s="55"/>
      <c r="I244" s="55"/>
      <c r="J244" s="55"/>
      <c r="K244" s="55"/>
    </row>
    <row r="245">
      <c r="A245" s="150"/>
      <c r="B245" s="55"/>
      <c r="C245" s="55"/>
      <c r="D245" s="55"/>
      <c r="E245" s="55"/>
      <c r="F245" s="55"/>
      <c r="G245" s="55"/>
      <c r="H245" s="55"/>
      <c r="I245" s="55"/>
      <c r="J245" s="55"/>
      <c r="K245" s="55"/>
    </row>
    <row r="246">
      <c r="A246" s="150"/>
      <c r="B246" s="55"/>
      <c r="C246" s="55"/>
      <c r="D246" s="55"/>
      <c r="E246" s="55"/>
      <c r="F246" s="55"/>
      <c r="G246" s="55"/>
      <c r="H246" s="55"/>
      <c r="I246" s="55"/>
      <c r="J246" s="55"/>
      <c r="K246" s="55"/>
    </row>
    <row r="247">
      <c r="A247" s="150"/>
      <c r="B247" s="55"/>
      <c r="C247" s="55"/>
      <c r="D247" s="55"/>
      <c r="E247" s="55"/>
      <c r="F247" s="55"/>
      <c r="G247" s="55"/>
      <c r="H247" s="55"/>
      <c r="I247" s="55"/>
      <c r="J247" s="55"/>
      <c r="K247" s="55"/>
    </row>
    <row r="248">
      <c r="A248" s="150"/>
      <c r="B248" s="55"/>
      <c r="C248" s="55"/>
      <c r="D248" s="55"/>
      <c r="E248" s="55"/>
      <c r="F248" s="55"/>
      <c r="G248" s="55"/>
      <c r="H248" s="55"/>
      <c r="I248" s="55"/>
      <c r="J248" s="55"/>
      <c r="K248" s="55"/>
    </row>
    <row r="249">
      <c r="A249" s="150"/>
      <c r="B249" s="55"/>
      <c r="C249" s="55"/>
      <c r="D249" s="55"/>
      <c r="E249" s="55"/>
      <c r="F249" s="55"/>
      <c r="G249" s="55"/>
      <c r="H249" s="55"/>
      <c r="I249" s="55"/>
      <c r="J249" s="55"/>
      <c r="K249" s="55"/>
    </row>
    <row r="250">
      <c r="A250" s="150"/>
      <c r="B250" s="55"/>
      <c r="C250" s="55"/>
      <c r="D250" s="55"/>
      <c r="E250" s="55"/>
      <c r="F250" s="55"/>
      <c r="G250" s="55"/>
      <c r="H250" s="55"/>
      <c r="I250" s="55"/>
      <c r="J250" s="55"/>
      <c r="K250" s="55"/>
    </row>
    <row r="251">
      <c r="A251" s="150"/>
      <c r="B251" s="55"/>
      <c r="C251" s="55"/>
      <c r="D251" s="55"/>
      <c r="E251" s="55"/>
      <c r="F251" s="55"/>
      <c r="G251" s="55"/>
      <c r="H251" s="55"/>
      <c r="I251" s="55"/>
      <c r="J251" s="55"/>
      <c r="K251" s="55"/>
    </row>
    <row r="252">
      <c r="A252" s="150"/>
      <c r="B252" s="55"/>
      <c r="C252" s="55"/>
      <c r="D252" s="55"/>
      <c r="E252" s="55"/>
      <c r="F252" s="55"/>
      <c r="G252" s="55"/>
      <c r="H252" s="55"/>
      <c r="I252" s="55"/>
      <c r="J252" s="55"/>
      <c r="K252" s="55"/>
    </row>
    <row r="253">
      <c r="A253" s="150"/>
      <c r="B253" s="55"/>
      <c r="C253" s="55"/>
      <c r="D253" s="55"/>
      <c r="E253" s="55"/>
      <c r="F253" s="55"/>
      <c r="G253" s="55"/>
      <c r="H253" s="55"/>
      <c r="I253" s="55"/>
      <c r="J253" s="55"/>
      <c r="K253" s="55"/>
    </row>
    <row r="254">
      <c r="A254" s="150"/>
      <c r="B254" s="55"/>
      <c r="C254" s="55"/>
      <c r="D254" s="55"/>
      <c r="E254" s="55"/>
      <c r="F254" s="55"/>
      <c r="G254" s="55"/>
      <c r="H254" s="55"/>
      <c r="I254" s="55"/>
      <c r="J254" s="55"/>
      <c r="K254" s="55"/>
    </row>
    <row r="255">
      <c r="A255" s="150"/>
      <c r="B255" s="55"/>
      <c r="C255" s="55"/>
      <c r="D255" s="55"/>
      <c r="E255" s="55"/>
      <c r="F255" s="55"/>
      <c r="G255" s="55"/>
      <c r="H255" s="55"/>
      <c r="I255" s="55"/>
      <c r="J255" s="55"/>
      <c r="K255" s="55"/>
    </row>
    <row r="256">
      <c r="A256" s="150"/>
      <c r="B256" s="55"/>
      <c r="C256" s="55"/>
      <c r="D256" s="55"/>
      <c r="E256" s="55"/>
      <c r="F256" s="55"/>
      <c r="G256" s="55"/>
      <c r="H256" s="55"/>
      <c r="I256" s="55"/>
      <c r="J256" s="55"/>
      <c r="K256" s="55"/>
    </row>
    <row r="257">
      <c r="A257" s="150"/>
      <c r="B257" s="55"/>
      <c r="C257" s="55"/>
      <c r="D257" s="55"/>
      <c r="E257" s="55"/>
      <c r="F257" s="55"/>
      <c r="G257" s="55"/>
      <c r="H257" s="55"/>
      <c r="I257" s="55"/>
      <c r="J257" s="55"/>
      <c r="K257" s="55"/>
    </row>
    <row r="258">
      <c r="A258" s="150"/>
      <c r="B258" s="55"/>
      <c r="C258" s="55"/>
      <c r="D258" s="55"/>
      <c r="E258" s="55"/>
      <c r="F258" s="55"/>
      <c r="G258" s="55"/>
      <c r="H258" s="55"/>
      <c r="I258" s="55"/>
      <c r="J258" s="55"/>
      <c r="K258" s="55"/>
    </row>
    <row r="259">
      <c r="A259" s="150"/>
      <c r="B259" s="55"/>
      <c r="C259" s="55"/>
      <c r="D259" s="55"/>
      <c r="E259" s="55"/>
      <c r="F259" s="55"/>
      <c r="G259" s="55"/>
      <c r="H259" s="55"/>
      <c r="I259" s="55"/>
      <c r="J259" s="55"/>
      <c r="K259" s="55"/>
    </row>
    <row r="260">
      <c r="A260" s="150"/>
      <c r="B260" s="55"/>
      <c r="C260" s="55"/>
      <c r="D260" s="55"/>
      <c r="E260" s="55"/>
      <c r="F260" s="55"/>
      <c r="G260" s="55"/>
      <c r="H260" s="55"/>
      <c r="I260" s="55"/>
      <c r="J260" s="55"/>
      <c r="K260" s="55"/>
    </row>
    <row r="261">
      <c r="A261" s="150"/>
      <c r="B261" s="55"/>
      <c r="C261" s="55"/>
      <c r="D261" s="55"/>
      <c r="E261" s="55"/>
      <c r="F261" s="55"/>
      <c r="G261" s="55"/>
      <c r="H261" s="55"/>
      <c r="I261" s="55"/>
      <c r="J261" s="55"/>
      <c r="K261" s="55"/>
    </row>
    <row r="262">
      <c r="A262" s="150"/>
      <c r="B262" s="55"/>
      <c r="C262" s="55"/>
      <c r="D262" s="55"/>
      <c r="E262" s="55"/>
      <c r="F262" s="55"/>
      <c r="G262" s="55"/>
      <c r="H262" s="55"/>
      <c r="I262" s="55"/>
      <c r="J262" s="55"/>
      <c r="K262" s="55"/>
    </row>
    <row r="263">
      <c r="A263" s="150"/>
      <c r="B263" s="55"/>
      <c r="C263" s="55"/>
      <c r="D263" s="55"/>
      <c r="E263" s="55"/>
      <c r="F263" s="55"/>
      <c r="G263" s="55"/>
      <c r="H263" s="55"/>
      <c r="I263" s="55"/>
      <c r="J263" s="55"/>
      <c r="K263" s="55"/>
    </row>
    <row r="264">
      <c r="A264" s="150"/>
      <c r="B264" s="55"/>
      <c r="C264" s="55"/>
      <c r="D264" s="55"/>
      <c r="E264" s="55"/>
      <c r="F264" s="55"/>
      <c r="G264" s="55"/>
      <c r="H264" s="55"/>
      <c r="I264" s="55"/>
      <c r="J264" s="55"/>
      <c r="K264" s="55"/>
    </row>
    <row r="265">
      <c r="A265" s="150"/>
      <c r="B265" s="55"/>
      <c r="C265" s="55"/>
      <c r="D265" s="55"/>
      <c r="E265" s="55"/>
      <c r="F265" s="55"/>
      <c r="G265" s="55"/>
      <c r="H265" s="55"/>
      <c r="I265" s="55"/>
      <c r="J265" s="55"/>
      <c r="K265" s="55"/>
    </row>
    <row r="266">
      <c r="A266" s="150"/>
      <c r="B266" s="55"/>
      <c r="C266" s="55"/>
      <c r="D266" s="55"/>
      <c r="E266" s="55"/>
      <c r="F266" s="55"/>
      <c r="G266" s="55"/>
      <c r="H266" s="55"/>
      <c r="I266" s="55"/>
      <c r="J266" s="55"/>
      <c r="K266" s="55"/>
    </row>
    <row r="267">
      <c r="A267" s="150"/>
      <c r="B267" s="55"/>
      <c r="C267" s="55"/>
      <c r="D267" s="55"/>
      <c r="E267" s="55"/>
      <c r="F267" s="55"/>
      <c r="G267" s="55"/>
      <c r="H267" s="55"/>
      <c r="I267" s="55"/>
      <c r="J267" s="55"/>
      <c r="K267" s="55"/>
    </row>
    <row r="268">
      <c r="A268" s="150"/>
      <c r="B268" s="55"/>
      <c r="C268" s="55"/>
      <c r="D268" s="55"/>
      <c r="E268" s="55"/>
      <c r="F268" s="55"/>
      <c r="G268" s="55"/>
      <c r="H268" s="55"/>
      <c r="I268" s="55"/>
      <c r="J268" s="55"/>
      <c r="K268" s="55"/>
    </row>
    <row r="269">
      <c r="A269" s="150"/>
      <c r="B269" s="55"/>
      <c r="C269" s="55"/>
      <c r="D269" s="55"/>
      <c r="E269" s="55"/>
      <c r="F269" s="55"/>
      <c r="G269" s="55"/>
      <c r="H269" s="55"/>
      <c r="I269" s="55"/>
      <c r="J269" s="55"/>
      <c r="K269" s="55"/>
    </row>
    <row r="270">
      <c r="A270" s="150"/>
      <c r="B270" s="55"/>
      <c r="C270" s="55"/>
      <c r="D270" s="55"/>
      <c r="E270" s="55"/>
      <c r="F270" s="55"/>
      <c r="G270" s="55"/>
      <c r="H270" s="55"/>
      <c r="I270" s="55"/>
      <c r="J270" s="55"/>
      <c r="K270" s="55"/>
    </row>
    <row r="271">
      <c r="A271" s="150"/>
      <c r="B271" s="55"/>
      <c r="C271" s="55"/>
      <c r="D271" s="55"/>
      <c r="E271" s="55"/>
      <c r="F271" s="55"/>
      <c r="G271" s="55"/>
      <c r="H271" s="55"/>
      <c r="I271" s="55"/>
      <c r="J271" s="55"/>
      <c r="K271" s="55"/>
    </row>
    <row r="272">
      <c r="A272" s="150"/>
      <c r="B272" s="55"/>
      <c r="C272" s="55"/>
      <c r="D272" s="55"/>
      <c r="E272" s="55"/>
      <c r="F272" s="55"/>
      <c r="G272" s="55"/>
      <c r="H272" s="55"/>
      <c r="I272" s="55"/>
      <c r="J272" s="55"/>
      <c r="K272" s="55"/>
    </row>
    <row r="273">
      <c r="A273" s="150"/>
      <c r="B273" s="55"/>
      <c r="C273" s="55"/>
      <c r="D273" s="55"/>
      <c r="E273" s="55"/>
      <c r="F273" s="55"/>
      <c r="G273" s="55"/>
      <c r="H273" s="55"/>
      <c r="I273" s="55"/>
      <c r="J273" s="55"/>
      <c r="K273" s="55"/>
    </row>
    <row r="274">
      <c r="A274" s="150"/>
      <c r="B274" s="55"/>
      <c r="C274" s="55"/>
      <c r="D274" s="55"/>
      <c r="E274" s="55"/>
      <c r="F274" s="55"/>
      <c r="G274" s="55"/>
      <c r="H274" s="55"/>
      <c r="I274" s="55"/>
      <c r="J274" s="55"/>
      <c r="K274" s="55"/>
    </row>
    <row r="275">
      <c r="A275" s="150"/>
      <c r="B275" s="55"/>
      <c r="C275" s="55"/>
      <c r="D275" s="55"/>
      <c r="E275" s="55"/>
      <c r="F275" s="55"/>
      <c r="G275" s="55"/>
      <c r="H275" s="55"/>
      <c r="I275" s="55"/>
      <c r="J275" s="55"/>
      <c r="K275" s="55"/>
    </row>
    <row r="276">
      <c r="A276" s="150"/>
      <c r="B276" s="55"/>
      <c r="C276" s="55"/>
      <c r="D276" s="55"/>
      <c r="E276" s="55"/>
      <c r="F276" s="55"/>
      <c r="G276" s="55"/>
      <c r="H276" s="55"/>
      <c r="I276" s="55"/>
      <c r="J276" s="55"/>
      <c r="K276" s="55"/>
    </row>
    <row r="277">
      <c r="A277" s="150"/>
      <c r="B277" s="55"/>
      <c r="C277" s="55"/>
      <c r="D277" s="55"/>
      <c r="E277" s="55"/>
      <c r="F277" s="55"/>
      <c r="G277" s="55"/>
      <c r="H277" s="55"/>
      <c r="I277" s="55"/>
      <c r="J277" s="55"/>
      <c r="K277" s="55"/>
    </row>
    <row r="278">
      <c r="A278" s="150"/>
      <c r="B278" s="55"/>
      <c r="C278" s="55"/>
      <c r="D278" s="55"/>
      <c r="E278" s="55"/>
      <c r="F278" s="55"/>
      <c r="G278" s="55"/>
      <c r="H278" s="55"/>
      <c r="I278" s="55"/>
      <c r="J278" s="55"/>
      <c r="K278" s="55"/>
    </row>
    <row r="279">
      <c r="A279" s="150"/>
      <c r="B279" s="55"/>
      <c r="C279" s="55"/>
      <c r="D279" s="55"/>
      <c r="E279" s="55"/>
      <c r="F279" s="55"/>
      <c r="G279" s="55"/>
      <c r="H279" s="55"/>
      <c r="I279" s="55"/>
      <c r="J279" s="55"/>
      <c r="K279" s="55"/>
    </row>
    <row r="280">
      <c r="A280" s="150"/>
      <c r="B280" s="55"/>
      <c r="C280" s="55"/>
      <c r="D280" s="55"/>
      <c r="E280" s="55"/>
      <c r="F280" s="55"/>
      <c r="G280" s="55"/>
      <c r="H280" s="55"/>
      <c r="I280" s="55"/>
      <c r="J280" s="55"/>
      <c r="K280" s="55"/>
    </row>
    <row r="281">
      <c r="A281" s="150"/>
      <c r="B281" s="55"/>
      <c r="C281" s="55"/>
      <c r="D281" s="55"/>
      <c r="E281" s="55"/>
      <c r="F281" s="55"/>
      <c r="G281" s="55"/>
      <c r="H281" s="55"/>
      <c r="I281" s="55"/>
      <c r="J281" s="55"/>
      <c r="K281" s="55"/>
    </row>
    <row r="282">
      <c r="A282" s="150"/>
      <c r="B282" s="55"/>
      <c r="C282" s="55"/>
      <c r="D282" s="55"/>
      <c r="E282" s="55"/>
      <c r="F282" s="55"/>
      <c r="G282" s="55"/>
      <c r="H282" s="55"/>
      <c r="I282" s="55"/>
      <c r="J282" s="55"/>
      <c r="K282" s="55"/>
    </row>
    <row r="283">
      <c r="A283" s="150"/>
      <c r="B283" s="55"/>
      <c r="C283" s="55"/>
      <c r="D283" s="55"/>
      <c r="E283" s="55"/>
      <c r="F283" s="55"/>
      <c r="G283" s="55"/>
      <c r="H283" s="55"/>
      <c r="I283" s="55"/>
      <c r="J283" s="55"/>
      <c r="K283" s="55"/>
    </row>
    <row r="284">
      <c r="A284" s="150"/>
      <c r="B284" s="55"/>
      <c r="C284" s="55"/>
      <c r="D284" s="55"/>
      <c r="E284" s="55"/>
      <c r="F284" s="55"/>
      <c r="G284" s="55"/>
      <c r="H284" s="55"/>
      <c r="I284" s="55"/>
      <c r="J284" s="55"/>
      <c r="K284" s="55"/>
    </row>
    <row r="285">
      <c r="A285" s="150"/>
      <c r="B285" s="55"/>
      <c r="C285" s="55"/>
      <c r="D285" s="55"/>
      <c r="E285" s="55"/>
      <c r="F285" s="55"/>
      <c r="G285" s="55"/>
      <c r="H285" s="55"/>
      <c r="I285" s="55"/>
      <c r="J285" s="55"/>
      <c r="K285" s="55"/>
    </row>
    <row r="286">
      <c r="A286" s="150"/>
      <c r="B286" s="55"/>
      <c r="C286" s="55"/>
      <c r="D286" s="55"/>
      <c r="E286" s="55"/>
      <c r="F286" s="55"/>
      <c r="G286" s="55"/>
      <c r="H286" s="55"/>
      <c r="I286" s="55"/>
      <c r="J286" s="55"/>
      <c r="K286" s="55"/>
    </row>
    <row r="287">
      <c r="A287" s="150"/>
      <c r="B287" s="55"/>
      <c r="C287" s="55"/>
      <c r="D287" s="55"/>
      <c r="E287" s="55"/>
      <c r="F287" s="55"/>
      <c r="G287" s="55"/>
      <c r="H287" s="55"/>
      <c r="I287" s="55"/>
      <c r="J287" s="55"/>
      <c r="K287" s="55"/>
    </row>
    <row r="288">
      <c r="A288" s="150"/>
      <c r="B288" s="55"/>
      <c r="C288" s="55"/>
      <c r="D288" s="55"/>
      <c r="E288" s="55"/>
      <c r="F288" s="55"/>
      <c r="G288" s="55"/>
      <c r="H288" s="55"/>
      <c r="I288" s="55"/>
      <c r="J288" s="55"/>
      <c r="K288" s="55"/>
    </row>
    <row r="289">
      <c r="A289" s="150"/>
      <c r="B289" s="55"/>
      <c r="C289" s="55"/>
      <c r="D289" s="55"/>
      <c r="E289" s="55"/>
      <c r="F289" s="55"/>
      <c r="G289" s="55"/>
      <c r="H289" s="55"/>
      <c r="I289" s="55"/>
      <c r="J289" s="55"/>
      <c r="K289" s="55"/>
    </row>
    <row r="290">
      <c r="A290" s="150"/>
      <c r="B290" s="55"/>
      <c r="C290" s="55"/>
      <c r="D290" s="55"/>
      <c r="E290" s="55"/>
      <c r="F290" s="55"/>
      <c r="G290" s="55"/>
      <c r="H290" s="55"/>
      <c r="I290" s="55"/>
      <c r="J290" s="55"/>
      <c r="K290" s="55"/>
    </row>
    <row r="291">
      <c r="A291" s="150"/>
      <c r="B291" s="55"/>
      <c r="C291" s="55"/>
      <c r="D291" s="55"/>
      <c r="E291" s="55"/>
      <c r="F291" s="55"/>
      <c r="G291" s="55"/>
      <c r="H291" s="55"/>
      <c r="I291" s="55"/>
      <c r="J291" s="55"/>
      <c r="K291" s="55"/>
    </row>
    <row r="292">
      <c r="A292" s="150"/>
      <c r="B292" s="55"/>
      <c r="C292" s="55"/>
      <c r="D292" s="55"/>
      <c r="E292" s="55"/>
      <c r="F292" s="55"/>
      <c r="G292" s="55"/>
      <c r="H292" s="55"/>
      <c r="I292" s="55"/>
      <c r="J292" s="55"/>
      <c r="K292" s="55"/>
    </row>
    <row r="293">
      <c r="A293" s="150"/>
      <c r="B293" s="55"/>
      <c r="C293" s="55"/>
      <c r="D293" s="55"/>
      <c r="E293" s="55"/>
      <c r="F293" s="55"/>
      <c r="G293" s="55"/>
      <c r="H293" s="55"/>
      <c r="I293" s="55"/>
      <c r="J293" s="55"/>
      <c r="K293" s="55"/>
    </row>
    <row r="294">
      <c r="A294" s="150"/>
      <c r="B294" s="55"/>
      <c r="C294" s="55"/>
      <c r="D294" s="55"/>
      <c r="E294" s="55"/>
      <c r="F294" s="55"/>
      <c r="G294" s="55"/>
      <c r="H294" s="55"/>
      <c r="I294" s="55"/>
      <c r="J294" s="55"/>
      <c r="K294" s="55"/>
    </row>
    <row r="295">
      <c r="A295" s="150"/>
      <c r="B295" s="55"/>
      <c r="C295" s="55"/>
      <c r="D295" s="55"/>
      <c r="E295" s="55"/>
      <c r="F295" s="55"/>
      <c r="G295" s="55"/>
      <c r="H295" s="55"/>
      <c r="I295" s="55"/>
      <c r="J295" s="55"/>
      <c r="K295" s="55"/>
    </row>
    <row r="296">
      <c r="A296" s="150"/>
      <c r="B296" s="55"/>
      <c r="C296" s="55"/>
      <c r="D296" s="55"/>
      <c r="E296" s="55"/>
      <c r="F296" s="55"/>
      <c r="G296" s="55"/>
      <c r="H296" s="55"/>
      <c r="I296" s="55"/>
      <c r="J296" s="55"/>
      <c r="K296" s="55"/>
    </row>
    <row r="297">
      <c r="A297" s="150"/>
      <c r="B297" s="55"/>
      <c r="C297" s="55"/>
      <c r="D297" s="55"/>
      <c r="E297" s="55"/>
      <c r="F297" s="55"/>
      <c r="G297" s="55"/>
      <c r="H297" s="55"/>
      <c r="I297" s="55"/>
      <c r="J297" s="55"/>
      <c r="K297" s="55"/>
    </row>
    <row r="298">
      <c r="A298" s="150"/>
      <c r="B298" s="55"/>
      <c r="C298" s="55"/>
      <c r="D298" s="55"/>
      <c r="E298" s="55"/>
      <c r="F298" s="55"/>
      <c r="G298" s="55"/>
      <c r="H298" s="55"/>
      <c r="I298" s="55"/>
      <c r="J298" s="55"/>
      <c r="K298" s="55"/>
    </row>
    <row r="299">
      <c r="A299" s="150"/>
      <c r="B299" s="55"/>
      <c r="C299" s="55"/>
      <c r="D299" s="55"/>
      <c r="E299" s="55"/>
      <c r="F299" s="55"/>
      <c r="G299" s="55"/>
      <c r="H299" s="55"/>
      <c r="I299" s="55"/>
      <c r="J299" s="55"/>
      <c r="K299" s="55"/>
    </row>
    <row r="300">
      <c r="A300" s="150"/>
      <c r="B300" s="55"/>
      <c r="C300" s="55"/>
      <c r="D300" s="55"/>
      <c r="E300" s="55"/>
      <c r="F300" s="55"/>
      <c r="G300" s="55"/>
      <c r="H300" s="55"/>
      <c r="I300" s="55"/>
      <c r="J300" s="55"/>
      <c r="K300" s="55"/>
    </row>
    <row r="301">
      <c r="A301" s="150"/>
      <c r="B301" s="55"/>
      <c r="C301" s="55"/>
      <c r="D301" s="55"/>
      <c r="E301" s="55"/>
      <c r="F301" s="55"/>
      <c r="G301" s="55"/>
      <c r="H301" s="55"/>
      <c r="I301" s="55"/>
      <c r="J301" s="55"/>
      <c r="K301" s="55"/>
    </row>
    <row r="302">
      <c r="A302" s="150"/>
      <c r="B302" s="55"/>
      <c r="C302" s="55"/>
      <c r="D302" s="55"/>
      <c r="E302" s="55"/>
      <c r="F302" s="55"/>
      <c r="G302" s="55"/>
      <c r="H302" s="55"/>
      <c r="I302" s="55"/>
      <c r="J302" s="55"/>
      <c r="K302" s="55"/>
    </row>
    <row r="303">
      <c r="A303" s="150"/>
      <c r="B303" s="55"/>
      <c r="C303" s="55"/>
      <c r="D303" s="55"/>
      <c r="E303" s="55"/>
      <c r="F303" s="55"/>
      <c r="G303" s="55"/>
      <c r="H303" s="55"/>
      <c r="I303" s="55"/>
      <c r="J303" s="55"/>
      <c r="K303" s="55"/>
    </row>
    <row r="304">
      <c r="A304" s="150"/>
      <c r="B304" s="55"/>
      <c r="C304" s="55"/>
      <c r="D304" s="55"/>
      <c r="E304" s="55"/>
      <c r="F304" s="55"/>
      <c r="G304" s="55"/>
      <c r="H304" s="55"/>
      <c r="I304" s="55"/>
      <c r="J304" s="55"/>
      <c r="K304" s="55"/>
    </row>
    <row r="305">
      <c r="A305" s="150"/>
      <c r="B305" s="55"/>
      <c r="C305" s="55"/>
      <c r="D305" s="55"/>
      <c r="E305" s="55"/>
      <c r="F305" s="55"/>
      <c r="G305" s="55"/>
      <c r="H305" s="55"/>
      <c r="I305" s="55"/>
      <c r="J305" s="55"/>
      <c r="K305" s="55"/>
    </row>
    <row r="306">
      <c r="A306" s="150"/>
      <c r="B306" s="55"/>
      <c r="C306" s="55"/>
      <c r="D306" s="55"/>
      <c r="E306" s="55"/>
      <c r="F306" s="55"/>
      <c r="G306" s="55"/>
      <c r="H306" s="55"/>
      <c r="I306" s="55"/>
      <c r="J306" s="55"/>
      <c r="K306" s="55"/>
    </row>
    <row r="307">
      <c r="A307" s="150"/>
      <c r="B307" s="55"/>
      <c r="C307" s="55"/>
      <c r="D307" s="55"/>
      <c r="E307" s="55"/>
      <c r="F307" s="55"/>
      <c r="G307" s="55"/>
      <c r="H307" s="55"/>
      <c r="I307" s="55"/>
      <c r="J307" s="55"/>
      <c r="K307" s="55"/>
    </row>
    <row r="308">
      <c r="A308" s="150"/>
      <c r="B308" s="55"/>
      <c r="C308" s="55"/>
      <c r="D308" s="55"/>
      <c r="E308" s="55"/>
      <c r="F308" s="55"/>
      <c r="G308" s="55"/>
      <c r="H308" s="55"/>
      <c r="I308" s="55"/>
      <c r="J308" s="55"/>
      <c r="K308" s="55"/>
    </row>
    <row r="309">
      <c r="A309" s="150"/>
      <c r="B309" s="55"/>
      <c r="C309" s="55"/>
      <c r="D309" s="55"/>
      <c r="E309" s="55"/>
      <c r="F309" s="55"/>
      <c r="G309" s="55"/>
      <c r="H309" s="55"/>
      <c r="I309" s="55"/>
      <c r="J309" s="55"/>
      <c r="K309" s="55"/>
    </row>
    <row r="310">
      <c r="A310" s="150"/>
      <c r="B310" s="55"/>
      <c r="C310" s="55"/>
      <c r="D310" s="55"/>
      <c r="E310" s="55"/>
      <c r="F310" s="55"/>
      <c r="G310" s="55"/>
      <c r="H310" s="55"/>
      <c r="I310" s="55"/>
      <c r="J310" s="55"/>
      <c r="K310" s="55"/>
    </row>
    <row r="311">
      <c r="A311" s="150"/>
      <c r="B311" s="55"/>
      <c r="C311" s="55"/>
      <c r="D311" s="55"/>
      <c r="E311" s="55"/>
      <c r="F311" s="55"/>
      <c r="G311" s="55"/>
      <c r="H311" s="55"/>
      <c r="I311" s="55"/>
      <c r="J311" s="55"/>
      <c r="K311" s="55"/>
    </row>
    <row r="312">
      <c r="A312" s="150"/>
      <c r="B312" s="55"/>
      <c r="C312" s="55"/>
      <c r="D312" s="55"/>
      <c r="E312" s="55"/>
      <c r="F312" s="55"/>
      <c r="G312" s="55"/>
      <c r="H312" s="55"/>
      <c r="I312" s="55"/>
      <c r="J312" s="55"/>
      <c r="K312" s="55"/>
    </row>
    <row r="313">
      <c r="A313" s="150"/>
      <c r="B313" s="55"/>
      <c r="C313" s="55"/>
      <c r="D313" s="55"/>
      <c r="E313" s="55"/>
      <c r="F313" s="55"/>
      <c r="G313" s="55"/>
      <c r="H313" s="55"/>
      <c r="I313" s="55"/>
      <c r="J313" s="55"/>
      <c r="K313" s="55"/>
    </row>
    <row r="314">
      <c r="A314" s="150"/>
      <c r="B314" s="55"/>
      <c r="C314" s="55"/>
      <c r="D314" s="55"/>
      <c r="E314" s="55"/>
      <c r="F314" s="55"/>
      <c r="G314" s="55"/>
      <c r="H314" s="55"/>
      <c r="I314" s="55"/>
      <c r="J314" s="55"/>
      <c r="K314" s="55"/>
    </row>
    <row r="315">
      <c r="A315" s="150"/>
      <c r="B315" s="55"/>
      <c r="C315" s="55"/>
      <c r="D315" s="55"/>
      <c r="E315" s="55"/>
      <c r="F315" s="55"/>
      <c r="G315" s="55"/>
      <c r="H315" s="55"/>
      <c r="I315" s="55"/>
      <c r="J315" s="55"/>
      <c r="K315" s="55"/>
    </row>
    <row r="316">
      <c r="A316" s="150"/>
      <c r="B316" s="55"/>
      <c r="C316" s="55"/>
      <c r="D316" s="55"/>
      <c r="E316" s="55"/>
      <c r="F316" s="55"/>
      <c r="G316" s="55"/>
      <c r="H316" s="55"/>
      <c r="I316" s="55"/>
      <c r="J316" s="55"/>
      <c r="K316" s="55"/>
    </row>
    <row r="317">
      <c r="A317" s="150"/>
      <c r="B317" s="55"/>
      <c r="C317" s="55"/>
      <c r="D317" s="55"/>
      <c r="E317" s="55"/>
      <c r="F317" s="55"/>
      <c r="G317" s="55"/>
      <c r="H317" s="55"/>
      <c r="I317" s="55"/>
      <c r="J317" s="55"/>
      <c r="K317" s="55"/>
    </row>
    <row r="318">
      <c r="A318" s="150"/>
      <c r="B318" s="55"/>
      <c r="C318" s="55"/>
      <c r="D318" s="55"/>
      <c r="E318" s="55"/>
      <c r="F318" s="55"/>
      <c r="G318" s="55"/>
      <c r="H318" s="55"/>
      <c r="I318" s="55"/>
      <c r="J318" s="55"/>
      <c r="K318" s="55"/>
    </row>
    <row r="319">
      <c r="A319" s="150"/>
      <c r="B319" s="55"/>
      <c r="C319" s="55"/>
      <c r="D319" s="55"/>
      <c r="E319" s="55"/>
      <c r="F319" s="55"/>
      <c r="G319" s="55"/>
      <c r="H319" s="55"/>
      <c r="I319" s="55"/>
      <c r="J319" s="55"/>
      <c r="K319" s="55"/>
    </row>
    <row r="320">
      <c r="A320" s="150"/>
      <c r="B320" s="55"/>
      <c r="C320" s="55"/>
      <c r="D320" s="55"/>
      <c r="E320" s="55"/>
      <c r="F320" s="55"/>
      <c r="G320" s="55"/>
      <c r="H320" s="55"/>
      <c r="I320" s="55"/>
      <c r="J320" s="55"/>
      <c r="K320" s="55"/>
    </row>
    <row r="321">
      <c r="A321" s="150"/>
      <c r="B321" s="55"/>
      <c r="C321" s="55"/>
      <c r="D321" s="55"/>
      <c r="E321" s="55"/>
      <c r="F321" s="55"/>
      <c r="G321" s="55"/>
      <c r="H321" s="55"/>
      <c r="I321" s="55"/>
      <c r="J321" s="55"/>
      <c r="K321" s="55"/>
    </row>
    <row r="322">
      <c r="A322" s="150"/>
      <c r="B322" s="55"/>
      <c r="C322" s="55"/>
      <c r="D322" s="55"/>
      <c r="E322" s="55"/>
      <c r="F322" s="55"/>
      <c r="G322" s="55"/>
      <c r="H322" s="55"/>
      <c r="I322" s="55"/>
      <c r="J322" s="55"/>
      <c r="K322" s="55"/>
    </row>
    <row r="323">
      <c r="A323" s="150"/>
      <c r="B323" s="55"/>
      <c r="C323" s="55"/>
      <c r="D323" s="55"/>
      <c r="E323" s="55"/>
      <c r="F323" s="55"/>
      <c r="G323" s="55"/>
      <c r="H323" s="55"/>
      <c r="I323" s="55"/>
      <c r="J323" s="55"/>
      <c r="K323" s="55"/>
    </row>
    <row r="324">
      <c r="A324" s="150"/>
      <c r="B324" s="55"/>
      <c r="C324" s="55"/>
      <c r="D324" s="55"/>
      <c r="E324" s="55"/>
      <c r="F324" s="55"/>
      <c r="G324" s="55"/>
      <c r="H324" s="55"/>
      <c r="I324" s="55"/>
      <c r="J324" s="55"/>
      <c r="K324" s="55"/>
    </row>
    <row r="325">
      <c r="A325" s="150"/>
      <c r="B325" s="55"/>
      <c r="C325" s="55"/>
      <c r="D325" s="55"/>
      <c r="E325" s="55"/>
      <c r="F325" s="55"/>
      <c r="G325" s="55"/>
      <c r="H325" s="55"/>
      <c r="I325" s="55"/>
      <c r="J325" s="55"/>
      <c r="K325" s="55"/>
    </row>
    <row r="326">
      <c r="A326" s="150"/>
      <c r="B326" s="55"/>
      <c r="C326" s="55"/>
      <c r="D326" s="55"/>
      <c r="E326" s="55"/>
      <c r="F326" s="55"/>
      <c r="G326" s="55"/>
      <c r="H326" s="55"/>
      <c r="I326" s="55"/>
      <c r="J326" s="55"/>
      <c r="K326" s="55"/>
    </row>
    <row r="327">
      <c r="A327" s="150"/>
      <c r="B327" s="55"/>
      <c r="C327" s="55"/>
      <c r="D327" s="55"/>
      <c r="E327" s="55"/>
      <c r="F327" s="55"/>
      <c r="G327" s="55"/>
      <c r="H327" s="55"/>
      <c r="I327" s="55"/>
      <c r="J327" s="55"/>
      <c r="K327" s="55"/>
    </row>
    <row r="328">
      <c r="A328" s="150"/>
      <c r="B328" s="55"/>
      <c r="C328" s="55"/>
      <c r="D328" s="55"/>
      <c r="E328" s="55"/>
      <c r="F328" s="55"/>
      <c r="G328" s="55"/>
      <c r="H328" s="55"/>
      <c r="I328" s="55"/>
      <c r="J328" s="55"/>
      <c r="K328" s="55"/>
    </row>
    <row r="329">
      <c r="A329" s="150"/>
      <c r="B329" s="55"/>
      <c r="C329" s="55"/>
      <c r="D329" s="55"/>
      <c r="E329" s="55"/>
      <c r="F329" s="55"/>
      <c r="G329" s="55"/>
      <c r="H329" s="55"/>
      <c r="I329" s="55"/>
      <c r="J329" s="55"/>
      <c r="K329" s="55"/>
    </row>
    <row r="330">
      <c r="A330" s="150"/>
      <c r="B330" s="55"/>
      <c r="C330" s="55"/>
      <c r="D330" s="55"/>
      <c r="E330" s="55"/>
      <c r="F330" s="55"/>
      <c r="G330" s="55"/>
      <c r="H330" s="55"/>
      <c r="I330" s="55"/>
      <c r="J330" s="55"/>
      <c r="K330" s="55"/>
    </row>
    <row r="331">
      <c r="A331" s="150"/>
      <c r="B331" s="55"/>
      <c r="C331" s="55"/>
      <c r="D331" s="55"/>
      <c r="E331" s="55"/>
      <c r="F331" s="55"/>
      <c r="G331" s="55"/>
      <c r="H331" s="55"/>
      <c r="I331" s="55"/>
      <c r="J331" s="55"/>
      <c r="K331" s="55"/>
    </row>
    <row r="332">
      <c r="A332" s="150"/>
      <c r="B332" s="55"/>
      <c r="C332" s="55"/>
      <c r="D332" s="55"/>
      <c r="E332" s="55"/>
      <c r="F332" s="55"/>
      <c r="G332" s="55"/>
      <c r="H332" s="55"/>
      <c r="I332" s="55"/>
      <c r="J332" s="55"/>
      <c r="K332" s="55"/>
    </row>
    <row r="333">
      <c r="A333" s="150"/>
      <c r="B333" s="55"/>
      <c r="C333" s="55"/>
      <c r="D333" s="55"/>
      <c r="E333" s="55"/>
      <c r="F333" s="55"/>
      <c r="G333" s="55"/>
      <c r="H333" s="55"/>
      <c r="I333" s="55"/>
      <c r="J333" s="55"/>
      <c r="K333" s="55"/>
    </row>
    <row r="334">
      <c r="A334" s="150"/>
      <c r="B334" s="55"/>
      <c r="C334" s="55"/>
      <c r="D334" s="55"/>
      <c r="E334" s="55"/>
      <c r="F334" s="55"/>
      <c r="G334" s="55"/>
      <c r="H334" s="55"/>
      <c r="I334" s="55"/>
      <c r="J334" s="55"/>
      <c r="K334" s="55"/>
    </row>
    <row r="335">
      <c r="A335" s="150"/>
      <c r="B335" s="55"/>
      <c r="C335" s="55"/>
      <c r="D335" s="55"/>
      <c r="E335" s="55"/>
      <c r="F335" s="55"/>
      <c r="G335" s="55"/>
      <c r="H335" s="55"/>
      <c r="I335" s="55"/>
      <c r="J335" s="55"/>
      <c r="K335" s="55"/>
    </row>
    <row r="336">
      <c r="A336" s="150"/>
      <c r="B336" s="55"/>
      <c r="C336" s="55"/>
      <c r="D336" s="55"/>
      <c r="E336" s="55"/>
      <c r="F336" s="55"/>
      <c r="G336" s="55"/>
      <c r="H336" s="55"/>
      <c r="I336" s="55"/>
      <c r="J336" s="55"/>
      <c r="K336" s="55"/>
    </row>
    <row r="337">
      <c r="A337" s="150"/>
      <c r="B337" s="55"/>
      <c r="C337" s="55"/>
      <c r="D337" s="55"/>
      <c r="E337" s="55"/>
      <c r="F337" s="55"/>
      <c r="G337" s="55"/>
      <c r="H337" s="55"/>
      <c r="I337" s="55"/>
      <c r="J337" s="55"/>
      <c r="K337" s="55"/>
    </row>
    <row r="338">
      <c r="A338" s="150"/>
      <c r="B338" s="55"/>
      <c r="C338" s="55"/>
      <c r="D338" s="55"/>
      <c r="E338" s="55"/>
      <c r="F338" s="55"/>
      <c r="G338" s="55"/>
      <c r="H338" s="55"/>
      <c r="I338" s="55"/>
      <c r="J338" s="55"/>
      <c r="K338" s="55"/>
    </row>
    <row r="339">
      <c r="A339" s="150"/>
      <c r="B339" s="55"/>
      <c r="C339" s="55"/>
      <c r="D339" s="55"/>
      <c r="E339" s="55"/>
      <c r="F339" s="55"/>
      <c r="G339" s="55"/>
      <c r="H339" s="55"/>
      <c r="I339" s="55"/>
      <c r="J339" s="55"/>
      <c r="K339" s="55"/>
    </row>
    <row r="340">
      <c r="A340" s="150"/>
      <c r="B340" s="55"/>
      <c r="C340" s="55"/>
      <c r="D340" s="55"/>
      <c r="E340" s="55"/>
      <c r="F340" s="55"/>
      <c r="G340" s="55"/>
      <c r="H340" s="55"/>
      <c r="I340" s="55"/>
      <c r="J340" s="55"/>
      <c r="K340" s="55"/>
    </row>
    <row r="341">
      <c r="A341" s="150"/>
      <c r="B341" s="55"/>
      <c r="C341" s="55"/>
      <c r="D341" s="55"/>
      <c r="E341" s="55"/>
      <c r="F341" s="55"/>
      <c r="G341" s="55"/>
      <c r="H341" s="55"/>
      <c r="I341" s="55"/>
      <c r="J341" s="55"/>
      <c r="K341" s="55"/>
    </row>
    <row r="342">
      <c r="A342" s="150"/>
      <c r="B342" s="55"/>
      <c r="C342" s="55"/>
      <c r="D342" s="55"/>
      <c r="E342" s="55"/>
      <c r="F342" s="55"/>
      <c r="G342" s="55"/>
      <c r="H342" s="55"/>
      <c r="I342" s="55"/>
      <c r="J342" s="55"/>
      <c r="K342" s="55"/>
    </row>
    <row r="343">
      <c r="A343" s="150"/>
      <c r="B343" s="55"/>
      <c r="C343" s="55"/>
      <c r="D343" s="55"/>
      <c r="E343" s="55"/>
      <c r="F343" s="55"/>
      <c r="G343" s="55"/>
      <c r="H343" s="55"/>
      <c r="I343" s="55"/>
      <c r="J343" s="55"/>
      <c r="K343" s="55"/>
    </row>
    <row r="344">
      <c r="A344" s="150"/>
      <c r="B344" s="55"/>
      <c r="C344" s="55"/>
      <c r="D344" s="55"/>
      <c r="E344" s="55"/>
      <c r="F344" s="55"/>
      <c r="G344" s="55"/>
      <c r="H344" s="55"/>
      <c r="I344" s="55"/>
      <c r="J344" s="55"/>
      <c r="K344" s="55"/>
    </row>
    <row r="345">
      <c r="A345" s="150"/>
      <c r="B345" s="55"/>
      <c r="C345" s="55"/>
      <c r="D345" s="55"/>
      <c r="E345" s="55"/>
      <c r="F345" s="55"/>
      <c r="G345" s="55"/>
      <c r="H345" s="55"/>
      <c r="I345" s="55"/>
      <c r="J345" s="55"/>
      <c r="K345" s="55"/>
    </row>
    <row r="346">
      <c r="A346" s="150"/>
      <c r="B346" s="55"/>
      <c r="C346" s="55"/>
      <c r="D346" s="55"/>
      <c r="E346" s="55"/>
      <c r="F346" s="55"/>
      <c r="G346" s="55"/>
      <c r="H346" s="55"/>
      <c r="I346" s="55"/>
      <c r="J346" s="55"/>
      <c r="K346" s="55"/>
    </row>
    <row r="347">
      <c r="A347" s="150"/>
      <c r="B347" s="55"/>
      <c r="C347" s="55"/>
      <c r="D347" s="55"/>
      <c r="E347" s="55"/>
      <c r="F347" s="55"/>
      <c r="G347" s="55"/>
      <c r="H347" s="55"/>
      <c r="I347" s="55"/>
      <c r="J347" s="55"/>
      <c r="K347" s="55"/>
    </row>
    <row r="348">
      <c r="A348" s="150"/>
      <c r="B348" s="55"/>
      <c r="C348" s="55"/>
      <c r="D348" s="55"/>
      <c r="E348" s="55"/>
      <c r="F348" s="55"/>
      <c r="G348" s="55"/>
      <c r="H348" s="55"/>
      <c r="I348" s="55"/>
      <c r="J348" s="55"/>
      <c r="K348" s="55"/>
    </row>
    <row r="349">
      <c r="A349" s="150"/>
      <c r="B349" s="55"/>
      <c r="C349" s="55"/>
      <c r="D349" s="55"/>
      <c r="E349" s="55"/>
      <c r="F349" s="55"/>
      <c r="G349" s="55"/>
      <c r="H349" s="55"/>
      <c r="I349" s="55"/>
      <c r="J349" s="55"/>
      <c r="K349" s="55"/>
    </row>
    <row r="350">
      <c r="A350" s="150"/>
      <c r="B350" s="55"/>
      <c r="C350" s="55"/>
      <c r="D350" s="55"/>
      <c r="E350" s="55"/>
      <c r="F350" s="55"/>
      <c r="G350" s="55"/>
      <c r="H350" s="55"/>
      <c r="I350" s="55"/>
      <c r="J350" s="55"/>
      <c r="K350" s="55"/>
    </row>
    <row r="351">
      <c r="A351" s="150"/>
      <c r="B351" s="55"/>
      <c r="C351" s="55"/>
      <c r="D351" s="55"/>
      <c r="E351" s="55"/>
      <c r="F351" s="55"/>
      <c r="G351" s="55"/>
      <c r="H351" s="55"/>
      <c r="I351" s="55"/>
      <c r="J351" s="55"/>
      <c r="K351" s="55"/>
    </row>
    <row r="352">
      <c r="A352" s="150"/>
      <c r="B352" s="55"/>
      <c r="C352" s="55"/>
      <c r="D352" s="55"/>
      <c r="E352" s="55"/>
      <c r="F352" s="55"/>
      <c r="G352" s="55"/>
      <c r="H352" s="55"/>
      <c r="I352" s="55"/>
      <c r="J352" s="55"/>
      <c r="K352" s="55"/>
    </row>
    <row r="353">
      <c r="A353" s="150"/>
      <c r="B353" s="55"/>
      <c r="C353" s="55"/>
      <c r="D353" s="55"/>
      <c r="E353" s="55"/>
      <c r="F353" s="55"/>
      <c r="G353" s="55"/>
      <c r="H353" s="55"/>
      <c r="I353" s="55"/>
      <c r="J353" s="55"/>
      <c r="K353" s="55"/>
    </row>
    <row r="354">
      <c r="A354" s="150"/>
      <c r="B354" s="55"/>
      <c r="C354" s="55"/>
      <c r="D354" s="55"/>
      <c r="E354" s="55"/>
      <c r="F354" s="55"/>
      <c r="G354" s="55"/>
      <c r="H354" s="55"/>
      <c r="I354" s="55"/>
      <c r="J354" s="55"/>
      <c r="K354" s="55"/>
    </row>
    <row r="355">
      <c r="A355" s="150"/>
      <c r="B355" s="55"/>
      <c r="C355" s="55"/>
      <c r="D355" s="55"/>
      <c r="E355" s="55"/>
      <c r="F355" s="55"/>
      <c r="G355" s="55"/>
      <c r="H355" s="55"/>
      <c r="I355" s="55"/>
      <c r="J355" s="55"/>
      <c r="K355" s="55"/>
    </row>
    <row r="356">
      <c r="A356" s="150"/>
      <c r="B356" s="55"/>
      <c r="C356" s="55"/>
      <c r="D356" s="55"/>
      <c r="E356" s="55"/>
      <c r="F356" s="55"/>
      <c r="G356" s="55"/>
      <c r="H356" s="55"/>
      <c r="I356" s="55"/>
      <c r="J356" s="55"/>
      <c r="K356" s="55"/>
    </row>
    <row r="357">
      <c r="A357" s="150"/>
      <c r="B357" s="55"/>
      <c r="C357" s="55"/>
      <c r="D357" s="55"/>
      <c r="E357" s="55"/>
      <c r="F357" s="55"/>
      <c r="G357" s="55"/>
      <c r="H357" s="55"/>
      <c r="I357" s="55"/>
      <c r="J357" s="55"/>
      <c r="K357" s="55"/>
    </row>
    <row r="358">
      <c r="A358" s="150"/>
      <c r="B358" s="55"/>
      <c r="C358" s="55"/>
      <c r="D358" s="55"/>
      <c r="E358" s="55"/>
      <c r="F358" s="55"/>
      <c r="G358" s="55"/>
      <c r="H358" s="55"/>
      <c r="I358" s="55"/>
      <c r="J358" s="55"/>
      <c r="K358" s="55"/>
    </row>
    <row r="359">
      <c r="A359" s="150"/>
      <c r="B359" s="55"/>
      <c r="C359" s="55"/>
      <c r="D359" s="55"/>
      <c r="E359" s="55"/>
      <c r="F359" s="55"/>
      <c r="G359" s="55"/>
      <c r="H359" s="55"/>
      <c r="I359" s="55"/>
      <c r="J359" s="55"/>
      <c r="K359" s="55"/>
    </row>
    <row r="360">
      <c r="A360" s="150"/>
      <c r="B360" s="55"/>
      <c r="C360" s="55"/>
      <c r="D360" s="55"/>
      <c r="E360" s="55"/>
      <c r="F360" s="55"/>
      <c r="G360" s="55"/>
      <c r="H360" s="55"/>
      <c r="I360" s="55"/>
      <c r="J360" s="55"/>
      <c r="K360" s="55"/>
    </row>
    <row r="361">
      <c r="A361" s="150"/>
      <c r="B361" s="55"/>
      <c r="C361" s="55"/>
      <c r="D361" s="55"/>
      <c r="E361" s="55"/>
      <c r="F361" s="55"/>
      <c r="G361" s="55"/>
      <c r="H361" s="55"/>
      <c r="I361" s="55"/>
      <c r="J361" s="55"/>
      <c r="K361" s="55"/>
    </row>
    <row r="362">
      <c r="A362" s="150"/>
      <c r="B362" s="55"/>
      <c r="C362" s="55"/>
      <c r="D362" s="55"/>
      <c r="E362" s="55"/>
      <c r="F362" s="55"/>
      <c r="G362" s="55"/>
      <c r="H362" s="55"/>
      <c r="I362" s="55"/>
      <c r="J362" s="55"/>
      <c r="K362" s="55"/>
    </row>
    <row r="363">
      <c r="A363" s="150"/>
      <c r="B363" s="55"/>
      <c r="C363" s="55"/>
      <c r="D363" s="55"/>
      <c r="E363" s="55"/>
      <c r="F363" s="55"/>
      <c r="G363" s="55"/>
      <c r="H363" s="55"/>
      <c r="I363" s="55"/>
      <c r="J363" s="55"/>
      <c r="K363" s="55"/>
    </row>
    <row r="364">
      <c r="A364" s="150"/>
      <c r="B364" s="55"/>
      <c r="C364" s="55"/>
      <c r="D364" s="55"/>
      <c r="E364" s="55"/>
      <c r="F364" s="55"/>
      <c r="G364" s="55"/>
      <c r="H364" s="55"/>
      <c r="I364" s="55"/>
      <c r="J364" s="55"/>
      <c r="K364" s="55"/>
    </row>
    <row r="365">
      <c r="A365" s="150"/>
      <c r="B365" s="55"/>
      <c r="C365" s="55"/>
      <c r="D365" s="55"/>
      <c r="E365" s="55"/>
      <c r="F365" s="55"/>
      <c r="G365" s="55"/>
      <c r="H365" s="55"/>
      <c r="I365" s="55"/>
      <c r="J365" s="55"/>
      <c r="K365" s="55"/>
    </row>
    <row r="366">
      <c r="A366" s="150"/>
      <c r="B366" s="55"/>
      <c r="C366" s="55"/>
      <c r="D366" s="55"/>
      <c r="E366" s="55"/>
      <c r="F366" s="55"/>
      <c r="G366" s="55"/>
      <c r="H366" s="55"/>
      <c r="I366" s="55"/>
      <c r="J366" s="55"/>
      <c r="K366" s="55"/>
    </row>
    <row r="367">
      <c r="A367" s="150"/>
      <c r="B367" s="55"/>
      <c r="C367" s="55"/>
      <c r="D367" s="55"/>
      <c r="E367" s="55"/>
      <c r="F367" s="55"/>
      <c r="G367" s="55"/>
      <c r="H367" s="55"/>
      <c r="I367" s="55"/>
      <c r="J367" s="55"/>
      <c r="K367" s="55"/>
    </row>
    <row r="368">
      <c r="A368" s="150"/>
      <c r="B368" s="55"/>
      <c r="C368" s="55"/>
      <c r="D368" s="55"/>
      <c r="E368" s="55"/>
      <c r="F368" s="55"/>
      <c r="G368" s="55"/>
      <c r="H368" s="55"/>
      <c r="I368" s="55"/>
      <c r="J368" s="55"/>
      <c r="K368" s="55"/>
    </row>
    <row r="369">
      <c r="A369" s="150"/>
      <c r="B369" s="55"/>
      <c r="C369" s="55"/>
      <c r="D369" s="55"/>
      <c r="E369" s="55"/>
      <c r="F369" s="55"/>
      <c r="G369" s="55"/>
      <c r="H369" s="55"/>
      <c r="I369" s="55"/>
      <c r="J369" s="55"/>
      <c r="K369" s="55"/>
    </row>
    <row r="370">
      <c r="A370" s="150"/>
      <c r="B370" s="55"/>
      <c r="C370" s="55"/>
      <c r="D370" s="55"/>
      <c r="E370" s="55"/>
      <c r="F370" s="55"/>
      <c r="G370" s="55"/>
      <c r="H370" s="55"/>
      <c r="I370" s="55"/>
      <c r="J370" s="55"/>
      <c r="K370" s="55"/>
    </row>
    <row r="371">
      <c r="A371" s="150"/>
      <c r="B371" s="55"/>
      <c r="C371" s="55"/>
      <c r="D371" s="55"/>
      <c r="E371" s="55"/>
      <c r="F371" s="55"/>
      <c r="G371" s="55"/>
      <c r="H371" s="55"/>
      <c r="I371" s="55"/>
      <c r="J371" s="55"/>
      <c r="K371" s="55"/>
    </row>
    <row r="372">
      <c r="A372" s="150"/>
      <c r="B372" s="55"/>
      <c r="C372" s="55"/>
      <c r="D372" s="55"/>
      <c r="E372" s="55"/>
      <c r="F372" s="55"/>
      <c r="G372" s="55"/>
      <c r="H372" s="55"/>
      <c r="I372" s="55"/>
      <c r="J372" s="55"/>
      <c r="K372" s="55"/>
    </row>
    <row r="373">
      <c r="A373" s="150"/>
      <c r="B373" s="55"/>
      <c r="C373" s="55"/>
      <c r="D373" s="55"/>
      <c r="E373" s="55"/>
      <c r="F373" s="55"/>
      <c r="G373" s="55"/>
      <c r="H373" s="55"/>
      <c r="I373" s="55"/>
      <c r="J373" s="55"/>
      <c r="K373" s="55"/>
    </row>
    <row r="374">
      <c r="A374" s="150"/>
      <c r="B374" s="55"/>
      <c r="C374" s="55"/>
      <c r="D374" s="55"/>
      <c r="E374" s="55"/>
      <c r="F374" s="55"/>
      <c r="G374" s="55"/>
      <c r="H374" s="55"/>
      <c r="I374" s="55"/>
      <c r="J374" s="55"/>
      <c r="K374" s="55"/>
    </row>
    <row r="375">
      <c r="A375" s="150"/>
      <c r="B375" s="55"/>
      <c r="C375" s="55"/>
      <c r="D375" s="55"/>
      <c r="E375" s="55"/>
      <c r="F375" s="55"/>
      <c r="G375" s="55"/>
      <c r="H375" s="55"/>
      <c r="I375" s="55"/>
      <c r="J375" s="55"/>
      <c r="K375" s="55"/>
    </row>
    <row r="376">
      <c r="A376" s="150"/>
      <c r="B376" s="55"/>
      <c r="C376" s="55"/>
      <c r="D376" s="55"/>
      <c r="E376" s="55"/>
      <c r="F376" s="55"/>
      <c r="G376" s="55"/>
      <c r="H376" s="55"/>
      <c r="I376" s="55"/>
      <c r="J376" s="55"/>
      <c r="K376" s="55"/>
    </row>
    <row r="377">
      <c r="A377" s="150"/>
      <c r="B377" s="55"/>
      <c r="C377" s="55"/>
      <c r="D377" s="55"/>
      <c r="E377" s="55"/>
      <c r="F377" s="55"/>
      <c r="G377" s="55"/>
      <c r="H377" s="55"/>
      <c r="I377" s="55"/>
      <c r="J377" s="55"/>
      <c r="K377" s="55"/>
    </row>
    <row r="378">
      <c r="A378" s="150"/>
      <c r="B378" s="55"/>
      <c r="C378" s="55"/>
      <c r="D378" s="55"/>
      <c r="E378" s="55"/>
      <c r="F378" s="55"/>
      <c r="G378" s="55"/>
      <c r="H378" s="55"/>
      <c r="I378" s="55"/>
      <c r="J378" s="55"/>
      <c r="K378" s="55"/>
    </row>
    <row r="379">
      <c r="A379" s="150"/>
      <c r="B379" s="55"/>
      <c r="C379" s="55"/>
      <c r="D379" s="55"/>
      <c r="E379" s="55"/>
      <c r="F379" s="55"/>
      <c r="G379" s="55"/>
      <c r="H379" s="55"/>
      <c r="I379" s="55"/>
      <c r="J379" s="55"/>
      <c r="K379" s="55"/>
    </row>
    <row r="380">
      <c r="A380" s="150"/>
      <c r="B380" s="55"/>
      <c r="C380" s="55"/>
      <c r="D380" s="55"/>
      <c r="E380" s="55"/>
      <c r="F380" s="55"/>
      <c r="G380" s="55"/>
      <c r="H380" s="55"/>
      <c r="I380" s="55"/>
      <c r="J380" s="55"/>
      <c r="K380" s="55"/>
    </row>
    <row r="381">
      <c r="A381" s="150"/>
      <c r="B381" s="55"/>
      <c r="C381" s="55"/>
      <c r="D381" s="55"/>
      <c r="E381" s="55"/>
      <c r="F381" s="55"/>
      <c r="G381" s="55"/>
      <c r="H381" s="55"/>
      <c r="I381" s="55"/>
      <c r="J381" s="55"/>
      <c r="K381" s="55"/>
    </row>
    <row r="382">
      <c r="A382" s="150"/>
      <c r="B382" s="55"/>
      <c r="C382" s="55"/>
      <c r="D382" s="55"/>
      <c r="E382" s="55"/>
      <c r="F382" s="55"/>
      <c r="G382" s="55"/>
      <c r="H382" s="55"/>
      <c r="I382" s="55"/>
      <c r="J382" s="55"/>
      <c r="K382" s="55"/>
    </row>
    <row r="383">
      <c r="A383" s="150"/>
      <c r="B383" s="55"/>
      <c r="C383" s="55"/>
      <c r="D383" s="55"/>
      <c r="E383" s="55"/>
      <c r="F383" s="55"/>
      <c r="G383" s="55"/>
      <c r="H383" s="55"/>
      <c r="I383" s="55"/>
      <c r="J383" s="55"/>
      <c r="K383" s="55"/>
    </row>
    <row r="384">
      <c r="A384" s="150"/>
      <c r="B384" s="55"/>
      <c r="C384" s="55"/>
      <c r="D384" s="55"/>
      <c r="E384" s="55"/>
      <c r="F384" s="55"/>
      <c r="G384" s="55"/>
      <c r="H384" s="55"/>
      <c r="I384" s="55"/>
      <c r="J384" s="55"/>
      <c r="K384" s="55"/>
    </row>
    <row r="385">
      <c r="A385" s="150"/>
      <c r="B385" s="55"/>
      <c r="C385" s="55"/>
      <c r="D385" s="55"/>
      <c r="E385" s="55"/>
      <c r="F385" s="55"/>
      <c r="G385" s="55"/>
      <c r="H385" s="55"/>
      <c r="I385" s="55"/>
      <c r="J385" s="55"/>
      <c r="K385" s="55"/>
    </row>
    <row r="386">
      <c r="A386" s="150"/>
      <c r="B386" s="55"/>
      <c r="C386" s="55"/>
      <c r="D386" s="55"/>
      <c r="E386" s="55"/>
      <c r="F386" s="55"/>
      <c r="G386" s="55"/>
      <c r="H386" s="55"/>
      <c r="I386" s="55"/>
      <c r="J386" s="55"/>
      <c r="K386" s="55"/>
    </row>
    <row r="387">
      <c r="A387" s="150"/>
      <c r="B387" s="55"/>
      <c r="C387" s="55"/>
      <c r="D387" s="55"/>
      <c r="E387" s="55"/>
      <c r="F387" s="55"/>
      <c r="G387" s="55"/>
      <c r="H387" s="55"/>
      <c r="I387" s="55"/>
      <c r="J387" s="55"/>
      <c r="K387" s="55"/>
    </row>
    <row r="388">
      <c r="A388" s="150"/>
      <c r="B388" s="55"/>
      <c r="C388" s="55"/>
      <c r="D388" s="55"/>
      <c r="E388" s="55"/>
      <c r="F388" s="55"/>
      <c r="G388" s="55"/>
      <c r="H388" s="55"/>
      <c r="I388" s="55"/>
      <c r="J388" s="55"/>
      <c r="K388" s="55"/>
    </row>
    <row r="389">
      <c r="A389" s="150"/>
      <c r="B389" s="55"/>
      <c r="C389" s="55"/>
      <c r="D389" s="55"/>
      <c r="E389" s="55"/>
      <c r="F389" s="55"/>
      <c r="G389" s="55"/>
      <c r="H389" s="55"/>
      <c r="I389" s="55"/>
      <c r="J389" s="55"/>
      <c r="K389" s="55"/>
    </row>
    <row r="390">
      <c r="A390" s="150"/>
      <c r="B390" s="55"/>
      <c r="C390" s="55"/>
      <c r="D390" s="55"/>
      <c r="E390" s="55"/>
      <c r="F390" s="55"/>
      <c r="G390" s="55"/>
      <c r="H390" s="55"/>
      <c r="I390" s="55"/>
      <c r="J390" s="55"/>
      <c r="K390" s="55"/>
    </row>
    <row r="391">
      <c r="A391" s="150"/>
      <c r="B391" s="55"/>
      <c r="C391" s="55"/>
      <c r="D391" s="55"/>
      <c r="E391" s="55"/>
      <c r="F391" s="55"/>
      <c r="G391" s="55"/>
      <c r="H391" s="55"/>
      <c r="I391" s="55"/>
      <c r="J391" s="55"/>
      <c r="K391" s="55"/>
    </row>
    <row r="392">
      <c r="A392" s="150"/>
      <c r="B392" s="55"/>
      <c r="C392" s="55"/>
      <c r="D392" s="55"/>
      <c r="E392" s="55"/>
      <c r="F392" s="55"/>
      <c r="G392" s="55"/>
      <c r="H392" s="55"/>
      <c r="I392" s="55"/>
      <c r="J392" s="55"/>
      <c r="K392" s="55"/>
    </row>
    <row r="393">
      <c r="A393" s="150"/>
      <c r="B393" s="55"/>
      <c r="C393" s="55"/>
      <c r="D393" s="55"/>
      <c r="E393" s="55"/>
      <c r="F393" s="55"/>
      <c r="G393" s="55"/>
      <c r="H393" s="55"/>
      <c r="I393" s="55"/>
      <c r="J393" s="55"/>
      <c r="K393" s="55"/>
    </row>
    <row r="394">
      <c r="A394" s="150"/>
      <c r="B394" s="55"/>
      <c r="C394" s="55"/>
      <c r="D394" s="55"/>
      <c r="E394" s="55"/>
      <c r="F394" s="55"/>
      <c r="G394" s="55"/>
      <c r="H394" s="55"/>
      <c r="I394" s="55"/>
      <c r="J394" s="55"/>
      <c r="K394" s="55"/>
    </row>
    <row r="395">
      <c r="A395" s="150"/>
      <c r="B395" s="55"/>
      <c r="C395" s="55"/>
      <c r="D395" s="55"/>
      <c r="E395" s="55"/>
      <c r="F395" s="55"/>
      <c r="G395" s="55"/>
      <c r="H395" s="55"/>
      <c r="I395" s="55"/>
      <c r="J395" s="55"/>
      <c r="K395" s="55"/>
    </row>
    <row r="396">
      <c r="A396" s="150"/>
      <c r="B396" s="55"/>
      <c r="C396" s="55"/>
      <c r="D396" s="55"/>
      <c r="E396" s="55"/>
      <c r="F396" s="55"/>
      <c r="G396" s="55"/>
      <c r="H396" s="55"/>
      <c r="I396" s="55"/>
      <c r="J396" s="55"/>
      <c r="K396" s="55"/>
    </row>
    <row r="397">
      <c r="A397" s="150"/>
      <c r="B397" s="55"/>
      <c r="C397" s="55"/>
      <c r="D397" s="55"/>
      <c r="E397" s="55"/>
      <c r="F397" s="55"/>
      <c r="G397" s="55"/>
      <c r="H397" s="55"/>
      <c r="I397" s="55"/>
      <c r="J397" s="55"/>
      <c r="K397" s="55"/>
    </row>
    <row r="398">
      <c r="A398" s="150"/>
      <c r="B398" s="55"/>
      <c r="C398" s="55"/>
      <c r="D398" s="55"/>
      <c r="E398" s="55"/>
      <c r="F398" s="55"/>
      <c r="G398" s="55"/>
      <c r="H398" s="55"/>
      <c r="I398" s="55"/>
      <c r="J398" s="55"/>
      <c r="K398" s="55"/>
    </row>
    <row r="399">
      <c r="A399" s="150"/>
      <c r="B399" s="55"/>
      <c r="C399" s="55"/>
      <c r="D399" s="55"/>
      <c r="E399" s="55"/>
      <c r="F399" s="55"/>
      <c r="G399" s="55"/>
      <c r="H399" s="55"/>
      <c r="I399" s="55"/>
      <c r="J399" s="55"/>
      <c r="K399" s="55"/>
    </row>
    <row r="400">
      <c r="A400" s="150"/>
      <c r="B400" s="55"/>
      <c r="C400" s="55"/>
      <c r="D400" s="55"/>
      <c r="E400" s="55"/>
      <c r="F400" s="55"/>
      <c r="G400" s="55"/>
      <c r="H400" s="55"/>
      <c r="I400" s="55"/>
      <c r="J400" s="55"/>
      <c r="K400" s="55"/>
    </row>
    <row r="401">
      <c r="A401" s="150"/>
      <c r="B401" s="55"/>
      <c r="C401" s="55"/>
      <c r="D401" s="55"/>
      <c r="E401" s="55"/>
      <c r="F401" s="55"/>
      <c r="G401" s="55"/>
      <c r="H401" s="55"/>
      <c r="I401" s="55"/>
      <c r="J401" s="55"/>
      <c r="K401" s="55"/>
    </row>
    <row r="402">
      <c r="A402" s="150"/>
      <c r="B402" s="55"/>
      <c r="C402" s="55"/>
      <c r="D402" s="55"/>
      <c r="E402" s="55"/>
      <c r="F402" s="55"/>
      <c r="G402" s="55"/>
      <c r="H402" s="55"/>
      <c r="I402" s="55"/>
      <c r="J402" s="55"/>
      <c r="K402" s="55"/>
    </row>
    <row r="403">
      <c r="A403" s="150"/>
      <c r="B403" s="55"/>
      <c r="C403" s="55"/>
      <c r="D403" s="55"/>
      <c r="E403" s="55"/>
      <c r="F403" s="55"/>
      <c r="G403" s="55"/>
      <c r="H403" s="55"/>
      <c r="I403" s="55"/>
      <c r="J403" s="55"/>
      <c r="K403" s="55"/>
    </row>
    <row r="404">
      <c r="A404" s="150"/>
      <c r="B404" s="55"/>
      <c r="C404" s="55"/>
      <c r="D404" s="55"/>
      <c r="E404" s="55"/>
      <c r="F404" s="55"/>
      <c r="G404" s="55"/>
      <c r="H404" s="55"/>
      <c r="I404" s="55"/>
      <c r="J404" s="55"/>
      <c r="K404" s="55"/>
    </row>
    <row r="405">
      <c r="A405" s="150"/>
      <c r="B405" s="55"/>
      <c r="C405" s="55"/>
      <c r="D405" s="55"/>
      <c r="E405" s="55"/>
      <c r="F405" s="55"/>
      <c r="G405" s="55"/>
      <c r="H405" s="55"/>
      <c r="I405" s="55"/>
      <c r="J405" s="55"/>
      <c r="K405" s="55"/>
    </row>
    <row r="406">
      <c r="A406" s="150"/>
      <c r="B406" s="55"/>
      <c r="C406" s="55"/>
      <c r="D406" s="55"/>
      <c r="E406" s="55"/>
      <c r="F406" s="55"/>
      <c r="G406" s="55"/>
      <c r="H406" s="55"/>
      <c r="I406" s="55"/>
      <c r="J406" s="55"/>
      <c r="K406" s="55"/>
    </row>
    <row r="407">
      <c r="A407" s="150"/>
      <c r="B407" s="55"/>
      <c r="C407" s="55"/>
      <c r="D407" s="55"/>
      <c r="E407" s="55"/>
      <c r="F407" s="55"/>
      <c r="G407" s="55"/>
      <c r="H407" s="55"/>
      <c r="I407" s="55"/>
      <c r="J407" s="55"/>
      <c r="K407" s="55"/>
    </row>
    <row r="408">
      <c r="A408" s="150"/>
      <c r="B408" s="55"/>
      <c r="C408" s="55"/>
      <c r="D408" s="55"/>
      <c r="E408" s="55"/>
      <c r="F408" s="55"/>
      <c r="G408" s="55"/>
      <c r="H408" s="55"/>
      <c r="I408" s="55"/>
      <c r="J408" s="55"/>
      <c r="K408" s="55"/>
    </row>
    <row r="409">
      <c r="A409" s="150"/>
      <c r="B409" s="55"/>
      <c r="C409" s="55"/>
      <c r="D409" s="55"/>
      <c r="E409" s="55"/>
      <c r="F409" s="55"/>
      <c r="G409" s="55"/>
      <c r="H409" s="55"/>
      <c r="I409" s="55"/>
      <c r="J409" s="55"/>
      <c r="K409" s="55"/>
    </row>
    <row r="410">
      <c r="A410" s="150"/>
      <c r="B410" s="55"/>
      <c r="C410" s="55"/>
      <c r="D410" s="55"/>
      <c r="E410" s="55"/>
      <c r="F410" s="55"/>
      <c r="G410" s="55"/>
      <c r="H410" s="55"/>
      <c r="I410" s="55"/>
      <c r="J410" s="55"/>
      <c r="K410" s="55"/>
    </row>
    <row r="411">
      <c r="A411" s="150"/>
      <c r="B411" s="55"/>
      <c r="C411" s="55"/>
      <c r="D411" s="55"/>
      <c r="E411" s="55"/>
      <c r="F411" s="55"/>
      <c r="G411" s="55"/>
      <c r="H411" s="55"/>
      <c r="I411" s="55"/>
      <c r="J411" s="55"/>
      <c r="K411" s="55"/>
    </row>
    <row r="412">
      <c r="A412" s="150"/>
      <c r="B412" s="55"/>
      <c r="C412" s="55"/>
      <c r="D412" s="55"/>
      <c r="E412" s="55"/>
      <c r="F412" s="55"/>
      <c r="G412" s="55"/>
      <c r="H412" s="55"/>
      <c r="I412" s="55"/>
      <c r="J412" s="55"/>
      <c r="K412" s="55"/>
    </row>
    <row r="413">
      <c r="A413" s="150"/>
      <c r="B413" s="55"/>
      <c r="C413" s="55"/>
      <c r="D413" s="55"/>
      <c r="E413" s="55"/>
      <c r="F413" s="55"/>
      <c r="G413" s="55"/>
      <c r="H413" s="55"/>
      <c r="I413" s="55"/>
      <c r="J413" s="55"/>
      <c r="K413" s="55"/>
    </row>
    <row r="414">
      <c r="A414" s="150"/>
      <c r="B414" s="55"/>
      <c r="C414" s="55"/>
      <c r="D414" s="55"/>
      <c r="E414" s="55"/>
      <c r="F414" s="55"/>
      <c r="G414" s="55"/>
      <c r="H414" s="55"/>
      <c r="I414" s="55"/>
      <c r="J414" s="55"/>
      <c r="K414" s="55"/>
    </row>
    <row r="415">
      <c r="A415" s="150"/>
      <c r="B415" s="55"/>
      <c r="C415" s="55"/>
      <c r="D415" s="55"/>
      <c r="E415" s="55"/>
      <c r="F415" s="55"/>
      <c r="G415" s="55"/>
      <c r="H415" s="55"/>
      <c r="I415" s="55"/>
      <c r="J415" s="55"/>
      <c r="K415" s="55"/>
    </row>
    <row r="416">
      <c r="A416" s="150"/>
      <c r="B416" s="55"/>
      <c r="C416" s="55"/>
      <c r="D416" s="55"/>
      <c r="E416" s="55"/>
      <c r="F416" s="55"/>
      <c r="G416" s="55"/>
      <c r="H416" s="55"/>
      <c r="I416" s="55"/>
      <c r="J416" s="55"/>
      <c r="K416" s="55"/>
    </row>
    <row r="417">
      <c r="A417" s="150"/>
      <c r="B417" s="55"/>
      <c r="C417" s="55"/>
      <c r="D417" s="55"/>
      <c r="E417" s="55"/>
      <c r="F417" s="55"/>
      <c r="G417" s="55"/>
      <c r="H417" s="55"/>
      <c r="I417" s="55"/>
      <c r="J417" s="55"/>
      <c r="K417" s="55"/>
    </row>
    <row r="418">
      <c r="A418" s="150"/>
      <c r="B418" s="55"/>
      <c r="C418" s="55"/>
      <c r="D418" s="55"/>
      <c r="E418" s="55"/>
      <c r="F418" s="55"/>
      <c r="G418" s="55"/>
      <c r="H418" s="55"/>
      <c r="I418" s="55"/>
      <c r="J418" s="55"/>
      <c r="K418" s="55"/>
    </row>
    <row r="419">
      <c r="A419" s="150"/>
      <c r="B419" s="55"/>
      <c r="C419" s="55"/>
      <c r="D419" s="55"/>
      <c r="E419" s="55"/>
      <c r="F419" s="55"/>
      <c r="G419" s="55"/>
      <c r="H419" s="55"/>
      <c r="I419" s="55"/>
      <c r="J419" s="55"/>
      <c r="K419" s="55"/>
    </row>
    <row r="420">
      <c r="A420" s="150"/>
      <c r="B420" s="55"/>
      <c r="C420" s="55"/>
      <c r="D420" s="55"/>
      <c r="E420" s="55"/>
      <c r="F420" s="55"/>
      <c r="G420" s="55"/>
      <c r="H420" s="55"/>
      <c r="I420" s="55"/>
      <c r="J420" s="55"/>
      <c r="K420" s="55"/>
    </row>
    <row r="421">
      <c r="A421" s="150"/>
      <c r="B421" s="55"/>
      <c r="C421" s="55"/>
      <c r="D421" s="55"/>
      <c r="E421" s="55"/>
      <c r="F421" s="55"/>
      <c r="G421" s="55"/>
      <c r="H421" s="55"/>
      <c r="I421" s="55"/>
      <c r="J421" s="55"/>
      <c r="K421" s="55"/>
    </row>
    <row r="422">
      <c r="A422" s="150"/>
      <c r="B422" s="55"/>
      <c r="C422" s="55"/>
      <c r="D422" s="55"/>
      <c r="E422" s="55"/>
      <c r="F422" s="55"/>
      <c r="G422" s="55"/>
      <c r="H422" s="55"/>
      <c r="I422" s="55"/>
      <c r="J422" s="55"/>
      <c r="K422" s="55"/>
    </row>
    <row r="423">
      <c r="A423" s="150"/>
      <c r="B423" s="55"/>
      <c r="C423" s="55"/>
      <c r="D423" s="55"/>
      <c r="E423" s="55"/>
      <c r="F423" s="55"/>
      <c r="G423" s="55"/>
      <c r="H423" s="55"/>
      <c r="I423" s="55"/>
      <c r="J423" s="55"/>
      <c r="K423" s="55"/>
    </row>
    <row r="424">
      <c r="A424" s="150"/>
      <c r="B424" s="55"/>
      <c r="C424" s="55"/>
      <c r="D424" s="55"/>
      <c r="E424" s="55"/>
      <c r="F424" s="55"/>
      <c r="G424" s="55"/>
      <c r="H424" s="55"/>
      <c r="I424" s="55"/>
      <c r="J424" s="55"/>
      <c r="K424" s="55"/>
    </row>
    <row r="425">
      <c r="A425" s="150"/>
      <c r="B425" s="55"/>
      <c r="C425" s="55"/>
      <c r="D425" s="55"/>
      <c r="E425" s="55"/>
      <c r="F425" s="55"/>
      <c r="G425" s="55"/>
      <c r="H425" s="55"/>
      <c r="I425" s="55"/>
      <c r="J425" s="55"/>
      <c r="K425" s="55"/>
    </row>
    <row r="426">
      <c r="A426" s="150"/>
      <c r="B426" s="55"/>
      <c r="C426" s="55"/>
      <c r="D426" s="55"/>
      <c r="E426" s="55"/>
      <c r="F426" s="55"/>
      <c r="G426" s="55"/>
      <c r="H426" s="55"/>
      <c r="I426" s="55"/>
      <c r="J426" s="55"/>
      <c r="K426" s="55"/>
    </row>
    <row r="427">
      <c r="A427" s="150"/>
      <c r="B427" s="55"/>
      <c r="C427" s="55"/>
      <c r="D427" s="55"/>
      <c r="E427" s="55"/>
      <c r="F427" s="55"/>
      <c r="G427" s="55"/>
      <c r="H427" s="55"/>
      <c r="I427" s="55"/>
      <c r="J427" s="55"/>
      <c r="K427" s="55"/>
    </row>
    <row r="428">
      <c r="A428" s="150"/>
      <c r="B428" s="55"/>
      <c r="C428" s="55"/>
      <c r="D428" s="55"/>
      <c r="E428" s="55"/>
      <c r="F428" s="55"/>
      <c r="G428" s="55"/>
      <c r="H428" s="55"/>
      <c r="I428" s="55"/>
      <c r="J428" s="55"/>
      <c r="K428" s="55"/>
    </row>
    <row r="429">
      <c r="A429" s="150"/>
      <c r="B429" s="55"/>
      <c r="C429" s="55"/>
      <c r="D429" s="55"/>
      <c r="E429" s="55"/>
      <c r="F429" s="55"/>
      <c r="G429" s="55"/>
      <c r="H429" s="55"/>
      <c r="I429" s="55"/>
      <c r="J429" s="55"/>
      <c r="K429" s="55"/>
    </row>
    <row r="430">
      <c r="A430" s="150"/>
      <c r="B430" s="55"/>
      <c r="C430" s="55"/>
      <c r="D430" s="55"/>
      <c r="E430" s="55"/>
      <c r="F430" s="55"/>
      <c r="G430" s="55"/>
      <c r="H430" s="55"/>
      <c r="I430" s="55"/>
      <c r="J430" s="55"/>
      <c r="K430" s="55"/>
    </row>
    <row r="431">
      <c r="A431" s="150"/>
      <c r="B431" s="55"/>
      <c r="C431" s="55"/>
      <c r="D431" s="55"/>
      <c r="E431" s="55"/>
      <c r="F431" s="55"/>
      <c r="G431" s="55"/>
      <c r="H431" s="55"/>
      <c r="I431" s="55"/>
      <c r="J431" s="55"/>
      <c r="K431" s="55"/>
    </row>
    <row r="432">
      <c r="A432" s="150"/>
      <c r="B432" s="55"/>
      <c r="C432" s="55"/>
      <c r="D432" s="55"/>
      <c r="E432" s="55"/>
      <c r="F432" s="55"/>
      <c r="G432" s="55"/>
      <c r="H432" s="55"/>
      <c r="I432" s="55"/>
      <c r="J432" s="55"/>
      <c r="K432" s="55"/>
    </row>
    <row r="433">
      <c r="A433" s="150"/>
      <c r="B433" s="55"/>
      <c r="C433" s="55"/>
      <c r="D433" s="55"/>
      <c r="E433" s="55"/>
      <c r="F433" s="55"/>
      <c r="G433" s="55"/>
      <c r="H433" s="55"/>
      <c r="I433" s="55"/>
      <c r="J433" s="55"/>
      <c r="K433" s="55"/>
    </row>
    <row r="434">
      <c r="A434" s="150"/>
      <c r="B434" s="55"/>
      <c r="C434" s="55"/>
      <c r="D434" s="55"/>
      <c r="E434" s="55"/>
      <c r="F434" s="55"/>
      <c r="G434" s="55"/>
      <c r="H434" s="55"/>
      <c r="I434" s="55"/>
      <c r="J434" s="55"/>
      <c r="K434" s="55"/>
    </row>
    <row r="435">
      <c r="A435" s="150"/>
      <c r="B435" s="55"/>
      <c r="C435" s="55"/>
      <c r="D435" s="55"/>
      <c r="E435" s="55"/>
      <c r="F435" s="55"/>
      <c r="G435" s="55"/>
      <c r="H435" s="55"/>
      <c r="I435" s="55"/>
      <c r="J435" s="55"/>
      <c r="K435" s="55"/>
    </row>
    <row r="436">
      <c r="A436" s="150"/>
      <c r="B436" s="55"/>
      <c r="C436" s="55"/>
      <c r="D436" s="55"/>
      <c r="E436" s="55"/>
      <c r="F436" s="55"/>
      <c r="G436" s="55"/>
      <c r="H436" s="55"/>
      <c r="I436" s="55"/>
      <c r="J436" s="55"/>
      <c r="K436" s="55"/>
    </row>
    <row r="437">
      <c r="A437" s="150"/>
      <c r="B437" s="55"/>
      <c r="C437" s="55"/>
      <c r="D437" s="55"/>
      <c r="E437" s="55"/>
      <c r="F437" s="55"/>
      <c r="G437" s="55"/>
      <c r="H437" s="55"/>
      <c r="I437" s="55"/>
      <c r="J437" s="55"/>
      <c r="K437" s="55"/>
    </row>
    <row r="438">
      <c r="A438" s="150"/>
      <c r="B438" s="55"/>
      <c r="C438" s="55"/>
      <c r="D438" s="55"/>
      <c r="E438" s="55"/>
      <c r="F438" s="55"/>
      <c r="G438" s="55"/>
      <c r="H438" s="55"/>
      <c r="I438" s="55"/>
      <c r="J438" s="55"/>
      <c r="K438" s="55"/>
    </row>
    <row r="439">
      <c r="A439" s="150"/>
      <c r="B439" s="55"/>
      <c r="C439" s="55"/>
      <c r="D439" s="55"/>
      <c r="E439" s="55"/>
      <c r="F439" s="55"/>
      <c r="G439" s="55"/>
      <c r="H439" s="55"/>
      <c r="I439" s="55"/>
      <c r="J439" s="55"/>
      <c r="K439" s="55"/>
    </row>
    <row r="440">
      <c r="A440" s="150"/>
      <c r="B440" s="55"/>
      <c r="C440" s="55"/>
      <c r="D440" s="55"/>
      <c r="E440" s="55"/>
      <c r="F440" s="55"/>
      <c r="G440" s="55"/>
      <c r="H440" s="55"/>
      <c r="I440" s="55"/>
      <c r="J440" s="55"/>
      <c r="K440" s="55"/>
    </row>
    <row r="441">
      <c r="A441" s="150"/>
      <c r="B441" s="55"/>
      <c r="C441" s="55"/>
      <c r="D441" s="55"/>
      <c r="E441" s="55"/>
      <c r="F441" s="55"/>
      <c r="G441" s="55"/>
      <c r="H441" s="55"/>
      <c r="I441" s="55"/>
      <c r="J441" s="55"/>
      <c r="K441" s="55"/>
    </row>
    <row r="442">
      <c r="A442" s="150"/>
      <c r="B442" s="55"/>
      <c r="C442" s="55"/>
      <c r="D442" s="55"/>
      <c r="E442" s="55"/>
      <c r="F442" s="55"/>
      <c r="G442" s="55"/>
      <c r="H442" s="55"/>
      <c r="I442" s="55"/>
      <c r="J442" s="55"/>
      <c r="K442" s="55"/>
    </row>
    <row r="443">
      <c r="A443" s="150"/>
      <c r="B443" s="55"/>
      <c r="C443" s="55"/>
      <c r="D443" s="55"/>
      <c r="E443" s="55"/>
      <c r="F443" s="55"/>
      <c r="G443" s="55"/>
      <c r="H443" s="55"/>
      <c r="I443" s="55"/>
      <c r="J443" s="55"/>
      <c r="K443" s="55"/>
    </row>
    <row r="444">
      <c r="A444" s="150"/>
      <c r="B444" s="55"/>
      <c r="C444" s="55"/>
      <c r="D444" s="55"/>
      <c r="E444" s="55"/>
      <c r="F444" s="55"/>
      <c r="G444" s="55"/>
      <c r="H444" s="55"/>
      <c r="I444" s="55"/>
      <c r="J444" s="55"/>
      <c r="K444" s="55"/>
    </row>
    <row r="445">
      <c r="A445" s="150"/>
      <c r="B445" s="55"/>
      <c r="C445" s="55"/>
      <c r="D445" s="55"/>
      <c r="E445" s="55"/>
      <c r="F445" s="55"/>
      <c r="G445" s="55"/>
      <c r="H445" s="55"/>
      <c r="I445" s="55"/>
      <c r="J445" s="55"/>
      <c r="K445" s="55"/>
    </row>
    <row r="446">
      <c r="A446" s="150"/>
      <c r="B446" s="55"/>
      <c r="C446" s="55"/>
      <c r="D446" s="55"/>
      <c r="E446" s="55"/>
      <c r="F446" s="55"/>
      <c r="G446" s="55"/>
      <c r="H446" s="55"/>
      <c r="I446" s="55"/>
      <c r="J446" s="55"/>
      <c r="K446" s="55"/>
    </row>
    <row r="447">
      <c r="A447" s="150"/>
      <c r="B447" s="55"/>
      <c r="C447" s="55"/>
      <c r="D447" s="55"/>
      <c r="E447" s="55"/>
      <c r="F447" s="55"/>
      <c r="G447" s="55"/>
      <c r="H447" s="55"/>
      <c r="I447" s="55"/>
      <c r="J447" s="55"/>
      <c r="K447" s="55"/>
    </row>
    <row r="448">
      <c r="A448" s="150"/>
      <c r="B448" s="55"/>
      <c r="C448" s="55"/>
      <c r="D448" s="55"/>
      <c r="E448" s="55"/>
      <c r="F448" s="55"/>
      <c r="G448" s="55"/>
      <c r="H448" s="55"/>
      <c r="I448" s="55"/>
      <c r="J448" s="55"/>
      <c r="K448" s="55"/>
    </row>
    <row r="449">
      <c r="A449" s="150"/>
      <c r="B449" s="55"/>
      <c r="C449" s="55"/>
      <c r="D449" s="55"/>
      <c r="E449" s="55"/>
      <c r="F449" s="55"/>
      <c r="G449" s="55"/>
      <c r="H449" s="55"/>
      <c r="I449" s="55"/>
      <c r="J449" s="55"/>
      <c r="K449" s="55"/>
    </row>
    <row r="450">
      <c r="A450" s="150"/>
      <c r="B450" s="55"/>
      <c r="C450" s="55"/>
      <c r="D450" s="55"/>
      <c r="E450" s="55"/>
      <c r="F450" s="55"/>
      <c r="G450" s="55"/>
      <c r="H450" s="55"/>
      <c r="I450" s="55"/>
      <c r="J450" s="55"/>
      <c r="K450" s="55"/>
    </row>
    <row r="451">
      <c r="A451" s="150"/>
      <c r="B451" s="55"/>
      <c r="C451" s="55"/>
      <c r="D451" s="55"/>
      <c r="E451" s="55"/>
      <c r="F451" s="55"/>
      <c r="G451" s="55"/>
      <c r="H451" s="55"/>
      <c r="I451" s="55"/>
      <c r="J451" s="55"/>
      <c r="K451" s="55"/>
    </row>
    <row r="452">
      <c r="A452" s="150"/>
      <c r="B452" s="55"/>
      <c r="C452" s="55"/>
      <c r="D452" s="55"/>
      <c r="E452" s="55"/>
      <c r="F452" s="55"/>
      <c r="G452" s="55"/>
      <c r="H452" s="55"/>
      <c r="I452" s="55"/>
      <c r="J452" s="55"/>
      <c r="K452" s="55"/>
    </row>
    <row r="453">
      <c r="A453" s="150"/>
      <c r="B453" s="55"/>
      <c r="C453" s="55"/>
      <c r="D453" s="55"/>
      <c r="E453" s="55"/>
      <c r="F453" s="55"/>
      <c r="G453" s="55"/>
      <c r="H453" s="55"/>
      <c r="I453" s="55"/>
      <c r="J453" s="55"/>
      <c r="K453" s="55"/>
    </row>
    <row r="454">
      <c r="A454" s="150"/>
      <c r="B454" s="55"/>
      <c r="C454" s="55"/>
      <c r="D454" s="55"/>
      <c r="E454" s="55"/>
      <c r="F454" s="55"/>
      <c r="G454" s="55"/>
      <c r="H454" s="55"/>
      <c r="I454" s="55"/>
      <c r="J454" s="55"/>
      <c r="K454" s="55"/>
    </row>
    <row r="455">
      <c r="A455" s="150"/>
      <c r="B455" s="55"/>
      <c r="C455" s="55"/>
      <c r="D455" s="55"/>
      <c r="E455" s="55"/>
      <c r="F455" s="55"/>
      <c r="G455" s="55"/>
      <c r="H455" s="55"/>
      <c r="I455" s="55"/>
      <c r="J455" s="55"/>
      <c r="K455" s="55"/>
    </row>
    <row r="456">
      <c r="A456" s="150"/>
      <c r="B456" s="55"/>
      <c r="C456" s="55"/>
      <c r="D456" s="55"/>
      <c r="E456" s="55"/>
      <c r="F456" s="55"/>
      <c r="G456" s="55"/>
      <c r="H456" s="55"/>
      <c r="I456" s="55"/>
      <c r="J456" s="55"/>
      <c r="K456" s="55"/>
    </row>
    <row r="457">
      <c r="A457" s="150"/>
      <c r="B457" s="55"/>
      <c r="C457" s="55"/>
      <c r="D457" s="55"/>
      <c r="E457" s="55"/>
      <c r="F457" s="55"/>
      <c r="G457" s="55"/>
      <c r="H457" s="55"/>
      <c r="I457" s="55"/>
      <c r="J457" s="55"/>
      <c r="K457" s="55"/>
    </row>
    <row r="458">
      <c r="A458" s="150"/>
      <c r="B458" s="55"/>
      <c r="C458" s="55"/>
      <c r="D458" s="55"/>
      <c r="E458" s="55"/>
      <c r="F458" s="55"/>
      <c r="G458" s="55"/>
      <c r="H458" s="55"/>
      <c r="I458" s="55"/>
      <c r="J458" s="55"/>
      <c r="K458" s="55"/>
    </row>
    <row r="459">
      <c r="A459" s="150"/>
      <c r="B459" s="55"/>
      <c r="C459" s="55"/>
      <c r="D459" s="55"/>
      <c r="E459" s="55"/>
      <c r="F459" s="55"/>
      <c r="G459" s="55"/>
      <c r="H459" s="55"/>
      <c r="I459" s="55"/>
      <c r="J459" s="55"/>
      <c r="K459" s="55"/>
    </row>
    <row r="460">
      <c r="A460" s="150"/>
      <c r="B460" s="55"/>
      <c r="C460" s="55"/>
      <c r="D460" s="55"/>
      <c r="E460" s="55"/>
      <c r="F460" s="55"/>
      <c r="G460" s="55"/>
      <c r="H460" s="55"/>
      <c r="I460" s="55"/>
      <c r="J460" s="55"/>
      <c r="K460" s="55"/>
    </row>
    <row r="461">
      <c r="A461" s="150"/>
      <c r="B461" s="55"/>
      <c r="C461" s="55"/>
      <c r="D461" s="55"/>
      <c r="E461" s="55"/>
      <c r="F461" s="55"/>
      <c r="G461" s="55"/>
      <c r="H461" s="55"/>
      <c r="I461" s="55"/>
      <c r="J461" s="55"/>
      <c r="K461" s="55"/>
    </row>
    <row r="462">
      <c r="A462" s="150"/>
      <c r="B462" s="55"/>
      <c r="C462" s="55"/>
      <c r="D462" s="55"/>
      <c r="E462" s="55"/>
      <c r="F462" s="55"/>
      <c r="G462" s="55"/>
      <c r="H462" s="55"/>
      <c r="I462" s="55"/>
      <c r="J462" s="55"/>
      <c r="K462" s="55"/>
    </row>
    <row r="463">
      <c r="A463" s="150"/>
      <c r="B463" s="55"/>
      <c r="C463" s="55"/>
      <c r="D463" s="55"/>
      <c r="E463" s="55"/>
      <c r="F463" s="55"/>
      <c r="G463" s="55"/>
      <c r="H463" s="55"/>
      <c r="I463" s="55"/>
      <c r="J463" s="55"/>
      <c r="K463" s="55"/>
    </row>
    <row r="464">
      <c r="A464" s="150"/>
      <c r="B464" s="55"/>
      <c r="C464" s="55"/>
      <c r="D464" s="55"/>
      <c r="E464" s="55"/>
      <c r="F464" s="55"/>
      <c r="G464" s="55"/>
      <c r="H464" s="55"/>
      <c r="I464" s="55"/>
      <c r="J464" s="55"/>
      <c r="K464" s="55"/>
    </row>
    <row r="465">
      <c r="A465" s="150"/>
      <c r="B465" s="55"/>
      <c r="C465" s="55"/>
      <c r="D465" s="55"/>
      <c r="E465" s="55"/>
      <c r="F465" s="55"/>
      <c r="G465" s="55"/>
      <c r="H465" s="55"/>
      <c r="I465" s="55"/>
      <c r="J465" s="55"/>
      <c r="K465" s="55"/>
    </row>
    <row r="466">
      <c r="A466" s="150"/>
      <c r="B466" s="55"/>
      <c r="C466" s="55"/>
      <c r="D466" s="55"/>
      <c r="E466" s="55"/>
      <c r="F466" s="55"/>
      <c r="G466" s="55"/>
      <c r="H466" s="55"/>
      <c r="I466" s="55"/>
      <c r="J466" s="55"/>
      <c r="K466" s="55"/>
    </row>
    <row r="467">
      <c r="A467" s="150"/>
      <c r="B467" s="55"/>
      <c r="C467" s="55"/>
      <c r="D467" s="55"/>
      <c r="E467" s="55"/>
      <c r="F467" s="55"/>
      <c r="G467" s="55"/>
      <c r="H467" s="55"/>
      <c r="I467" s="55"/>
      <c r="J467" s="55"/>
      <c r="K467" s="55"/>
    </row>
    <row r="468">
      <c r="A468" s="150"/>
      <c r="B468" s="55"/>
      <c r="C468" s="55"/>
      <c r="D468" s="55"/>
      <c r="E468" s="55"/>
      <c r="F468" s="55"/>
      <c r="G468" s="55"/>
      <c r="H468" s="55"/>
      <c r="I468" s="55"/>
      <c r="J468" s="55"/>
      <c r="K468" s="55"/>
    </row>
    <row r="469">
      <c r="A469" s="150"/>
      <c r="B469" s="55"/>
      <c r="C469" s="55"/>
      <c r="D469" s="55"/>
      <c r="E469" s="55"/>
      <c r="F469" s="55"/>
      <c r="G469" s="55"/>
      <c r="H469" s="55"/>
      <c r="I469" s="55"/>
      <c r="J469" s="55"/>
      <c r="K469" s="55"/>
    </row>
    <row r="470">
      <c r="A470" s="150"/>
      <c r="B470" s="55"/>
      <c r="C470" s="55"/>
      <c r="D470" s="55"/>
      <c r="E470" s="55"/>
      <c r="F470" s="55"/>
      <c r="G470" s="55"/>
      <c r="H470" s="55"/>
      <c r="I470" s="55"/>
      <c r="J470" s="55"/>
      <c r="K470" s="55"/>
    </row>
    <row r="471">
      <c r="A471" s="150"/>
      <c r="B471" s="55"/>
      <c r="C471" s="55"/>
      <c r="D471" s="55"/>
      <c r="E471" s="55"/>
      <c r="F471" s="55"/>
      <c r="G471" s="55"/>
      <c r="H471" s="55"/>
      <c r="I471" s="55"/>
      <c r="J471" s="55"/>
      <c r="K471" s="55"/>
    </row>
    <row r="472">
      <c r="A472" s="150"/>
      <c r="B472" s="55"/>
      <c r="C472" s="55"/>
      <c r="D472" s="55"/>
      <c r="E472" s="55"/>
      <c r="F472" s="55"/>
      <c r="G472" s="55"/>
      <c r="H472" s="55"/>
      <c r="I472" s="55"/>
      <c r="J472" s="55"/>
      <c r="K472" s="55"/>
    </row>
    <row r="473">
      <c r="A473" s="150"/>
      <c r="B473" s="55"/>
      <c r="C473" s="55"/>
      <c r="D473" s="55"/>
      <c r="E473" s="55"/>
      <c r="F473" s="55"/>
      <c r="G473" s="55"/>
      <c r="H473" s="55"/>
      <c r="I473" s="55"/>
      <c r="J473" s="55"/>
      <c r="K473" s="55"/>
    </row>
    <row r="474">
      <c r="A474" s="150"/>
      <c r="B474" s="55"/>
      <c r="C474" s="55"/>
      <c r="D474" s="55"/>
      <c r="E474" s="55"/>
      <c r="F474" s="55"/>
      <c r="G474" s="55"/>
      <c r="H474" s="55"/>
      <c r="I474" s="55"/>
      <c r="J474" s="55"/>
      <c r="K474" s="55"/>
    </row>
    <row r="475">
      <c r="A475" s="150"/>
      <c r="B475" s="55"/>
      <c r="C475" s="55"/>
      <c r="D475" s="55"/>
      <c r="E475" s="55"/>
      <c r="F475" s="55"/>
      <c r="G475" s="55"/>
      <c r="H475" s="55"/>
      <c r="I475" s="55"/>
      <c r="J475" s="55"/>
      <c r="K475" s="55"/>
    </row>
    <row r="476">
      <c r="A476" s="150"/>
      <c r="B476" s="55"/>
      <c r="C476" s="55"/>
      <c r="D476" s="55"/>
      <c r="E476" s="55"/>
      <c r="F476" s="55"/>
      <c r="G476" s="55"/>
      <c r="H476" s="55"/>
      <c r="I476" s="55"/>
      <c r="J476" s="55"/>
      <c r="K476" s="55"/>
    </row>
    <row r="477">
      <c r="A477" s="150"/>
      <c r="B477" s="55"/>
      <c r="C477" s="55"/>
      <c r="D477" s="55"/>
      <c r="E477" s="55"/>
      <c r="F477" s="55"/>
      <c r="G477" s="55"/>
      <c r="H477" s="55"/>
      <c r="I477" s="55"/>
      <c r="J477" s="55"/>
      <c r="K477" s="55"/>
    </row>
    <row r="478">
      <c r="A478" s="150"/>
      <c r="B478" s="55"/>
      <c r="C478" s="55"/>
      <c r="D478" s="55"/>
      <c r="E478" s="55"/>
      <c r="F478" s="55"/>
      <c r="G478" s="55"/>
      <c r="H478" s="55"/>
      <c r="I478" s="55"/>
      <c r="J478" s="55"/>
      <c r="K478" s="55"/>
    </row>
    <row r="479">
      <c r="A479" s="150"/>
      <c r="B479" s="55"/>
      <c r="C479" s="55"/>
      <c r="D479" s="55"/>
      <c r="E479" s="55"/>
      <c r="F479" s="55"/>
      <c r="G479" s="55"/>
      <c r="H479" s="55"/>
      <c r="I479" s="55"/>
      <c r="J479" s="55"/>
      <c r="K479" s="55"/>
    </row>
    <row r="480">
      <c r="A480" s="150"/>
      <c r="B480" s="55"/>
      <c r="C480" s="55"/>
      <c r="D480" s="55"/>
      <c r="E480" s="55"/>
      <c r="F480" s="55"/>
      <c r="G480" s="55"/>
      <c r="H480" s="55"/>
      <c r="I480" s="55"/>
      <c r="J480" s="55"/>
      <c r="K480" s="55"/>
    </row>
    <row r="481">
      <c r="A481" s="150"/>
      <c r="B481" s="55"/>
      <c r="C481" s="55"/>
      <c r="D481" s="55"/>
      <c r="E481" s="55"/>
      <c r="F481" s="55"/>
      <c r="G481" s="55"/>
      <c r="H481" s="55"/>
      <c r="I481" s="55"/>
      <c r="J481" s="55"/>
      <c r="K481" s="55"/>
    </row>
    <row r="482">
      <c r="A482" s="150"/>
      <c r="B482" s="55"/>
      <c r="C482" s="55"/>
      <c r="D482" s="55"/>
      <c r="E482" s="55"/>
      <c r="F482" s="55"/>
      <c r="G482" s="55"/>
      <c r="H482" s="55"/>
      <c r="I482" s="55"/>
      <c r="J482" s="55"/>
      <c r="K482" s="55"/>
    </row>
    <row r="483">
      <c r="A483" s="150"/>
      <c r="B483" s="55"/>
      <c r="C483" s="55"/>
      <c r="D483" s="55"/>
      <c r="E483" s="55"/>
      <c r="F483" s="55"/>
      <c r="G483" s="55"/>
      <c r="H483" s="55"/>
      <c r="I483" s="55"/>
      <c r="J483" s="55"/>
      <c r="K483" s="55"/>
    </row>
    <row r="484">
      <c r="A484" s="150"/>
      <c r="B484" s="55"/>
      <c r="C484" s="55"/>
      <c r="D484" s="55"/>
      <c r="E484" s="55"/>
      <c r="F484" s="55"/>
      <c r="G484" s="55"/>
      <c r="H484" s="55"/>
      <c r="I484" s="55"/>
      <c r="J484" s="55"/>
      <c r="K484" s="55"/>
    </row>
    <row r="485">
      <c r="A485" s="150"/>
      <c r="B485" s="55"/>
      <c r="C485" s="55"/>
      <c r="D485" s="55"/>
      <c r="E485" s="55"/>
      <c r="F485" s="55"/>
      <c r="G485" s="55"/>
      <c r="H485" s="55"/>
      <c r="I485" s="55"/>
      <c r="J485" s="55"/>
      <c r="K485" s="55"/>
    </row>
    <row r="486">
      <c r="A486" s="150"/>
      <c r="B486" s="55"/>
      <c r="C486" s="55"/>
      <c r="D486" s="55"/>
      <c r="E486" s="55"/>
      <c r="F486" s="55"/>
      <c r="G486" s="55"/>
      <c r="H486" s="55"/>
      <c r="I486" s="55"/>
      <c r="J486" s="55"/>
      <c r="K486" s="55"/>
    </row>
    <row r="487">
      <c r="A487" s="150"/>
      <c r="B487" s="55"/>
      <c r="C487" s="55"/>
      <c r="D487" s="55"/>
      <c r="E487" s="55"/>
      <c r="F487" s="55"/>
      <c r="G487" s="55"/>
      <c r="H487" s="55"/>
      <c r="I487" s="55"/>
      <c r="J487" s="55"/>
      <c r="K487" s="55"/>
    </row>
    <row r="488">
      <c r="A488" s="150"/>
      <c r="B488" s="55"/>
      <c r="C488" s="55"/>
      <c r="D488" s="55"/>
      <c r="E488" s="55"/>
      <c r="F488" s="55"/>
      <c r="G488" s="55"/>
      <c r="H488" s="55"/>
      <c r="I488" s="55"/>
      <c r="J488" s="55"/>
      <c r="K488" s="55"/>
    </row>
    <row r="489">
      <c r="A489" s="150"/>
      <c r="B489" s="55"/>
      <c r="C489" s="55"/>
      <c r="D489" s="55"/>
      <c r="E489" s="55"/>
      <c r="F489" s="55"/>
      <c r="G489" s="55"/>
      <c r="H489" s="55"/>
      <c r="I489" s="55"/>
      <c r="J489" s="55"/>
      <c r="K489" s="55"/>
    </row>
    <row r="490">
      <c r="A490" s="150"/>
      <c r="B490" s="55"/>
      <c r="C490" s="55"/>
      <c r="D490" s="55"/>
      <c r="E490" s="55"/>
      <c r="F490" s="55"/>
      <c r="G490" s="55"/>
      <c r="H490" s="55"/>
      <c r="I490" s="55"/>
      <c r="J490" s="55"/>
      <c r="K490" s="55"/>
    </row>
    <row r="491">
      <c r="A491" s="150"/>
      <c r="B491" s="55"/>
      <c r="C491" s="55"/>
      <c r="D491" s="55"/>
      <c r="E491" s="55"/>
      <c r="F491" s="55"/>
      <c r="G491" s="55"/>
      <c r="H491" s="55"/>
      <c r="I491" s="55"/>
      <c r="J491" s="55"/>
      <c r="K491" s="55"/>
    </row>
    <row r="492">
      <c r="A492" s="150"/>
      <c r="B492" s="55"/>
      <c r="C492" s="55"/>
      <c r="D492" s="55"/>
      <c r="E492" s="55"/>
      <c r="F492" s="55"/>
      <c r="G492" s="55"/>
      <c r="H492" s="55"/>
      <c r="I492" s="55"/>
      <c r="J492" s="55"/>
      <c r="K492" s="55"/>
    </row>
    <row r="493">
      <c r="A493" s="150"/>
      <c r="B493" s="55"/>
      <c r="C493" s="55"/>
      <c r="D493" s="55"/>
      <c r="E493" s="55"/>
      <c r="F493" s="55"/>
      <c r="G493" s="55"/>
      <c r="H493" s="55"/>
      <c r="I493" s="55"/>
      <c r="J493" s="55"/>
      <c r="K493" s="55"/>
    </row>
    <row r="494">
      <c r="A494" s="150"/>
      <c r="B494" s="55"/>
      <c r="C494" s="55"/>
      <c r="D494" s="55"/>
      <c r="E494" s="55"/>
      <c r="F494" s="55"/>
      <c r="G494" s="55"/>
      <c r="H494" s="55"/>
      <c r="I494" s="55"/>
      <c r="J494" s="55"/>
      <c r="K494" s="55"/>
    </row>
    <row r="495">
      <c r="A495" s="150"/>
      <c r="B495" s="55"/>
      <c r="C495" s="55"/>
      <c r="D495" s="55"/>
      <c r="E495" s="55"/>
      <c r="F495" s="55"/>
      <c r="G495" s="55"/>
      <c r="H495" s="55"/>
      <c r="I495" s="55"/>
      <c r="J495" s="55"/>
      <c r="K495" s="55"/>
    </row>
    <row r="496">
      <c r="A496" s="150"/>
      <c r="B496" s="55"/>
      <c r="C496" s="55"/>
      <c r="D496" s="55"/>
      <c r="E496" s="55"/>
      <c r="F496" s="55"/>
      <c r="G496" s="55"/>
      <c r="H496" s="55"/>
      <c r="I496" s="55"/>
      <c r="J496" s="55"/>
      <c r="K496" s="55"/>
    </row>
    <row r="497">
      <c r="A497" s="150"/>
      <c r="B497" s="55"/>
      <c r="C497" s="55"/>
      <c r="D497" s="55"/>
      <c r="E497" s="55"/>
      <c r="F497" s="55"/>
      <c r="G497" s="55"/>
      <c r="H497" s="55"/>
      <c r="I497" s="55"/>
      <c r="J497" s="55"/>
      <c r="K497" s="55"/>
    </row>
    <row r="498">
      <c r="A498" s="150"/>
      <c r="B498" s="55"/>
      <c r="C498" s="55"/>
      <c r="D498" s="55"/>
      <c r="E498" s="55"/>
      <c r="F498" s="55"/>
      <c r="G498" s="55"/>
      <c r="H498" s="55"/>
      <c r="I498" s="55"/>
      <c r="J498" s="55"/>
      <c r="K498" s="55"/>
    </row>
    <row r="499">
      <c r="A499" s="150"/>
      <c r="B499" s="55"/>
      <c r="C499" s="55"/>
      <c r="D499" s="55"/>
      <c r="E499" s="55"/>
      <c r="F499" s="55"/>
      <c r="G499" s="55"/>
      <c r="H499" s="55"/>
      <c r="I499" s="55"/>
      <c r="J499" s="55"/>
      <c r="K499" s="55"/>
    </row>
    <row r="500">
      <c r="A500" s="150"/>
      <c r="B500" s="55"/>
      <c r="C500" s="55"/>
      <c r="D500" s="55"/>
      <c r="E500" s="55"/>
      <c r="F500" s="55"/>
      <c r="G500" s="55"/>
      <c r="H500" s="55"/>
      <c r="I500" s="55"/>
      <c r="J500" s="55"/>
      <c r="K500" s="55"/>
    </row>
    <row r="501">
      <c r="A501" s="150"/>
      <c r="B501" s="55"/>
      <c r="C501" s="55"/>
      <c r="D501" s="55"/>
      <c r="E501" s="55"/>
      <c r="F501" s="55"/>
      <c r="G501" s="55"/>
      <c r="H501" s="55"/>
      <c r="I501" s="55"/>
      <c r="J501" s="55"/>
      <c r="K501" s="55"/>
    </row>
    <row r="502">
      <c r="A502" s="150"/>
      <c r="B502" s="55"/>
      <c r="C502" s="55"/>
      <c r="D502" s="55"/>
      <c r="E502" s="55"/>
      <c r="F502" s="55"/>
      <c r="G502" s="55"/>
      <c r="H502" s="55"/>
      <c r="I502" s="55"/>
      <c r="J502" s="55"/>
      <c r="K502" s="55"/>
    </row>
    <row r="503">
      <c r="A503" s="150"/>
      <c r="B503" s="55"/>
      <c r="C503" s="55"/>
      <c r="D503" s="55"/>
      <c r="E503" s="55"/>
      <c r="F503" s="55"/>
      <c r="G503" s="55"/>
      <c r="H503" s="55"/>
      <c r="I503" s="55"/>
      <c r="J503" s="55"/>
      <c r="K503" s="55"/>
    </row>
    <row r="504">
      <c r="A504" s="150"/>
      <c r="B504" s="55"/>
      <c r="C504" s="55"/>
      <c r="D504" s="55"/>
      <c r="E504" s="55"/>
      <c r="F504" s="55"/>
      <c r="G504" s="55"/>
      <c r="H504" s="55"/>
      <c r="I504" s="55"/>
      <c r="J504" s="55"/>
      <c r="K504" s="55"/>
    </row>
    <row r="505">
      <c r="A505" s="150"/>
      <c r="B505" s="55"/>
      <c r="C505" s="55"/>
      <c r="D505" s="55"/>
      <c r="E505" s="55"/>
      <c r="F505" s="55"/>
      <c r="G505" s="55"/>
      <c r="H505" s="55"/>
      <c r="I505" s="55"/>
      <c r="J505" s="55"/>
      <c r="K505" s="55"/>
    </row>
    <row r="506">
      <c r="A506" s="150"/>
      <c r="B506" s="55"/>
      <c r="C506" s="55"/>
      <c r="D506" s="55"/>
      <c r="E506" s="55"/>
      <c r="F506" s="55"/>
      <c r="G506" s="55"/>
      <c r="H506" s="55"/>
      <c r="I506" s="55"/>
      <c r="J506" s="55"/>
      <c r="K506" s="55"/>
    </row>
    <row r="507">
      <c r="A507" s="150"/>
      <c r="B507" s="55"/>
      <c r="C507" s="55"/>
      <c r="D507" s="55"/>
      <c r="E507" s="55"/>
      <c r="F507" s="55"/>
      <c r="G507" s="55"/>
      <c r="H507" s="55"/>
      <c r="I507" s="55"/>
      <c r="J507" s="55"/>
      <c r="K507" s="55"/>
    </row>
    <row r="508">
      <c r="A508" s="150"/>
      <c r="B508" s="55"/>
      <c r="C508" s="55"/>
      <c r="D508" s="55"/>
      <c r="E508" s="55"/>
      <c r="F508" s="55"/>
      <c r="G508" s="55"/>
      <c r="H508" s="55"/>
      <c r="I508" s="55"/>
      <c r="J508" s="55"/>
      <c r="K508" s="55"/>
    </row>
    <row r="509">
      <c r="A509" s="150"/>
      <c r="B509" s="55"/>
      <c r="C509" s="55"/>
      <c r="D509" s="55"/>
      <c r="E509" s="55"/>
      <c r="F509" s="55"/>
      <c r="G509" s="55"/>
      <c r="H509" s="55"/>
      <c r="I509" s="55"/>
      <c r="J509" s="55"/>
      <c r="K509" s="55"/>
    </row>
    <row r="510">
      <c r="A510" s="150"/>
      <c r="B510" s="55"/>
      <c r="C510" s="55"/>
      <c r="D510" s="55"/>
      <c r="E510" s="55"/>
      <c r="F510" s="55"/>
      <c r="G510" s="55"/>
      <c r="H510" s="55"/>
      <c r="I510" s="55"/>
      <c r="J510" s="55"/>
      <c r="K510" s="55"/>
    </row>
    <row r="511">
      <c r="A511" s="150"/>
      <c r="B511" s="55"/>
      <c r="C511" s="55"/>
      <c r="D511" s="55"/>
      <c r="E511" s="55"/>
      <c r="F511" s="55"/>
      <c r="G511" s="55"/>
      <c r="H511" s="55"/>
      <c r="I511" s="55"/>
      <c r="J511" s="55"/>
      <c r="K511" s="55"/>
    </row>
    <row r="512">
      <c r="A512" s="150"/>
      <c r="B512" s="55"/>
      <c r="C512" s="55"/>
      <c r="D512" s="55"/>
      <c r="E512" s="55"/>
      <c r="F512" s="55"/>
      <c r="G512" s="55"/>
      <c r="H512" s="55"/>
      <c r="I512" s="55"/>
      <c r="J512" s="55"/>
      <c r="K512" s="55"/>
    </row>
    <row r="513">
      <c r="A513" s="150"/>
      <c r="B513" s="55"/>
      <c r="C513" s="55"/>
      <c r="D513" s="55"/>
      <c r="E513" s="55"/>
      <c r="F513" s="55"/>
      <c r="G513" s="55"/>
      <c r="H513" s="55"/>
      <c r="I513" s="55"/>
      <c r="J513" s="55"/>
      <c r="K513" s="55"/>
    </row>
    <row r="514">
      <c r="A514" s="150"/>
      <c r="B514" s="55"/>
      <c r="C514" s="55"/>
      <c r="D514" s="55"/>
      <c r="E514" s="55"/>
      <c r="F514" s="55"/>
      <c r="G514" s="55"/>
      <c r="H514" s="55"/>
      <c r="I514" s="55"/>
      <c r="J514" s="55"/>
      <c r="K514" s="55"/>
    </row>
    <row r="515">
      <c r="A515" s="150"/>
      <c r="B515" s="55"/>
      <c r="C515" s="55"/>
      <c r="D515" s="55"/>
      <c r="E515" s="55"/>
      <c r="F515" s="55"/>
      <c r="G515" s="55"/>
      <c r="H515" s="55"/>
      <c r="I515" s="55"/>
      <c r="J515" s="55"/>
      <c r="K515" s="55"/>
    </row>
    <row r="516">
      <c r="A516" s="150"/>
      <c r="B516" s="55"/>
      <c r="C516" s="55"/>
      <c r="D516" s="55"/>
      <c r="E516" s="55"/>
      <c r="F516" s="55"/>
      <c r="G516" s="55"/>
      <c r="H516" s="55"/>
      <c r="I516" s="55"/>
      <c r="J516" s="55"/>
      <c r="K516" s="55"/>
    </row>
    <row r="517">
      <c r="A517" s="150"/>
      <c r="B517" s="55"/>
      <c r="C517" s="55"/>
      <c r="D517" s="55"/>
      <c r="E517" s="55"/>
      <c r="F517" s="55"/>
      <c r="G517" s="55"/>
      <c r="H517" s="55"/>
      <c r="I517" s="55"/>
      <c r="J517" s="55"/>
      <c r="K517" s="55"/>
    </row>
    <row r="518">
      <c r="A518" s="150"/>
      <c r="B518" s="55"/>
      <c r="C518" s="55"/>
      <c r="D518" s="55"/>
      <c r="E518" s="55"/>
      <c r="F518" s="55"/>
      <c r="G518" s="55"/>
      <c r="H518" s="55"/>
      <c r="I518" s="55"/>
      <c r="J518" s="55"/>
      <c r="K518" s="55"/>
    </row>
    <row r="519">
      <c r="A519" s="150"/>
      <c r="B519" s="55"/>
      <c r="C519" s="55"/>
      <c r="D519" s="55"/>
      <c r="E519" s="55"/>
      <c r="F519" s="55"/>
      <c r="G519" s="55"/>
      <c r="H519" s="55"/>
      <c r="I519" s="55"/>
      <c r="J519" s="55"/>
      <c r="K519" s="55"/>
    </row>
    <row r="520">
      <c r="A520" s="150"/>
      <c r="B520" s="55"/>
      <c r="C520" s="55"/>
      <c r="D520" s="55"/>
      <c r="E520" s="55"/>
      <c r="F520" s="55"/>
      <c r="G520" s="55"/>
      <c r="H520" s="55"/>
      <c r="I520" s="55"/>
      <c r="J520" s="55"/>
      <c r="K520" s="55"/>
    </row>
    <row r="521">
      <c r="A521" s="150"/>
      <c r="B521" s="55"/>
      <c r="C521" s="55"/>
      <c r="D521" s="55"/>
      <c r="E521" s="55"/>
      <c r="F521" s="55"/>
      <c r="G521" s="55"/>
      <c r="H521" s="55"/>
      <c r="I521" s="55"/>
      <c r="J521" s="55"/>
      <c r="K521" s="55"/>
    </row>
    <row r="522">
      <c r="A522" s="150"/>
      <c r="B522" s="55"/>
      <c r="C522" s="55"/>
      <c r="D522" s="55"/>
      <c r="E522" s="55"/>
      <c r="F522" s="55"/>
      <c r="G522" s="55"/>
      <c r="H522" s="55"/>
      <c r="I522" s="55"/>
      <c r="J522" s="55"/>
      <c r="K522" s="55"/>
    </row>
    <row r="523">
      <c r="A523" s="150"/>
      <c r="B523" s="55"/>
      <c r="C523" s="55"/>
      <c r="D523" s="55"/>
      <c r="E523" s="55"/>
      <c r="F523" s="55"/>
      <c r="G523" s="55"/>
      <c r="H523" s="55"/>
      <c r="I523" s="55"/>
      <c r="J523" s="55"/>
      <c r="K523" s="55"/>
    </row>
    <row r="524">
      <c r="A524" s="150"/>
      <c r="B524" s="55"/>
      <c r="C524" s="55"/>
      <c r="D524" s="55"/>
      <c r="E524" s="55"/>
      <c r="F524" s="55"/>
      <c r="G524" s="55"/>
      <c r="H524" s="55"/>
      <c r="I524" s="55"/>
      <c r="J524" s="55"/>
      <c r="K524" s="55"/>
    </row>
    <row r="525">
      <c r="A525" s="150"/>
      <c r="B525" s="55"/>
      <c r="C525" s="55"/>
      <c r="D525" s="55"/>
      <c r="E525" s="55"/>
      <c r="F525" s="55"/>
      <c r="G525" s="55"/>
      <c r="H525" s="55"/>
      <c r="I525" s="55"/>
      <c r="J525" s="55"/>
      <c r="K525" s="55"/>
    </row>
    <row r="526">
      <c r="A526" s="150"/>
      <c r="B526" s="55"/>
      <c r="C526" s="55"/>
      <c r="D526" s="55"/>
      <c r="E526" s="55"/>
      <c r="F526" s="55"/>
      <c r="G526" s="55"/>
      <c r="H526" s="55"/>
      <c r="I526" s="55"/>
      <c r="J526" s="55"/>
      <c r="K526" s="55"/>
    </row>
    <row r="527">
      <c r="A527" s="150"/>
      <c r="B527" s="55"/>
      <c r="C527" s="55"/>
      <c r="D527" s="55"/>
      <c r="E527" s="55"/>
      <c r="F527" s="55"/>
      <c r="G527" s="55"/>
      <c r="H527" s="55"/>
      <c r="I527" s="55"/>
      <c r="J527" s="55"/>
      <c r="K527" s="55"/>
    </row>
    <row r="528">
      <c r="A528" s="150"/>
      <c r="B528" s="55"/>
      <c r="C528" s="55"/>
      <c r="D528" s="55"/>
      <c r="E528" s="55"/>
      <c r="F528" s="55"/>
      <c r="G528" s="55"/>
      <c r="H528" s="55"/>
      <c r="I528" s="55"/>
      <c r="J528" s="55"/>
      <c r="K528" s="55"/>
    </row>
    <row r="529">
      <c r="A529" s="150"/>
      <c r="B529" s="55"/>
      <c r="C529" s="55"/>
      <c r="D529" s="55"/>
      <c r="E529" s="55"/>
      <c r="F529" s="55"/>
      <c r="G529" s="55"/>
      <c r="H529" s="55"/>
      <c r="I529" s="55"/>
      <c r="J529" s="55"/>
      <c r="K529" s="55"/>
    </row>
    <row r="530">
      <c r="A530" s="150"/>
      <c r="B530" s="55"/>
      <c r="C530" s="55"/>
      <c r="D530" s="55"/>
      <c r="E530" s="55"/>
      <c r="F530" s="55"/>
      <c r="G530" s="55"/>
      <c r="H530" s="55"/>
      <c r="I530" s="55"/>
      <c r="J530" s="55"/>
      <c r="K530" s="55"/>
    </row>
    <row r="531">
      <c r="A531" s="150"/>
      <c r="B531" s="55"/>
      <c r="C531" s="55"/>
      <c r="D531" s="55"/>
      <c r="E531" s="55"/>
      <c r="F531" s="55"/>
      <c r="G531" s="55"/>
      <c r="H531" s="55"/>
      <c r="I531" s="55"/>
      <c r="J531" s="55"/>
      <c r="K531" s="55"/>
    </row>
    <row r="532">
      <c r="A532" s="150"/>
      <c r="B532" s="55"/>
      <c r="C532" s="55"/>
      <c r="D532" s="55"/>
      <c r="E532" s="55"/>
      <c r="F532" s="55"/>
      <c r="G532" s="55"/>
      <c r="H532" s="55"/>
      <c r="I532" s="55"/>
      <c r="J532" s="55"/>
      <c r="K532" s="55"/>
    </row>
    <row r="533">
      <c r="A533" s="150"/>
      <c r="B533" s="55"/>
      <c r="C533" s="55"/>
      <c r="D533" s="55"/>
      <c r="E533" s="55"/>
      <c r="F533" s="55"/>
      <c r="G533" s="55"/>
      <c r="H533" s="55"/>
      <c r="I533" s="55"/>
      <c r="J533" s="55"/>
      <c r="K533" s="55"/>
    </row>
    <row r="534">
      <c r="A534" s="150"/>
      <c r="B534" s="55"/>
      <c r="C534" s="55"/>
      <c r="D534" s="55"/>
      <c r="E534" s="55"/>
      <c r="F534" s="55"/>
      <c r="G534" s="55"/>
      <c r="H534" s="55"/>
      <c r="I534" s="55"/>
      <c r="J534" s="55"/>
      <c r="K534" s="55"/>
    </row>
    <row r="535">
      <c r="A535" s="150"/>
      <c r="B535" s="55"/>
      <c r="C535" s="55"/>
      <c r="D535" s="55"/>
      <c r="E535" s="55"/>
      <c r="F535" s="55"/>
      <c r="G535" s="55"/>
      <c r="H535" s="55"/>
      <c r="I535" s="55"/>
      <c r="J535" s="55"/>
      <c r="K535" s="55"/>
    </row>
    <row r="536">
      <c r="A536" s="150"/>
      <c r="B536" s="55"/>
      <c r="C536" s="55"/>
      <c r="D536" s="55"/>
      <c r="E536" s="55"/>
      <c r="F536" s="55"/>
      <c r="G536" s="55"/>
      <c r="H536" s="55"/>
      <c r="I536" s="55"/>
      <c r="J536" s="55"/>
      <c r="K536" s="55"/>
    </row>
    <row r="537">
      <c r="A537" s="150"/>
      <c r="B537" s="55"/>
      <c r="C537" s="55"/>
      <c r="D537" s="55"/>
      <c r="E537" s="55"/>
      <c r="F537" s="55"/>
      <c r="G537" s="55"/>
      <c r="H537" s="55"/>
      <c r="I537" s="55"/>
      <c r="J537" s="55"/>
      <c r="K537" s="55"/>
    </row>
    <row r="538">
      <c r="A538" s="150"/>
      <c r="B538" s="55"/>
      <c r="C538" s="55"/>
      <c r="D538" s="55"/>
      <c r="E538" s="55"/>
      <c r="F538" s="55"/>
      <c r="G538" s="55"/>
      <c r="H538" s="55"/>
      <c r="I538" s="55"/>
      <c r="J538" s="55"/>
      <c r="K538" s="55"/>
    </row>
    <row r="539">
      <c r="A539" s="150"/>
      <c r="B539" s="55"/>
      <c r="C539" s="55"/>
      <c r="D539" s="55"/>
      <c r="E539" s="55"/>
      <c r="F539" s="55"/>
      <c r="G539" s="55"/>
      <c r="H539" s="55"/>
      <c r="I539" s="55"/>
      <c r="J539" s="55"/>
      <c r="K539" s="55"/>
    </row>
    <row r="540">
      <c r="A540" s="150"/>
      <c r="B540" s="55"/>
      <c r="C540" s="55"/>
      <c r="D540" s="55"/>
      <c r="E540" s="55"/>
      <c r="F540" s="55"/>
      <c r="G540" s="55"/>
      <c r="H540" s="55"/>
      <c r="I540" s="55"/>
      <c r="J540" s="55"/>
      <c r="K540" s="55"/>
    </row>
    <row r="541">
      <c r="A541" s="150"/>
      <c r="B541" s="55"/>
      <c r="C541" s="55"/>
      <c r="D541" s="55"/>
      <c r="E541" s="55"/>
      <c r="F541" s="55"/>
      <c r="G541" s="55"/>
      <c r="H541" s="55"/>
      <c r="I541" s="55"/>
      <c r="J541" s="55"/>
      <c r="K541" s="55"/>
    </row>
    <row r="542">
      <c r="A542" s="150"/>
      <c r="B542" s="55"/>
      <c r="C542" s="55"/>
      <c r="D542" s="55"/>
      <c r="E542" s="55"/>
      <c r="F542" s="55"/>
      <c r="G542" s="55"/>
      <c r="H542" s="55"/>
      <c r="I542" s="55"/>
      <c r="J542" s="55"/>
      <c r="K542" s="55"/>
    </row>
    <row r="543">
      <c r="A543" s="150"/>
      <c r="B543" s="55"/>
      <c r="C543" s="55"/>
      <c r="D543" s="55"/>
      <c r="E543" s="55"/>
      <c r="F543" s="55"/>
      <c r="G543" s="55"/>
      <c r="H543" s="55"/>
      <c r="I543" s="55"/>
      <c r="J543" s="55"/>
      <c r="K543" s="55"/>
    </row>
    <row r="544">
      <c r="A544" s="150"/>
      <c r="B544" s="55"/>
      <c r="C544" s="55"/>
      <c r="D544" s="55"/>
      <c r="E544" s="55"/>
      <c r="F544" s="55"/>
      <c r="G544" s="55"/>
      <c r="H544" s="55"/>
      <c r="I544" s="55"/>
      <c r="J544" s="55"/>
      <c r="K544" s="55"/>
    </row>
    <row r="545">
      <c r="A545" s="150"/>
      <c r="B545" s="55"/>
      <c r="C545" s="55"/>
      <c r="D545" s="55"/>
      <c r="E545" s="55"/>
      <c r="F545" s="55"/>
      <c r="G545" s="55"/>
      <c r="H545" s="55"/>
      <c r="I545" s="55"/>
      <c r="J545" s="55"/>
      <c r="K545" s="55"/>
    </row>
    <row r="546">
      <c r="A546" s="150"/>
      <c r="B546" s="55"/>
      <c r="C546" s="55"/>
      <c r="D546" s="55"/>
      <c r="E546" s="55"/>
      <c r="F546" s="55"/>
      <c r="G546" s="55"/>
      <c r="H546" s="55"/>
      <c r="I546" s="55"/>
      <c r="J546" s="55"/>
      <c r="K546" s="55"/>
    </row>
    <row r="547">
      <c r="A547" s="150"/>
      <c r="B547" s="55"/>
      <c r="C547" s="55"/>
      <c r="D547" s="55"/>
      <c r="E547" s="55"/>
      <c r="F547" s="55"/>
      <c r="G547" s="55"/>
      <c r="H547" s="55"/>
      <c r="I547" s="55"/>
      <c r="J547" s="55"/>
      <c r="K547" s="55"/>
    </row>
    <row r="548">
      <c r="A548" s="150"/>
      <c r="B548" s="55"/>
      <c r="C548" s="55"/>
      <c r="D548" s="55"/>
      <c r="E548" s="55"/>
      <c r="F548" s="55"/>
      <c r="G548" s="55"/>
      <c r="H548" s="55"/>
      <c r="I548" s="55"/>
      <c r="J548" s="55"/>
      <c r="K548" s="55"/>
    </row>
    <row r="549">
      <c r="A549" s="150"/>
      <c r="B549" s="55"/>
      <c r="C549" s="55"/>
      <c r="D549" s="55"/>
      <c r="E549" s="55"/>
      <c r="F549" s="55"/>
      <c r="G549" s="55"/>
      <c r="H549" s="55"/>
      <c r="I549" s="55"/>
      <c r="J549" s="55"/>
      <c r="K549" s="55"/>
    </row>
    <row r="550">
      <c r="A550" s="150"/>
      <c r="B550" s="55"/>
      <c r="C550" s="55"/>
      <c r="D550" s="55"/>
      <c r="E550" s="55"/>
      <c r="F550" s="55"/>
      <c r="G550" s="55"/>
      <c r="H550" s="55"/>
      <c r="I550" s="55"/>
      <c r="J550" s="55"/>
      <c r="K550" s="55"/>
    </row>
    <row r="551">
      <c r="A551" s="150"/>
      <c r="B551" s="55"/>
      <c r="C551" s="55"/>
      <c r="D551" s="55"/>
      <c r="E551" s="55"/>
      <c r="F551" s="55"/>
      <c r="G551" s="55"/>
      <c r="H551" s="55"/>
      <c r="I551" s="55"/>
      <c r="J551" s="55"/>
      <c r="K551" s="55"/>
    </row>
    <row r="552">
      <c r="A552" s="150"/>
      <c r="B552" s="55"/>
      <c r="C552" s="55"/>
      <c r="D552" s="55"/>
      <c r="E552" s="55"/>
      <c r="F552" s="55"/>
      <c r="G552" s="55"/>
      <c r="H552" s="55"/>
      <c r="I552" s="55"/>
      <c r="J552" s="55"/>
      <c r="K552" s="55"/>
    </row>
    <row r="553">
      <c r="A553" s="150"/>
      <c r="B553" s="55"/>
      <c r="C553" s="55"/>
      <c r="D553" s="55"/>
      <c r="E553" s="55"/>
      <c r="F553" s="55"/>
      <c r="G553" s="55"/>
      <c r="H553" s="55"/>
      <c r="I553" s="55"/>
      <c r="J553" s="55"/>
      <c r="K553" s="55"/>
    </row>
    <row r="554">
      <c r="A554" s="150"/>
      <c r="B554" s="55"/>
      <c r="C554" s="55"/>
      <c r="D554" s="55"/>
      <c r="E554" s="55"/>
      <c r="F554" s="55"/>
      <c r="G554" s="55"/>
      <c r="H554" s="55"/>
      <c r="I554" s="55"/>
      <c r="J554" s="55"/>
      <c r="K554" s="55"/>
    </row>
    <row r="555">
      <c r="A555" s="150"/>
      <c r="B555" s="55"/>
      <c r="C555" s="55"/>
      <c r="D555" s="55"/>
      <c r="E555" s="55"/>
      <c r="F555" s="55"/>
      <c r="G555" s="55"/>
      <c r="H555" s="55"/>
      <c r="I555" s="55"/>
      <c r="J555" s="55"/>
      <c r="K555" s="55"/>
    </row>
    <row r="556">
      <c r="A556" s="150"/>
      <c r="B556" s="55"/>
      <c r="C556" s="55"/>
      <c r="D556" s="55"/>
      <c r="E556" s="55"/>
      <c r="F556" s="55"/>
      <c r="G556" s="55"/>
      <c r="H556" s="55"/>
      <c r="I556" s="55"/>
      <c r="J556" s="55"/>
      <c r="K556" s="55"/>
    </row>
    <row r="557">
      <c r="A557" s="150"/>
      <c r="B557" s="55"/>
      <c r="C557" s="55"/>
      <c r="D557" s="55"/>
      <c r="E557" s="55"/>
      <c r="F557" s="55"/>
      <c r="G557" s="55"/>
      <c r="H557" s="55"/>
      <c r="I557" s="55"/>
      <c r="J557" s="55"/>
      <c r="K557" s="55"/>
    </row>
    <row r="558">
      <c r="A558" s="150"/>
      <c r="B558" s="55"/>
      <c r="C558" s="55"/>
      <c r="D558" s="55"/>
      <c r="E558" s="55"/>
      <c r="F558" s="55"/>
      <c r="G558" s="55"/>
      <c r="H558" s="55"/>
      <c r="I558" s="55"/>
      <c r="J558" s="55"/>
      <c r="K558" s="55"/>
    </row>
    <row r="559">
      <c r="A559" s="150"/>
      <c r="B559" s="55"/>
      <c r="C559" s="55"/>
      <c r="D559" s="55"/>
      <c r="E559" s="55"/>
      <c r="F559" s="55"/>
      <c r="G559" s="55"/>
      <c r="H559" s="55"/>
      <c r="I559" s="55"/>
      <c r="J559" s="55"/>
      <c r="K559" s="55"/>
    </row>
    <row r="560">
      <c r="A560" s="150"/>
      <c r="B560" s="55"/>
      <c r="C560" s="55"/>
      <c r="D560" s="55"/>
      <c r="E560" s="55"/>
      <c r="F560" s="55"/>
      <c r="G560" s="55"/>
      <c r="H560" s="55"/>
      <c r="I560" s="55"/>
      <c r="J560" s="55"/>
      <c r="K560" s="55"/>
    </row>
    <row r="561">
      <c r="A561" s="150"/>
      <c r="B561" s="55"/>
      <c r="C561" s="55"/>
      <c r="D561" s="55"/>
      <c r="E561" s="55"/>
      <c r="F561" s="55"/>
      <c r="G561" s="55"/>
      <c r="H561" s="55"/>
      <c r="I561" s="55"/>
      <c r="J561" s="55"/>
      <c r="K561" s="55"/>
    </row>
    <row r="562">
      <c r="A562" s="150"/>
      <c r="B562" s="55"/>
      <c r="C562" s="55"/>
      <c r="D562" s="55"/>
      <c r="E562" s="55"/>
      <c r="F562" s="55"/>
      <c r="G562" s="55"/>
      <c r="H562" s="55"/>
      <c r="I562" s="55"/>
      <c r="J562" s="55"/>
      <c r="K562" s="55"/>
    </row>
    <row r="563">
      <c r="A563" s="150"/>
      <c r="B563" s="55"/>
      <c r="C563" s="55"/>
      <c r="D563" s="55"/>
      <c r="E563" s="55"/>
      <c r="F563" s="55"/>
      <c r="G563" s="55"/>
      <c r="H563" s="55"/>
      <c r="I563" s="55"/>
      <c r="J563" s="55"/>
      <c r="K563" s="55"/>
    </row>
    <row r="564">
      <c r="A564" s="150"/>
      <c r="B564" s="55"/>
      <c r="C564" s="55"/>
      <c r="D564" s="55"/>
      <c r="E564" s="55"/>
      <c r="F564" s="55"/>
      <c r="G564" s="55"/>
      <c r="H564" s="55"/>
      <c r="I564" s="55"/>
      <c r="J564" s="55"/>
      <c r="K564" s="55"/>
    </row>
    <row r="565">
      <c r="A565" s="150"/>
      <c r="B565" s="55"/>
      <c r="C565" s="55"/>
      <c r="D565" s="55"/>
      <c r="E565" s="55"/>
      <c r="F565" s="55"/>
      <c r="G565" s="55"/>
      <c r="H565" s="55"/>
      <c r="I565" s="55"/>
      <c r="J565" s="55"/>
      <c r="K565" s="55"/>
    </row>
    <row r="566">
      <c r="A566" s="150"/>
      <c r="B566" s="55"/>
      <c r="C566" s="55"/>
      <c r="D566" s="55"/>
      <c r="E566" s="55"/>
      <c r="F566" s="55"/>
      <c r="G566" s="55"/>
      <c r="H566" s="55"/>
      <c r="I566" s="55"/>
      <c r="J566" s="55"/>
      <c r="K566" s="55"/>
    </row>
    <row r="567">
      <c r="A567" s="150"/>
      <c r="B567" s="55"/>
      <c r="C567" s="55"/>
      <c r="D567" s="55"/>
      <c r="E567" s="55"/>
      <c r="F567" s="55"/>
      <c r="G567" s="55"/>
      <c r="H567" s="55"/>
      <c r="I567" s="55"/>
      <c r="J567" s="55"/>
      <c r="K567" s="55"/>
    </row>
    <row r="568">
      <c r="A568" s="150"/>
      <c r="B568" s="55"/>
      <c r="C568" s="55"/>
      <c r="D568" s="55"/>
      <c r="E568" s="55"/>
      <c r="F568" s="55"/>
      <c r="G568" s="55"/>
      <c r="H568" s="55"/>
      <c r="I568" s="55"/>
      <c r="J568" s="55"/>
      <c r="K568" s="55"/>
    </row>
    <row r="569">
      <c r="A569" s="150"/>
      <c r="B569" s="55"/>
      <c r="C569" s="55"/>
      <c r="D569" s="55"/>
      <c r="E569" s="55"/>
      <c r="F569" s="55"/>
      <c r="G569" s="55"/>
      <c r="H569" s="55"/>
      <c r="I569" s="55"/>
      <c r="J569" s="55"/>
      <c r="K569" s="55"/>
    </row>
    <row r="570">
      <c r="A570" s="150"/>
      <c r="B570" s="55"/>
      <c r="C570" s="55"/>
      <c r="D570" s="55"/>
      <c r="E570" s="55"/>
      <c r="F570" s="55"/>
      <c r="G570" s="55"/>
      <c r="H570" s="55"/>
      <c r="I570" s="55"/>
      <c r="J570" s="55"/>
      <c r="K570" s="55"/>
    </row>
    <row r="571">
      <c r="A571" s="150"/>
      <c r="B571" s="55"/>
      <c r="C571" s="55"/>
      <c r="D571" s="55"/>
      <c r="E571" s="55"/>
      <c r="F571" s="55"/>
      <c r="G571" s="55"/>
      <c r="H571" s="55"/>
      <c r="I571" s="55"/>
      <c r="J571" s="55"/>
      <c r="K571" s="55"/>
    </row>
    <row r="572">
      <c r="A572" s="150"/>
      <c r="B572" s="55"/>
      <c r="C572" s="55"/>
      <c r="D572" s="55"/>
      <c r="E572" s="55"/>
      <c r="F572" s="55"/>
      <c r="G572" s="55"/>
      <c r="H572" s="55"/>
      <c r="I572" s="55"/>
      <c r="J572" s="55"/>
      <c r="K572" s="55"/>
    </row>
    <row r="573">
      <c r="A573" s="150"/>
      <c r="B573" s="55"/>
      <c r="C573" s="55"/>
      <c r="D573" s="55"/>
      <c r="E573" s="55"/>
      <c r="F573" s="55"/>
      <c r="G573" s="55"/>
      <c r="H573" s="55"/>
      <c r="I573" s="55"/>
      <c r="J573" s="55"/>
      <c r="K573" s="55"/>
    </row>
    <row r="574">
      <c r="A574" s="150"/>
      <c r="B574" s="55"/>
      <c r="C574" s="55"/>
      <c r="D574" s="55"/>
      <c r="E574" s="55"/>
      <c r="F574" s="55"/>
      <c r="G574" s="55"/>
      <c r="H574" s="55"/>
      <c r="I574" s="55"/>
      <c r="J574" s="55"/>
      <c r="K574" s="55"/>
    </row>
    <row r="575">
      <c r="A575" s="150"/>
      <c r="B575" s="55"/>
      <c r="C575" s="55"/>
      <c r="D575" s="55"/>
      <c r="E575" s="55"/>
      <c r="F575" s="55"/>
      <c r="G575" s="55"/>
      <c r="H575" s="55"/>
      <c r="I575" s="55"/>
      <c r="J575" s="55"/>
      <c r="K575" s="55"/>
    </row>
    <row r="576">
      <c r="A576" s="150"/>
      <c r="B576" s="55"/>
      <c r="C576" s="55"/>
      <c r="D576" s="55"/>
      <c r="E576" s="55"/>
      <c r="F576" s="55"/>
      <c r="G576" s="55"/>
      <c r="H576" s="55"/>
      <c r="I576" s="55"/>
      <c r="J576" s="55"/>
      <c r="K576" s="55"/>
    </row>
    <row r="577">
      <c r="A577" s="150"/>
      <c r="B577" s="55"/>
      <c r="C577" s="55"/>
      <c r="D577" s="55"/>
      <c r="E577" s="55"/>
      <c r="F577" s="55"/>
      <c r="G577" s="55"/>
      <c r="H577" s="55"/>
      <c r="I577" s="55"/>
      <c r="J577" s="55"/>
      <c r="K577" s="55"/>
    </row>
    <row r="578">
      <c r="A578" s="150"/>
      <c r="B578" s="55"/>
      <c r="C578" s="55"/>
      <c r="D578" s="55"/>
      <c r="E578" s="55"/>
      <c r="F578" s="55"/>
      <c r="G578" s="55"/>
      <c r="H578" s="55"/>
      <c r="I578" s="55"/>
      <c r="J578" s="55"/>
      <c r="K578" s="55"/>
    </row>
    <row r="579">
      <c r="A579" s="150"/>
      <c r="B579" s="55"/>
      <c r="C579" s="55"/>
      <c r="D579" s="55"/>
      <c r="E579" s="55"/>
      <c r="F579" s="55"/>
      <c r="G579" s="55"/>
      <c r="H579" s="55"/>
      <c r="I579" s="55"/>
      <c r="J579" s="55"/>
      <c r="K579" s="55"/>
    </row>
    <row r="580">
      <c r="A580" s="150"/>
      <c r="B580" s="55"/>
      <c r="C580" s="55"/>
      <c r="D580" s="55"/>
      <c r="E580" s="55"/>
      <c r="F580" s="55"/>
      <c r="G580" s="55"/>
      <c r="H580" s="55"/>
      <c r="I580" s="55"/>
      <c r="J580" s="55"/>
      <c r="K580" s="55"/>
    </row>
    <row r="581">
      <c r="A581" s="150"/>
      <c r="B581" s="55"/>
      <c r="C581" s="55"/>
      <c r="D581" s="55"/>
      <c r="E581" s="55"/>
      <c r="F581" s="55"/>
      <c r="G581" s="55"/>
      <c r="H581" s="55"/>
      <c r="I581" s="55"/>
      <c r="J581" s="55"/>
      <c r="K581" s="55"/>
    </row>
    <row r="582">
      <c r="A582" s="150"/>
      <c r="B582" s="55"/>
      <c r="C582" s="55"/>
      <c r="D582" s="55"/>
      <c r="E582" s="55"/>
      <c r="F582" s="55"/>
      <c r="G582" s="55"/>
      <c r="H582" s="55"/>
      <c r="I582" s="55"/>
      <c r="J582" s="55"/>
      <c r="K582" s="55"/>
    </row>
    <row r="583">
      <c r="A583" s="150"/>
      <c r="B583" s="55"/>
      <c r="C583" s="55"/>
      <c r="D583" s="55"/>
      <c r="E583" s="55"/>
      <c r="F583" s="55"/>
      <c r="G583" s="55"/>
      <c r="H583" s="55"/>
      <c r="I583" s="55"/>
      <c r="J583" s="55"/>
      <c r="K583" s="55"/>
    </row>
    <row r="584">
      <c r="A584" s="150"/>
      <c r="B584" s="55"/>
      <c r="C584" s="55"/>
      <c r="D584" s="55"/>
      <c r="E584" s="55"/>
      <c r="F584" s="55"/>
      <c r="G584" s="55"/>
      <c r="H584" s="55"/>
      <c r="I584" s="55"/>
      <c r="J584" s="55"/>
      <c r="K584" s="55"/>
    </row>
    <row r="585">
      <c r="A585" s="150"/>
      <c r="B585" s="55"/>
      <c r="C585" s="55"/>
      <c r="D585" s="55"/>
      <c r="E585" s="55"/>
      <c r="F585" s="55"/>
      <c r="G585" s="55"/>
      <c r="H585" s="55"/>
      <c r="I585" s="55"/>
      <c r="J585" s="55"/>
      <c r="K585" s="55"/>
    </row>
    <row r="586">
      <c r="A586" s="150"/>
      <c r="B586" s="55"/>
      <c r="C586" s="55"/>
      <c r="D586" s="55"/>
      <c r="E586" s="55"/>
      <c r="F586" s="55"/>
      <c r="G586" s="55"/>
      <c r="H586" s="55"/>
      <c r="I586" s="55"/>
      <c r="J586" s="55"/>
      <c r="K586" s="55"/>
    </row>
    <row r="587">
      <c r="A587" s="150"/>
      <c r="B587" s="55"/>
      <c r="C587" s="55"/>
      <c r="D587" s="55"/>
      <c r="E587" s="55"/>
      <c r="F587" s="55"/>
      <c r="G587" s="55"/>
      <c r="H587" s="55"/>
      <c r="I587" s="55"/>
      <c r="J587" s="55"/>
      <c r="K587" s="55"/>
    </row>
    <row r="588">
      <c r="A588" s="150"/>
      <c r="B588" s="55"/>
      <c r="C588" s="55"/>
      <c r="D588" s="55"/>
      <c r="E588" s="55"/>
      <c r="F588" s="55"/>
      <c r="G588" s="55"/>
      <c r="H588" s="55"/>
      <c r="I588" s="55"/>
      <c r="J588" s="55"/>
      <c r="K588" s="55"/>
    </row>
    <row r="589">
      <c r="A589" s="150"/>
      <c r="B589" s="55"/>
      <c r="C589" s="55"/>
      <c r="D589" s="55"/>
      <c r="E589" s="55"/>
      <c r="F589" s="55"/>
      <c r="G589" s="55"/>
      <c r="H589" s="55"/>
      <c r="I589" s="55"/>
      <c r="J589" s="55"/>
      <c r="K589" s="55"/>
    </row>
    <row r="590">
      <c r="A590" s="150"/>
      <c r="B590" s="55"/>
      <c r="C590" s="55"/>
      <c r="D590" s="55"/>
      <c r="E590" s="55"/>
      <c r="F590" s="55"/>
      <c r="G590" s="55"/>
      <c r="H590" s="55"/>
      <c r="I590" s="55"/>
      <c r="J590" s="55"/>
      <c r="K590" s="55"/>
    </row>
    <row r="591">
      <c r="A591" s="150"/>
      <c r="B591" s="55"/>
      <c r="C591" s="55"/>
      <c r="D591" s="55"/>
      <c r="E591" s="55"/>
      <c r="F591" s="55"/>
      <c r="G591" s="55"/>
      <c r="H591" s="55"/>
      <c r="I591" s="55"/>
      <c r="J591" s="55"/>
      <c r="K591" s="55"/>
    </row>
    <row r="592">
      <c r="A592" s="150"/>
      <c r="B592" s="55"/>
      <c r="C592" s="55"/>
      <c r="D592" s="55"/>
      <c r="E592" s="55"/>
      <c r="F592" s="55"/>
      <c r="G592" s="55"/>
      <c r="H592" s="55"/>
      <c r="I592" s="55"/>
      <c r="J592" s="55"/>
      <c r="K592" s="55"/>
    </row>
    <row r="593">
      <c r="A593" s="150"/>
      <c r="B593" s="55"/>
      <c r="C593" s="55"/>
      <c r="D593" s="55"/>
      <c r="E593" s="55"/>
      <c r="F593" s="55"/>
      <c r="G593" s="55"/>
      <c r="H593" s="55"/>
      <c r="I593" s="55"/>
      <c r="J593" s="55"/>
      <c r="K593" s="55"/>
    </row>
    <row r="594">
      <c r="A594" s="150"/>
      <c r="B594" s="55"/>
      <c r="C594" s="55"/>
      <c r="D594" s="55"/>
      <c r="E594" s="55"/>
      <c r="F594" s="55"/>
      <c r="G594" s="55"/>
      <c r="H594" s="55"/>
      <c r="I594" s="55"/>
      <c r="J594" s="55"/>
      <c r="K594" s="55"/>
    </row>
    <row r="595">
      <c r="A595" s="150"/>
      <c r="B595" s="55"/>
      <c r="C595" s="55"/>
      <c r="D595" s="55"/>
      <c r="E595" s="55"/>
      <c r="F595" s="55"/>
      <c r="G595" s="55"/>
      <c r="H595" s="55"/>
      <c r="I595" s="55"/>
      <c r="J595" s="55"/>
      <c r="K595" s="55"/>
    </row>
    <row r="596">
      <c r="A596" s="150"/>
      <c r="B596" s="55"/>
      <c r="C596" s="55"/>
      <c r="D596" s="55"/>
      <c r="E596" s="55"/>
      <c r="F596" s="55"/>
      <c r="G596" s="55"/>
      <c r="H596" s="55"/>
      <c r="I596" s="55"/>
      <c r="J596" s="55"/>
      <c r="K596" s="55"/>
    </row>
    <row r="597">
      <c r="A597" s="150"/>
      <c r="B597" s="55"/>
      <c r="C597" s="55"/>
      <c r="D597" s="55"/>
      <c r="E597" s="55"/>
      <c r="F597" s="55"/>
      <c r="G597" s="55"/>
      <c r="H597" s="55"/>
      <c r="I597" s="55"/>
      <c r="J597" s="55"/>
      <c r="K597" s="55"/>
    </row>
    <row r="598">
      <c r="A598" s="150"/>
      <c r="B598" s="55"/>
      <c r="C598" s="55"/>
      <c r="D598" s="55"/>
      <c r="E598" s="55"/>
      <c r="F598" s="55"/>
      <c r="G598" s="55"/>
      <c r="H598" s="55"/>
      <c r="I598" s="55"/>
      <c r="J598" s="55"/>
      <c r="K598" s="55"/>
    </row>
    <row r="599">
      <c r="A599" s="150"/>
      <c r="B599" s="55"/>
      <c r="C599" s="55"/>
      <c r="D599" s="55"/>
      <c r="E599" s="55"/>
      <c r="F599" s="55"/>
      <c r="G599" s="55"/>
      <c r="H599" s="55"/>
      <c r="I599" s="55"/>
      <c r="J599" s="55"/>
      <c r="K599" s="55"/>
    </row>
    <row r="600">
      <c r="A600" s="150"/>
      <c r="B600" s="55"/>
      <c r="C600" s="55"/>
      <c r="D600" s="55"/>
      <c r="E600" s="55"/>
      <c r="F600" s="55"/>
      <c r="G600" s="55"/>
      <c r="H600" s="55"/>
      <c r="I600" s="55"/>
      <c r="J600" s="55"/>
      <c r="K600" s="55"/>
    </row>
    <row r="601">
      <c r="A601" s="150"/>
      <c r="B601" s="55"/>
      <c r="C601" s="55"/>
      <c r="D601" s="55"/>
      <c r="E601" s="55"/>
      <c r="F601" s="55"/>
      <c r="G601" s="55"/>
      <c r="H601" s="55"/>
      <c r="I601" s="55"/>
      <c r="J601" s="55"/>
      <c r="K601" s="55"/>
    </row>
    <row r="602">
      <c r="A602" s="150"/>
      <c r="B602" s="55"/>
      <c r="C602" s="55"/>
      <c r="D602" s="55"/>
      <c r="E602" s="55"/>
      <c r="F602" s="55"/>
      <c r="G602" s="55"/>
      <c r="H602" s="55"/>
      <c r="I602" s="55"/>
      <c r="J602" s="55"/>
      <c r="K602" s="55"/>
    </row>
    <row r="603">
      <c r="A603" s="150"/>
      <c r="B603" s="55"/>
      <c r="C603" s="55"/>
      <c r="D603" s="55"/>
      <c r="E603" s="55"/>
      <c r="F603" s="55"/>
      <c r="G603" s="55"/>
      <c r="H603" s="55"/>
      <c r="I603" s="55"/>
      <c r="J603" s="55"/>
      <c r="K603" s="55"/>
    </row>
    <row r="604">
      <c r="A604" s="150"/>
      <c r="B604" s="55"/>
      <c r="C604" s="55"/>
      <c r="D604" s="55"/>
      <c r="E604" s="55"/>
      <c r="F604" s="55"/>
      <c r="G604" s="55"/>
      <c r="H604" s="55"/>
      <c r="I604" s="55"/>
      <c r="J604" s="55"/>
      <c r="K604" s="55"/>
    </row>
    <row r="605">
      <c r="A605" s="150"/>
      <c r="B605" s="55"/>
      <c r="C605" s="55"/>
      <c r="D605" s="55"/>
      <c r="E605" s="55"/>
      <c r="F605" s="55"/>
      <c r="G605" s="55"/>
      <c r="H605" s="55"/>
      <c r="I605" s="55"/>
      <c r="J605" s="55"/>
      <c r="K605" s="55"/>
    </row>
    <row r="606">
      <c r="A606" s="150"/>
      <c r="B606" s="55"/>
      <c r="C606" s="55"/>
      <c r="D606" s="55"/>
      <c r="E606" s="55"/>
      <c r="F606" s="55"/>
      <c r="G606" s="55"/>
      <c r="H606" s="55"/>
      <c r="I606" s="55"/>
      <c r="J606" s="55"/>
      <c r="K606" s="55"/>
    </row>
    <row r="607">
      <c r="A607" s="150"/>
      <c r="B607" s="55"/>
      <c r="C607" s="55"/>
      <c r="D607" s="55"/>
      <c r="E607" s="55"/>
      <c r="F607" s="55"/>
      <c r="G607" s="55"/>
      <c r="H607" s="55"/>
      <c r="I607" s="55"/>
      <c r="J607" s="55"/>
      <c r="K607" s="55"/>
    </row>
    <row r="608">
      <c r="A608" s="150"/>
      <c r="B608" s="55"/>
      <c r="C608" s="55"/>
      <c r="D608" s="55"/>
      <c r="E608" s="55"/>
      <c r="F608" s="55"/>
      <c r="G608" s="55"/>
      <c r="H608" s="55"/>
      <c r="I608" s="55"/>
      <c r="J608" s="55"/>
      <c r="K608" s="55"/>
    </row>
    <row r="609">
      <c r="A609" s="150"/>
      <c r="B609" s="55"/>
      <c r="C609" s="55"/>
      <c r="D609" s="55"/>
      <c r="E609" s="55"/>
      <c r="F609" s="55"/>
      <c r="G609" s="55"/>
      <c r="H609" s="55"/>
      <c r="I609" s="55"/>
      <c r="J609" s="55"/>
      <c r="K609" s="55"/>
    </row>
    <row r="610">
      <c r="A610" s="150"/>
      <c r="B610" s="55"/>
      <c r="C610" s="55"/>
      <c r="D610" s="55"/>
      <c r="E610" s="55"/>
      <c r="F610" s="55"/>
      <c r="G610" s="55"/>
      <c r="H610" s="55"/>
      <c r="I610" s="55"/>
      <c r="J610" s="55"/>
      <c r="K610" s="55"/>
    </row>
    <row r="611">
      <c r="A611" s="150"/>
      <c r="B611" s="55"/>
      <c r="C611" s="55"/>
      <c r="D611" s="55"/>
      <c r="E611" s="55"/>
      <c r="F611" s="55"/>
      <c r="G611" s="55"/>
      <c r="H611" s="55"/>
      <c r="I611" s="55"/>
      <c r="J611" s="55"/>
      <c r="K611" s="55"/>
    </row>
    <row r="612">
      <c r="A612" s="150"/>
      <c r="B612" s="55"/>
      <c r="C612" s="55"/>
      <c r="D612" s="55"/>
      <c r="E612" s="55"/>
      <c r="F612" s="55"/>
      <c r="G612" s="55"/>
      <c r="H612" s="55"/>
      <c r="I612" s="55"/>
      <c r="J612" s="55"/>
      <c r="K612" s="55"/>
    </row>
    <row r="613">
      <c r="A613" s="150"/>
      <c r="B613" s="55"/>
      <c r="C613" s="55"/>
      <c r="D613" s="55"/>
      <c r="E613" s="55"/>
      <c r="F613" s="55"/>
      <c r="G613" s="55"/>
      <c r="H613" s="55"/>
      <c r="I613" s="55"/>
      <c r="J613" s="55"/>
      <c r="K613" s="55"/>
    </row>
    <row r="614">
      <c r="A614" s="150"/>
      <c r="B614" s="55"/>
      <c r="C614" s="55"/>
      <c r="D614" s="55"/>
      <c r="E614" s="55"/>
      <c r="F614" s="55"/>
      <c r="G614" s="55"/>
      <c r="H614" s="55"/>
      <c r="I614" s="55"/>
      <c r="J614" s="55"/>
      <c r="K614" s="55"/>
    </row>
    <row r="615">
      <c r="A615" s="150"/>
      <c r="B615" s="55"/>
      <c r="C615" s="55"/>
      <c r="D615" s="55"/>
      <c r="E615" s="55"/>
      <c r="F615" s="55"/>
      <c r="G615" s="55"/>
      <c r="H615" s="55"/>
      <c r="I615" s="55"/>
      <c r="J615" s="55"/>
      <c r="K615" s="55"/>
    </row>
    <row r="616">
      <c r="A616" s="150"/>
      <c r="B616" s="55"/>
      <c r="C616" s="55"/>
      <c r="D616" s="55"/>
      <c r="E616" s="55"/>
      <c r="F616" s="55"/>
      <c r="G616" s="55"/>
      <c r="H616" s="55"/>
      <c r="I616" s="55"/>
      <c r="J616" s="55"/>
      <c r="K616" s="55"/>
    </row>
    <row r="617">
      <c r="A617" s="150"/>
      <c r="B617" s="55"/>
      <c r="C617" s="55"/>
      <c r="D617" s="55"/>
      <c r="E617" s="55"/>
      <c r="F617" s="55"/>
      <c r="G617" s="55"/>
      <c r="H617" s="55"/>
      <c r="I617" s="55"/>
      <c r="J617" s="55"/>
      <c r="K617" s="55"/>
    </row>
    <row r="618">
      <c r="A618" s="150"/>
      <c r="B618" s="55"/>
      <c r="C618" s="55"/>
      <c r="D618" s="55"/>
      <c r="E618" s="55"/>
      <c r="F618" s="55"/>
      <c r="G618" s="55"/>
      <c r="H618" s="55"/>
      <c r="I618" s="55"/>
      <c r="J618" s="55"/>
      <c r="K618" s="55"/>
    </row>
    <row r="619">
      <c r="A619" s="150"/>
      <c r="B619" s="55"/>
      <c r="C619" s="55"/>
      <c r="D619" s="55"/>
      <c r="E619" s="55"/>
      <c r="F619" s="55"/>
      <c r="G619" s="55"/>
      <c r="H619" s="55"/>
      <c r="I619" s="55"/>
      <c r="J619" s="55"/>
      <c r="K619" s="55"/>
    </row>
    <row r="620">
      <c r="A620" s="150"/>
      <c r="B620" s="55"/>
      <c r="C620" s="55"/>
      <c r="D620" s="55"/>
      <c r="E620" s="55"/>
      <c r="F620" s="55"/>
      <c r="G620" s="55"/>
      <c r="H620" s="55"/>
      <c r="I620" s="55"/>
      <c r="J620" s="55"/>
      <c r="K620" s="55"/>
    </row>
    <row r="621">
      <c r="A621" s="150"/>
      <c r="B621" s="55"/>
      <c r="C621" s="55"/>
      <c r="D621" s="55"/>
      <c r="E621" s="55"/>
      <c r="F621" s="55"/>
      <c r="G621" s="55"/>
      <c r="H621" s="55"/>
      <c r="I621" s="55"/>
      <c r="J621" s="55"/>
      <c r="K621" s="55"/>
    </row>
    <row r="622">
      <c r="A622" s="150"/>
      <c r="B622" s="55"/>
      <c r="C622" s="55"/>
      <c r="D622" s="55"/>
      <c r="E622" s="55"/>
      <c r="F622" s="55"/>
      <c r="G622" s="55"/>
      <c r="H622" s="55"/>
      <c r="I622" s="55"/>
      <c r="J622" s="55"/>
      <c r="K622" s="55"/>
    </row>
    <row r="623">
      <c r="A623" s="150"/>
      <c r="B623" s="55"/>
      <c r="C623" s="55"/>
      <c r="D623" s="55"/>
      <c r="E623" s="55"/>
      <c r="F623" s="55"/>
      <c r="G623" s="55"/>
      <c r="H623" s="55"/>
      <c r="I623" s="55"/>
      <c r="J623" s="55"/>
      <c r="K623" s="55"/>
    </row>
    <row r="624">
      <c r="A624" s="150"/>
      <c r="B624" s="55"/>
      <c r="C624" s="55"/>
      <c r="D624" s="55"/>
      <c r="E624" s="55"/>
      <c r="F624" s="55"/>
      <c r="G624" s="55"/>
      <c r="H624" s="55"/>
      <c r="I624" s="55"/>
      <c r="J624" s="55"/>
      <c r="K624" s="55"/>
    </row>
    <row r="625">
      <c r="A625" s="150"/>
      <c r="B625" s="55"/>
      <c r="C625" s="55"/>
      <c r="D625" s="55"/>
      <c r="E625" s="55"/>
      <c r="F625" s="55"/>
      <c r="G625" s="55"/>
      <c r="H625" s="55"/>
      <c r="I625" s="55"/>
      <c r="J625" s="55"/>
      <c r="K625" s="55"/>
    </row>
    <row r="626">
      <c r="A626" s="150"/>
      <c r="B626" s="55"/>
      <c r="C626" s="55"/>
      <c r="D626" s="55"/>
      <c r="E626" s="55"/>
      <c r="F626" s="55"/>
      <c r="G626" s="55"/>
      <c r="H626" s="55"/>
      <c r="I626" s="55"/>
      <c r="J626" s="55"/>
      <c r="K626" s="55"/>
    </row>
    <row r="627">
      <c r="A627" s="150"/>
      <c r="B627" s="55"/>
      <c r="C627" s="55"/>
      <c r="D627" s="55"/>
      <c r="E627" s="55"/>
      <c r="F627" s="55"/>
      <c r="G627" s="55"/>
      <c r="H627" s="55"/>
      <c r="I627" s="55"/>
      <c r="J627" s="55"/>
      <c r="K627" s="55"/>
    </row>
    <row r="628">
      <c r="A628" s="150"/>
      <c r="B628" s="55"/>
      <c r="C628" s="55"/>
      <c r="D628" s="55"/>
      <c r="E628" s="55"/>
      <c r="F628" s="55"/>
      <c r="G628" s="55"/>
      <c r="H628" s="55"/>
      <c r="I628" s="55"/>
      <c r="J628" s="55"/>
      <c r="K628" s="55"/>
    </row>
    <row r="629">
      <c r="A629" s="150"/>
      <c r="B629" s="55"/>
      <c r="C629" s="55"/>
      <c r="D629" s="55"/>
      <c r="E629" s="55"/>
      <c r="F629" s="55"/>
      <c r="G629" s="55"/>
      <c r="H629" s="55"/>
      <c r="I629" s="55"/>
      <c r="J629" s="55"/>
      <c r="K629" s="55"/>
    </row>
    <row r="630">
      <c r="A630" s="150"/>
      <c r="B630" s="55"/>
      <c r="C630" s="55"/>
      <c r="D630" s="55"/>
      <c r="E630" s="55"/>
      <c r="F630" s="55"/>
      <c r="G630" s="55"/>
      <c r="H630" s="55"/>
      <c r="I630" s="55"/>
      <c r="J630" s="55"/>
      <c r="K630" s="55"/>
    </row>
    <row r="631">
      <c r="A631" s="150"/>
      <c r="B631" s="55"/>
      <c r="C631" s="55"/>
      <c r="D631" s="55"/>
      <c r="E631" s="55"/>
      <c r="F631" s="55"/>
      <c r="G631" s="55"/>
      <c r="H631" s="55"/>
      <c r="I631" s="55"/>
      <c r="J631" s="55"/>
      <c r="K631" s="55"/>
    </row>
    <row r="632">
      <c r="A632" s="150"/>
      <c r="B632" s="55"/>
      <c r="C632" s="55"/>
      <c r="D632" s="55"/>
      <c r="E632" s="55"/>
      <c r="F632" s="55"/>
      <c r="G632" s="55"/>
      <c r="H632" s="55"/>
      <c r="I632" s="55"/>
      <c r="J632" s="55"/>
      <c r="K632" s="55"/>
    </row>
    <row r="633">
      <c r="A633" s="150"/>
      <c r="B633" s="55"/>
      <c r="C633" s="55"/>
      <c r="D633" s="55"/>
      <c r="E633" s="55"/>
      <c r="F633" s="55"/>
      <c r="G633" s="55"/>
      <c r="H633" s="55"/>
      <c r="I633" s="55"/>
      <c r="J633" s="55"/>
      <c r="K633" s="55"/>
    </row>
    <row r="634">
      <c r="A634" s="150"/>
      <c r="B634" s="55"/>
      <c r="C634" s="55"/>
      <c r="D634" s="55"/>
      <c r="E634" s="55"/>
      <c r="F634" s="55"/>
      <c r="G634" s="55"/>
      <c r="H634" s="55"/>
      <c r="I634" s="55"/>
      <c r="J634" s="55"/>
      <c r="K634" s="55"/>
    </row>
    <row r="635">
      <c r="A635" s="150"/>
      <c r="B635" s="55"/>
      <c r="C635" s="55"/>
      <c r="D635" s="55"/>
      <c r="E635" s="55"/>
      <c r="F635" s="55"/>
      <c r="G635" s="55"/>
      <c r="H635" s="55"/>
      <c r="I635" s="55"/>
      <c r="J635" s="55"/>
      <c r="K635" s="55"/>
    </row>
    <row r="636">
      <c r="A636" s="150"/>
      <c r="B636" s="55"/>
      <c r="C636" s="55"/>
      <c r="D636" s="55"/>
      <c r="E636" s="55"/>
      <c r="F636" s="55"/>
      <c r="G636" s="55"/>
      <c r="H636" s="55"/>
      <c r="I636" s="55"/>
      <c r="J636" s="55"/>
      <c r="K636" s="55"/>
    </row>
    <row r="637">
      <c r="A637" s="150"/>
      <c r="B637" s="55"/>
      <c r="C637" s="55"/>
      <c r="D637" s="55"/>
      <c r="E637" s="55"/>
      <c r="F637" s="55"/>
      <c r="G637" s="55"/>
      <c r="H637" s="55"/>
      <c r="I637" s="55"/>
      <c r="J637" s="55"/>
      <c r="K637" s="55"/>
    </row>
    <row r="638">
      <c r="A638" s="150"/>
      <c r="B638" s="55"/>
      <c r="C638" s="55"/>
      <c r="D638" s="55"/>
      <c r="E638" s="55"/>
      <c r="F638" s="55"/>
      <c r="G638" s="55"/>
      <c r="H638" s="55"/>
      <c r="I638" s="55"/>
      <c r="J638" s="55"/>
      <c r="K638" s="55"/>
    </row>
    <row r="639">
      <c r="A639" s="150"/>
      <c r="B639" s="55"/>
      <c r="C639" s="55"/>
      <c r="D639" s="55"/>
      <c r="E639" s="55"/>
      <c r="F639" s="55"/>
      <c r="G639" s="55"/>
      <c r="H639" s="55"/>
      <c r="I639" s="55"/>
      <c r="J639" s="55"/>
      <c r="K639" s="55"/>
    </row>
    <row r="640">
      <c r="A640" s="150"/>
      <c r="B640" s="55"/>
      <c r="C640" s="55"/>
      <c r="D640" s="55"/>
      <c r="E640" s="55"/>
      <c r="F640" s="55"/>
      <c r="G640" s="55"/>
      <c r="H640" s="55"/>
      <c r="I640" s="55"/>
      <c r="J640" s="55"/>
      <c r="K640" s="55"/>
    </row>
    <row r="641">
      <c r="A641" s="150"/>
      <c r="B641" s="55"/>
      <c r="C641" s="55"/>
      <c r="D641" s="55"/>
      <c r="E641" s="55"/>
      <c r="F641" s="55"/>
      <c r="G641" s="55"/>
      <c r="H641" s="55"/>
      <c r="I641" s="55"/>
      <c r="J641" s="55"/>
      <c r="K641" s="55"/>
    </row>
    <row r="642">
      <c r="A642" s="150"/>
      <c r="B642" s="55"/>
      <c r="C642" s="55"/>
      <c r="D642" s="55"/>
      <c r="E642" s="55"/>
      <c r="F642" s="55"/>
      <c r="G642" s="55"/>
      <c r="H642" s="55"/>
      <c r="I642" s="55"/>
      <c r="J642" s="55"/>
      <c r="K642" s="55"/>
    </row>
    <row r="643">
      <c r="A643" s="150"/>
      <c r="B643" s="55"/>
      <c r="C643" s="55"/>
      <c r="D643" s="55"/>
      <c r="E643" s="55"/>
      <c r="F643" s="55"/>
      <c r="G643" s="55"/>
      <c r="H643" s="55"/>
      <c r="I643" s="55"/>
      <c r="J643" s="55"/>
      <c r="K643" s="55"/>
    </row>
    <row r="644">
      <c r="A644" s="150"/>
      <c r="B644" s="55"/>
      <c r="C644" s="55"/>
      <c r="D644" s="55"/>
      <c r="E644" s="55"/>
      <c r="F644" s="55"/>
      <c r="G644" s="55"/>
      <c r="H644" s="55"/>
      <c r="I644" s="55"/>
      <c r="J644" s="55"/>
      <c r="K644" s="55"/>
    </row>
    <row r="645">
      <c r="A645" s="150"/>
      <c r="B645" s="55"/>
      <c r="C645" s="55"/>
      <c r="D645" s="55"/>
      <c r="E645" s="55"/>
      <c r="F645" s="55"/>
      <c r="G645" s="55"/>
      <c r="H645" s="55"/>
      <c r="I645" s="55"/>
      <c r="J645" s="55"/>
      <c r="K645" s="55"/>
    </row>
    <row r="646">
      <c r="A646" s="150"/>
      <c r="B646" s="55"/>
      <c r="C646" s="55"/>
      <c r="D646" s="55"/>
      <c r="E646" s="55"/>
      <c r="F646" s="55"/>
      <c r="G646" s="55"/>
      <c r="H646" s="55"/>
      <c r="I646" s="55"/>
      <c r="J646" s="55"/>
      <c r="K646" s="55"/>
    </row>
    <row r="647">
      <c r="A647" s="150"/>
      <c r="B647" s="55"/>
      <c r="C647" s="55"/>
      <c r="D647" s="55"/>
      <c r="E647" s="55"/>
      <c r="F647" s="55"/>
      <c r="G647" s="55"/>
      <c r="H647" s="55"/>
      <c r="I647" s="55"/>
      <c r="J647" s="55"/>
      <c r="K647" s="55"/>
    </row>
    <row r="648">
      <c r="A648" s="150"/>
      <c r="B648" s="55"/>
      <c r="C648" s="55"/>
      <c r="D648" s="55"/>
      <c r="E648" s="55"/>
      <c r="F648" s="55"/>
      <c r="G648" s="55"/>
      <c r="H648" s="55"/>
      <c r="I648" s="55"/>
      <c r="J648" s="55"/>
      <c r="K648" s="55"/>
    </row>
    <row r="649">
      <c r="A649" s="150"/>
      <c r="B649" s="55"/>
      <c r="C649" s="55"/>
      <c r="D649" s="55"/>
      <c r="E649" s="55"/>
      <c r="F649" s="55"/>
      <c r="G649" s="55"/>
      <c r="H649" s="55"/>
      <c r="I649" s="55"/>
      <c r="J649" s="55"/>
      <c r="K649" s="55"/>
    </row>
    <row r="650">
      <c r="A650" s="150"/>
      <c r="B650" s="55"/>
      <c r="C650" s="55"/>
      <c r="D650" s="55"/>
      <c r="E650" s="55"/>
      <c r="F650" s="55"/>
      <c r="G650" s="55"/>
      <c r="H650" s="55"/>
      <c r="I650" s="55"/>
      <c r="J650" s="55"/>
      <c r="K650" s="55"/>
    </row>
    <row r="651">
      <c r="A651" s="150"/>
      <c r="B651" s="55"/>
      <c r="C651" s="55"/>
      <c r="D651" s="55"/>
      <c r="E651" s="55"/>
      <c r="F651" s="55"/>
      <c r="G651" s="55"/>
      <c r="H651" s="55"/>
      <c r="I651" s="55"/>
      <c r="J651" s="55"/>
      <c r="K651" s="55"/>
    </row>
    <row r="652">
      <c r="A652" s="150"/>
      <c r="B652" s="55"/>
      <c r="C652" s="55"/>
      <c r="D652" s="55"/>
      <c r="E652" s="55"/>
      <c r="F652" s="55"/>
      <c r="G652" s="55"/>
      <c r="H652" s="55"/>
      <c r="I652" s="55"/>
      <c r="J652" s="55"/>
      <c r="K652" s="55"/>
    </row>
    <row r="653">
      <c r="A653" s="150"/>
      <c r="B653" s="55"/>
      <c r="C653" s="55"/>
      <c r="D653" s="55"/>
      <c r="E653" s="55"/>
      <c r="F653" s="55"/>
      <c r="G653" s="55"/>
      <c r="H653" s="55"/>
      <c r="I653" s="55"/>
      <c r="J653" s="55"/>
      <c r="K653" s="55"/>
    </row>
    <row r="654">
      <c r="A654" s="150"/>
      <c r="B654" s="55"/>
      <c r="C654" s="55"/>
      <c r="D654" s="55"/>
      <c r="E654" s="55"/>
      <c r="F654" s="55"/>
      <c r="G654" s="55"/>
      <c r="H654" s="55"/>
      <c r="I654" s="55"/>
      <c r="J654" s="55"/>
      <c r="K654" s="55"/>
    </row>
    <row r="655">
      <c r="A655" s="150"/>
      <c r="B655" s="55"/>
      <c r="C655" s="55"/>
      <c r="D655" s="55"/>
      <c r="E655" s="55"/>
      <c r="F655" s="55"/>
      <c r="G655" s="55"/>
      <c r="H655" s="55"/>
      <c r="I655" s="55"/>
      <c r="J655" s="55"/>
      <c r="K655" s="55"/>
    </row>
    <row r="656">
      <c r="A656" s="150"/>
      <c r="B656" s="55"/>
      <c r="C656" s="55"/>
      <c r="D656" s="55"/>
      <c r="E656" s="55"/>
      <c r="F656" s="55"/>
      <c r="G656" s="55"/>
      <c r="H656" s="55"/>
      <c r="I656" s="55"/>
      <c r="J656" s="55"/>
      <c r="K656" s="55"/>
    </row>
    <row r="657">
      <c r="A657" s="150"/>
      <c r="B657" s="55"/>
      <c r="C657" s="55"/>
      <c r="D657" s="55"/>
      <c r="E657" s="55"/>
      <c r="F657" s="55"/>
      <c r="G657" s="55"/>
      <c r="H657" s="55"/>
      <c r="I657" s="55"/>
      <c r="J657" s="55"/>
      <c r="K657" s="55"/>
    </row>
    <row r="658">
      <c r="A658" s="150"/>
      <c r="B658" s="55"/>
      <c r="C658" s="55"/>
      <c r="D658" s="55"/>
      <c r="E658" s="55"/>
      <c r="F658" s="55"/>
      <c r="G658" s="55"/>
      <c r="H658" s="55"/>
      <c r="I658" s="55"/>
      <c r="J658" s="55"/>
      <c r="K658" s="55"/>
    </row>
    <row r="659">
      <c r="A659" s="150"/>
      <c r="B659" s="55"/>
      <c r="C659" s="55"/>
      <c r="D659" s="55"/>
      <c r="E659" s="55"/>
      <c r="F659" s="55"/>
      <c r="G659" s="55"/>
      <c r="H659" s="55"/>
      <c r="I659" s="55"/>
      <c r="J659" s="55"/>
      <c r="K659" s="55"/>
    </row>
    <row r="660">
      <c r="A660" s="150"/>
      <c r="B660" s="55"/>
      <c r="C660" s="55"/>
      <c r="D660" s="55"/>
      <c r="E660" s="55"/>
      <c r="F660" s="55"/>
      <c r="G660" s="55"/>
      <c r="H660" s="55"/>
      <c r="I660" s="55"/>
      <c r="J660" s="55"/>
      <c r="K660" s="55"/>
    </row>
    <row r="661">
      <c r="A661" s="150"/>
      <c r="B661" s="55"/>
      <c r="C661" s="55"/>
      <c r="D661" s="55"/>
      <c r="E661" s="55"/>
      <c r="F661" s="55"/>
      <c r="G661" s="55"/>
      <c r="H661" s="55"/>
      <c r="I661" s="55"/>
      <c r="J661" s="55"/>
      <c r="K661" s="55"/>
    </row>
    <row r="662">
      <c r="A662" s="150"/>
      <c r="B662" s="55"/>
      <c r="C662" s="55"/>
      <c r="D662" s="55"/>
      <c r="E662" s="55"/>
      <c r="F662" s="55"/>
      <c r="G662" s="55"/>
      <c r="H662" s="55"/>
      <c r="I662" s="55"/>
      <c r="J662" s="55"/>
      <c r="K662" s="55"/>
    </row>
    <row r="663">
      <c r="A663" s="150"/>
      <c r="B663" s="55"/>
      <c r="C663" s="55"/>
      <c r="D663" s="55"/>
      <c r="E663" s="55"/>
      <c r="F663" s="55"/>
      <c r="G663" s="55"/>
      <c r="H663" s="55"/>
      <c r="I663" s="55"/>
      <c r="J663" s="55"/>
      <c r="K663" s="55"/>
    </row>
    <row r="664">
      <c r="A664" s="150"/>
      <c r="B664" s="55"/>
      <c r="C664" s="55"/>
      <c r="D664" s="55"/>
      <c r="E664" s="55"/>
      <c r="F664" s="55"/>
      <c r="G664" s="55"/>
      <c r="H664" s="55"/>
      <c r="I664" s="55"/>
      <c r="J664" s="55"/>
      <c r="K664" s="55"/>
    </row>
    <row r="665">
      <c r="A665" s="150"/>
      <c r="B665" s="55"/>
      <c r="C665" s="55"/>
      <c r="D665" s="55"/>
      <c r="E665" s="55"/>
      <c r="F665" s="55"/>
      <c r="G665" s="55"/>
      <c r="H665" s="55"/>
      <c r="I665" s="55"/>
      <c r="J665" s="55"/>
      <c r="K665" s="55"/>
    </row>
    <row r="666">
      <c r="A666" s="150"/>
      <c r="B666" s="55"/>
      <c r="C666" s="55"/>
      <c r="D666" s="55"/>
      <c r="E666" s="55"/>
      <c r="F666" s="55"/>
      <c r="G666" s="55"/>
      <c r="H666" s="55"/>
      <c r="I666" s="55"/>
      <c r="J666" s="55"/>
      <c r="K666" s="55"/>
    </row>
    <row r="667">
      <c r="A667" s="150"/>
      <c r="B667" s="55"/>
      <c r="C667" s="55"/>
      <c r="D667" s="55"/>
      <c r="E667" s="55"/>
      <c r="F667" s="55"/>
      <c r="G667" s="55"/>
      <c r="H667" s="55"/>
      <c r="I667" s="55"/>
      <c r="J667" s="55"/>
      <c r="K667" s="55"/>
    </row>
    <row r="668">
      <c r="A668" s="150"/>
      <c r="B668" s="55"/>
      <c r="C668" s="55"/>
      <c r="D668" s="55"/>
      <c r="E668" s="55"/>
      <c r="F668" s="55"/>
      <c r="G668" s="55"/>
      <c r="H668" s="55"/>
      <c r="I668" s="55"/>
      <c r="J668" s="55"/>
      <c r="K668" s="55"/>
    </row>
    <row r="669">
      <c r="A669" s="150"/>
      <c r="B669" s="55"/>
      <c r="C669" s="55"/>
      <c r="D669" s="55"/>
      <c r="E669" s="55"/>
      <c r="F669" s="55"/>
      <c r="G669" s="55"/>
      <c r="H669" s="55"/>
      <c r="I669" s="55"/>
      <c r="J669" s="55"/>
      <c r="K669" s="55"/>
    </row>
    <row r="670">
      <c r="A670" s="150"/>
      <c r="B670" s="55"/>
      <c r="C670" s="55"/>
      <c r="D670" s="55"/>
      <c r="E670" s="55"/>
      <c r="F670" s="55"/>
      <c r="G670" s="55"/>
      <c r="H670" s="55"/>
      <c r="I670" s="55"/>
      <c r="J670" s="55"/>
      <c r="K670" s="55"/>
    </row>
    <row r="671">
      <c r="A671" s="150"/>
      <c r="B671" s="55"/>
      <c r="C671" s="55"/>
      <c r="D671" s="55"/>
      <c r="E671" s="55"/>
      <c r="F671" s="55"/>
      <c r="G671" s="55"/>
      <c r="H671" s="55"/>
      <c r="I671" s="55"/>
      <c r="J671" s="55"/>
      <c r="K671" s="55"/>
    </row>
    <row r="672">
      <c r="A672" s="150"/>
      <c r="B672" s="55"/>
      <c r="C672" s="55"/>
      <c r="D672" s="55"/>
      <c r="E672" s="55"/>
      <c r="F672" s="55"/>
      <c r="G672" s="55"/>
      <c r="H672" s="55"/>
      <c r="I672" s="55"/>
      <c r="J672" s="55"/>
      <c r="K672" s="55"/>
    </row>
    <row r="673">
      <c r="A673" s="150"/>
      <c r="B673" s="55"/>
      <c r="C673" s="55"/>
      <c r="D673" s="55"/>
      <c r="E673" s="55"/>
      <c r="F673" s="55"/>
      <c r="G673" s="55"/>
      <c r="H673" s="55"/>
      <c r="I673" s="55"/>
      <c r="J673" s="55"/>
      <c r="K673" s="55"/>
    </row>
    <row r="674">
      <c r="A674" s="150"/>
      <c r="B674" s="55"/>
      <c r="C674" s="55"/>
      <c r="D674" s="55"/>
      <c r="E674" s="55"/>
      <c r="F674" s="55"/>
      <c r="G674" s="55"/>
      <c r="H674" s="55"/>
      <c r="I674" s="55"/>
      <c r="J674" s="55"/>
      <c r="K674" s="55"/>
    </row>
    <row r="675">
      <c r="A675" s="150"/>
      <c r="B675" s="55"/>
      <c r="C675" s="55"/>
      <c r="D675" s="55"/>
      <c r="E675" s="55"/>
      <c r="F675" s="55"/>
      <c r="G675" s="55"/>
      <c r="H675" s="55"/>
      <c r="I675" s="55"/>
      <c r="J675" s="55"/>
      <c r="K675" s="55"/>
    </row>
    <row r="676">
      <c r="A676" s="150"/>
      <c r="B676" s="55"/>
      <c r="C676" s="55"/>
      <c r="D676" s="55"/>
      <c r="E676" s="55"/>
      <c r="F676" s="55"/>
      <c r="G676" s="55"/>
      <c r="H676" s="55"/>
      <c r="I676" s="55"/>
      <c r="J676" s="55"/>
      <c r="K676" s="55"/>
    </row>
    <row r="677">
      <c r="A677" s="150"/>
      <c r="B677" s="55"/>
      <c r="C677" s="55"/>
      <c r="D677" s="55"/>
      <c r="E677" s="55"/>
      <c r="F677" s="55"/>
      <c r="G677" s="55"/>
      <c r="H677" s="55"/>
      <c r="I677" s="55"/>
      <c r="J677" s="55"/>
      <c r="K677" s="55"/>
    </row>
    <row r="678">
      <c r="A678" s="150"/>
      <c r="B678" s="55"/>
      <c r="C678" s="55"/>
      <c r="D678" s="55"/>
      <c r="E678" s="55"/>
      <c r="F678" s="55"/>
      <c r="G678" s="55"/>
      <c r="H678" s="55"/>
      <c r="I678" s="55"/>
      <c r="J678" s="55"/>
      <c r="K678" s="55"/>
    </row>
    <row r="679">
      <c r="A679" s="150"/>
      <c r="B679" s="55"/>
      <c r="C679" s="55"/>
      <c r="D679" s="55"/>
      <c r="E679" s="55"/>
      <c r="F679" s="55"/>
      <c r="G679" s="55"/>
      <c r="H679" s="55"/>
      <c r="I679" s="55"/>
      <c r="J679" s="55"/>
      <c r="K679" s="55"/>
    </row>
    <row r="680">
      <c r="A680" s="150"/>
      <c r="B680" s="55"/>
      <c r="C680" s="55"/>
      <c r="D680" s="55"/>
      <c r="E680" s="55"/>
      <c r="F680" s="55"/>
      <c r="G680" s="55"/>
      <c r="H680" s="55"/>
      <c r="I680" s="55"/>
      <c r="J680" s="55"/>
      <c r="K680" s="55"/>
    </row>
    <row r="681">
      <c r="A681" s="150"/>
      <c r="B681" s="55"/>
      <c r="C681" s="55"/>
      <c r="D681" s="55"/>
      <c r="E681" s="55"/>
      <c r="F681" s="55"/>
      <c r="G681" s="55"/>
      <c r="H681" s="55"/>
      <c r="I681" s="55"/>
      <c r="J681" s="55"/>
      <c r="K681" s="55"/>
    </row>
    <row r="682">
      <c r="A682" s="150"/>
      <c r="B682" s="55"/>
      <c r="C682" s="55"/>
      <c r="D682" s="55"/>
      <c r="E682" s="55"/>
      <c r="F682" s="55"/>
      <c r="G682" s="55"/>
      <c r="H682" s="55"/>
      <c r="I682" s="55"/>
      <c r="J682" s="55"/>
      <c r="K682" s="55"/>
    </row>
    <row r="683">
      <c r="A683" s="150"/>
      <c r="B683" s="55"/>
      <c r="C683" s="55"/>
      <c r="D683" s="55"/>
      <c r="E683" s="55"/>
      <c r="F683" s="55"/>
      <c r="G683" s="55"/>
      <c r="H683" s="55"/>
      <c r="I683" s="55"/>
      <c r="J683" s="55"/>
      <c r="K683" s="55"/>
    </row>
    <row r="684">
      <c r="A684" s="150"/>
      <c r="B684" s="55"/>
      <c r="C684" s="55"/>
      <c r="D684" s="55"/>
      <c r="E684" s="55"/>
      <c r="F684" s="55"/>
      <c r="G684" s="55"/>
      <c r="H684" s="55"/>
      <c r="I684" s="55"/>
      <c r="J684" s="55"/>
      <c r="K684" s="55"/>
    </row>
    <row r="685">
      <c r="A685" s="150"/>
      <c r="B685" s="55"/>
      <c r="C685" s="55"/>
      <c r="D685" s="55"/>
      <c r="E685" s="55"/>
      <c r="F685" s="55"/>
      <c r="G685" s="55"/>
      <c r="H685" s="55"/>
      <c r="I685" s="55"/>
      <c r="J685" s="55"/>
      <c r="K685" s="55"/>
    </row>
    <row r="686">
      <c r="A686" s="150"/>
      <c r="B686" s="55"/>
      <c r="C686" s="55"/>
      <c r="D686" s="55"/>
      <c r="E686" s="55"/>
      <c r="F686" s="55"/>
      <c r="G686" s="55"/>
      <c r="H686" s="55"/>
      <c r="I686" s="55"/>
      <c r="J686" s="55"/>
      <c r="K686" s="55"/>
    </row>
    <row r="687">
      <c r="A687" s="150"/>
      <c r="B687" s="55"/>
      <c r="C687" s="55"/>
      <c r="D687" s="55"/>
      <c r="E687" s="55"/>
      <c r="F687" s="55"/>
      <c r="G687" s="55"/>
      <c r="H687" s="55"/>
      <c r="I687" s="55"/>
      <c r="J687" s="55"/>
      <c r="K687" s="55"/>
    </row>
    <row r="688">
      <c r="A688" s="150"/>
      <c r="B688" s="55"/>
      <c r="C688" s="55"/>
      <c r="D688" s="55"/>
      <c r="E688" s="55"/>
      <c r="F688" s="55"/>
      <c r="G688" s="55"/>
      <c r="H688" s="55"/>
      <c r="I688" s="55"/>
      <c r="J688" s="55"/>
      <c r="K688" s="55"/>
    </row>
    <row r="689">
      <c r="A689" s="150"/>
      <c r="B689" s="55"/>
      <c r="C689" s="55"/>
      <c r="D689" s="55"/>
      <c r="E689" s="55"/>
      <c r="F689" s="55"/>
      <c r="G689" s="55"/>
      <c r="H689" s="55"/>
      <c r="I689" s="55"/>
      <c r="J689" s="55"/>
      <c r="K689" s="55"/>
    </row>
    <row r="690">
      <c r="A690" s="150"/>
      <c r="B690" s="55"/>
      <c r="C690" s="55"/>
      <c r="D690" s="55"/>
      <c r="E690" s="55"/>
      <c r="F690" s="55"/>
      <c r="G690" s="55"/>
      <c r="H690" s="55"/>
      <c r="I690" s="55"/>
      <c r="J690" s="55"/>
      <c r="K690" s="55"/>
    </row>
    <row r="691">
      <c r="A691" s="150"/>
      <c r="B691" s="55"/>
      <c r="C691" s="55"/>
      <c r="D691" s="55"/>
      <c r="E691" s="55"/>
      <c r="F691" s="55"/>
      <c r="G691" s="55"/>
      <c r="H691" s="55"/>
      <c r="I691" s="55"/>
      <c r="J691" s="55"/>
      <c r="K691" s="55"/>
    </row>
    <row r="692">
      <c r="A692" s="150"/>
      <c r="B692" s="55"/>
      <c r="C692" s="55"/>
      <c r="D692" s="55"/>
      <c r="E692" s="55"/>
      <c r="F692" s="55"/>
      <c r="G692" s="55"/>
      <c r="H692" s="55"/>
      <c r="I692" s="55"/>
      <c r="J692" s="55"/>
      <c r="K692" s="55"/>
    </row>
    <row r="693">
      <c r="A693" s="150"/>
      <c r="B693" s="55"/>
      <c r="C693" s="55"/>
      <c r="D693" s="55"/>
      <c r="E693" s="55"/>
      <c r="F693" s="55"/>
      <c r="G693" s="55"/>
      <c r="H693" s="55"/>
      <c r="I693" s="55"/>
      <c r="J693" s="55"/>
      <c r="K693" s="55"/>
    </row>
    <row r="694">
      <c r="A694" s="150"/>
      <c r="B694" s="55"/>
      <c r="C694" s="55"/>
      <c r="D694" s="55"/>
      <c r="E694" s="55"/>
      <c r="F694" s="55"/>
      <c r="G694" s="55"/>
      <c r="H694" s="55"/>
      <c r="I694" s="55"/>
      <c r="J694" s="55"/>
      <c r="K694" s="55"/>
    </row>
    <row r="695">
      <c r="A695" s="150"/>
      <c r="B695" s="55"/>
      <c r="C695" s="55"/>
      <c r="D695" s="55"/>
      <c r="E695" s="55"/>
      <c r="F695" s="55"/>
      <c r="G695" s="55"/>
      <c r="H695" s="55"/>
      <c r="I695" s="55"/>
      <c r="J695" s="55"/>
      <c r="K695" s="55"/>
    </row>
    <row r="696">
      <c r="A696" s="150"/>
      <c r="B696" s="55"/>
      <c r="C696" s="55"/>
      <c r="D696" s="55"/>
      <c r="E696" s="55"/>
      <c r="F696" s="55"/>
      <c r="G696" s="55"/>
      <c r="H696" s="55"/>
      <c r="I696" s="55"/>
      <c r="J696" s="55"/>
      <c r="K696" s="55"/>
    </row>
    <row r="697">
      <c r="A697" s="150"/>
      <c r="B697" s="55"/>
      <c r="C697" s="55"/>
      <c r="D697" s="55"/>
      <c r="E697" s="55"/>
      <c r="F697" s="55"/>
      <c r="G697" s="55"/>
      <c r="H697" s="55"/>
      <c r="I697" s="55"/>
      <c r="J697" s="55"/>
      <c r="K697" s="55"/>
    </row>
    <row r="698">
      <c r="A698" s="150"/>
      <c r="B698" s="55"/>
      <c r="C698" s="55"/>
      <c r="D698" s="55"/>
      <c r="E698" s="55"/>
      <c r="F698" s="55"/>
      <c r="G698" s="55"/>
      <c r="H698" s="55"/>
      <c r="I698" s="55"/>
      <c r="J698" s="55"/>
      <c r="K698" s="55"/>
    </row>
    <row r="699">
      <c r="A699" s="150"/>
      <c r="B699" s="55"/>
      <c r="C699" s="55"/>
      <c r="D699" s="55"/>
      <c r="E699" s="55"/>
      <c r="F699" s="55"/>
      <c r="G699" s="55"/>
      <c r="H699" s="55"/>
      <c r="I699" s="55"/>
      <c r="J699" s="55"/>
      <c r="K699" s="55"/>
    </row>
    <row r="700">
      <c r="A700" s="150"/>
      <c r="B700" s="55"/>
      <c r="C700" s="55"/>
      <c r="D700" s="55"/>
      <c r="E700" s="55"/>
      <c r="F700" s="55"/>
      <c r="G700" s="55"/>
      <c r="H700" s="55"/>
      <c r="I700" s="55"/>
      <c r="J700" s="55"/>
      <c r="K700" s="55"/>
    </row>
    <row r="701">
      <c r="A701" s="150"/>
      <c r="B701" s="55"/>
      <c r="C701" s="55"/>
      <c r="D701" s="55"/>
      <c r="E701" s="55"/>
      <c r="F701" s="55"/>
      <c r="G701" s="55"/>
      <c r="H701" s="55"/>
      <c r="I701" s="55"/>
      <c r="J701" s="55"/>
      <c r="K701" s="55"/>
    </row>
    <row r="702">
      <c r="A702" s="150"/>
      <c r="B702" s="55"/>
      <c r="C702" s="55"/>
      <c r="D702" s="55"/>
      <c r="E702" s="55"/>
      <c r="F702" s="55"/>
      <c r="G702" s="55"/>
      <c r="H702" s="55"/>
      <c r="I702" s="55"/>
      <c r="J702" s="55"/>
      <c r="K702" s="55"/>
    </row>
    <row r="703">
      <c r="A703" s="150"/>
      <c r="B703" s="55"/>
      <c r="C703" s="55"/>
      <c r="D703" s="55"/>
      <c r="E703" s="55"/>
      <c r="F703" s="55"/>
      <c r="G703" s="55"/>
      <c r="H703" s="55"/>
      <c r="I703" s="55"/>
      <c r="J703" s="55"/>
      <c r="K703" s="55"/>
    </row>
    <row r="704">
      <c r="A704" s="150"/>
      <c r="B704" s="55"/>
      <c r="C704" s="55"/>
      <c r="D704" s="55"/>
      <c r="E704" s="55"/>
      <c r="F704" s="55"/>
      <c r="G704" s="55"/>
      <c r="H704" s="55"/>
      <c r="I704" s="55"/>
      <c r="J704" s="55"/>
      <c r="K704" s="55"/>
    </row>
    <row r="705">
      <c r="A705" s="150"/>
      <c r="B705" s="55"/>
      <c r="C705" s="55"/>
      <c r="D705" s="55"/>
      <c r="E705" s="55"/>
      <c r="F705" s="55"/>
      <c r="G705" s="55"/>
      <c r="H705" s="55"/>
      <c r="I705" s="55"/>
      <c r="J705" s="55"/>
      <c r="K705" s="55"/>
    </row>
    <row r="706">
      <c r="A706" s="150"/>
      <c r="B706" s="55"/>
      <c r="C706" s="55"/>
      <c r="D706" s="55"/>
      <c r="E706" s="55"/>
      <c r="F706" s="55"/>
      <c r="G706" s="55"/>
      <c r="H706" s="55"/>
      <c r="I706" s="55"/>
      <c r="J706" s="55"/>
      <c r="K706" s="55"/>
    </row>
    <row r="707">
      <c r="A707" s="150"/>
      <c r="B707" s="55"/>
      <c r="C707" s="55"/>
      <c r="D707" s="55"/>
      <c r="E707" s="55"/>
      <c r="F707" s="55"/>
      <c r="G707" s="55"/>
      <c r="H707" s="55"/>
      <c r="I707" s="55"/>
      <c r="J707" s="55"/>
      <c r="K707" s="55"/>
    </row>
    <row r="708">
      <c r="A708" s="150"/>
      <c r="B708" s="55"/>
      <c r="C708" s="55"/>
      <c r="D708" s="55"/>
      <c r="E708" s="55"/>
      <c r="F708" s="55"/>
      <c r="G708" s="55"/>
      <c r="H708" s="55"/>
      <c r="I708" s="55"/>
      <c r="J708" s="55"/>
      <c r="K708" s="55"/>
    </row>
    <row r="709">
      <c r="A709" s="150"/>
      <c r="B709" s="55"/>
      <c r="C709" s="55"/>
      <c r="D709" s="55"/>
      <c r="E709" s="55"/>
      <c r="F709" s="55"/>
      <c r="G709" s="55"/>
      <c r="H709" s="55"/>
      <c r="I709" s="55"/>
      <c r="J709" s="55"/>
      <c r="K709" s="55"/>
    </row>
    <row r="710">
      <c r="A710" s="150"/>
      <c r="B710" s="55"/>
      <c r="C710" s="55"/>
      <c r="D710" s="55"/>
      <c r="E710" s="55"/>
      <c r="F710" s="55"/>
      <c r="G710" s="55"/>
      <c r="H710" s="55"/>
      <c r="I710" s="55"/>
      <c r="J710" s="55"/>
      <c r="K710" s="55"/>
    </row>
    <row r="711">
      <c r="A711" s="150"/>
      <c r="B711" s="55"/>
      <c r="C711" s="55"/>
      <c r="D711" s="55"/>
      <c r="E711" s="55"/>
      <c r="F711" s="55"/>
      <c r="G711" s="55"/>
      <c r="H711" s="55"/>
      <c r="I711" s="55"/>
      <c r="J711" s="55"/>
      <c r="K711" s="55"/>
    </row>
    <row r="712">
      <c r="A712" s="150"/>
      <c r="B712" s="55"/>
      <c r="C712" s="55"/>
      <c r="D712" s="55"/>
      <c r="E712" s="55"/>
      <c r="F712" s="55"/>
      <c r="G712" s="55"/>
      <c r="H712" s="55"/>
      <c r="I712" s="55"/>
      <c r="J712" s="55"/>
      <c r="K712" s="55"/>
    </row>
    <row r="713">
      <c r="A713" s="150"/>
      <c r="B713" s="55"/>
      <c r="C713" s="55"/>
      <c r="D713" s="55"/>
      <c r="E713" s="55"/>
      <c r="F713" s="55"/>
      <c r="G713" s="55"/>
      <c r="H713" s="55"/>
      <c r="I713" s="55"/>
      <c r="J713" s="55"/>
      <c r="K713" s="55"/>
    </row>
    <row r="714">
      <c r="A714" s="150"/>
      <c r="B714" s="55"/>
      <c r="C714" s="55"/>
      <c r="D714" s="55"/>
      <c r="E714" s="55"/>
      <c r="F714" s="55"/>
      <c r="G714" s="55"/>
      <c r="H714" s="55"/>
      <c r="I714" s="55"/>
      <c r="J714" s="55"/>
      <c r="K714" s="55"/>
    </row>
    <row r="715">
      <c r="A715" s="150"/>
      <c r="B715" s="55"/>
      <c r="C715" s="55"/>
      <c r="D715" s="55"/>
      <c r="E715" s="55"/>
      <c r="F715" s="55"/>
      <c r="G715" s="55"/>
      <c r="H715" s="55"/>
      <c r="I715" s="55"/>
      <c r="J715" s="55"/>
      <c r="K715" s="55"/>
    </row>
    <row r="716">
      <c r="A716" s="150"/>
      <c r="B716" s="55"/>
      <c r="C716" s="55"/>
      <c r="D716" s="55"/>
      <c r="E716" s="55"/>
      <c r="F716" s="55"/>
      <c r="G716" s="55"/>
      <c r="H716" s="55"/>
      <c r="I716" s="55"/>
      <c r="J716" s="55"/>
      <c r="K716" s="55"/>
    </row>
    <row r="717">
      <c r="A717" s="150"/>
      <c r="B717" s="55"/>
      <c r="C717" s="55"/>
      <c r="D717" s="55"/>
      <c r="E717" s="55"/>
      <c r="F717" s="55"/>
      <c r="G717" s="55"/>
      <c r="H717" s="55"/>
      <c r="I717" s="55"/>
      <c r="J717" s="55"/>
      <c r="K717" s="55"/>
    </row>
    <row r="718">
      <c r="A718" s="150"/>
      <c r="B718" s="55"/>
      <c r="C718" s="55"/>
      <c r="D718" s="55"/>
      <c r="E718" s="55"/>
      <c r="F718" s="55"/>
      <c r="G718" s="55"/>
      <c r="H718" s="55"/>
      <c r="I718" s="55"/>
      <c r="J718" s="55"/>
      <c r="K718" s="55"/>
    </row>
    <row r="719">
      <c r="A719" s="150"/>
      <c r="B719" s="55"/>
      <c r="C719" s="55"/>
      <c r="D719" s="55"/>
      <c r="E719" s="55"/>
      <c r="F719" s="55"/>
      <c r="G719" s="55"/>
      <c r="H719" s="55"/>
      <c r="I719" s="55"/>
      <c r="J719" s="55"/>
      <c r="K719" s="55"/>
    </row>
    <row r="720">
      <c r="A720" s="150"/>
      <c r="B720" s="55"/>
      <c r="C720" s="55"/>
      <c r="D720" s="55"/>
      <c r="E720" s="55"/>
      <c r="F720" s="55"/>
      <c r="G720" s="55"/>
      <c r="H720" s="55"/>
      <c r="I720" s="55"/>
      <c r="J720" s="55"/>
      <c r="K720" s="55"/>
    </row>
    <row r="721">
      <c r="A721" s="150"/>
      <c r="B721" s="55"/>
      <c r="C721" s="55"/>
      <c r="D721" s="55"/>
      <c r="E721" s="55"/>
      <c r="F721" s="55"/>
      <c r="G721" s="55"/>
      <c r="H721" s="55"/>
      <c r="I721" s="55"/>
      <c r="J721" s="55"/>
      <c r="K721" s="55"/>
    </row>
    <row r="722">
      <c r="A722" s="150"/>
      <c r="B722" s="55"/>
      <c r="C722" s="55"/>
      <c r="D722" s="55"/>
      <c r="E722" s="55"/>
      <c r="F722" s="55"/>
      <c r="G722" s="55"/>
      <c r="H722" s="55"/>
      <c r="I722" s="55"/>
      <c r="J722" s="55"/>
      <c r="K722" s="55"/>
    </row>
    <row r="723">
      <c r="A723" s="150"/>
      <c r="B723" s="55"/>
      <c r="C723" s="55"/>
      <c r="D723" s="55"/>
      <c r="E723" s="55"/>
      <c r="F723" s="55"/>
      <c r="G723" s="55"/>
      <c r="H723" s="55"/>
      <c r="I723" s="55"/>
      <c r="J723" s="55"/>
      <c r="K723" s="55"/>
    </row>
    <row r="724">
      <c r="A724" s="150"/>
      <c r="B724" s="55"/>
      <c r="C724" s="55"/>
      <c r="D724" s="55"/>
      <c r="E724" s="55"/>
      <c r="F724" s="55"/>
      <c r="G724" s="55"/>
      <c r="H724" s="55"/>
      <c r="I724" s="55"/>
      <c r="J724" s="55"/>
      <c r="K724" s="55"/>
    </row>
    <row r="725">
      <c r="A725" s="150"/>
      <c r="B725" s="55"/>
      <c r="C725" s="55"/>
      <c r="D725" s="55"/>
      <c r="E725" s="55"/>
      <c r="F725" s="55"/>
      <c r="G725" s="55"/>
      <c r="H725" s="55"/>
      <c r="I725" s="55"/>
      <c r="J725" s="55"/>
      <c r="K725" s="55"/>
    </row>
    <row r="726">
      <c r="A726" s="150"/>
      <c r="B726" s="55"/>
      <c r="C726" s="55"/>
      <c r="D726" s="55"/>
      <c r="E726" s="55"/>
      <c r="F726" s="55"/>
      <c r="G726" s="55"/>
      <c r="H726" s="55"/>
      <c r="I726" s="55"/>
      <c r="J726" s="55"/>
      <c r="K726" s="55"/>
    </row>
    <row r="727">
      <c r="A727" s="150"/>
      <c r="B727" s="55"/>
      <c r="C727" s="55"/>
      <c r="D727" s="55"/>
      <c r="E727" s="55"/>
      <c r="F727" s="55"/>
      <c r="G727" s="55"/>
      <c r="H727" s="55"/>
      <c r="I727" s="55"/>
      <c r="J727" s="55"/>
      <c r="K727" s="55"/>
    </row>
    <row r="728">
      <c r="A728" s="150"/>
      <c r="B728" s="55"/>
      <c r="C728" s="55"/>
      <c r="D728" s="55"/>
      <c r="E728" s="55"/>
      <c r="F728" s="55"/>
      <c r="G728" s="55"/>
      <c r="H728" s="55"/>
      <c r="I728" s="55"/>
      <c r="J728" s="55"/>
      <c r="K728" s="55"/>
    </row>
    <row r="729">
      <c r="A729" s="150"/>
      <c r="B729" s="55"/>
      <c r="C729" s="55"/>
      <c r="D729" s="55"/>
      <c r="E729" s="55"/>
      <c r="F729" s="55"/>
      <c r="G729" s="55"/>
      <c r="H729" s="55"/>
      <c r="I729" s="55"/>
      <c r="J729" s="55"/>
      <c r="K729" s="55"/>
    </row>
    <row r="730">
      <c r="A730" s="150"/>
      <c r="B730" s="55"/>
      <c r="C730" s="55"/>
      <c r="D730" s="55"/>
      <c r="E730" s="55"/>
      <c r="F730" s="55"/>
      <c r="G730" s="55"/>
      <c r="H730" s="55"/>
      <c r="I730" s="55"/>
      <c r="J730" s="55"/>
      <c r="K730" s="55"/>
    </row>
    <row r="731">
      <c r="A731" s="150"/>
      <c r="B731" s="55"/>
      <c r="C731" s="55"/>
      <c r="D731" s="55"/>
      <c r="E731" s="55"/>
      <c r="F731" s="55"/>
      <c r="G731" s="55"/>
      <c r="H731" s="55"/>
      <c r="I731" s="55"/>
      <c r="J731" s="55"/>
      <c r="K731" s="55"/>
    </row>
    <row r="732">
      <c r="A732" s="150"/>
      <c r="B732" s="55"/>
      <c r="C732" s="55"/>
      <c r="D732" s="55"/>
      <c r="E732" s="55"/>
      <c r="F732" s="55"/>
      <c r="G732" s="55"/>
      <c r="H732" s="55"/>
      <c r="I732" s="55"/>
      <c r="J732" s="55"/>
      <c r="K732" s="55"/>
    </row>
    <row r="733">
      <c r="A733" s="150"/>
      <c r="B733" s="55"/>
      <c r="C733" s="55"/>
      <c r="D733" s="55"/>
      <c r="E733" s="55"/>
      <c r="F733" s="55"/>
      <c r="G733" s="55"/>
      <c r="H733" s="55"/>
      <c r="I733" s="55"/>
      <c r="J733" s="55"/>
      <c r="K733" s="55"/>
    </row>
    <row r="734">
      <c r="A734" s="150"/>
      <c r="B734" s="55"/>
      <c r="C734" s="55"/>
      <c r="D734" s="55"/>
      <c r="E734" s="55"/>
      <c r="F734" s="55"/>
      <c r="G734" s="55"/>
      <c r="H734" s="55"/>
      <c r="I734" s="55"/>
      <c r="J734" s="55"/>
      <c r="K734" s="55"/>
    </row>
    <row r="735">
      <c r="A735" s="150"/>
      <c r="B735" s="55"/>
      <c r="C735" s="55"/>
      <c r="D735" s="55"/>
      <c r="E735" s="55"/>
      <c r="F735" s="55"/>
      <c r="G735" s="55"/>
      <c r="H735" s="55"/>
      <c r="I735" s="55"/>
      <c r="J735" s="55"/>
      <c r="K735" s="55"/>
    </row>
    <row r="736">
      <c r="A736" s="150"/>
      <c r="B736" s="55"/>
      <c r="C736" s="55"/>
      <c r="D736" s="55"/>
      <c r="E736" s="55"/>
      <c r="F736" s="55"/>
      <c r="G736" s="55"/>
      <c r="H736" s="55"/>
      <c r="I736" s="55"/>
      <c r="J736" s="55"/>
      <c r="K736" s="55"/>
    </row>
    <row r="737">
      <c r="A737" s="150"/>
      <c r="B737" s="55"/>
      <c r="C737" s="55"/>
      <c r="D737" s="55"/>
      <c r="E737" s="55"/>
      <c r="F737" s="55"/>
      <c r="G737" s="55"/>
      <c r="H737" s="55"/>
      <c r="I737" s="55"/>
      <c r="J737" s="55"/>
      <c r="K737" s="55"/>
    </row>
    <row r="738">
      <c r="A738" s="150"/>
      <c r="B738" s="55"/>
      <c r="C738" s="55"/>
      <c r="D738" s="55"/>
      <c r="E738" s="55"/>
      <c r="F738" s="55"/>
      <c r="G738" s="55"/>
      <c r="H738" s="55"/>
      <c r="I738" s="55"/>
      <c r="J738" s="55"/>
      <c r="K738" s="55"/>
    </row>
    <row r="739">
      <c r="A739" s="150"/>
      <c r="B739" s="55"/>
      <c r="C739" s="55"/>
      <c r="D739" s="55"/>
      <c r="E739" s="55"/>
      <c r="F739" s="55"/>
      <c r="G739" s="55"/>
      <c r="H739" s="55"/>
      <c r="I739" s="55"/>
      <c r="J739" s="55"/>
      <c r="K739" s="55"/>
    </row>
    <row r="740">
      <c r="A740" s="150"/>
      <c r="B740" s="55"/>
      <c r="C740" s="55"/>
      <c r="D740" s="55"/>
      <c r="E740" s="55"/>
      <c r="F740" s="55"/>
      <c r="G740" s="55"/>
      <c r="H740" s="55"/>
      <c r="I740" s="55"/>
      <c r="J740" s="55"/>
      <c r="K740" s="55"/>
    </row>
    <row r="741">
      <c r="A741" s="150"/>
      <c r="B741" s="55"/>
      <c r="C741" s="55"/>
      <c r="D741" s="55"/>
      <c r="E741" s="55"/>
      <c r="F741" s="55"/>
      <c r="G741" s="55"/>
      <c r="H741" s="55"/>
      <c r="I741" s="55"/>
      <c r="J741" s="55"/>
      <c r="K741" s="55"/>
    </row>
    <row r="742">
      <c r="A742" s="150"/>
      <c r="B742" s="55"/>
      <c r="C742" s="55"/>
      <c r="D742" s="55"/>
      <c r="E742" s="55"/>
      <c r="F742" s="55"/>
      <c r="G742" s="55"/>
      <c r="H742" s="55"/>
      <c r="I742" s="55"/>
      <c r="J742" s="55"/>
      <c r="K742" s="55"/>
    </row>
    <row r="743">
      <c r="A743" s="150"/>
      <c r="B743" s="55"/>
      <c r="C743" s="55"/>
      <c r="D743" s="55"/>
      <c r="E743" s="55"/>
      <c r="F743" s="55"/>
      <c r="G743" s="55"/>
      <c r="H743" s="55"/>
      <c r="I743" s="55"/>
      <c r="J743" s="55"/>
      <c r="K743" s="55"/>
    </row>
    <row r="744">
      <c r="A744" s="150"/>
      <c r="B744" s="55"/>
      <c r="C744" s="55"/>
      <c r="D744" s="55"/>
      <c r="E744" s="55"/>
      <c r="F744" s="55"/>
      <c r="G744" s="55"/>
      <c r="H744" s="55"/>
      <c r="I744" s="55"/>
      <c r="J744" s="55"/>
      <c r="K744" s="55"/>
    </row>
    <row r="745">
      <c r="A745" s="150"/>
      <c r="B745" s="55"/>
      <c r="C745" s="55"/>
      <c r="D745" s="55"/>
      <c r="E745" s="55"/>
      <c r="F745" s="55"/>
      <c r="G745" s="55"/>
      <c r="H745" s="55"/>
      <c r="I745" s="55"/>
      <c r="J745" s="55"/>
      <c r="K745" s="55"/>
    </row>
    <row r="746">
      <c r="A746" s="150"/>
      <c r="B746" s="55"/>
      <c r="C746" s="55"/>
      <c r="D746" s="55"/>
      <c r="E746" s="55"/>
      <c r="F746" s="55"/>
      <c r="G746" s="55"/>
      <c r="H746" s="55"/>
      <c r="I746" s="55"/>
      <c r="J746" s="55"/>
      <c r="K746" s="55"/>
    </row>
    <row r="747">
      <c r="A747" s="150"/>
      <c r="B747" s="55"/>
      <c r="C747" s="55"/>
      <c r="D747" s="55"/>
      <c r="E747" s="55"/>
      <c r="F747" s="55"/>
      <c r="G747" s="55"/>
      <c r="H747" s="55"/>
      <c r="I747" s="55"/>
      <c r="J747" s="55"/>
      <c r="K747" s="55"/>
    </row>
    <row r="748">
      <c r="A748" s="150"/>
      <c r="B748" s="55"/>
      <c r="C748" s="55"/>
      <c r="D748" s="55"/>
      <c r="E748" s="55"/>
      <c r="F748" s="55"/>
      <c r="G748" s="55"/>
      <c r="H748" s="55"/>
      <c r="I748" s="55"/>
      <c r="J748" s="55"/>
      <c r="K748" s="55"/>
    </row>
    <row r="749">
      <c r="A749" s="150"/>
      <c r="B749" s="55"/>
      <c r="C749" s="55"/>
      <c r="D749" s="55"/>
      <c r="E749" s="55"/>
      <c r="F749" s="55"/>
      <c r="G749" s="55"/>
      <c r="H749" s="55"/>
      <c r="I749" s="55"/>
      <c r="J749" s="55"/>
      <c r="K749" s="55"/>
    </row>
    <row r="750">
      <c r="A750" s="150"/>
      <c r="B750" s="55"/>
      <c r="C750" s="55"/>
      <c r="D750" s="55"/>
      <c r="E750" s="55"/>
      <c r="F750" s="55"/>
      <c r="G750" s="55"/>
      <c r="H750" s="55"/>
      <c r="I750" s="55"/>
      <c r="J750" s="55"/>
      <c r="K750" s="55"/>
    </row>
    <row r="751">
      <c r="A751" s="150"/>
      <c r="B751" s="55"/>
      <c r="C751" s="55"/>
      <c r="D751" s="55"/>
      <c r="E751" s="55"/>
      <c r="F751" s="55"/>
      <c r="G751" s="55"/>
      <c r="H751" s="55"/>
      <c r="I751" s="55"/>
      <c r="J751" s="55"/>
      <c r="K751" s="55"/>
    </row>
    <row r="752">
      <c r="A752" s="150"/>
      <c r="B752" s="55"/>
      <c r="C752" s="55"/>
      <c r="D752" s="55"/>
      <c r="E752" s="55"/>
      <c r="F752" s="55"/>
      <c r="G752" s="55"/>
      <c r="H752" s="55"/>
      <c r="I752" s="55"/>
      <c r="J752" s="55"/>
      <c r="K752" s="55"/>
    </row>
    <row r="753">
      <c r="A753" s="150"/>
      <c r="B753" s="55"/>
      <c r="C753" s="55"/>
      <c r="D753" s="55"/>
      <c r="E753" s="55"/>
      <c r="F753" s="55"/>
      <c r="G753" s="55"/>
      <c r="H753" s="55"/>
      <c r="I753" s="55"/>
      <c r="J753" s="55"/>
      <c r="K753" s="55"/>
    </row>
    <row r="754">
      <c r="A754" s="150"/>
      <c r="B754" s="55"/>
      <c r="C754" s="55"/>
      <c r="D754" s="55"/>
      <c r="E754" s="55"/>
      <c r="F754" s="55"/>
      <c r="G754" s="55"/>
      <c r="H754" s="55"/>
      <c r="I754" s="55"/>
      <c r="J754" s="55"/>
      <c r="K754" s="55"/>
    </row>
    <row r="755">
      <c r="A755" s="150"/>
      <c r="B755" s="55"/>
      <c r="C755" s="55"/>
      <c r="D755" s="55"/>
      <c r="E755" s="55"/>
      <c r="F755" s="55"/>
      <c r="G755" s="55"/>
      <c r="H755" s="55"/>
      <c r="I755" s="55"/>
      <c r="J755" s="55"/>
      <c r="K755" s="55"/>
    </row>
    <row r="756">
      <c r="A756" s="150"/>
      <c r="B756" s="55"/>
      <c r="C756" s="55"/>
      <c r="D756" s="55"/>
      <c r="E756" s="55"/>
      <c r="F756" s="55"/>
      <c r="G756" s="55"/>
      <c r="H756" s="55"/>
      <c r="I756" s="55"/>
      <c r="J756" s="55"/>
      <c r="K756" s="55"/>
    </row>
    <row r="757">
      <c r="A757" s="150"/>
      <c r="B757" s="55"/>
      <c r="C757" s="55"/>
      <c r="D757" s="55"/>
      <c r="E757" s="55"/>
      <c r="F757" s="55"/>
      <c r="G757" s="55"/>
      <c r="H757" s="55"/>
      <c r="I757" s="55"/>
      <c r="J757" s="55"/>
      <c r="K757" s="55"/>
    </row>
    <row r="758">
      <c r="A758" s="150"/>
      <c r="B758" s="55"/>
      <c r="C758" s="55"/>
      <c r="D758" s="55"/>
      <c r="E758" s="55"/>
      <c r="F758" s="55"/>
      <c r="G758" s="55"/>
      <c r="H758" s="55"/>
      <c r="I758" s="55"/>
      <c r="J758" s="55"/>
      <c r="K758" s="55"/>
    </row>
    <row r="759">
      <c r="A759" s="150"/>
      <c r="B759" s="55"/>
      <c r="C759" s="55"/>
      <c r="D759" s="55"/>
      <c r="E759" s="55"/>
      <c r="F759" s="55"/>
      <c r="G759" s="55"/>
      <c r="H759" s="55"/>
      <c r="I759" s="55"/>
      <c r="J759" s="55"/>
      <c r="K759" s="55"/>
    </row>
    <row r="760">
      <c r="A760" s="150"/>
      <c r="B760" s="55"/>
      <c r="C760" s="55"/>
      <c r="D760" s="55"/>
      <c r="E760" s="55"/>
      <c r="F760" s="55"/>
      <c r="G760" s="55"/>
      <c r="H760" s="55"/>
      <c r="I760" s="55"/>
      <c r="J760" s="55"/>
      <c r="K760" s="55"/>
    </row>
    <row r="761">
      <c r="A761" s="150"/>
      <c r="B761" s="55"/>
      <c r="C761" s="55"/>
      <c r="D761" s="55"/>
      <c r="E761" s="55"/>
      <c r="F761" s="55"/>
      <c r="G761" s="55"/>
      <c r="H761" s="55"/>
      <c r="I761" s="55"/>
      <c r="J761" s="55"/>
      <c r="K761" s="55"/>
    </row>
    <row r="762">
      <c r="A762" s="150"/>
      <c r="B762" s="55"/>
      <c r="C762" s="55"/>
      <c r="D762" s="55"/>
      <c r="E762" s="55"/>
      <c r="F762" s="55"/>
      <c r="G762" s="55"/>
      <c r="H762" s="55"/>
      <c r="I762" s="55"/>
      <c r="J762" s="55"/>
      <c r="K762" s="55"/>
    </row>
    <row r="763">
      <c r="A763" s="150"/>
      <c r="B763" s="55"/>
      <c r="C763" s="55"/>
      <c r="D763" s="55"/>
      <c r="E763" s="55"/>
      <c r="F763" s="55"/>
      <c r="G763" s="55"/>
      <c r="H763" s="55"/>
      <c r="I763" s="55"/>
      <c r="J763" s="55"/>
      <c r="K763" s="55"/>
    </row>
    <row r="764">
      <c r="A764" s="150"/>
      <c r="B764" s="55"/>
      <c r="C764" s="55"/>
      <c r="D764" s="55"/>
      <c r="E764" s="55"/>
      <c r="F764" s="55"/>
      <c r="G764" s="55"/>
      <c r="H764" s="55"/>
      <c r="I764" s="55"/>
      <c r="J764" s="55"/>
      <c r="K764" s="55"/>
    </row>
    <row r="765">
      <c r="A765" s="150"/>
      <c r="B765" s="55"/>
      <c r="C765" s="55"/>
      <c r="D765" s="55"/>
      <c r="E765" s="55"/>
      <c r="F765" s="55"/>
      <c r="G765" s="55"/>
      <c r="H765" s="55"/>
      <c r="I765" s="55"/>
      <c r="J765" s="55"/>
      <c r="K765" s="55"/>
    </row>
    <row r="766">
      <c r="A766" s="150"/>
      <c r="B766" s="55"/>
      <c r="C766" s="55"/>
      <c r="D766" s="55"/>
      <c r="E766" s="55"/>
      <c r="F766" s="55"/>
      <c r="G766" s="55"/>
      <c r="H766" s="55"/>
      <c r="I766" s="55"/>
      <c r="J766" s="55"/>
      <c r="K766" s="55"/>
    </row>
    <row r="767">
      <c r="A767" s="150"/>
      <c r="B767" s="55"/>
      <c r="C767" s="55"/>
      <c r="D767" s="55"/>
      <c r="E767" s="55"/>
      <c r="F767" s="55"/>
      <c r="G767" s="55"/>
      <c r="H767" s="55"/>
      <c r="I767" s="55"/>
      <c r="J767" s="55"/>
      <c r="K767" s="55"/>
    </row>
    <row r="768">
      <c r="A768" s="150"/>
      <c r="B768" s="55"/>
      <c r="C768" s="55"/>
      <c r="D768" s="55"/>
      <c r="E768" s="55"/>
      <c r="F768" s="55"/>
      <c r="G768" s="55"/>
      <c r="H768" s="55"/>
      <c r="I768" s="55"/>
      <c r="J768" s="55"/>
      <c r="K768" s="55"/>
    </row>
    <row r="769">
      <c r="A769" s="150"/>
      <c r="B769" s="55"/>
      <c r="C769" s="55"/>
      <c r="D769" s="55"/>
      <c r="E769" s="55"/>
      <c r="F769" s="55"/>
      <c r="G769" s="55"/>
      <c r="H769" s="55"/>
      <c r="I769" s="55"/>
      <c r="J769" s="55"/>
      <c r="K769" s="55"/>
    </row>
    <row r="770">
      <c r="A770" s="150"/>
      <c r="B770" s="55"/>
      <c r="C770" s="55"/>
      <c r="D770" s="55"/>
      <c r="E770" s="55"/>
      <c r="F770" s="55"/>
      <c r="G770" s="55"/>
      <c r="H770" s="55"/>
      <c r="I770" s="55"/>
      <c r="J770" s="55"/>
      <c r="K770" s="55"/>
    </row>
    <row r="771">
      <c r="A771" s="150"/>
      <c r="B771" s="55"/>
      <c r="C771" s="55"/>
      <c r="D771" s="55"/>
      <c r="E771" s="55"/>
      <c r="F771" s="55"/>
      <c r="G771" s="55"/>
      <c r="H771" s="55"/>
      <c r="I771" s="55"/>
      <c r="J771" s="55"/>
      <c r="K771" s="55"/>
    </row>
    <row r="772">
      <c r="A772" s="150"/>
      <c r="B772" s="55"/>
      <c r="C772" s="55"/>
      <c r="D772" s="55"/>
      <c r="E772" s="55"/>
      <c r="F772" s="55"/>
      <c r="G772" s="55"/>
      <c r="H772" s="55"/>
      <c r="I772" s="55"/>
      <c r="J772" s="55"/>
      <c r="K772" s="55"/>
    </row>
    <row r="773">
      <c r="A773" s="150"/>
      <c r="B773" s="55"/>
      <c r="C773" s="55"/>
      <c r="D773" s="55"/>
      <c r="E773" s="55"/>
      <c r="F773" s="55"/>
      <c r="G773" s="55"/>
      <c r="H773" s="55"/>
      <c r="I773" s="55"/>
      <c r="J773" s="55"/>
      <c r="K773" s="55"/>
    </row>
    <row r="774">
      <c r="A774" s="150"/>
      <c r="B774" s="55"/>
      <c r="C774" s="55"/>
      <c r="D774" s="55"/>
      <c r="E774" s="55"/>
      <c r="F774" s="55"/>
      <c r="G774" s="55"/>
      <c r="H774" s="55"/>
      <c r="I774" s="55"/>
      <c r="J774" s="55"/>
      <c r="K774" s="55"/>
    </row>
    <row r="775">
      <c r="A775" s="150"/>
      <c r="B775" s="55"/>
      <c r="C775" s="55"/>
      <c r="D775" s="55"/>
      <c r="E775" s="55"/>
      <c r="F775" s="55"/>
      <c r="G775" s="55"/>
      <c r="H775" s="55"/>
      <c r="I775" s="55"/>
      <c r="J775" s="55"/>
      <c r="K775" s="55"/>
    </row>
    <row r="776">
      <c r="A776" s="150"/>
      <c r="B776" s="55"/>
      <c r="C776" s="55"/>
      <c r="D776" s="55"/>
      <c r="E776" s="55"/>
      <c r="F776" s="55"/>
      <c r="G776" s="55"/>
      <c r="H776" s="55"/>
      <c r="I776" s="55"/>
      <c r="J776" s="55"/>
      <c r="K776" s="55"/>
    </row>
    <row r="777">
      <c r="A777" s="150"/>
      <c r="B777" s="55"/>
      <c r="C777" s="55"/>
      <c r="D777" s="55"/>
      <c r="E777" s="55"/>
      <c r="F777" s="55"/>
      <c r="G777" s="55"/>
      <c r="H777" s="55"/>
      <c r="I777" s="55"/>
      <c r="J777" s="55"/>
      <c r="K777" s="55"/>
    </row>
    <row r="778">
      <c r="A778" s="150"/>
      <c r="B778" s="55"/>
      <c r="C778" s="55"/>
      <c r="D778" s="55"/>
      <c r="E778" s="55"/>
      <c r="F778" s="55"/>
      <c r="G778" s="55"/>
      <c r="H778" s="55"/>
      <c r="I778" s="55"/>
      <c r="J778" s="55"/>
      <c r="K778" s="55"/>
    </row>
    <row r="779">
      <c r="A779" s="150"/>
      <c r="B779" s="55"/>
      <c r="C779" s="55"/>
      <c r="D779" s="55"/>
      <c r="E779" s="55"/>
      <c r="F779" s="55"/>
      <c r="G779" s="55"/>
      <c r="H779" s="55"/>
      <c r="I779" s="55"/>
      <c r="J779" s="55"/>
      <c r="K779" s="55"/>
    </row>
    <row r="780">
      <c r="A780" s="150"/>
      <c r="B780" s="55"/>
      <c r="C780" s="55"/>
      <c r="D780" s="55"/>
      <c r="E780" s="55"/>
      <c r="F780" s="55"/>
      <c r="G780" s="55"/>
      <c r="H780" s="55"/>
      <c r="I780" s="55"/>
      <c r="J780" s="55"/>
      <c r="K780" s="55"/>
    </row>
    <row r="781">
      <c r="A781" s="150"/>
      <c r="B781" s="55"/>
      <c r="C781" s="55"/>
      <c r="D781" s="55"/>
      <c r="E781" s="55"/>
      <c r="F781" s="55"/>
      <c r="G781" s="55"/>
      <c r="H781" s="55"/>
      <c r="I781" s="55"/>
      <c r="J781" s="55"/>
      <c r="K781" s="55"/>
    </row>
    <row r="782">
      <c r="A782" s="150"/>
      <c r="B782" s="55"/>
      <c r="C782" s="55"/>
      <c r="D782" s="55"/>
      <c r="E782" s="55"/>
      <c r="F782" s="55"/>
      <c r="G782" s="55"/>
      <c r="H782" s="55"/>
      <c r="I782" s="55"/>
      <c r="J782" s="55"/>
      <c r="K782" s="55"/>
    </row>
    <row r="783">
      <c r="A783" s="150"/>
      <c r="B783" s="55"/>
      <c r="C783" s="55"/>
      <c r="D783" s="55"/>
      <c r="E783" s="55"/>
      <c r="F783" s="55"/>
      <c r="G783" s="55"/>
      <c r="H783" s="55"/>
      <c r="I783" s="55"/>
      <c r="J783" s="55"/>
      <c r="K783" s="55"/>
    </row>
    <row r="784">
      <c r="A784" s="150"/>
      <c r="B784" s="55"/>
      <c r="C784" s="55"/>
      <c r="D784" s="55"/>
      <c r="E784" s="55"/>
      <c r="F784" s="55"/>
      <c r="G784" s="55"/>
      <c r="H784" s="55"/>
      <c r="I784" s="55"/>
      <c r="J784" s="55"/>
      <c r="K784" s="55"/>
    </row>
    <row r="785">
      <c r="A785" s="150"/>
      <c r="B785" s="55"/>
      <c r="C785" s="55"/>
      <c r="D785" s="55"/>
      <c r="E785" s="55"/>
      <c r="F785" s="55"/>
      <c r="G785" s="55"/>
      <c r="H785" s="55"/>
      <c r="I785" s="55"/>
      <c r="J785" s="55"/>
      <c r="K785" s="55"/>
    </row>
    <row r="786">
      <c r="A786" s="150"/>
      <c r="B786" s="55"/>
      <c r="C786" s="55"/>
      <c r="D786" s="55"/>
      <c r="E786" s="55"/>
      <c r="F786" s="55"/>
      <c r="G786" s="55"/>
      <c r="H786" s="55"/>
      <c r="I786" s="55"/>
      <c r="J786" s="55"/>
      <c r="K786" s="55"/>
    </row>
    <row r="787">
      <c r="A787" s="150"/>
      <c r="B787" s="55"/>
      <c r="C787" s="55"/>
      <c r="D787" s="55"/>
      <c r="E787" s="55"/>
      <c r="F787" s="55"/>
      <c r="G787" s="55"/>
      <c r="H787" s="55"/>
      <c r="I787" s="55"/>
      <c r="J787" s="55"/>
      <c r="K787" s="55"/>
    </row>
    <row r="788">
      <c r="A788" s="150"/>
      <c r="B788" s="55"/>
      <c r="C788" s="55"/>
      <c r="D788" s="55"/>
      <c r="E788" s="55"/>
      <c r="F788" s="55"/>
      <c r="G788" s="55"/>
      <c r="H788" s="55"/>
      <c r="I788" s="55"/>
      <c r="J788" s="55"/>
      <c r="K788" s="55"/>
    </row>
    <row r="789">
      <c r="A789" s="150"/>
      <c r="B789" s="55"/>
      <c r="C789" s="55"/>
      <c r="D789" s="55"/>
      <c r="E789" s="55"/>
      <c r="F789" s="55"/>
      <c r="G789" s="55"/>
      <c r="H789" s="55"/>
      <c r="I789" s="55"/>
      <c r="J789" s="55"/>
      <c r="K789" s="55"/>
    </row>
    <row r="790">
      <c r="A790" s="150"/>
      <c r="B790" s="55"/>
      <c r="C790" s="55"/>
      <c r="D790" s="55"/>
      <c r="E790" s="55"/>
      <c r="F790" s="55"/>
      <c r="G790" s="55"/>
      <c r="H790" s="55"/>
      <c r="I790" s="55"/>
      <c r="J790" s="55"/>
      <c r="K790" s="55"/>
    </row>
    <row r="791">
      <c r="A791" s="150"/>
      <c r="B791" s="55"/>
      <c r="C791" s="55"/>
      <c r="D791" s="55"/>
      <c r="E791" s="55"/>
      <c r="F791" s="55"/>
      <c r="G791" s="55"/>
      <c r="H791" s="55"/>
      <c r="I791" s="55"/>
      <c r="J791" s="55"/>
      <c r="K791" s="55"/>
    </row>
    <row r="792">
      <c r="A792" s="150"/>
      <c r="B792" s="55"/>
      <c r="C792" s="55"/>
      <c r="D792" s="55"/>
      <c r="E792" s="55"/>
      <c r="F792" s="55"/>
      <c r="G792" s="55"/>
      <c r="H792" s="55"/>
      <c r="I792" s="55"/>
      <c r="J792" s="55"/>
      <c r="K792" s="55"/>
    </row>
    <row r="793">
      <c r="A793" s="150"/>
      <c r="B793" s="55"/>
      <c r="C793" s="55"/>
      <c r="D793" s="55"/>
      <c r="E793" s="55"/>
      <c r="F793" s="55"/>
      <c r="G793" s="55"/>
      <c r="H793" s="55"/>
      <c r="I793" s="55"/>
      <c r="J793" s="55"/>
      <c r="K793" s="55"/>
    </row>
    <row r="794">
      <c r="A794" s="150"/>
      <c r="B794" s="55"/>
      <c r="C794" s="55"/>
      <c r="D794" s="55"/>
      <c r="E794" s="55"/>
      <c r="F794" s="55"/>
      <c r="G794" s="55"/>
      <c r="H794" s="55"/>
      <c r="I794" s="55"/>
      <c r="J794" s="55"/>
      <c r="K794" s="55"/>
    </row>
    <row r="795">
      <c r="A795" s="150"/>
      <c r="B795" s="55"/>
      <c r="C795" s="55"/>
      <c r="D795" s="55"/>
      <c r="E795" s="55"/>
      <c r="F795" s="55"/>
      <c r="G795" s="55"/>
      <c r="H795" s="55"/>
      <c r="I795" s="55"/>
      <c r="J795" s="55"/>
      <c r="K795" s="55"/>
    </row>
    <row r="796">
      <c r="A796" s="150"/>
      <c r="B796" s="55"/>
      <c r="C796" s="55"/>
      <c r="D796" s="55"/>
      <c r="E796" s="55"/>
      <c r="F796" s="55"/>
      <c r="G796" s="55"/>
      <c r="H796" s="55"/>
      <c r="I796" s="55"/>
      <c r="J796" s="55"/>
      <c r="K796" s="55"/>
    </row>
    <row r="797">
      <c r="A797" s="150"/>
      <c r="B797" s="55"/>
      <c r="C797" s="55"/>
      <c r="D797" s="55"/>
      <c r="E797" s="55"/>
      <c r="F797" s="55"/>
      <c r="G797" s="55"/>
      <c r="H797" s="55"/>
      <c r="I797" s="55"/>
      <c r="J797" s="55"/>
      <c r="K797" s="55"/>
    </row>
    <row r="798">
      <c r="A798" s="150"/>
      <c r="B798" s="55"/>
      <c r="C798" s="55"/>
      <c r="D798" s="55"/>
      <c r="E798" s="55"/>
      <c r="F798" s="55"/>
      <c r="G798" s="55"/>
      <c r="H798" s="55"/>
      <c r="I798" s="55"/>
      <c r="J798" s="55"/>
      <c r="K798" s="55"/>
    </row>
    <row r="799">
      <c r="A799" s="150"/>
      <c r="B799" s="55"/>
      <c r="C799" s="55"/>
      <c r="D799" s="55"/>
      <c r="E799" s="55"/>
      <c r="F799" s="55"/>
      <c r="G799" s="55"/>
      <c r="H799" s="55"/>
      <c r="I799" s="55"/>
      <c r="J799" s="55"/>
      <c r="K799" s="55"/>
    </row>
    <row r="800">
      <c r="A800" s="150"/>
      <c r="B800" s="55"/>
      <c r="C800" s="55"/>
      <c r="D800" s="55"/>
      <c r="E800" s="55"/>
      <c r="F800" s="55"/>
      <c r="G800" s="55"/>
      <c r="H800" s="55"/>
      <c r="I800" s="55"/>
      <c r="J800" s="55"/>
      <c r="K800" s="55"/>
    </row>
    <row r="801">
      <c r="A801" s="150"/>
      <c r="B801" s="55"/>
      <c r="C801" s="55"/>
      <c r="D801" s="55"/>
      <c r="E801" s="55"/>
      <c r="F801" s="55"/>
      <c r="G801" s="55"/>
      <c r="H801" s="55"/>
      <c r="I801" s="55"/>
      <c r="J801" s="55"/>
      <c r="K801" s="55"/>
    </row>
    <row r="802">
      <c r="A802" s="150"/>
      <c r="B802" s="55"/>
      <c r="C802" s="55"/>
      <c r="D802" s="55"/>
      <c r="E802" s="55"/>
      <c r="F802" s="55"/>
      <c r="G802" s="55"/>
      <c r="H802" s="55"/>
      <c r="I802" s="55"/>
      <c r="J802" s="55"/>
      <c r="K802" s="55"/>
    </row>
    <row r="803">
      <c r="A803" s="150"/>
      <c r="B803" s="55"/>
      <c r="C803" s="55"/>
      <c r="D803" s="55"/>
      <c r="E803" s="55"/>
      <c r="F803" s="55"/>
      <c r="G803" s="55"/>
      <c r="H803" s="55"/>
      <c r="I803" s="55"/>
      <c r="J803" s="55"/>
      <c r="K803" s="55"/>
    </row>
    <row r="804">
      <c r="A804" s="150"/>
      <c r="B804" s="55"/>
      <c r="C804" s="55"/>
      <c r="D804" s="55"/>
      <c r="E804" s="55"/>
      <c r="F804" s="55"/>
      <c r="G804" s="55"/>
      <c r="H804" s="55"/>
      <c r="I804" s="55"/>
      <c r="J804" s="55"/>
      <c r="K804" s="55"/>
    </row>
    <row r="805">
      <c r="A805" s="150"/>
      <c r="B805" s="55"/>
      <c r="C805" s="55"/>
      <c r="D805" s="55"/>
      <c r="E805" s="55"/>
      <c r="F805" s="55"/>
      <c r="G805" s="55"/>
      <c r="H805" s="55"/>
      <c r="I805" s="55"/>
      <c r="J805" s="55"/>
      <c r="K805" s="55"/>
    </row>
    <row r="806">
      <c r="A806" s="150"/>
      <c r="B806" s="55"/>
      <c r="C806" s="55"/>
      <c r="D806" s="55"/>
      <c r="E806" s="55"/>
      <c r="F806" s="55"/>
      <c r="G806" s="55"/>
      <c r="H806" s="55"/>
      <c r="I806" s="55"/>
      <c r="J806" s="55"/>
      <c r="K806" s="55"/>
    </row>
    <row r="807">
      <c r="A807" s="150"/>
      <c r="B807" s="55"/>
      <c r="C807" s="55"/>
      <c r="D807" s="55"/>
      <c r="E807" s="55"/>
      <c r="F807" s="55"/>
      <c r="G807" s="55"/>
      <c r="H807" s="55"/>
      <c r="I807" s="55"/>
      <c r="J807" s="55"/>
      <c r="K807" s="55"/>
    </row>
    <row r="808">
      <c r="A808" s="150"/>
      <c r="B808" s="55"/>
      <c r="C808" s="55"/>
      <c r="D808" s="55"/>
      <c r="E808" s="55"/>
      <c r="F808" s="55"/>
      <c r="G808" s="55"/>
      <c r="H808" s="55"/>
      <c r="I808" s="55"/>
      <c r="J808" s="55"/>
      <c r="K808" s="55"/>
    </row>
    <row r="809">
      <c r="A809" s="150"/>
      <c r="B809" s="55"/>
      <c r="C809" s="55"/>
      <c r="D809" s="55"/>
      <c r="E809" s="55"/>
      <c r="F809" s="55"/>
      <c r="G809" s="55"/>
      <c r="H809" s="55"/>
      <c r="I809" s="55"/>
      <c r="J809" s="55"/>
      <c r="K809" s="55"/>
    </row>
    <row r="810">
      <c r="A810" s="150"/>
      <c r="B810" s="55"/>
      <c r="C810" s="55"/>
      <c r="D810" s="55"/>
      <c r="E810" s="55"/>
      <c r="F810" s="55"/>
      <c r="G810" s="55"/>
      <c r="H810" s="55"/>
      <c r="I810" s="55"/>
      <c r="J810" s="55"/>
      <c r="K810" s="55"/>
    </row>
    <row r="811">
      <c r="A811" s="150"/>
      <c r="B811" s="55"/>
      <c r="C811" s="55"/>
      <c r="D811" s="55"/>
      <c r="E811" s="55"/>
      <c r="F811" s="55"/>
      <c r="G811" s="55"/>
      <c r="H811" s="55"/>
      <c r="I811" s="55"/>
      <c r="J811" s="55"/>
      <c r="K811" s="55"/>
    </row>
    <row r="812">
      <c r="A812" s="150"/>
      <c r="B812" s="55"/>
      <c r="C812" s="55"/>
      <c r="D812" s="55"/>
      <c r="E812" s="55"/>
      <c r="F812" s="55"/>
      <c r="G812" s="55"/>
      <c r="H812" s="55"/>
      <c r="I812" s="55"/>
      <c r="J812" s="55"/>
      <c r="K812" s="55"/>
    </row>
    <row r="813">
      <c r="A813" s="150"/>
      <c r="B813" s="55"/>
      <c r="C813" s="55"/>
      <c r="D813" s="55"/>
      <c r="E813" s="55"/>
      <c r="F813" s="55"/>
      <c r="G813" s="55"/>
      <c r="H813" s="55"/>
      <c r="I813" s="55"/>
      <c r="J813" s="55"/>
      <c r="K813" s="55"/>
    </row>
    <row r="814">
      <c r="A814" s="150"/>
      <c r="B814" s="55"/>
      <c r="C814" s="55"/>
      <c r="D814" s="55"/>
      <c r="E814" s="55"/>
      <c r="F814" s="55"/>
      <c r="G814" s="55"/>
      <c r="H814" s="55"/>
      <c r="I814" s="55"/>
      <c r="J814" s="55"/>
      <c r="K814" s="55"/>
    </row>
    <row r="815">
      <c r="A815" s="150"/>
      <c r="B815" s="55"/>
      <c r="C815" s="55"/>
      <c r="D815" s="55"/>
      <c r="E815" s="55"/>
      <c r="F815" s="55"/>
      <c r="G815" s="55"/>
      <c r="H815" s="55"/>
      <c r="I815" s="55"/>
      <c r="J815" s="55"/>
      <c r="K815" s="55"/>
    </row>
    <row r="816">
      <c r="A816" s="150"/>
      <c r="B816" s="55"/>
      <c r="C816" s="55"/>
      <c r="D816" s="55"/>
      <c r="E816" s="55"/>
      <c r="F816" s="55"/>
      <c r="G816" s="55"/>
      <c r="H816" s="55"/>
      <c r="I816" s="55"/>
      <c r="J816" s="55"/>
      <c r="K816" s="55"/>
    </row>
    <row r="817">
      <c r="A817" s="150"/>
      <c r="B817" s="55"/>
      <c r="C817" s="55"/>
      <c r="D817" s="55"/>
      <c r="E817" s="55"/>
      <c r="F817" s="55"/>
      <c r="G817" s="55"/>
      <c r="H817" s="55"/>
      <c r="I817" s="55"/>
      <c r="J817" s="55"/>
      <c r="K817" s="55"/>
    </row>
    <row r="818">
      <c r="A818" s="150"/>
      <c r="B818" s="55"/>
      <c r="C818" s="55"/>
      <c r="D818" s="55"/>
      <c r="E818" s="55"/>
      <c r="F818" s="55"/>
      <c r="G818" s="55"/>
      <c r="H818" s="55"/>
      <c r="I818" s="55"/>
      <c r="J818" s="55"/>
      <c r="K818" s="55"/>
    </row>
    <row r="819">
      <c r="A819" s="150"/>
      <c r="B819" s="55"/>
      <c r="C819" s="55"/>
      <c r="D819" s="55"/>
      <c r="E819" s="55"/>
      <c r="F819" s="55"/>
      <c r="G819" s="55"/>
      <c r="H819" s="55"/>
      <c r="I819" s="55"/>
      <c r="J819" s="55"/>
      <c r="K819" s="55"/>
    </row>
    <row r="820">
      <c r="A820" s="150"/>
      <c r="B820" s="55"/>
      <c r="C820" s="55"/>
      <c r="D820" s="55"/>
      <c r="E820" s="55"/>
      <c r="F820" s="55"/>
      <c r="G820" s="55"/>
      <c r="H820" s="55"/>
      <c r="I820" s="55"/>
      <c r="J820" s="55"/>
      <c r="K820" s="55"/>
    </row>
    <row r="821">
      <c r="A821" s="150"/>
      <c r="B821" s="55"/>
      <c r="C821" s="55"/>
      <c r="D821" s="55"/>
      <c r="E821" s="55"/>
      <c r="F821" s="55"/>
      <c r="G821" s="55"/>
      <c r="H821" s="55"/>
      <c r="I821" s="55"/>
      <c r="J821" s="55"/>
      <c r="K821" s="55"/>
    </row>
    <row r="822">
      <c r="A822" s="150"/>
      <c r="B822" s="55"/>
      <c r="C822" s="55"/>
      <c r="D822" s="55"/>
      <c r="E822" s="55"/>
      <c r="F822" s="55"/>
      <c r="G822" s="55"/>
      <c r="H822" s="55"/>
      <c r="I822" s="55"/>
      <c r="J822" s="55"/>
      <c r="K822" s="55"/>
    </row>
    <row r="823">
      <c r="A823" s="150"/>
      <c r="B823" s="55"/>
      <c r="C823" s="55"/>
      <c r="D823" s="55"/>
      <c r="E823" s="55"/>
      <c r="F823" s="55"/>
      <c r="G823" s="55"/>
      <c r="H823" s="55"/>
      <c r="I823" s="55"/>
      <c r="J823" s="55"/>
      <c r="K823" s="55"/>
    </row>
    <row r="824">
      <c r="A824" s="150"/>
      <c r="B824" s="55"/>
      <c r="C824" s="55"/>
      <c r="D824" s="55"/>
      <c r="E824" s="55"/>
      <c r="F824" s="55"/>
      <c r="G824" s="55"/>
      <c r="H824" s="55"/>
      <c r="I824" s="55"/>
      <c r="J824" s="55"/>
      <c r="K824" s="55"/>
    </row>
    <row r="825">
      <c r="A825" s="150"/>
      <c r="B825" s="55"/>
      <c r="C825" s="55"/>
      <c r="D825" s="55"/>
      <c r="E825" s="55"/>
      <c r="F825" s="55"/>
      <c r="G825" s="55"/>
      <c r="H825" s="55"/>
      <c r="I825" s="55"/>
      <c r="J825" s="55"/>
      <c r="K825" s="55"/>
    </row>
    <row r="826">
      <c r="A826" s="150"/>
      <c r="B826" s="55"/>
      <c r="C826" s="55"/>
      <c r="D826" s="55"/>
      <c r="E826" s="55"/>
      <c r="F826" s="55"/>
      <c r="G826" s="55"/>
      <c r="H826" s="55"/>
      <c r="I826" s="55"/>
      <c r="J826" s="55"/>
      <c r="K826" s="55"/>
    </row>
    <row r="827">
      <c r="A827" s="150"/>
      <c r="B827" s="55"/>
      <c r="C827" s="55"/>
      <c r="D827" s="55"/>
      <c r="E827" s="55"/>
      <c r="F827" s="55"/>
      <c r="G827" s="55"/>
      <c r="H827" s="55"/>
      <c r="I827" s="55"/>
      <c r="J827" s="55"/>
      <c r="K827" s="55"/>
    </row>
    <row r="828">
      <c r="A828" s="150"/>
      <c r="B828" s="55"/>
      <c r="C828" s="55"/>
      <c r="D828" s="55"/>
      <c r="E828" s="55"/>
      <c r="F828" s="55"/>
      <c r="G828" s="55"/>
      <c r="H828" s="55"/>
      <c r="I828" s="55"/>
      <c r="J828" s="55"/>
      <c r="K828" s="55"/>
    </row>
    <row r="829">
      <c r="A829" s="150"/>
      <c r="B829" s="55"/>
      <c r="C829" s="55"/>
      <c r="D829" s="55"/>
      <c r="E829" s="55"/>
      <c r="F829" s="55"/>
      <c r="G829" s="55"/>
      <c r="H829" s="55"/>
      <c r="I829" s="55"/>
      <c r="J829" s="55"/>
      <c r="K829" s="55"/>
    </row>
    <row r="830">
      <c r="A830" s="150"/>
      <c r="B830" s="55"/>
      <c r="C830" s="55"/>
      <c r="D830" s="55"/>
      <c r="E830" s="55"/>
      <c r="F830" s="55"/>
      <c r="G830" s="55"/>
      <c r="H830" s="55"/>
      <c r="I830" s="55"/>
      <c r="J830" s="55"/>
      <c r="K830" s="55"/>
    </row>
    <row r="831">
      <c r="A831" s="150"/>
      <c r="B831" s="55"/>
      <c r="C831" s="55"/>
      <c r="D831" s="55"/>
      <c r="E831" s="55"/>
      <c r="F831" s="55"/>
      <c r="G831" s="55"/>
      <c r="H831" s="55"/>
      <c r="I831" s="55"/>
      <c r="J831" s="55"/>
      <c r="K831" s="55"/>
    </row>
    <row r="832">
      <c r="A832" s="150"/>
      <c r="B832" s="55"/>
      <c r="C832" s="55"/>
      <c r="D832" s="55"/>
      <c r="E832" s="55"/>
      <c r="F832" s="55"/>
      <c r="G832" s="55"/>
      <c r="H832" s="55"/>
      <c r="I832" s="55"/>
      <c r="J832" s="55"/>
      <c r="K832" s="55"/>
    </row>
    <row r="833">
      <c r="A833" s="150"/>
      <c r="B833" s="55"/>
      <c r="C833" s="55"/>
      <c r="D833" s="55"/>
      <c r="E833" s="55"/>
      <c r="F833" s="55"/>
      <c r="G833" s="55"/>
      <c r="H833" s="55"/>
      <c r="I833" s="55"/>
      <c r="J833" s="55"/>
      <c r="K833" s="55"/>
    </row>
    <row r="834">
      <c r="A834" s="150"/>
      <c r="B834" s="55"/>
      <c r="C834" s="55"/>
      <c r="D834" s="55"/>
      <c r="E834" s="55"/>
      <c r="F834" s="55"/>
      <c r="G834" s="55"/>
      <c r="H834" s="55"/>
      <c r="I834" s="55"/>
      <c r="J834" s="55"/>
      <c r="K834" s="55"/>
    </row>
    <row r="835">
      <c r="A835" s="150"/>
      <c r="B835" s="55"/>
      <c r="C835" s="55"/>
      <c r="D835" s="55"/>
      <c r="E835" s="55"/>
      <c r="F835" s="55"/>
      <c r="G835" s="55"/>
      <c r="H835" s="55"/>
      <c r="I835" s="55"/>
      <c r="J835" s="55"/>
      <c r="K835" s="55"/>
    </row>
    <row r="836">
      <c r="A836" s="150"/>
      <c r="B836" s="55"/>
      <c r="C836" s="55"/>
      <c r="D836" s="55"/>
      <c r="E836" s="55"/>
      <c r="F836" s="55"/>
      <c r="G836" s="55"/>
      <c r="H836" s="55"/>
      <c r="I836" s="55"/>
      <c r="J836" s="55"/>
      <c r="K836" s="55"/>
    </row>
    <row r="837">
      <c r="A837" s="150"/>
      <c r="B837" s="55"/>
      <c r="C837" s="55"/>
      <c r="D837" s="55"/>
      <c r="E837" s="55"/>
      <c r="F837" s="55"/>
      <c r="G837" s="55"/>
      <c r="H837" s="55"/>
      <c r="I837" s="55"/>
      <c r="J837" s="55"/>
      <c r="K837" s="55"/>
    </row>
    <row r="838">
      <c r="A838" s="150"/>
      <c r="B838" s="55"/>
      <c r="C838" s="55"/>
      <c r="D838" s="55"/>
      <c r="E838" s="55"/>
      <c r="F838" s="55"/>
      <c r="G838" s="55"/>
      <c r="H838" s="55"/>
      <c r="I838" s="55"/>
      <c r="J838" s="55"/>
      <c r="K838" s="55"/>
    </row>
    <row r="839">
      <c r="A839" s="150"/>
      <c r="B839" s="55"/>
      <c r="C839" s="55"/>
      <c r="D839" s="55"/>
      <c r="E839" s="55"/>
      <c r="F839" s="55"/>
      <c r="G839" s="55"/>
      <c r="H839" s="55"/>
      <c r="I839" s="55"/>
      <c r="J839" s="55"/>
      <c r="K839" s="55"/>
    </row>
    <row r="840">
      <c r="A840" s="150"/>
      <c r="B840" s="55"/>
      <c r="C840" s="55"/>
      <c r="D840" s="55"/>
      <c r="E840" s="55"/>
      <c r="F840" s="55"/>
      <c r="G840" s="55"/>
      <c r="H840" s="55"/>
      <c r="I840" s="55"/>
      <c r="J840" s="55"/>
      <c r="K840" s="55"/>
    </row>
    <row r="841">
      <c r="A841" s="150"/>
      <c r="B841" s="55"/>
      <c r="C841" s="55"/>
      <c r="D841" s="55"/>
      <c r="E841" s="55"/>
      <c r="F841" s="55"/>
      <c r="G841" s="55"/>
      <c r="H841" s="55"/>
      <c r="I841" s="55"/>
      <c r="J841" s="55"/>
      <c r="K841" s="55"/>
    </row>
    <row r="842">
      <c r="A842" s="150"/>
      <c r="B842" s="55"/>
      <c r="C842" s="55"/>
      <c r="D842" s="55"/>
      <c r="E842" s="55"/>
      <c r="F842" s="55"/>
      <c r="G842" s="55"/>
      <c r="H842" s="55"/>
      <c r="I842" s="55"/>
      <c r="J842" s="55"/>
      <c r="K842" s="55"/>
    </row>
    <row r="843">
      <c r="A843" s="150"/>
      <c r="B843" s="55"/>
      <c r="C843" s="55"/>
      <c r="D843" s="55"/>
      <c r="E843" s="55"/>
      <c r="F843" s="55"/>
      <c r="G843" s="55"/>
      <c r="H843" s="55"/>
      <c r="I843" s="55"/>
      <c r="J843" s="55"/>
      <c r="K843" s="55"/>
    </row>
    <row r="844">
      <c r="A844" s="150"/>
      <c r="B844" s="55"/>
      <c r="C844" s="55"/>
      <c r="D844" s="55"/>
      <c r="E844" s="55"/>
      <c r="F844" s="55"/>
      <c r="G844" s="55"/>
      <c r="H844" s="55"/>
      <c r="I844" s="55"/>
      <c r="J844" s="55"/>
      <c r="K844" s="55"/>
    </row>
    <row r="845">
      <c r="A845" s="150"/>
      <c r="B845" s="55"/>
      <c r="C845" s="55"/>
      <c r="D845" s="55"/>
      <c r="E845" s="55"/>
      <c r="F845" s="55"/>
      <c r="G845" s="55"/>
      <c r="H845" s="55"/>
      <c r="I845" s="55"/>
      <c r="J845" s="55"/>
      <c r="K845" s="55"/>
    </row>
    <row r="846">
      <c r="A846" s="150"/>
      <c r="B846" s="55"/>
      <c r="C846" s="55"/>
      <c r="D846" s="55"/>
      <c r="E846" s="55"/>
      <c r="F846" s="55"/>
      <c r="G846" s="55"/>
      <c r="H846" s="55"/>
      <c r="I846" s="55"/>
      <c r="J846" s="55"/>
      <c r="K846" s="55"/>
    </row>
    <row r="847">
      <c r="A847" s="150"/>
      <c r="B847" s="55"/>
      <c r="C847" s="55"/>
      <c r="D847" s="55"/>
      <c r="E847" s="55"/>
      <c r="F847" s="55"/>
      <c r="G847" s="55"/>
      <c r="H847" s="55"/>
      <c r="I847" s="55"/>
      <c r="J847" s="55"/>
      <c r="K847" s="55"/>
    </row>
    <row r="848">
      <c r="A848" s="150"/>
      <c r="B848" s="55"/>
      <c r="C848" s="55"/>
      <c r="D848" s="55"/>
      <c r="E848" s="55"/>
      <c r="F848" s="55"/>
      <c r="G848" s="55"/>
      <c r="H848" s="55"/>
      <c r="I848" s="55"/>
      <c r="J848" s="55"/>
      <c r="K848" s="55"/>
    </row>
    <row r="849">
      <c r="A849" s="150"/>
      <c r="B849" s="55"/>
      <c r="C849" s="55"/>
      <c r="D849" s="55"/>
      <c r="E849" s="55"/>
      <c r="F849" s="55"/>
      <c r="G849" s="55"/>
      <c r="H849" s="55"/>
      <c r="I849" s="55"/>
      <c r="J849" s="55"/>
      <c r="K849" s="55"/>
    </row>
    <row r="850">
      <c r="A850" s="150"/>
      <c r="B850" s="55"/>
      <c r="C850" s="55"/>
      <c r="D850" s="55"/>
      <c r="E850" s="55"/>
      <c r="F850" s="55"/>
      <c r="G850" s="55"/>
      <c r="H850" s="55"/>
      <c r="I850" s="55"/>
      <c r="J850" s="55"/>
      <c r="K850" s="55"/>
    </row>
    <row r="851">
      <c r="A851" s="150"/>
      <c r="B851" s="55"/>
      <c r="C851" s="55"/>
      <c r="D851" s="55"/>
      <c r="E851" s="55"/>
      <c r="F851" s="55"/>
      <c r="G851" s="55"/>
      <c r="H851" s="55"/>
      <c r="I851" s="55"/>
      <c r="J851" s="55"/>
      <c r="K851" s="55"/>
    </row>
    <row r="852">
      <c r="A852" s="150"/>
      <c r="B852" s="55"/>
      <c r="C852" s="55"/>
      <c r="D852" s="55"/>
      <c r="E852" s="55"/>
      <c r="F852" s="55"/>
      <c r="G852" s="55"/>
      <c r="H852" s="55"/>
      <c r="I852" s="55"/>
      <c r="J852" s="55"/>
      <c r="K852" s="55"/>
    </row>
    <row r="853">
      <c r="A853" s="150"/>
      <c r="B853" s="55"/>
      <c r="C853" s="55"/>
      <c r="D853" s="55"/>
      <c r="E853" s="55"/>
      <c r="F853" s="55"/>
      <c r="G853" s="55"/>
      <c r="H853" s="55"/>
      <c r="I853" s="55"/>
      <c r="J853" s="55"/>
      <c r="K853" s="55"/>
    </row>
    <row r="854">
      <c r="A854" s="150"/>
      <c r="B854" s="55"/>
      <c r="C854" s="55"/>
      <c r="D854" s="55"/>
      <c r="E854" s="55"/>
      <c r="F854" s="55"/>
      <c r="G854" s="55"/>
      <c r="H854" s="55"/>
      <c r="I854" s="55"/>
      <c r="J854" s="55"/>
      <c r="K854" s="55"/>
    </row>
    <row r="855">
      <c r="A855" s="150"/>
      <c r="B855" s="55"/>
      <c r="C855" s="55"/>
      <c r="D855" s="55"/>
      <c r="E855" s="55"/>
      <c r="F855" s="55"/>
      <c r="G855" s="55"/>
      <c r="H855" s="55"/>
      <c r="I855" s="55"/>
      <c r="J855" s="55"/>
      <c r="K855" s="55"/>
    </row>
    <row r="856">
      <c r="A856" s="150"/>
      <c r="B856" s="55"/>
      <c r="C856" s="55"/>
      <c r="D856" s="55"/>
      <c r="E856" s="55"/>
      <c r="F856" s="55"/>
      <c r="G856" s="55"/>
      <c r="H856" s="55"/>
      <c r="I856" s="55"/>
      <c r="J856" s="55"/>
      <c r="K856" s="55"/>
    </row>
    <row r="857">
      <c r="A857" s="150"/>
      <c r="B857" s="55"/>
      <c r="C857" s="55"/>
      <c r="D857" s="55"/>
      <c r="E857" s="55"/>
      <c r="F857" s="55"/>
      <c r="G857" s="55"/>
      <c r="H857" s="55"/>
      <c r="I857" s="55"/>
      <c r="J857" s="55"/>
      <c r="K857" s="55"/>
    </row>
    <row r="858">
      <c r="A858" s="150"/>
      <c r="B858" s="55"/>
      <c r="C858" s="55"/>
      <c r="D858" s="55"/>
      <c r="E858" s="55"/>
      <c r="F858" s="55"/>
      <c r="G858" s="55"/>
      <c r="H858" s="55"/>
      <c r="I858" s="55"/>
      <c r="J858" s="55"/>
      <c r="K858" s="55"/>
    </row>
    <row r="859">
      <c r="A859" s="150"/>
      <c r="B859" s="55"/>
      <c r="C859" s="55"/>
      <c r="D859" s="55"/>
      <c r="E859" s="55"/>
      <c r="F859" s="55"/>
      <c r="G859" s="55"/>
      <c r="H859" s="55"/>
      <c r="I859" s="55"/>
      <c r="J859" s="55"/>
      <c r="K859" s="55"/>
    </row>
    <row r="860">
      <c r="A860" s="150"/>
      <c r="B860" s="55"/>
      <c r="C860" s="55"/>
      <c r="D860" s="55"/>
      <c r="E860" s="55"/>
      <c r="F860" s="55"/>
      <c r="G860" s="55"/>
      <c r="H860" s="55"/>
      <c r="I860" s="55"/>
      <c r="J860" s="55"/>
      <c r="K860" s="55"/>
    </row>
    <row r="861">
      <c r="A861" s="150"/>
      <c r="B861" s="55"/>
      <c r="C861" s="55"/>
      <c r="D861" s="55"/>
      <c r="E861" s="55"/>
      <c r="F861" s="55"/>
      <c r="G861" s="55"/>
      <c r="H861" s="55"/>
      <c r="I861" s="55"/>
      <c r="J861" s="55"/>
      <c r="K861" s="55"/>
    </row>
    <row r="862">
      <c r="A862" s="150"/>
      <c r="B862" s="55"/>
      <c r="C862" s="55"/>
      <c r="D862" s="55"/>
      <c r="E862" s="55"/>
      <c r="F862" s="55"/>
      <c r="G862" s="55"/>
      <c r="H862" s="55"/>
      <c r="I862" s="55"/>
      <c r="J862" s="55"/>
      <c r="K862" s="55"/>
    </row>
    <row r="863">
      <c r="A863" s="150"/>
      <c r="B863" s="55"/>
      <c r="C863" s="55"/>
      <c r="D863" s="55"/>
      <c r="E863" s="55"/>
      <c r="F863" s="55"/>
      <c r="G863" s="55"/>
      <c r="H863" s="55"/>
      <c r="I863" s="55"/>
      <c r="J863" s="55"/>
      <c r="K863" s="55"/>
    </row>
    <row r="864">
      <c r="A864" s="150"/>
      <c r="B864" s="55"/>
      <c r="C864" s="55"/>
      <c r="D864" s="55"/>
      <c r="E864" s="55"/>
      <c r="F864" s="55"/>
      <c r="G864" s="55"/>
      <c r="H864" s="55"/>
      <c r="I864" s="55"/>
      <c r="J864" s="55"/>
      <c r="K864" s="55"/>
    </row>
    <row r="865">
      <c r="A865" s="150"/>
      <c r="B865" s="55"/>
      <c r="C865" s="55"/>
      <c r="D865" s="55"/>
      <c r="E865" s="55"/>
      <c r="F865" s="55"/>
      <c r="G865" s="55"/>
      <c r="H865" s="55"/>
      <c r="I865" s="55"/>
      <c r="J865" s="55"/>
      <c r="K865" s="55"/>
    </row>
    <row r="866">
      <c r="A866" s="150"/>
      <c r="B866" s="55"/>
      <c r="C866" s="55"/>
      <c r="D866" s="55"/>
      <c r="E866" s="55"/>
      <c r="F866" s="55"/>
      <c r="G866" s="55"/>
      <c r="H866" s="55"/>
      <c r="I866" s="55"/>
      <c r="J866" s="55"/>
      <c r="K866" s="55"/>
    </row>
    <row r="867">
      <c r="A867" s="150"/>
      <c r="B867" s="55"/>
      <c r="C867" s="55"/>
      <c r="D867" s="55"/>
      <c r="E867" s="55"/>
      <c r="F867" s="55"/>
      <c r="G867" s="55"/>
      <c r="H867" s="55"/>
      <c r="I867" s="55"/>
      <c r="J867" s="55"/>
      <c r="K867" s="55"/>
    </row>
    <row r="868">
      <c r="A868" s="150"/>
      <c r="B868" s="55"/>
      <c r="C868" s="55"/>
      <c r="D868" s="55"/>
      <c r="E868" s="55"/>
      <c r="F868" s="55"/>
      <c r="G868" s="55"/>
      <c r="H868" s="55"/>
      <c r="I868" s="55"/>
      <c r="J868" s="55"/>
      <c r="K868" s="55"/>
    </row>
    <row r="869">
      <c r="A869" s="150"/>
      <c r="B869" s="55"/>
      <c r="C869" s="55"/>
      <c r="D869" s="55"/>
      <c r="E869" s="55"/>
      <c r="F869" s="55"/>
      <c r="G869" s="55"/>
      <c r="H869" s="55"/>
      <c r="I869" s="55"/>
      <c r="J869" s="55"/>
      <c r="K869" s="55"/>
    </row>
    <row r="870">
      <c r="A870" s="150"/>
      <c r="B870" s="55"/>
      <c r="C870" s="55"/>
      <c r="D870" s="55"/>
      <c r="E870" s="55"/>
      <c r="F870" s="55"/>
      <c r="G870" s="55"/>
      <c r="H870" s="55"/>
      <c r="I870" s="55"/>
      <c r="J870" s="55"/>
      <c r="K870" s="55"/>
    </row>
    <row r="871">
      <c r="A871" s="150"/>
      <c r="B871" s="55"/>
      <c r="C871" s="55"/>
      <c r="D871" s="55"/>
      <c r="E871" s="55"/>
      <c r="F871" s="55"/>
      <c r="G871" s="55"/>
      <c r="H871" s="55"/>
      <c r="I871" s="55"/>
      <c r="J871" s="55"/>
      <c r="K871" s="55"/>
    </row>
    <row r="872">
      <c r="A872" s="150"/>
      <c r="B872" s="55"/>
      <c r="C872" s="55"/>
      <c r="D872" s="55"/>
      <c r="E872" s="55"/>
      <c r="F872" s="55"/>
      <c r="G872" s="55"/>
      <c r="H872" s="55"/>
      <c r="I872" s="55"/>
      <c r="J872" s="55"/>
      <c r="K872" s="55"/>
    </row>
    <row r="873">
      <c r="A873" s="150"/>
      <c r="B873" s="55"/>
      <c r="C873" s="55"/>
      <c r="D873" s="55"/>
      <c r="E873" s="55"/>
      <c r="F873" s="55"/>
      <c r="G873" s="55"/>
      <c r="H873" s="55"/>
      <c r="I873" s="55"/>
      <c r="J873" s="55"/>
      <c r="K873" s="55"/>
    </row>
    <row r="874">
      <c r="A874" s="150"/>
      <c r="B874" s="55"/>
      <c r="C874" s="55"/>
      <c r="D874" s="55"/>
      <c r="E874" s="55"/>
      <c r="F874" s="55"/>
      <c r="G874" s="55"/>
      <c r="H874" s="55"/>
      <c r="I874" s="55"/>
      <c r="J874" s="55"/>
      <c r="K874" s="55"/>
    </row>
    <row r="875">
      <c r="A875" s="150"/>
      <c r="B875" s="55"/>
      <c r="C875" s="55"/>
      <c r="D875" s="55"/>
      <c r="E875" s="55"/>
      <c r="F875" s="55"/>
      <c r="G875" s="55"/>
      <c r="H875" s="55"/>
      <c r="I875" s="55"/>
      <c r="J875" s="55"/>
      <c r="K875" s="55"/>
    </row>
    <row r="876">
      <c r="A876" s="150"/>
      <c r="B876" s="55"/>
      <c r="C876" s="55"/>
      <c r="D876" s="55"/>
      <c r="E876" s="55"/>
      <c r="F876" s="55"/>
      <c r="G876" s="55"/>
      <c r="H876" s="55"/>
      <c r="I876" s="55"/>
      <c r="J876" s="55"/>
      <c r="K876" s="55"/>
    </row>
    <row r="877">
      <c r="A877" s="150"/>
      <c r="B877" s="55"/>
      <c r="C877" s="55"/>
      <c r="D877" s="55"/>
      <c r="E877" s="55"/>
      <c r="F877" s="55"/>
      <c r="G877" s="55"/>
      <c r="H877" s="55"/>
      <c r="I877" s="55"/>
      <c r="J877" s="55"/>
      <c r="K877" s="55"/>
    </row>
    <row r="878">
      <c r="A878" s="150"/>
      <c r="B878" s="55"/>
      <c r="C878" s="55"/>
      <c r="D878" s="55"/>
      <c r="E878" s="55"/>
      <c r="F878" s="55"/>
      <c r="G878" s="55"/>
      <c r="H878" s="55"/>
      <c r="I878" s="55"/>
      <c r="J878" s="55"/>
      <c r="K878" s="55"/>
    </row>
    <row r="879">
      <c r="A879" s="150"/>
      <c r="B879" s="55"/>
      <c r="C879" s="55"/>
      <c r="D879" s="55"/>
      <c r="E879" s="55"/>
      <c r="F879" s="55"/>
      <c r="G879" s="55"/>
      <c r="H879" s="55"/>
      <c r="I879" s="55"/>
      <c r="J879" s="55"/>
      <c r="K879" s="55"/>
    </row>
    <row r="880">
      <c r="A880" s="150"/>
      <c r="B880" s="55"/>
      <c r="C880" s="55"/>
      <c r="D880" s="55"/>
      <c r="E880" s="55"/>
      <c r="F880" s="55"/>
      <c r="G880" s="55"/>
      <c r="H880" s="55"/>
      <c r="I880" s="55"/>
      <c r="J880" s="55"/>
      <c r="K880" s="55"/>
    </row>
    <row r="881">
      <c r="A881" s="150"/>
      <c r="B881" s="55"/>
      <c r="C881" s="55"/>
      <c r="D881" s="55"/>
      <c r="E881" s="55"/>
      <c r="F881" s="55"/>
      <c r="G881" s="55"/>
      <c r="H881" s="55"/>
      <c r="I881" s="55"/>
      <c r="J881" s="55"/>
      <c r="K881" s="55"/>
    </row>
    <row r="882">
      <c r="A882" s="150"/>
      <c r="B882" s="55"/>
      <c r="C882" s="55"/>
      <c r="D882" s="55"/>
      <c r="E882" s="55"/>
      <c r="F882" s="55"/>
      <c r="G882" s="55"/>
      <c r="H882" s="55"/>
      <c r="I882" s="55"/>
      <c r="J882" s="55"/>
      <c r="K882" s="55"/>
    </row>
    <row r="883">
      <c r="A883" s="150"/>
      <c r="B883" s="55"/>
      <c r="C883" s="55"/>
      <c r="D883" s="55"/>
      <c r="E883" s="55"/>
      <c r="F883" s="55"/>
      <c r="G883" s="55"/>
      <c r="H883" s="55"/>
      <c r="I883" s="55"/>
      <c r="J883" s="55"/>
      <c r="K883" s="55"/>
    </row>
    <row r="884">
      <c r="A884" s="150"/>
      <c r="B884" s="55"/>
      <c r="C884" s="55"/>
      <c r="D884" s="55"/>
      <c r="E884" s="55"/>
      <c r="F884" s="55"/>
      <c r="G884" s="55"/>
      <c r="H884" s="55"/>
      <c r="I884" s="55"/>
      <c r="J884" s="55"/>
      <c r="K884" s="55"/>
    </row>
    <row r="885">
      <c r="A885" s="150"/>
      <c r="B885" s="55"/>
      <c r="C885" s="55"/>
      <c r="D885" s="55"/>
      <c r="E885" s="55"/>
      <c r="F885" s="55"/>
      <c r="G885" s="55"/>
      <c r="H885" s="55"/>
      <c r="I885" s="55"/>
      <c r="J885" s="55"/>
      <c r="K885" s="55"/>
    </row>
    <row r="886">
      <c r="A886" s="150"/>
      <c r="B886" s="55"/>
      <c r="C886" s="55"/>
      <c r="D886" s="55"/>
      <c r="E886" s="55"/>
      <c r="F886" s="55"/>
      <c r="G886" s="55"/>
      <c r="H886" s="55"/>
      <c r="I886" s="55"/>
      <c r="J886" s="55"/>
      <c r="K886" s="55"/>
    </row>
    <row r="887">
      <c r="A887" s="150"/>
      <c r="B887" s="55"/>
      <c r="C887" s="55"/>
      <c r="D887" s="55"/>
      <c r="E887" s="55"/>
      <c r="F887" s="55"/>
      <c r="G887" s="55"/>
      <c r="H887" s="55"/>
      <c r="I887" s="55"/>
      <c r="J887" s="55"/>
      <c r="K887" s="55"/>
    </row>
    <row r="888">
      <c r="A888" s="150"/>
      <c r="B888" s="55"/>
      <c r="C888" s="55"/>
      <c r="D888" s="55"/>
      <c r="E888" s="55"/>
      <c r="F888" s="55"/>
      <c r="G888" s="55"/>
      <c r="H888" s="55"/>
      <c r="I888" s="55"/>
      <c r="J888" s="55"/>
      <c r="K888" s="55"/>
    </row>
    <row r="889">
      <c r="A889" s="150"/>
      <c r="B889" s="55"/>
      <c r="C889" s="55"/>
      <c r="D889" s="55"/>
      <c r="E889" s="55"/>
      <c r="F889" s="55"/>
      <c r="G889" s="55"/>
      <c r="H889" s="55"/>
      <c r="I889" s="55"/>
      <c r="J889" s="55"/>
      <c r="K889" s="55"/>
    </row>
    <row r="890">
      <c r="A890" s="150"/>
      <c r="B890" s="55"/>
      <c r="C890" s="55"/>
      <c r="D890" s="55"/>
      <c r="E890" s="55"/>
      <c r="F890" s="55"/>
      <c r="G890" s="55"/>
      <c r="H890" s="55"/>
      <c r="I890" s="55"/>
      <c r="J890" s="55"/>
      <c r="K890" s="55"/>
    </row>
    <row r="891">
      <c r="A891" s="150"/>
      <c r="B891" s="55"/>
      <c r="C891" s="55"/>
      <c r="D891" s="55"/>
      <c r="E891" s="55"/>
      <c r="F891" s="55"/>
      <c r="G891" s="55"/>
      <c r="H891" s="55"/>
      <c r="I891" s="55"/>
      <c r="J891" s="55"/>
      <c r="K891" s="55"/>
    </row>
    <row r="892">
      <c r="A892" s="150"/>
      <c r="B892" s="55"/>
      <c r="C892" s="55"/>
      <c r="D892" s="55"/>
      <c r="E892" s="55"/>
      <c r="F892" s="55"/>
      <c r="G892" s="55"/>
      <c r="H892" s="55"/>
      <c r="I892" s="55"/>
      <c r="J892" s="55"/>
      <c r="K892" s="55"/>
    </row>
    <row r="893">
      <c r="A893" s="150"/>
      <c r="B893" s="55"/>
      <c r="C893" s="55"/>
      <c r="D893" s="55"/>
      <c r="E893" s="55"/>
      <c r="F893" s="55"/>
      <c r="G893" s="55"/>
      <c r="H893" s="55"/>
      <c r="I893" s="55"/>
      <c r="J893" s="55"/>
      <c r="K893" s="55"/>
    </row>
    <row r="894">
      <c r="A894" s="150"/>
      <c r="B894" s="55"/>
      <c r="C894" s="55"/>
      <c r="D894" s="55"/>
      <c r="E894" s="55"/>
      <c r="F894" s="55"/>
      <c r="G894" s="55"/>
      <c r="H894" s="55"/>
      <c r="I894" s="55"/>
      <c r="J894" s="55"/>
      <c r="K894" s="55"/>
    </row>
    <row r="895">
      <c r="A895" s="150"/>
      <c r="B895" s="55"/>
      <c r="C895" s="55"/>
      <c r="D895" s="55"/>
      <c r="E895" s="55"/>
      <c r="F895" s="55"/>
      <c r="G895" s="55"/>
      <c r="H895" s="55"/>
      <c r="I895" s="55"/>
      <c r="J895" s="55"/>
      <c r="K895" s="55"/>
    </row>
    <row r="896">
      <c r="A896" s="150"/>
      <c r="B896" s="55"/>
      <c r="C896" s="55"/>
      <c r="D896" s="55"/>
      <c r="E896" s="55"/>
      <c r="F896" s="55"/>
      <c r="G896" s="55"/>
      <c r="H896" s="55"/>
      <c r="I896" s="55"/>
      <c r="J896" s="55"/>
      <c r="K896" s="55"/>
    </row>
    <row r="897">
      <c r="A897" s="150"/>
      <c r="B897" s="55"/>
      <c r="C897" s="55"/>
      <c r="D897" s="55"/>
      <c r="E897" s="55"/>
      <c r="F897" s="55"/>
      <c r="G897" s="55"/>
      <c r="H897" s="55"/>
      <c r="I897" s="55"/>
      <c r="J897" s="55"/>
      <c r="K897" s="55"/>
    </row>
    <row r="898">
      <c r="A898" s="150"/>
      <c r="B898" s="55"/>
      <c r="C898" s="55"/>
      <c r="D898" s="55"/>
      <c r="E898" s="55"/>
      <c r="F898" s="55"/>
      <c r="G898" s="55"/>
      <c r="H898" s="55"/>
      <c r="I898" s="55"/>
      <c r="J898" s="55"/>
      <c r="K898" s="55"/>
    </row>
    <row r="899">
      <c r="A899" s="150"/>
      <c r="B899" s="55"/>
      <c r="C899" s="55"/>
      <c r="D899" s="55"/>
      <c r="E899" s="55"/>
      <c r="F899" s="55"/>
      <c r="G899" s="55"/>
      <c r="H899" s="55"/>
      <c r="I899" s="55"/>
      <c r="J899" s="55"/>
      <c r="K899" s="55"/>
    </row>
    <row r="900">
      <c r="A900" s="150"/>
      <c r="B900" s="55"/>
      <c r="C900" s="55"/>
      <c r="D900" s="55"/>
      <c r="E900" s="55"/>
      <c r="F900" s="55"/>
      <c r="G900" s="55"/>
      <c r="H900" s="55"/>
      <c r="I900" s="55"/>
      <c r="J900" s="55"/>
      <c r="K900" s="55"/>
    </row>
    <row r="901">
      <c r="A901" s="150"/>
      <c r="B901" s="55"/>
      <c r="C901" s="55"/>
      <c r="D901" s="55"/>
      <c r="E901" s="55"/>
      <c r="F901" s="55"/>
      <c r="G901" s="55"/>
      <c r="H901" s="55"/>
      <c r="I901" s="55"/>
      <c r="J901" s="55"/>
      <c r="K901" s="55"/>
    </row>
    <row r="902">
      <c r="A902" s="150"/>
      <c r="B902" s="55"/>
      <c r="C902" s="55"/>
      <c r="D902" s="55"/>
      <c r="E902" s="55"/>
      <c r="F902" s="55"/>
      <c r="G902" s="55"/>
      <c r="H902" s="55"/>
      <c r="I902" s="55"/>
      <c r="J902" s="55"/>
      <c r="K902" s="55"/>
    </row>
    <row r="903">
      <c r="A903" s="150"/>
      <c r="B903" s="55"/>
      <c r="C903" s="55"/>
      <c r="D903" s="55"/>
      <c r="E903" s="55"/>
      <c r="F903" s="55"/>
      <c r="G903" s="55"/>
      <c r="H903" s="55"/>
      <c r="I903" s="55"/>
      <c r="J903" s="55"/>
      <c r="K903" s="55"/>
    </row>
    <row r="904">
      <c r="A904" s="150"/>
      <c r="B904" s="55"/>
      <c r="C904" s="55"/>
      <c r="D904" s="55"/>
      <c r="E904" s="55"/>
      <c r="F904" s="55"/>
      <c r="G904" s="55"/>
      <c r="H904" s="55"/>
      <c r="I904" s="55"/>
      <c r="J904" s="55"/>
      <c r="K904" s="55"/>
    </row>
    <row r="905">
      <c r="A905" s="150"/>
      <c r="B905" s="55"/>
      <c r="C905" s="55"/>
      <c r="D905" s="55"/>
      <c r="E905" s="55"/>
      <c r="F905" s="55"/>
      <c r="G905" s="55"/>
      <c r="H905" s="55"/>
      <c r="I905" s="55"/>
      <c r="J905" s="55"/>
      <c r="K905" s="55"/>
    </row>
    <row r="906">
      <c r="A906" s="150"/>
      <c r="B906" s="55"/>
      <c r="C906" s="55"/>
      <c r="D906" s="55"/>
      <c r="E906" s="55"/>
      <c r="F906" s="55"/>
      <c r="G906" s="55"/>
      <c r="H906" s="55"/>
      <c r="I906" s="55"/>
      <c r="J906" s="55"/>
      <c r="K906" s="55"/>
    </row>
    <row r="907">
      <c r="A907" s="150"/>
      <c r="B907" s="55"/>
      <c r="C907" s="55"/>
      <c r="D907" s="55"/>
      <c r="E907" s="55"/>
      <c r="F907" s="55"/>
      <c r="G907" s="55"/>
      <c r="H907" s="55"/>
      <c r="I907" s="55"/>
      <c r="J907" s="55"/>
      <c r="K907" s="55"/>
    </row>
    <row r="908">
      <c r="A908" s="150"/>
      <c r="B908" s="55"/>
      <c r="C908" s="55"/>
      <c r="D908" s="55"/>
      <c r="E908" s="55"/>
      <c r="F908" s="55"/>
      <c r="G908" s="55"/>
      <c r="H908" s="55"/>
      <c r="I908" s="55"/>
      <c r="J908" s="55"/>
      <c r="K908" s="55"/>
    </row>
    <row r="909">
      <c r="A909" s="150"/>
      <c r="B909" s="55"/>
      <c r="C909" s="55"/>
      <c r="D909" s="55"/>
      <c r="E909" s="55"/>
      <c r="F909" s="55"/>
      <c r="G909" s="55"/>
      <c r="H909" s="55"/>
      <c r="I909" s="55"/>
      <c r="J909" s="55"/>
      <c r="K909" s="55"/>
    </row>
    <row r="910">
      <c r="A910" s="150"/>
      <c r="B910" s="55"/>
      <c r="C910" s="55"/>
      <c r="D910" s="55"/>
      <c r="E910" s="55"/>
      <c r="F910" s="55"/>
      <c r="G910" s="55"/>
      <c r="H910" s="55"/>
      <c r="I910" s="55"/>
      <c r="J910" s="55"/>
      <c r="K910" s="55"/>
    </row>
    <row r="911">
      <c r="A911" s="150"/>
      <c r="B911" s="55"/>
      <c r="C911" s="55"/>
      <c r="D911" s="55"/>
      <c r="E911" s="55"/>
      <c r="F911" s="55"/>
      <c r="G911" s="55"/>
      <c r="H911" s="55"/>
      <c r="I911" s="55"/>
      <c r="J911" s="55"/>
      <c r="K911" s="55"/>
    </row>
    <row r="912">
      <c r="A912" s="150"/>
      <c r="B912" s="55"/>
      <c r="C912" s="55"/>
      <c r="D912" s="55"/>
      <c r="E912" s="55"/>
      <c r="F912" s="55"/>
      <c r="G912" s="55"/>
      <c r="H912" s="55"/>
      <c r="I912" s="55"/>
      <c r="J912" s="55"/>
      <c r="K912" s="55"/>
    </row>
    <row r="913">
      <c r="A913" s="150"/>
      <c r="B913" s="55"/>
      <c r="C913" s="55"/>
      <c r="D913" s="55"/>
      <c r="E913" s="55"/>
      <c r="F913" s="55"/>
      <c r="G913" s="55"/>
      <c r="H913" s="55"/>
      <c r="I913" s="55"/>
      <c r="J913" s="55"/>
      <c r="K913" s="55"/>
    </row>
    <row r="914">
      <c r="A914" s="150"/>
      <c r="B914" s="55"/>
      <c r="C914" s="55"/>
      <c r="D914" s="55"/>
      <c r="E914" s="55"/>
      <c r="F914" s="55"/>
      <c r="G914" s="55"/>
      <c r="H914" s="55"/>
      <c r="I914" s="55"/>
      <c r="J914" s="55"/>
      <c r="K914" s="55"/>
    </row>
    <row r="915">
      <c r="A915" s="150"/>
      <c r="B915" s="55"/>
      <c r="C915" s="55"/>
      <c r="D915" s="55"/>
      <c r="E915" s="55"/>
      <c r="F915" s="55"/>
      <c r="G915" s="55"/>
      <c r="H915" s="55"/>
      <c r="I915" s="55"/>
      <c r="J915" s="55"/>
      <c r="K915" s="55"/>
    </row>
    <row r="916">
      <c r="A916" s="150"/>
      <c r="B916" s="55"/>
      <c r="C916" s="55"/>
      <c r="D916" s="55"/>
      <c r="E916" s="55"/>
      <c r="F916" s="55"/>
      <c r="G916" s="55"/>
      <c r="H916" s="55"/>
      <c r="I916" s="55"/>
      <c r="J916" s="55"/>
      <c r="K916" s="55"/>
    </row>
    <row r="917">
      <c r="A917" s="150"/>
      <c r="B917" s="55"/>
      <c r="C917" s="55"/>
      <c r="D917" s="55"/>
      <c r="E917" s="55"/>
      <c r="F917" s="55"/>
      <c r="G917" s="55"/>
      <c r="H917" s="55"/>
      <c r="I917" s="55"/>
      <c r="J917" s="55"/>
      <c r="K917" s="55"/>
    </row>
    <row r="918">
      <c r="A918" s="150"/>
      <c r="B918" s="55"/>
      <c r="C918" s="55"/>
      <c r="D918" s="55"/>
      <c r="E918" s="55"/>
      <c r="F918" s="55"/>
      <c r="G918" s="55"/>
      <c r="H918" s="55"/>
      <c r="I918" s="55"/>
      <c r="J918" s="55"/>
      <c r="K918" s="55"/>
    </row>
    <row r="919">
      <c r="A919" s="150"/>
      <c r="B919" s="55"/>
      <c r="C919" s="55"/>
      <c r="D919" s="55"/>
      <c r="E919" s="55"/>
      <c r="F919" s="55"/>
      <c r="G919" s="55"/>
      <c r="H919" s="55"/>
      <c r="I919" s="55"/>
      <c r="J919" s="55"/>
      <c r="K919" s="55"/>
    </row>
    <row r="920">
      <c r="A920" s="150"/>
      <c r="B920" s="55"/>
      <c r="C920" s="55"/>
      <c r="D920" s="55"/>
      <c r="E920" s="55"/>
      <c r="F920" s="55"/>
      <c r="G920" s="55"/>
      <c r="H920" s="55"/>
      <c r="I920" s="55"/>
      <c r="J920" s="55"/>
      <c r="K920" s="55"/>
    </row>
    <row r="921">
      <c r="A921" s="150"/>
      <c r="B921" s="55"/>
      <c r="C921" s="55"/>
      <c r="D921" s="55"/>
      <c r="E921" s="55"/>
      <c r="F921" s="55"/>
      <c r="G921" s="55"/>
      <c r="H921" s="55"/>
      <c r="I921" s="55"/>
      <c r="J921" s="55"/>
      <c r="K921" s="55"/>
    </row>
    <row r="922">
      <c r="A922" s="150"/>
      <c r="B922" s="55"/>
      <c r="C922" s="55"/>
      <c r="D922" s="55"/>
      <c r="E922" s="55"/>
      <c r="F922" s="55"/>
      <c r="G922" s="55"/>
      <c r="H922" s="55"/>
      <c r="I922" s="55"/>
      <c r="J922" s="55"/>
      <c r="K922" s="55"/>
    </row>
    <row r="923">
      <c r="A923" s="150"/>
      <c r="B923" s="55"/>
      <c r="C923" s="55"/>
      <c r="D923" s="55"/>
      <c r="E923" s="55"/>
      <c r="F923" s="55"/>
      <c r="G923" s="55"/>
      <c r="H923" s="55"/>
      <c r="I923" s="55"/>
      <c r="J923" s="55"/>
      <c r="K923" s="55"/>
    </row>
    <row r="924">
      <c r="A924" s="150"/>
      <c r="B924" s="55"/>
      <c r="C924" s="55"/>
      <c r="D924" s="55"/>
      <c r="E924" s="55"/>
      <c r="F924" s="55"/>
      <c r="G924" s="55"/>
      <c r="H924" s="55"/>
      <c r="I924" s="55"/>
      <c r="J924" s="55"/>
      <c r="K924" s="55"/>
    </row>
    <row r="925">
      <c r="A925" s="150"/>
      <c r="B925" s="55"/>
      <c r="C925" s="55"/>
      <c r="D925" s="55"/>
      <c r="E925" s="55"/>
      <c r="F925" s="55"/>
      <c r="G925" s="55"/>
      <c r="H925" s="55"/>
      <c r="I925" s="55"/>
      <c r="J925" s="55"/>
      <c r="K925" s="55"/>
    </row>
    <row r="926">
      <c r="A926" s="150"/>
      <c r="B926" s="55"/>
      <c r="C926" s="55"/>
      <c r="D926" s="55"/>
      <c r="E926" s="55"/>
      <c r="F926" s="55"/>
      <c r="G926" s="55"/>
      <c r="H926" s="55"/>
      <c r="I926" s="55"/>
      <c r="J926" s="55"/>
      <c r="K926" s="55"/>
    </row>
    <row r="927">
      <c r="A927" s="150"/>
      <c r="B927" s="55"/>
      <c r="C927" s="55"/>
      <c r="D927" s="55"/>
      <c r="E927" s="55"/>
      <c r="F927" s="55"/>
      <c r="G927" s="55"/>
      <c r="H927" s="55"/>
      <c r="I927" s="55"/>
      <c r="J927" s="55"/>
      <c r="K927" s="55"/>
    </row>
    <row r="928">
      <c r="A928" s="150"/>
      <c r="B928" s="55"/>
      <c r="C928" s="55"/>
      <c r="D928" s="55"/>
      <c r="E928" s="55"/>
      <c r="F928" s="55"/>
      <c r="G928" s="55"/>
      <c r="H928" s="55"/>
      <c r="I928" s="55"/>
      <c r="J928" s="55"/>
      <c r="K928" s="55"/>
    </row>
    <row r="929">
      <c r="A929" s="150"/>
      <c r="B929" s="55"/>
      <c r="C929" s="55"/>
      <c r="D929" s="55"/>
      <c r="E929" s="55"/>
      <c r="F929" s="55"/>
      <c r="G929" s="55"/>
      <c r="H929" s="55"/>
      <c r="I929" s="55"/>
      <c r="J929" s="55"/>
      <c r="K929" s="55"/>
    </row>
    <row r="930">
      <c r="A930" s="150"/>
      <c r="B930" s="55"/>
      <c r="C930" s="55"/>
      <c r="D930" s="55"/>
      <c r="E930" s="55"/>
      <c r="F930" s="55"/>
      <c r="G930" s="55"/>
      <c r="H930" s="55"/>
      <c r="I930" s="55"/>
      <c r="J930" s="55"/>
      <c r="K930" s="55"/>
    </row>
    <row r="931">
      <c r="A931" s="150"/>
      <c r="B931" s="55"/>
      <c r="C931" s="55"/>
      <c r="D931" s="55"/>
      <c r="E931" s="55"/>
      <c r="F931" s="55"/>
      <c r="G931" s="55"/>
      <c r="H931" s="55"/>
      <c r="I931" s="55"/>
      <c r="J931" s="55"/>
      <c r="K931" s="55"/>
    </row>
    <row r="932">
      <c r="A932" s="150"/>
      <c r="B932" s="55"/>
      <c r="C932" s="55"/>
      <c r="D932" s="55"/>
      <c r="E932" s="55"/>
      <c r="F932" s="55"/>
      <c r="G932" s="55"/>
      <c r="H932" s="55"/>
      <c r="I932" s="55"/>
      <c r="J932" s="55"/>
      <c r="K932" s="55"/>
    </row>
    <row r="933">
      <c r="A933" s="150"/>
      <c r="B933" s="55"/>
      <c r="C933" s="55"/>
      <c r="D933" s="55"/>
      <c r="E933" s="55"/>
      <c r="F933" s="55"/>
      <c r="G933" s="55"/>
      <c r="H933" s="55"/>
      <c r="I933" s="55"/>
      <c r="J933" s="55"/>
      <c r="K933" s="55"/>
    </row>
    <row r="934">
      <c r="A934" s="150"/>
      <c r="B934" s="55"/>
      <c r="C934" s="55"/>
      <c r="D934" s="55"/>
      <c r="E934" s="55"/>
      <c r="F934" s="55"/>
      <c r="G934" s="55"/>
      <c r="H934" s="55"/>
      <c r="I934" s="55"/>
      <c r="J934" s="55"/>
      <c r="K934" s="55"/>
    </row>
    <row r="935">
      <c r="A935" s="150"/>
      <c r="B935" s="55"/>
      <c r="C935" s="55"/>
      <c r="D935" s="55"/>
      <c r="E935" s="55"/>
      <c r="F935" s="55"/>
      <c r="G935" s="55"/>
      <c r="H935" s="55"/>
      <c r="I935" s="55"/>
      <c r="J935" s="55"/>
      <c r="K935" s="55"/>
    </row>
    <row r="936">
      <c r="A936" s="150"/>
      <c r="B936" s="55"/>
      <c r="C936" s="55"/>
      <c r="D936" s="55"/>
      <c r="E936" s="55"/>
      <c r="F936" s="55"/>
      <c r="G936" s="55"/>
      <c r="H936" s="55"/>
      <c r="I936" s="55"/>
      <c r="J936" s="55"/>
      <c r="K936" s="55"/>
    </row>
    <row r="937">
      <c r="A937" s="150"/>
      <c r="B937" s="55"/>
      <c r="C937" s="55"/>
      <c r="D937" s="55"/>
      <c r="E937" s="55"/>
      <c r="F937" s="55"/>
      <c r="G937" s="55"/>
      <c r="H937" s="55"/>
      <c r="I937" s="55"/>
      <c r="J937" s="55"/>
      <c r="K937" s="55"/>
    </row>
    <row r="938">
      <c r="A938" s="150"/>
      <c r="B938" s="55"/>
      <c r="C938" s="55"/>
      <c r="D938" s="55"/>
      <c r="E938" s="55"/>
      <c r="F938" s="55"/>
      <c r="G938" s="55"/>
      <c r="H938" s="55"/>
      <c r="I938" s="55"/>
      <c r="J938" s="55"/>
      <c r="K938" s="55"/>
    </row>
    <row r="939">
      <c r="A939" s="150"/>
      <c r="B939" s="55"/>
      <c r="C939" s="55"/>
      <c r="D939" s="55"/>
      <c r="E939" s="55"/>
      <c r="F939" s="55"/>
      <c r="G939" s="55"/>
      <c r="H939" s="55"/>
      <c r="I939" s="55"/>
      <c r="J939" s="55"/>
      <c r="K939" s="55"/>
    </row>
    <row r="940">
      <c r="A940" s="150"/>
      <c r="B940" s="55"/>
      <c r="C940" s="55"/>
      <c r="D940" s="55"/>
      <c r="E940" s="55"/>
      <c r="F940" s="55"/>
      <c r="G940" s="55"/>
      <c r="H940" s="55"/>
      <c r="I940" s="55"/>
      <c r="J940" s="55"/>
      <c r="K940" s="55"/>
    </row>
    <row r="941">
      <c r="A941" s="150"/>
      <c r="B941" s="55"/>
      <c r="C941" s="55"/>
      <c r="D941" s="55"/>
      <c r="E941" s="55"/>
      <c r="F941" s="55"/>
      <c r="G941" s="55"/>
      <c r="H941" s="55"/>
      <c r="I941" s="55"/>
      <c r="J941" s="55"/>
      <c r="K941" s="55"/>
    </row>
    <row r="942">
      <c r="A942" s="150"/>
      <c r="B942" s="55"/>
      <c r="C942" s="55"/>
      <c r="D942" s="55"/>
      <c r="E942" s="55"/>
      <c r="F942" s="55"/>
      <c r="G942" s="55"/>
      <c r="H942" s="55"/>
      <c r="I942" s="55"/>
      <c r="J942" s="55"/>
      <c r="K942" s="55"/>
    </row>
    <row r="943">
      <c r="A943" s="150"/>
      <c r="B943" s="55"/>
      <c r="C943" s="55"/>
      <c r="D943" s="55"/>
      <c r="E943" s="55"/>
      <c r="F943" s="55"/>
      <c r="G943" s="55"/>
      <c r="H943" s="55"/>
      <c r="I943" s="55"/>
      <c r="J943" s="55"/>
      <c r="K943" s="55"/>
    </row>
    <row r="944">
      <c r="A944" s="150"/>
      <c r="B944" s="55"/>
      <c r="C944" s="55"/>
      <c r="D944" s="55"/>
      <c r="E944" s="55"/>
      <c r="F944" s="55"/>
      <c r="G944" s="55"/>
      <c r="H944" s="55"/>
      <c r="I944" s="55"/>
      <c r="J944" s="55"/>
      <c r="K944" s="55"/>
    </row>
    <row r="945">
      <c r="A945" s="150"/>
      <c r="B945" s="55"/>
      <c r="C945" s="55"/>
      <c r="D945" s="55"/>
      <c r="E945" s="55"/>
      <c r="F945" s="55"/>
      <c r="G945" s="55"/>
      <c r="H945" s="55"/>
      <c r="I945" s="55"/>
      <c r="J945" s="55"/>
      <c r="K945" s="55"/>
    </row>
    <row r="946">
      <c r="A946" s="150"/>
      <c r="B946" s="55"/>
      <c r="C946" s="55"/>
      <c r="D946" s="55"/>
      <c r="E946" s="55"/>
      <c r="F946" s="55"/>
      <c r="G946" s="55"/>
      <c r="H946" s="55"/>
      <c r="I946" s="55"/>
      <c r="J946" s="55"/>
      <c r="K946" s="55"/>
    </row>
    <row r="947">
      <c r="A947" s="150"/>
      <c r="B947" s="55"/>
      <c r="C947" s="55"/>
      <c r="D947" s="55"/>
      <c r="E947" s="55"/>
      <c r="F947" s="55"/>
      <c r="G947" s="55"/>
      <c r="H947" s="55"/>
      <c r="I947" s="55"/>
      <c r="J947" s="55"/>
      <c r="K947" s="55"/>
    </row>
    <row r="948">
      <c r="A948" s="150"/>
      <c r="B948" s="55"/>
      <c r="C948" s="55"/>
      <c r="D948" s="55"/>
      <c r="E948" s="55"/>
      <c r="F948" s="55"/>
      <c r="G948" s="55"/>
      <c r="H948" s="55"/>
      <c r="I948" s="55"/>
      <c r="J948" s="55"/>
      <c r="K948" s="55"/>
    </row>
    <row r="949">
      <c r="A949" s="150"/>
      <c r="B949" s="55"/>
      <c r="C949" s="55"/>
      <c r="D949" s="55"/>
      <c r="E949" s="55"/>
      <c r="F949" s="55"/>
      <c r="G949" s="55"/>
      <c r="H949" s="55"/>
      <c r="I949" s="55"/>
      <c r="J949" s="55"/>
      <c r="K949" s="55"/>
    </row>
    <row r="950">
      <c r="A950" s="150"/>
      <c r="B950" s="55"/>
      <c r="C950" s="55"/>
      <c r="D950" s="55"/>
      <c r="E950" s="55"/>
      <c r="F950" s="55"/>
      <c r="G950" s="55"/>
      <c r="H950" s="55"/>
      <c r="I950" s="55"/>
      <c r="J950" s="55"/>
      <c r="K950" s="55"/>
    </row>
    <row r="951">
      <c r="A951" s="150"/>
      <c r="B951" s="55"/>
      <c r="C951" s="55"/>
      <c r="D951" s="55"/>
      <c r="E951" s="55"/>
      <c r="F951" s="55"/>
      <c r="G951" s="55"/>
      <c r="H951" s="55"/>
      <c r="I951" s="55"/>
      <c r="J951" s="55"/>
      <c r="K951" s="55"/>
    </row>
    <row r="952">
      <c r="A952" s="150"/>
      <c r="B952" s="55"/>
      <c r="C952" s="55"/>
      <c r="D952" s="55"/>
      <c r="E952" s="55"/>
      <c r="F952" s="55"/>
      <c r="G952" s="55"/>
      <c r="H952" s="55"/>
      <c r="I952" s="55"/>
      <c r="J952" s="55"/>
      <c r="K952" s="55"/>
    </row>
    <row r="953">
      <c r="A953" s="150"/>
      <c r="B953" s="55"/>
      <c r="C953" s="55"/>
      <c r="D953" s="55"/>
      <c r="E953" s="55"/>
      <c r="F953" s="55"/>
      <c r="G953" s="55"/>
      <c r="H953" s="55"/>
      <c r="I953" s="55"/>
      <c r="J953" s="55"/>
      <c r="K953" s="55"/>
    </row>
    <row r="954">
      <c r="A954" s="150"/>
      <c r="B954" s="55"/>
      <c r="C954" s="55"/>
      <c r="D954" s="55"/>
      <c r="E954" s="55"/>
      <c r="F954" s="55"/>
      <c r="G954" s="55"/>
      <c r="H954" s="55"/>
      <c r="I954" s="55"/>
      <c r="J954" s="55"/>
      <c r="K954" s="55"/>
    </row>
    <row r="955">
      <c r="A955" s="150"/>
      <c r="B955" s="55"/>
      <c r="C955" s="55"/>
      <c r="D955" s="55"/>
      <c r="E955" s="55"/>
      <c r="F955" s="55"/>
      <c r="G955" s="55"/>
      <c r="H955" s="55"/>
      <c r="I955" s="55"/>
      <c r="J955" s="55"/>
      <c r="K955" s="55"/>
    </row>
    <row r="956">
      <c r="A956" s="150"/>
      <c r="B956" s="55"/>
      <c r="C956" s="55"/>
      <c r="D956" s="55"/>
      <c r="E956" s="55"/>
      <c r="F956" s="55"/>
      <c r="G956" s="55"/>
      <c r="H956" s="55"/>
      <c r="I956" s="55"/>
      <c r="J956" s="55"/>
      <c r="K956" s="55"/>
    </row>
    <row r="957">
      <c r="A957" s="150"/>
      <c r="B957" s="55"/>
      <c r="C957" s="55"/>
      <c r="D957" s="55"/>
      <c r="E957" s="55"/>
      <c r="F957" s="55"/>
      <c r="G957" s="55"/>
      <c r="H957" s="55"/>
      <c r="I957" s="55"/>
      <c r="J957" s="55"/>
      <c r="K957" s="55"/>
    </row>
    <row r="958">
      <c r="A958" s="150"/>
      <c r="B958" s="55"/>
      <c r="C958" s="55"/>
      <c r="D958" s="55"/>
      <c r="E958" s="55"/>
      <c r="F958" s="55"/>
      <c r="G958" s="55"/>
      <c r="H958" s="55"/>
      <c r="I958" s="55"/>
      <c r="J958" s="55"/>
      <c r="K958" s="55"/>
    </row>
    <row r="959">
      <c r="A959" s="150"/>
      <c r="B959" s="55"/>
      <c r="C959" s="55"/>
      <c r="D959" s="55"/>
      <c r="E959" s="55"/>
      <c r="F959" s="55"/>
      <c r="G959" s="55"/>
      <c r="H959" s="55"/>
      <c r="I959" s="55"/>
      <c r="J959" s="55"/>
      <c r="K959" s="55"/>
    </row>
    <row r="960">
      <c r="A960" s="150"/>
      <c r="B960" s="55"/>
      <c r="C960" s="55"/>
      <c r="D960" s="55"/>
      <c r="E960" s="55"/>
      <c r="F960" s="55"/>
      <c r="G960" s="55"/>
      <c r="H960" s="55"/>
      <c r="I960" s="55"/>
      <c r="J960" s="55"/>
      <c r="K960" s="55"/>
    </row>
    <row r="961">
      <c r="A961" s="150"/>
      <c r="B961" s="55"/>
      <c r="C961" s="55"/>
      <c r="D961" s="55"/>
      <c r="E961" s="55"/>
      <c r="F961" s="55"/>
      <c r="G961" s="55"/>
      <c r="H961" s="55"/>
      <c r="I961" s="55"/>
      <c r="J961" s="55"/>
      <c r="K961" s="55"/>
    </row>
    <row r="962">
      <c r="A962" s="150"/>
      <c r="B962" s="55"/>
      <c r="C962" s="55"/>
      <c r="D962" s="55"/>
      <c r="E962" s="55"/>
      <c r="F962" s="55"/>
      <c r="G962" s="55"/>
      <c r="H962" s="55"/>
      <c r="I962" s="55"/>
      <c r="J962" s="55"/>
      <c r="K962" s="55"/>
    </row>
    <row r="963">
      <c r="A963" s="150"/>
      <c r="B963" s="55"/>
      <c r="C963" s="55"/>
      <c r="D963" s="55"/>
      <c r="E963" s="55"/>
      <c r="F963" s="55"/>
      <c r="G963" s="55"/>
      <c r="H963" s="55"/>
      <c r="I963" s="55"/>
      <c r="J963" s="55"/>
      <c r="K963" s="55"/>
    </row>
    <row r="964">
      <c r="A964" s="150"/>
      <c r="B964" s="55"/>
      <c r="C964" s="55"/>
      <c r="D964" s="55"/>
      <c r="E964" s="55"/>
      <c r="F964" s="55"/>
      <c r="G964" s="55"/>
      <c r="H964" s="55"/>
      <c r="I964" s="55"/>
      <c r="J964" s="55"/>
      <c r="K964" s="55"/>
    </row>
    <row r="965">
      <c r="A965" s="150"/>
      <c r="B965" s="55"/>
      <c r="C965" s="55"/>
      <c r="D965" s="55"/>
      <c r="E965" s="55"/>
      <c r="F965" s="55"/>
      <c r="G965" s="55"/>
      <c r="H965" s="55"/>
      <c r="I965" s="55"/>
      <c r="J965" s="55"/>
      <c r="K965" s="55"/>
    </row>
    <row r="966">
      <c r="A966" s="150"/>
      <c r="B966" s="55"/>
      <c r="C966" s="55"/>
      <c r="D966" s="55"/>
      <c r="E966" s="55"/>
      <c r="F966" s="55"/>
      <c r="G966" s="55"/>
      <c r="H966" s="55"/>
      <c r="I966" s="55"/>
      <c r="J966" s="55"/>
      <c r="K966" s="55"/>
    </row>
    <row r="967">
      <c r="A967" s="150"/>
      <c r="B967" s="55"/>
      <c r="C967" s="55"/>
      <c r="D967" s="55"/>
      <c r="E967" s="55"/>
      <c r="F967" s="55"/>
      <c r="G967" s="55"/>
      <c r="H967" s="55"/>
      <c r="I967" s="55"/>
      <c r="J967" s="55"/>
      <c r="K967" s="55"/>
    </row>
    <row r="968">
      <c r="A968" s="150"/>
      <c r="B968" s="55"/>
      <c r="C968" s="55"/>
      <c r="D968" s="55"/>
      <c r="E968" s="55"/>
      <c r="F968" s="55"/>
      <c r="G968" s="55"/>
      <c r="H968" s="55"/>
      <c r="I968" s="55"/>
      <c r="J968" s="55"/>
      <c r="K968" s="55"/>
    </row>
    <row r="969">
      <c r="A969" s="150"/>
      <c r="B969" s="55"/>
      <c r="C969" s="55"/>
      <c r="D969" s="55"/>
      <c r="E969" s="55"/>
      <c r="F969" s="55"/>
      <c r="G969" s="55"/>
      <c r="H969" s="55"/>
      <c r="I969" s="55"/>
      <c r="J969" s="55"/>
      <c r="K969" s="55"/>
    </row>
    <row r="970">
      <c r="A970" s="150"/>
      <c r="B970" s="55"/>
      <c r="C970" s="55"/>
      <c r="D970" s="55"/>
      <c r="E970" s="55"/>
      <c r="F970" s="55"/>
      <c r="G970" s="55"/>
      <c r="H970" s="55"/>
      <c r="I970" s="55"/>
      <c r="J970" s="55"/>
      <c r="K970" s="55"/>
    </row>
    <row r="971">
      <c r="A971" s="150"/>
      <c r="B971" s="55"/>
      <c r="C971" s="55"/>
      <c r="D971" s="55"/>
      <c r="E971" s="55"/>
      <c r="F971" s="55"/>
      <c r="G971" s="55"/>
      <c r="H971" s="55"/>
      <c r="I971" s="55"/>
      <c r="J971" s="55"/>
      <c r="K971" s="55"/>
    </row>
    <row r="972">
      <c r="A972" s="150"/>
      <c r="B972" s="55"/>
      <c r="C972" s="55"/>
      <c r="D972" s="55"/>
      <c r="E972" s="55"/>
      <c r="F972" s="55"/>
      <c r="G972" s="55"/>
      <c r="H972" s="55"/>
      <c r="I972" s="55"/>
      <c r="J972" s="55"/>
      <c r="K972" s="55"/>
    </row>
    <row r="973">
      <c r="A973" s="150"/>
      <c r="B973" s="55"/>
      <c r="C973" s="55"/>
      <c r="D973" s="55"/>
      <c r="E973" s="55"/>
      <c r="F973" s="55"/>
      <c r="G973" s="55"/>
      <c r="H973" s="55"/>
      <c r="I973" s="55"/>
      <c r="J973" s="55"/>
      <c r="K973" s="55"/>
    </row>
    <row r="974">
      <c r="A974" s="150"/>
      <c r="B974" s="55"/>
      <c r="C974" s="55"/>
      <c r="D974" s="55"/>
      <c r="E974" s="55"/>
      <c r="F974" s="55"/>
      <c r="G974" s="55"/>
      <c r="H974" s="55"/>
      <c r="I974" s="55"/>
      <c r="J974" s="55"/>
      <c r="K974" s="55"/>
    </row>
    <row r="975">
      <c r="A975" s="150"/>
      <c r="B975" s="55"/>
      <c r="C975" s="55"/>
      <c r="D975" s="55"/>
      <c r="E975" s="55"/>
      <c r="F975" s="55"/>
      <c r="G975" s="55"/>
      <c r="H975" s="55"/>
      <c r="I975" s="55"/>
      <c r="J975" s="55"/>
      <c r="K975" s="55"/>
    </row>
    <row r="976">
      <c r="A976" s="150"/>
      <c r="B976" s="55"/>
      <c r="C976" s="55"/>
      <c r="D976" s="55"/>
      <c r="E976" s="55"/>
      <c r="F976" s="55"/>
      <c r="G976" s="55"/>
      <c r="H976" s="55"/>
      <c r="I976" s="55"/>
      <c r="J976" s="55"/>
      <c r="K976" s="55"/>
    </row>
    <row r="977">
      <c r="A977" s="150"/>
      <c r="B977" s="55"/>
      <c r="C977" s="55"/>
      <c r="D977" s="55"/>
      <c r="E977" s="55"/>
      <c r="F977" s="55"/>
      <c r="G977" s="55"/>
      <c r="H977" s="55"/>
      <c r="I977" s="55"/>
      <c r="J977" s="55"/>
      <c r="K977" s="55"/>
    </row>
    <row r="978">
      <c r="A978" s="150"/>
      <c r="B978" s="55"/>
      <c r="C978" s="55"/>
      <c r="D978" s="55"/>
      <c r="E978" s="55"/>
      <c r="F978" s="55"/>
      <c r="G978" s="55"/>
      <c r="H978" s="55"/>
      <c r="I978" s="55"/>
      <c r="J978" s="55"/>
      <c r="K978" s="55"/>
    </row>
    <row r="979">
      <c r="A979" s="150"/>
      <c r="B979" s="55"/>
      <c r="C979" s="55"/>
      <c r="D979" s="55"/>
      <c r="E979" s="55"/>
      <c r="F979" s="55"/>
      <c r="G979" s="55"/>
      <c r="H979" s="55"/>
      <c r="I979" s="55"/>
      <c r="J979" s="55"/>
      <c r="K979" s="55"/>
    </row>
    <row r="980">
      <c r="A980" s="150"/>
      <c r="B980" s="55"/>
      <c r="C980" s="55"/>
      <c r="D980" s="55"/>
      <c r="E980" s="55"/>
      <c r="F980" s="55"/>
      <c r="G980" s="55"/>
      <c r="H980" s="55"/>
      <c r="I980" s="55"/>
      <c r="J980" s="55"/>
      <c r="K980" s="55"/>
    </row>
    <row r="981">
      <c r="A981" s="150"/>
      <c r="B981" s="55"/>
      <c r="C981" s="55"/>
      <c r="D981" s="55"/>
      <c r="E981" s="55"/>
      <c r="F981" s="55"/>
      <c r="G981" s="55"/>
      <c r="H981" s="55"/>
      <c r="I981" s="55"/>
      <c r="J981" s="55"/>
      <c r="K981" s="55"/>
    </row>
    <row r="982">
      <c r="A982" s="150"/>
      <c r="B982" s="55"/>
      <c r="C982" s="55"/>
      <c r="D982" s="55"/>
      <c r="E982" s="55"/>
      <c r="F982" s="55"/>
      <c r="G982" s="55"/>
      <c r="H982" s="55"/>
      <c r="I982" s="55"/>
      <c r="J982" s="55"/>
      <c r="K982" s="55"/>
    </row>
    <row r="983">
      <c r="A983" s="150"/>
      <c r="B983" s="55"/>
      <c r="C983" s="55"/>
      <c r="D983" s="55"/>
      <c r="E983" s="55"/>
      <c r="F983" s="55"/>
      <c r="G983" s="55"/>
      <c r="H983" s="55"/>
      <c r="I983" s="55"/>
      <c r="J983" s="55"/>
      <c r="K983" s="55"/>
    </row>
    <row r="984">
      <c r="A984" s="150"/>
      <c r="B984" s="55"/>
      <c r="C984" s="55"/>
      <c r="D984" s="55"/>
      <c r="E984" s="55"/>
      <c r="F984" s="55"/>
      <c r="G984" s="55"/>
      <c r="H984" s="55"/>
      <c r="I984" s="55"/>
      <c r="J984" s="55"/>
      <c r="K984" s="55"/>
    </row>
    <row r="985">
      <c r="A985" s="150"/>
      <c r="B985" s="55"/>
      <c r="C985" s="55"/>
      <c r="D985" s="55"/>
      <c r="E985" s="55"/>
      <c r="F985" s="55"/>
      <c r="G985" s="55"/>
      <c r="H985" s="55"/>
      <c r="I985" s="55"/>
      <c r="J985" s="55"/>
      <c r="K985" s="55"/>
    </row>
    <row r="986">
      <c r="A986" s="150"/>
      <c r="B986" s="55"/>
      <c r="C986" s="55"/>
      <c r="D986" s="55"/>
      <c r="E986" s="55"/>
      <c r="F986" s="55"/>
      <c r="G986" s="55"/>
      <c r="H986" s="55"/>
      <c r="I986" s="55"/>
      <c r="J986" s="55"/>
      <c r="K986" s="55"/>
    </row>
    <row r="987">
      <c r="A987" s="150"/>
      <c r="B987" s="55"/>
      <c r="C987" s="55"/>
      <c r="D987" s="55"/>
      <c r="E987" s="55"/>
      <c r="F987" s="55"/>
      <c r="G987" s="55"/>
      <c r="H987" s="55"/>
      <c r="I987" s="55"/>
      <c r="J987" s="55"/>
      <c r="K987" s="55"/>
    </row>
    <row r="988">
      <c r="A988" s="150"/>
      <c r="B988" s="55"/>
      <c r="C988" s="55"/>
      <c r="D988" s="55"/>
      <c r="E988" s="55"/>
      <c r="F988" s="55"/>
      <c r="G988" s="55"/>
      <c r="H988" s="55"/>
      <c r="I988" s="55"/>
      <c r="J988" s="55"/>
      <c r="K988" s="55"/>
    </row>
    <row r="989">
      <c r="A989" s="150"/>
      <c r="B989" s="55"/>
      <c r="C989" s="55"/>
      <c r="D989" s="55"/>
      <c r="E989" s="55"/>
      <c r="F989" s="55"/>
      <c r="G989" s="55"/>
      <c r="H989" s="55"/>
      <c r="I989" s="55"/>
      <c r="J989" s="55"/>
      <c r="K989" s="55"/>
    </row>
    <row r="990">
      <c r="A990" s="150"/>
      <c r="B990" s="55"/>
      <c r="C990" s="55"/>
      <c r="D990" s="55"/>
      <c r="E990" s="55"/>
      <c r="F990" s="55"/>
      <c r="G990" s="55"/>
      <c r="H990" s="55"/>
      <c r="I990" s="55"/>
      <c r="J990" s="55"/>
      <c r="K990" s="55"/>
    </row>
    <row r="991">
      <c r="A991" s="150"/>
      <c r="B991" s="55"/>
      <c r="C991" s="55"/>
      <c r="D991" s="55"/>
      <c r="E991" s="55"/>
      <c r="F991" s="55"/>
      <c r="G991" s="55"/>
      <c r="H991" s="55"/>
      <c r="I991" s="55"/>
      <c r="J991" s="55"/>
      <c r="K991" s="55"/>
    </row>
    <row r="992">
      <c r="A992" s="150"/>
      <c r="B992" s="55"/>
      <c r="C992" s="55"/>
      <c r="D992" s="55"/>
      <c r="E992" s="55"/>
      <c r="F992" s="55"/>
      <c r="G992" s="55"/>
      <c r="H992" s="55"/>
      <c r="I992" s="55"/>
      <c r="J992" s="55"/>
      <c r="K992" s="55"/>
    </row>
    <row r="993">
      <c r="A993" s="150"/>
      <c r="B993" s="55"/>
      <c r="C993" s="55"/>
      <c r="D993" s="55"/>
      <c r="E993" s="55"/>
      <c r="F993" s="55"/>
      <c r="G993" s="55"/>
      <c r="H993" s="55"/>
      <c r="I993" s="55"/>
      <c r="J993" s="55"/>
      <c r="K993" s="55"/>
    </row>
    <row r="994">
      <c r="A994" s="150"/>
      <c r="B994" s="55"/>
      <c r="C994" s="55"/>
      <c r="D994" s="55"/>
      <c r="E994" s="55"/>
      <c r="F994" s="55"/>
      <c r="G994" s="55"/>
      <c r="H994" s="55"/>
      <c r="I994" s="55"/>
      <c r="J994" s="55"/>
      <c r="K994" s="55"/>
    </row>
    <row r="995">
      <c r="A995" s="150"/>
      <c r="B995" s="55"/>
      <c r="C995" s="55"/>
      <c r="D995" s="55"/>
      <c r="E995" s="55"/>
      <c r="F995" s="55"/>
      <c r="G995" s="55"/>
      <c r="H995" s="55"/>
      <c r="I995" s="55"/>
      <c r="J995" s="55"/>
      <c r="K995" s="55"/>
    </row>
    <row r="996">
      <c r="A996" s="150"/>
      <c r="B996" s="55"/>
      <c r="C996" s="55"/>
      <c r="D996" s="55"/>
      <c r="E996" s="55"/>
      <c r="F996" s="55"/>
      <c r="G996" s="55"/>
      <c r="H996" s="55"/>
      <c r="I996" s="55"/>
      <c r="J996" s="55"/>
      <c r="K996" s="55"/>
    </row>
    <row r="997">
      <c r="A997" s="150"/>
      <c r="B997" s="55"/>
      <c r="C997" s="55"/>
      <c r="D997" s="55"/>
      <c r="E997" s="55"/>
      <c r="F997" s="55"/>
      <c r="G997" s="55"/>
      <c r="H997" s="55"/>
      <c r="I997" s="55"/>
      <c r="J997" s="55"/>
      <c r="K997" s="55"/>
    </row>
    <row r="998">
      <c r="A998" s="150"/>
      <c r="B998" s="55"/>
      <c r="C998" s="55"/>
      <c r="D998" s="55"/>
      <c r="E998" s="55"/>
      <c r="F998" s="55"/>
      <c r="G998" s="55"/>
      <c r="H998" s="55"/>
      <c r="I998" s="55"/>
      <c r="J998" s="55"/>
      <c r="K998" s="55"/>
    </row>
    <row r="999">
      <c r="A999" s="150"/>
      <c r="B999" s="55"/>
      <c r="C999" s="55"/>
      <c r="D999" s="55"/>
      <c r="E999" s="55"/>
      <c r="F999" s="55"/>
      <c r="G999" s="55"/>
      <c r="H999" s="55"/>
      <c r="I999" s="55"/>
      <c r="J999" s="55"/>
      <c r="K999" s="55"/>
    </row>
    <row r="1000">
      <c r="A1000" s="150"/>
      <c r="B1000" s="55"/>
      <c r="C1000" s="55"/>
      <c r="D1000" s="55"/>
      <c r="E1000" s="55"/>
      <c r="F1000" s="55"/>
      <c r="G1000" s="55"/>
      <c r="H1000" s="55"/>
      <c r="I1000" s="55"/>
      <c r="J1000" s="55"/>
      <c r="K1000" s="55"/>
    </row>
    <row r="1001">
      <c r="A1001" s="150"/>
      <c r="B1001" s="55"/>
      <c r="C1001" s="55"/>
      <c r="D1001" s="55"/>
      <c r="E1001" s="55"/>
      <c r="F1001" s="55"/>
      <c r="G1001" s="55"/>
      <c r="H1001" s="55"/>
      <c r="I1001" s="55"/>
      <c r="J1001" s="55"/>
      <c r="K1001" s="55"/>
    </row>
    <row r="1002">
      <c r="A1002" s="150"/>
      <c r="B1002" s="55"/>
      <c r="C1002" s="55"/>
      <c r="D1002" s="55"/>
      <c r="E1002" s="55"/>
      <c r="F1002" s="55"/>
      <c r="G1002" s="55"/>
      <c r="H1002" s="55"/>
      <c r="I1002" s="55"/>
      <c r="J1002" s="55"/>
      <c r="K1002" s="55"/>
    </row>
    <row r="1003">
      <c r="A1003" s="150"/>
      <c r="B1003" s="55"/>
      <c r="C1003" s="55"/>
      <c r="D1003" s="55"/>
      <c r="E1003" s="55"/>
      <c r="F1003" s="55"/>
      <c r="G1003" s="55"/>
      <c r="H1003" s="55"/>
      <c r="I1003" s="55"/>
      <c r="J1003" s="55"/>
      <c r="K1003" s="55"/>
    </row>
    <row r="1004">
      <c r="A1004" s="150"/>
      <c r="B1004" s="55"/>
      <c r="C1004" s="55"/>
      <c r="D1004" s="55"/>
      <c r="E1004" s="55"/>
      <c r="F1004" s="55"/>
      <c r="G1004" s="55"/>
      <c r="H1004" s="55"/>
      <c r="I1004" s="55"/>
      <c r="J1004" s="55"/>
      <c r="K1004" s="55"/>
    </row>
    <row r="1005">
      <c r="A1005" s="150"/>
      <c r="B1005" s="55"/>
      <c r="C1005" s="55"/>
      <c r="D1005" s="55"/>
      <c r="E1005" s="55"/>
      <c r="F1005" s="55"/>
      <c r="G1005" s="55"/>
      <c r="H1005" s="55"/>
      <c r="I1005" s="55"/>
      <c r="J1005" s="55"/>
      <c r="K1005" s="55"/>
    </row>
    <row r="1006">
      <c r="A1006" s="150"/>
      <c r="B1006" s="55"/>
      <c r="C1006" s="55"/>
      <c r="D1006" s="55"/>
      <c r="E1006" s="55"/>
      <c r="F1006" s="55"/>
      <c r="G1006" s="55"/>
      <c r="H1006" s="55"/>
      <c r="I1006" s="55"/>
      <c r="J1006" s="55"/>
      <c r="K1006" s="5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75"/>
    <col customWidth="1" min="2" max="11" width="15.13"/>
  </cols>
  <sheetData>
    <row r="1">
      <c r="A1" s="151"/>
      <c r="B1" s="152" t="s">
        <v>428</v>
      </c>
      <c r="C1" s="132"/>
      <c r="D1" s="132"/>
      <c r="E1" s="153"/>
      <c r="F1" s="152" t="s">
        <v>429</v>
      </c>
      <c r="G1" s="132"/>
      <c r="H1" s="132"/>
      <c r="I1" s="132"/>
      <c r="J1" s="153"/>
      <c r="K1" s="152" t="s">
        <v>430</v>
      </c>
      <c r="L1" s="2"/>
      <c r="M1" s="2"/>
      <c r="N1" s="2"/>
      <c r="O1" s="2"/>
      <c r="P1" s="2"/>
      <c r="Q1" s="2"/>
      <c r="R1" s="2"/>
      <c r="S1" s="2"/>
      <c r="T1" s="2"/>
      <c r="U1" s="2"/>
      <c r="V1" s="2"/>
      <c r="W1" s="2"/>
      <c r="X1" s="2"/>
      <c r="Y1" s="2"/>
      <c r="Z1" s="2"/>
    </row>
    <row r="2">
      <c r="A2" s="154" t="s">
        <v>431</v>
      </c>
      <c r="B2" s="155" t="s">
        <v>432</v>
      </c>
      <c r="C2" s="155" t="s">
        <v>433</v>
      </c>
      <c r="D2" s="155" t="s">
        <v>434</v>
      </c>
      <c r="E2" s="156" t="s">
        <v>435</v>
      </c>
      <c r="F2" s="155" t="s">
        <v>436</v>
      </c>
      <c r="G2" s="155" t="s">
        <v>437</v>
      </c>
      <c r="H2" s="155" t="s">
        <v>438</v>
      </c>
      <c r="I2" s="155" t="s">
        <v>439</v>
      </c>
      <c r="J2" s="156" t="s">
        <v>440</v>
      </c>
      <c r="K2" s="155" t="s">
        <v>441</v>
      </c>
      <c r="L2" s="2"/>
      <c r="M2" s="2"/>
      <c r="N2" s="2"/>
      <c r="O2" s="2"/>
      <c r="P2" s="2"/>
      <c r="Q2" s="2"/>
      <c r="R2" s="2"/>
      <c r="S2" s="2"/>
      <c r="T2" s="2"/>
      <c r="U2" s="2"/>
      <c r="V2" s="2"/>
      <c r="W2" s="2"/>
      <c r="X2" s="2"/>
      <c r="Y2" s="2"/>
      <c r="Z2" s="2"/>
    </row>
    <row r="3">
      <c r="A3" s="157" t="s">
        <v>442</v>
      </c>
      <c r="B3" s="105" t="s">
        <v>443</v>
      </c>
      <c r="C3" s="105" t="s">
        <v>443</v>
      </c>
      <c r="D3" s="105" t="s">
        <v>443</v>
      </c>
      <c r="E3" s="158" t="s">
        <v>443</v>
      </c>
      <c r="F3" s="141" t="s">
        <v>444</v>
      </c>
      <c r="G3" s="141" t="s">
        <v>444</v>
      </c>
      <c r="H3" s="141" t="s">
        <v>444</v>
      </c>
      <c r="I3" s="141" t="s">
        <v>444</v>
      </c>
      <c r="J3" s="159" t="s">
        <v>444</v>
      </c>
      <c r="K3" s="105" t="s">
        <v>445</v>
      </c>
      <c r="L3" s="2"/>
      <c r="M3" s="2"/>
      <c r="N3" s="2"/>
      <c r="O3" s="2"/>
      <c r="P3" s="2"/>
      <c r="Q3" s="2"/>
      <c r="R3" s="2"/>
      <c r="S3" s="2"/>
      <c r="T3" s="2"/>
      <c r="U3" s="2"/>
      <c r="V3" s="2"/>
      <c r="W3" s="2"/>
      <c r="X3" s="2"/>
      <c r="Y3" s="2"/>
      <c r="Z3" s="2"/>
    </row>
    <row r="4">
      <c r="A4" s="157" t="s">
        <v>446</v>
      </c>
      <c r="B4" s="105" t="s">
        <v>447</v>
      </c>
      <c r="C4" s="105" t="s">
        <v>448</v>
      </c>
      <c r="D4" s="105" t="s">
        <v>445</v>
      </c>
      <c r="E4" s="158" t="s">
        <v>449</v>
      </c>
      <c r="F4" s="141" t="s">
        <v>449</v>
      </c>
      <c r="G4" s="105" t="s">
        <v>447</v>
      </c>
      <c r="H4" s="141" t="s">
        <v>449</v>
      </c>
      <c r="I4" s="105" t="s">
        <v>447</v>
      </c>
      <c r="J4" s="158" t="s">
        <v>445</v>
      </c>
      <c r="K4" s="34" t="s">
        <v>448</v>
      </c>
      <c r="L4" s="2"/>
      <c r="M4" s="2"/>
      <c r="N4" s="2"/>
      <c r="O4" s="2"/>
      <c r="P4" s="2"/>
      <c r="Q4" s="2"/>
      <c r="R4" s="2"/>
      <c r="S4" s="2"/>
      <c r="T4" s="2"/>
      <c r="U4" s="2"/>
      <c r="V4" s="2"/>
      <c r="W4" s="2"/>
      <c r="X4" s="2"/>
      <c r="Y4" s="2"/>
      <c r="Z4" s="2"/>
    </row>
    <row r="5">
      <c r="A5" s="157"/>
      <c r="B5" s="105"/>
      <c r="C5" s="105"/>
      <c r="D5" s="105"/>
      <c r="E5" s="158"/>
      <c r="F5" s="141"/>
      <c r="G5" s="105"/>
      <c r="H5" s="105"/>
      <c r="I5" s="105"/>
      <c r="J5" s="158"/>
      <c r="K5" s="105"/>
      <c r="L5" s="2"/>
      <c r="M5" s="2"/>
      <c r="N5" s="2"/>
      <c r="O5" s="2"/>
      <c r="P5" s="2"/>
      <c r="Q5" s="2"/>
      <c r="R5" s="2"/>
      <c r="S5" s="2"/>
      <c r="T5" s="2"/>
      <c r="U5" s="2"/>
      <c r="V5" s="2"/>
      <c r="W5" s="2"/>
      <c r="X5" s="2"/>
      <c r="Y5" s="2"/>
      <c r="Z5" s="2"/>
    </row>
    <row r="6">
      <c r="A6" s="157" t="s">
        <v>450</v>
      </c>
      <c r="B6" s="91" t="str">
        <f>"Idle Mil Units 
+10 XP / Turn"</f>
        <v>Idle Mil Units 
+10 XP / Turn</v>
      </c>
      <c r="C6" s="91" t="str">
        <f>"+50 Training / Kill"</f>
        <v>+50 Training / Kill</v>
      </c>
      <c r="D6" s="160" t="str">
        <f>"+2 Vision Range"</f>
        <v>+2 Vision Range</v>
      </c>
      <c r="E6" s="161" t="str">
        <f>"+1 Fatigue Limit"</f>
        <v>+1 Fatigue Limit</v>
      </c>
      <c r="F6" s="125" t="s">
        <v>451</v>
      </c>
      <c r="G6" s="105" t="s">
        <v>452</v>
      </c>
      <c r="H6" s="145" t="str">
        <f>"Can switch Laws for 100 civics"</f>
        <v>Can switch Laws for 100 civics</v>
      </c>
      <c r="I6" s="105" t="s">
        <v>453</v>
      </c>
      <c r="J6" s="162" t="str">
        <f>"+2 Science from Archive"</f>
        <v>+2 Science from Archive</v>
      </c>
      <c r="K6" s="163" t="s">
        <v>454</v>
      </c>
      <c r="L6" s="2"/>
      <c r="M6" s="2"/>
      <c r="N6" s="2"/>
      <c r="O6" s="2"/>
      <c r="P6" s="2"/>
      <c r="Q6" s="2"/>
      <c r="R6" s="2"/>
      <c r="S6" s="2"/>
      <c r="T6" s="2"/>
      <c r="U6" s="2"/>
      <c r="V6" s="2"/>
      <c r="W6" s="2"/>
      <c r="X6" s="2"/>
      <c r="Y6" s="2"/>
      <c r="Z6" s="2"/>
    </row>
    <row r="7">
      <c r="A7" s="157" t="s">
        <v>455</v>
      </c>
      <c r="B7" s="91" t="s">
        <v>456</v>
      </c>
      <c r="C7" s="91" t="s">
        <v>457</v>
      </c>
      <c r="D7" s="91" t="str">
        <f>"Ranged Units Hidden in Friendly/Neutral Trees"</f>
        <v>Ranged Units Hidden in Friendly/Neutral Trees</v>
      </c>
      <c r="E7" s="158" t="s">
        <v>458</v>
      </c>
      <c r="F7" s="125" t="s">
        <v>459</v>
      </c>
      <c r="G7" s="105" t="s">
        <v>460</v>
      </c>
      <c r="H7" s="125" t="s">
        <v>461</v>
      </c>
      <c r="I7" s="160" t="s">
        <v>462</v>
      </c>
      <c r="J7" s="162" t="s">
        <v>463</v>
      </c>
      <c r="K7" s="163" t="str">
        <f>"+1 Orders/Year per War"</f>
        <v>+1 Orders/Year per War</v>
      </c>
      <c r="L7" s="2"/>
      <c r="M7" s="2"/>
      <c r="N7" s="2"/>
      <c r="O7" s="2"/>
      <c r="P7" s="2"/>
      <c r="Q7" s="2"/>
      <c r="R7" s="2"/>
      <c r="S7" s="2"/>
      <c r="T7" s="2"/>
      <c r="U7" s="2"/>
      <c r="V7" s="2"/>
      <c r="W7" s="2"/>
      <c r="X7" s="2"/>
      <c r="Y7" s="2"/>
      <c r="Z7" s="2"/>
    </row>
    <row r="8">
      <c r="A8" s="157" t="s">
        <v>464</v>
      </c>
      <c r="B8" s="141"/>
      <c r="C8" s="105"/>
      <c r="D8" s="105"/>
      <c r="E8" s="158" t="str">
        <f>"State Religion cities can Hurry with Training"</f>
        <v>State Religion cities can Hurry with Training</v>
      </c>
      <c r="F8" s="125" t="str">
        <f>"-50% Worker Build Time"</f>
        <v>-50% Worker Build Time</v>
      </c>
      <c r="G8" s="105" t="s">
        <v>465</v>
      </c>
      <c r="H8" s="2"/>
      <c r="I8" s="163" t="str">
        <f>"+1 Orders/Year per City with Friendly Family"</f>
        <v>+1 Orders/Year per City with Friendly Family</v>
      </c>
      <c r="J8" s="164"/>
      <c r="K8" s="160" t="s">
        <v>466</v>
      </c>
      <c r="L8" s="2"/>
      <c r="M8" s="2"/>
      <c r="N8" s="2"/>
      <c r="O8" s="2"/>
      <c r="P8" s="2"/>
      <c r="Q8" s="2"/>
      <c r="R8" s="2"/>
      <c r="S8" s="2"/>
      <c r="T8" s="2"/>
      <c r="U8" s="2"/>
      <c r="V8" s="2"/>
      <c r="W8" s="2"/>
      <c r="X8" s="2"/>
      <c r="Y8" s="2"/>
      <c r="Z8" s="2"/>
    </row>
    <row r="9">
      <c r="A9" s="157" t="s">
        <v>467</v>
      </c>
      <c r="B9" s="141"/>
      <c r="C9" s="141"/>
      <c r="D9" s="141"/>
      <c r="E9" s="159"/>
      <c r="F9" s="141"/>
      <c r="G9" s="141"/>
      <c r="H9" s="145" t="s">
        <v>468</v>
      </c>
      <c r="I9" s="141"/>
      <c r="J9" s="158" t="s">
        <v>469</v>
      </c>
      <c r="K9" s="105" t="s">
        <v>470</v>
      </c>
      <c r="L9" s="165"/>
      <c r="M9" s="165"/>
      <c r="N9" s="165"/>
      <c r="O9" s="165"/>
      <c r="P9" s="165"/>
      <c r="Q9" s="165"/>
      <c r="R9" s="165"/>
      <c r="S9" s="165"/>
      <c r="T9" s="165"/>
      <c r="U9" s="165"/>
      <c r="V9" s="165"/>
      <c r="W9" s="165"/>
      <c r="X9" s="165"/>
      <c r="Y9" s="165"/>
      <c r="Z9" s="165"/>
    </row>
    <row r="10">
      <c r="A10" s="157" t="s">
        <v>471</v>
      </c>
      <c r="B10" s="91" t="str">
        <f>"+100% ATK if flanking"</f>
        <v>+100% ATK if flanking</v>
      </c>
      <c r="C10" s="91" t="s">
        <v>472</v>
      </c>
      <c r="D10" s="91" t="str">
        <f>"Stuns Target on attack"</f>
        <v>Stuns Target on attack</v>
      </c>
      <c r="E10" s="161" t="s">
        <v>473</v>
      </c>
      <c r="F10" s="141"/>
      <c r="G10" s="105"/>
      <c r="H10" s="2"/>
      <c r="I10" s="105"/>
      <c r="J10" s="164"/>
      <c r="K10" s="105"/>
      <c r="L10" s="2"/>
      <c r="M10" s="2"/>
      <c r="N10" s="2"/>
      <c r="O10" s="2"/>
      <c r="P10" s="2"/>
      <c r="Q10" s="2"/>
      <c r="R10" s="2"/>
      <c r="S10" s="2"/>
      <c r="T10" s="2"/>
      <c r="U10" s="2"/>
      <c r="V10" s="2"/>
      <c r="W10" s="2"/>
      <c r="X10" s="2"/>
      <c r="Y10" s="2"/>
      <c r="Z10" s="2"/>
    </row>
    <row r="11">
      <c r="A11" s="157"/>
      <c r="B11" s="105"/>
      <c r="C11" s="105"/>
      <c r="D11" s="105"/>
      <c r="E11" s="158"/>
      <c r="F11" s="141"/>
      <c r="G11" s="105"/>
      <c r="H11" s="105"/>
      <c r="I11" s="105"/>
      <c r="J11" s="164"/>
      <c r="K11" s="105"/>
      <c r="L11" s="2"/>
      <c r="M11" s="2"/>
      <c r="N11" s="2"/>
      <c r="O11" s="2"/>
      <c r="P11" s="2"/>
      <c r="Q11" s="2"/>
      <c r="R11" s="2"/>
      <c r="S11" s="2"/>
      <c r="T11" s="2"/>
      <c r="U11" s="2"/>
      <c r="V11" s="2"/>
      <c r="W11" s="2"/>
      <c r="X11" s="2"/>
      <c r="Y11" s="2"/>
      <c r="Z11" s="2"/>
    </row>
    <row r="12">
      <c r="A12" s="157" t="s">
        <v>474</v>
      </c>
      <c r="B12" s="91" t="str">
        <f>"+20% STR if same unit adjacent"</f>
        <v>+20% STR if same unit adjacent</v>
      </c>
      <c r="C12" s="91" t="s">
        <v>475</v>
      </c>
      <c r="D12" s="91" t="str">
        <f>"Full Melee Counterattack"</f>
        <v>Full Melee Counterattack</v>
      </c>
      <c r="E12" s="161" t="s">
        <v>476</v>
      </c>
      <c r="F12" s="2"/>
      <c r="G12" s="105"/>
      <c r="H12" s="105"/>
      <c r="I12" s="105"/>
      <c r="J12" s="158"/>
      <c r="K12" s="105"/>
      <c r="L12" s="2"/>
      <c r="M12" s="2"/>
      <c r="N12" s="2"/>
      <c r="O12" s="2"/>
      <c r="P12" s="2"/>
      <c r="Q12" s="2"/>
      <c r="R12" s="2"/>
      <c r="S12" s="2"/>
      <c r="T12" s="2"/>
      <c r="U12" s="2"/>
      <c r="V12" s="2"/>
      <c r="W12" s="2"/>
      <c r="X12" s="2"/>
      <c r="Y12" s="2"/>
      <c r="Z12" s="2"/>
    </row>
    <row r="13">
      <c r="A13" s="157" t="s">
        <v>477</v>
      </c>
      <c r="B13" s="105"/>
      <c r="C13" s="105"/>
      <c r="D13" s="105"/>
      <c r="E13" s="158"/>
      <c r="F13" s="125" t="s">
        <v>478</v>
      </c>
      <c r="G13" s="105" t="s">
        <v>479</v>
      </c>
      <c r="H13" s="125" t="s">
        <v>480</v>
      </c>
      <c r="I13" s="148" t="str">
        <f>"+1 Happiness / Culture level"</f>
        <v>+1 Happiness / Culture level</v>
      </c>
      <c r="J13" s="162" t="s">
        <v>481</v>
      </c>
      <c r="K13" s="105"/>
      <c r="L13" s="2"/>
      <c r="M13" s="2"/>
      <c r="N13" s="2"/>
      <c r="O13" s="2"/>
      <c r="P13" s="2"/>
      <c r="Q13" s="2"/>
      <c r="R13" s="2"/>
      <c r="S13" s="2"/>
      <c r="T13" s="2"/>
      <c r="U13" s="2"/>
      <c r="V13" s="2"/>
      <c r="W13" s="2"/>
      <c r="X13" s="2"/>
      <c r="Y13" s="2"/>
      <c r="Z13" s="2"/>
    </row>
    <row r="14">
      <c r="A14" s="157" t="s">
        <v>482</v>
      </c>
      <c r="B14" s="105"/>
      <c r="C14" s="105"/>
      <c r="D14" s="105"/>
      <c r="E14" s="158"/>
      <c r="F14" s="105"/>
      <c r="G14" s="105"/>
      <c r="H14" s="105"/>
      <c r="I14" s="105"/>
      <c r="J14" s="164"/>
      <c r="K14" s="105" t="str">
        <f>"+10% Agent Yields"</f>
        <v>+10% Agent Yields</v>
      </c>
      <c r="L14" s="2"/>
      <c r="M14" s="2"/>
      <c r="N14" s="2"/>
      <c r="O14" s="2"/>
      <c r="P14" s="2"/>
      <c r="Q14" s="2"/>
      <c r="R14" s="2"/>
      <c r="S14" s="2"/>
      <c r="T14" s="2"/>
      <c r="U14" s="2"/>
      <c r="V14" s="2"/>
      <c r="W14" s="2"/>
      <c r="X14" s="2"/>
      <c r="Y14" s="2"/>
      <c r="Z14" s="2"/>
    </row>
    <row r="15">
      <c r="A15" s="157" t="s">
        <v>483</v>
      </c>
      <c r="B15" s="105" t="s">
        <v>484</v>
      </c>
      <c r="C15" s="105" t="s">
        <v>485</v>
      </c>
      <c r="D15" s="105" t="s">
        <v>486</v>
      </c>
      <c r="E15" s="158" t="s">
        <v>487</v>
      </c>
      <c r="F15" s="141" t="s">
        <v>488</v>
      </c>
      <c r="G15" s="105" t="s">
        <v>489</v>
      </c>
      <c r="H15" s="105" t="s">
        <v>490</v>
      </c>
      <c r="I15" s="105" t="s">
        <v>491</v>
      </c>
      <c r="J15" s="158" t="s">
        <v>492</v>
      </c>
      <c r="K15" s="105" t="s">
        <v>493</v>
      </c>
      <c r="L15" s="2"/>
      <c r="M15" s="2"/>
      <c r="N15" s="2"/>
      <c r="O15" s="2"/>
      <c r="P15" s="2"/>
      <c r="Q15" s="2"/>
      <c r="R15" s="2"/>
      <c r="S15" s="2"/>
      <c r="T15" s="2"/>
      <c r="U15" s="2"/>
      <c r="V15" s="2"/>
      <c r="W15" s="2"/>
      <c r="X15" s="2"/>
      <c r="Y15" s="2"/>
      <c r="Z15" s="2"/>
    </row>
    <row r="16">
      <c r="A16" s="157" t="s">
        <v>494</v>
      </c>
      <c r="B16" s="105" t="s">
        <v>434</v>
      </c>
      <c r="C16" s="105" t="s">
        <v>436</v>
      </c>
      <c r="D16" s="105" t="s">
        <v>432</v>
      </c>
      <c r="E16" s="158" t="s">
        <v>440</v>
      </c>
      <c r="F16" s="141" t="s">
        <v>433</v>
      </c>
      <c r="G16" s="105" t="s">
        <v>439</v>
      </c>
      <c r="H16" s="105" t="s">
        <v>441</v>
      </c>
      <c r="I16" s="105" t="s">
        <v>437</v>
      </c>
      <c r="J16" s="158" t="s">
        <v>435</v>
      </c>
      <c r="K16" s="105" t="s">
        <v>438</v>
      </c>
      <c r="L16" s="2"/>
      <c r="M16" s="2"/>
      <c r="N16" s="2"/>
      <c r="O16" s="2"/>
      <c r="P16" s="2"/>
      <c r="Q16" s="2"/>
      <c r="R16" s="2"/>
      <c r="S16" s="2"/>
      <c r="T16" s="2"/>
      <c r="U16" s="2"/>
      <c r="V16" s="2"/>
      <c r="W16" s="2"/>
      <c r="X16" s="2"/>
      <c r="Y16" s="2"/>
      <c r="Z16" s="2"/>
    </row>
    <row r="17">
      <c r="A17" s="151" t="s">
        <v>495</v>
      </c>
      <c r="B17" s="160" t="s">
        <v>496</v>
      </c>
      <c r="C17" s="160" t="s">
        <v>497</v>
      </c>
      <c r="D17" s="144" t="s">
        <v>498</v>
      </c>
      <c r="E17" s="166" t="s">
        <v>499</v>
      </c>
      <c r="F17" s="139" t="s">
        <v>500</v>
      </c>
      <c r="G17" s="145" t="s">
        <v>501</v>
      </c>
      <c r="H17" s="145" t="s">
        <v>502</v>
      </c>
      <c r="I17" s="145" t="s">
        <v>503</v>
      </c>
      <c r="J17" s="162" t="s">
        <v>504</v>
      </c>
      <c r="K17" s="144" t="s">
        <v>505</v>
      </c>
      <c r="L17" s="2"/>
      <c r="M17" s="2"/>
      <c r="N17" s="2"/>
      <c r="O17" s="2"/>
      <c r="P17" s="2"/>
      <c r="Q17" s="2"/>
      <c r="R17" s="2"/>
      <c r="S17" s="2"/>
      <c r="T17" s="2"/>
      <c r="U17" s="2"/>
      <c r="V17" s="2"/>
      <c r="W17" s="2"/>
      <c r="X17" s="2"/>
      <c r="Y17" s="2"/>
      <c r="Z17" s="2"/>
    </row>
    <row r="18">
      <c r="A18" s="151" t="s">
        <v>495</v>
      </c>
      <c r="B18" s="15" t="s">
        <v>506</v>
      </c>
      <c r="C18" s="132"/>
      <c r="D18" s="139" t="s">
        <v>506</v>
      </c>
      <c r="E18" s="153"/>
      <c r="F18" s="132"/>
      <c r="G18" s="132"/>
      <c r="H18" s="139" t="s">
        <v>506</v>
      </c>
      <c r="I18" s="132"/>
      <c r="J18" s="153"/>
      <c r="K18" s="132"/>
      <c r="L18" s="2"/>
      <c r="M18" s="2"/>
      <c r="N18" s="2"/>
      <c r="O18" s="2"/>
      <c r="P18" s="2"/>
      <c r="Q18" s="2"/>
      <c r="R18" s="2"/>
      <c r="S18" s="2"/>
      <c r="T18" s="2"/>
      <c r="U18" s="2"/>
      <c r="V18" s="2"/>
      <c r="W18" s="2"/>
      <c r="X18" s="2"/>
      <c r="Y18" s="2"/>
      <c r="Z18" s="2"/>
    </row>
    <row r="19">
      <c r="A19" s="151" t="s">
        <v>507</v>
      </c>
      <c r="B19" s="132"/>
      <c r="C19" s="132"/>
      <c r="D19" s="132"/>
      <c r="E19" s="158" t="s">
        <v>508</v>
      </c>
      <c r="F19" s="132"/>
      <c r="G19" s="132"/>
      <c r="H19" s="132"/>
      <c r="I19" s="105" t="s">
        <v>509</v>
      </c>
      <c r="J19" s="153"/>
      <c r="K19" s="105" t="s">
        <v>510</v>
      </c>
      <c r="L19" s="2"/>
      <c r="M19" s="2"/>
      <c r="N19" s="2"/>
      <c r="O19" s="2"/>
      <c r="P19" s="2"/>
      <c r="Q19" s="2"/>
      <c r="R19" s="2"/>
      <c r="S19" s="2"/>
      <c r="T19" s="2"/>
      <c r="U19" s="2"/>
      <c r="V19" s="2"/>
      <c r="W19" s="2"/>
      <c r="X19" s="2"/>
      <c r="Y19" s="2"/>
      <c r="Z19" s="2"/>
    </row>
    <row r="20">
      <c r="A20" s="167"/>
      <c r="B20" s="132"/>
      <c r="C20" s="132"/>
      <c r="D20" s="132"/>
      <c r="E20" s="153"/>
      <c r="F20" s="132"/>
      <c r="G20" s="132"/>
      <c r="H20" s="132"/>
      <c r="I20" s="132"/>
      <c r="J20" s="153"/>
      <c r="K20" s="132"/>
      <c r="L20" s="2"/>
      <c r="M20" s="2"/>
      <c r="N20" s="2"/>
      <c r="O20" s="2"/>
      <c r="P20" s="2"/>
      <c r="Q20" s="2"/>
      <c r="R20" s="2"/>
      <c r="S20" s="2"/>
      <c r="T20" s="2"/>
      <c r="U20" s="2"/>
      <c r="V20" s="2"/>
      <c r="W20" s="2"/>
      <c r="X20" s="2"/>
      <c r="Y20" s="2"/>
      <c r="Z20" s="2"/>
    </row>
    <row r="21">
      <c r="A21" s="151" t="s">
        <v>511</v>
      </c>
      <c r="B21" s="160" t="s">
        <v>512</v>
      </c>
      <c r="C21" s="145" t="s">
        <v>513</v>
      </c>
      <c r="D21" s="144" t="s">
        <v>514</v>
      </c>
      <c r="E21" s="162" t="s">
        <v>514</v>
      </c>
      <c r="F21" s="144" t="s">
        <v>514</v>
      </c>
      <c r="G21" s="145" t="s">
        <v>513</v>
      </c>
      <c r="H21" s="144" t="s">
        <v>514</v>
      </c>
      <c r="I21" s="145" t="s">
        <v>513</v>
      </c>
      <c r="J21" s="162" t="s">
        <v>514</v>
      </c>
      <c r="K21" s="160" t="s">
        <v>512</v>
      </c>
      <c r="L21" s="2"/>
      <c r="M21" s="2"/>
      <c r="N21" s="2"/>
      <c r="O21" s="2"/>
      <c r="P21" s="2"/>
      <c r="Q21" s="2"/>
      <c r="R21" s="2"/>
      <c r="S21" s="2"/>
      <c r="T21" s="2"/>
      <c r="U21" s="2"/>
      <c r="V21" s="2"/>
      <c r="W21" s="2"/>
      <c r="X21" s="2"/>
      <c r="Y21" s="2"/>
      <c r="Z21" s="2"/>
    </row>
    <row r="22">
      <c r="A22" s="151" t="s">
        <v>515</v>
      </c>
      <c r="B22" s="139" t="s">
        <v>516</v>
      </c>
      <c r="C22" s="160" t="s">
        <v>512</v>
      </c>
      <c r="D22" s="160" t="s">
        <v>512</v>
      </c>
      <c r="E22" s="166" t="s">
        <v>512</v>
      </c>
      <c r="F22" s="139" t="s">
        <v>516</v>
      </c>
      <c r="G22" s="139" t="s">
        <v>516</v>
      </c>
      <c r="H22" s="145" t="s">
        <v>513</v>
      </c>
      <c r="I22" s="139" t="s">
        <v>516</v>
      </c>
      <c r="J22" s="168" t="s">
        <v>513</v>
      </c>
      <c r="K22" s="139" t="s">
        <v>516</v>
      </c>
      <c r="L22" s="2"/>
      <c r="M22" s="2"/>
      <c r="N22" s="2"/>
      <c r="O22" s="2"/>
      <c r="P22" s="2"/>
      <c r="Q22" s="2"/>
      <c r="R22" s="2"/>
      <c r="S22" s="2"/>
      <c r="T22" s="2"/>
      <c r="U22" s="2"/>
      <c r="V22" s="2"/>
      <c r="W22" s="2"/>
      <c r="X22" s="2"/>
      <c r="Y22" s="2"/>
      <c r="Z22" s="2"/>
    </row>
    <row r="23">
      <c r="A23" s="167"/>
      <c r="B23" s="132"/>
      <c r="C23" s="132"/>
      <c r="D23" s="132"/>
      <c r="E23" s="153"/>
      <c r="F23" s="132"/>
      <c r="G23" s="132"/>
      <c r="H23" s="2"/>
      <c r="I23" s="132"/>
      <c r="J23" s="153"/>
      <c r="K23" s="132"/>
      <c r="L23" s="2"/>
      <c r="M23" s="2"/>
      <c r="N23" s="2"/>
      <c r="O23" s="2"/>
      <c r="P23" s="2"/>
      <c r="Q23" s="2"/>
      <c r="R23" s="2"/>
      <c r="S23" s="2"/>
      <c r="T23" s="2"/>
      <c r="U23" s="2"/>
      <c r="V23" s="2"/>
      <c r="W23" s="2"/>
      <c r="X23" s="2"/>
      <c r="Y23" s="2"/>
      <c r="Z23" s="2"/>
    </row>
    <row r="24">
      <c r="A24" s="151" t="s">
        <v>517</v>
      </c>
      <c r="B24" s="169" t="s">
        <v>518</v>
      </c>
      <c r="C24" s="170" t="s">
        <v>518</v>
      </c>
      <c r="D24" s="82" t="s">
        <v>519</v>
      </c>
      <c r="E24" s="171" t="s">
        <v>520</v>
      </c>
      <c r="F24" s="96" t="s">
        <v>521</v>
      </c>
      <c r="G24" s="172" t="s">
        <v>522</v>
      </c>
      <c r="H24" s="94" t="s">
        <v>523</v>
      </c>
      <c r="I24" s="173" t="s">
        <v>524</v>
      </c>
      <c r="J24" s="174" t="s">
        <v>525</v>
      </c>
      <c r="K24" s="175" t="s">
        <v>526</v>
      </c>
      <c r="L24" s="2"/>
      <c r="M24" s="2"/>
      <c r="N24" s="2"/>
      <c r="O24" s="2"/>
      <c r="P24" s="2"/>
      <c r="Q24" s="2"/>
      <c r="R24" s="2"/>
      <c r="S24" s="2"/>
      <c r="T24" s="2"/>
      <c r="U24" s="2"/>
      <c r="V24" s="2"/>
      <c r="W24" s="2"/>
      <c r="X24" s="2"/>
      <c r="Y24" s="2"/>
      <c r="Z24" s="2"/>
    </row>
    <row r="25">
      <c r="A25" s="176"/>
      <c r="B25" s="177" t="s">
        <v>527</v>
      </c>
      <c r="C25" s="178" t="s">
        <v>528</v>
      </c>
      <c r="D25" s="178" t="s">
        <v>528</v>
      </c>
      <c r="E25" s="179" t="s">
        <v>529</v>
      </c>
      <c r="F25" s="173" t="s">
        <v>530</v>
      </c>
      <c r="G25" s="177" t="s">
        <v>527</v>
      </c>
      <c r="H25" s="180" t="s">
        <v>531</v>
      </c>
      <c r="I25" s="175" t="s">
        <v>532</v>
      </c>
      <c r="J25" s="181" t="s">
        <v>530</v>
      </c>
      <c r="K25" s="182" t="s">
        <v>533</v>
      </c>
      <c r="L25" s="2"/>
      <c r="M25" s="2"/>
      <c r="N25" s="2"/>
      <c r="O25" s="2"/>
      <c r="P25" s="2"/>
      <c r="Q25" s="2"/>
      <c r="R25" s="2"/>
      <c r="S25" s="2"/>
      <c r="T25" s="2"/>
      <c r="U25" s="2"/>
      <c r="V25" s="2"/>
      <c r="W25" s="2"/>
      <c r="X25" s="2"/>
      <c r="Y25" s="2"/>
      <c r="Z25" s="2"/>
    </row>
    <row r="26">
      <c r="A26" s="176"/>
      <c r="B26" s="183" t="s">
        <v>534</v>
      </c>
      <c r="C26" s="82" t="s">
        <v>533</v>
      </c>
      <c r="D26" s="96" t="s">
        <v>535</v>
      </c>
      <c r="E26" s="153"/>
      <c r="F26" s="175" t="s">
        <v>532</v>
      </c>
      <c r="G26" s="180" t="s">
        <v>531</v>
      </c>
      <c r="H26" s="96" t="s">
        <v>535</v>
      </c>
      <c r="I26" s="93" t="s">
        <v>536</v>
      </c>
      <c r="J26" s="179" t="s">
        <v>534</v>
      </c>
      <c r="K26" s="172" t="s">
        <v>536</v>
      </c>
      <c r="L26" s="2"/>
      <c r="M26" s="2"/>
      <c r="N26" s="2"/>
      <c r="O26" s="2"/>
      <c r="P26" s="2"/>
      <c r="Q26" s="2"/>
      <c r="R26" s="2"/>
      <c r="S26" s="2"/>
      <c r="T26" s="2"/>
      <c r="U26" s="2"/>
      <c r="V26" s="2"/>
      <c r="W26" s="2"/>
      <c r="X26" s="2"/>
      <c r="Y26" s="2"/>
      <c r="Z26" s="2"/>
    </row>
    <row r="27">
      <c r="A27" s="2"/>
      <c r="B27" s="132"/>
      <c r="C27" s="132"/>
      <c r="D27" s="132"/>
      <c r="E27" s="132"/>
      <c r="F27" s="132"/>
      <c r="G27" s="132"/>
      <c r="H27" s="132"/>
      <c r="I27" s="132"/>
      <c r="J27" s="132"/>
      <c r="K27" s="132"/>
      <c r="L27" s="2"/>
      <c r="M27" s="2"/>
      <c r="N27" s="2"/>
      <c r="O27" s="2"/>
      <c r="P27" s="2"/>
      <c r="Q27" s="2"/>
      <c r="R27" s="2"/>
      <c r="S27" s="2"/>
      <c r="T27" s="2"/>
      <c r="U27" s="2"/>
      <c r="V27" s="2"/>
      <c r="W27" s="2"/>
      <c r="X27" s="2"/>
      <c r="Y27" s="2"/>
      <c r="Z27" s="2"/>
    </row>
    <row r="28">
      <c r="A28" s="1" t="s">
        <v>537</v>
      </c>
      <c r="B28" s="105" t="s">
        <v>538</v>
      </c>
      <c r="C28" s="105" t="s">
        <v>538</v>
      </c>
      <c r="D28" s="105" t="s">
        <v>538</v>
      </c>
      <c r="E28" s="105" t="s">
        <v>538</v>
      </c>
      <c r="F28" s="105"/>
      <c r="G28" s="132"/>
      <c r="H28" s="132"/>
      <c r="I28" s="132"/>
      <c r="J28" s="132"/>
      <c r="K28" s="132"/>
      <c r="L28" s="2"/>
      <c r="M28" s="2"/>
      <c r="N28" s="2"/>
      <c r="O28" s="2"/>
      <c r="P28" s="2"/>
      <c r="Q28" s="2"/>
      <c r="R28" s="2"/>
      <c r="S28" s="2"/>
      <c r="T28" s="2"/>
      <c r="U28" s="2"/>
      <c r="V28" s="2"/>
      <c r="W28" s="2"/>
      <c r="X28" s="2"/>
      <c r="Y28" s="2"/>
      <c r="Z28" s="2"/>
    </row>
    <row r="29">
      <c r="A29" s="1" t="s">
        <v>539</v>
      </c>
      <c r="B29" s="132"/>
      <c r="C29" s="132"/>
      <c r="D29" s="132"/>
      <c r="E29" s="132"/>
      <c r="F29" s="105" t="s">
        <v>540</v>
      </c>
      <c r="G29" s="105" t="s">
        <v>540</v>
      </c>
      <c r="H29" s="105" t="s">
        <v>540</v>
      </c>
      <c r="I29" s="105" t="s">
        <v>540</v>
      </c>
      <c r="J29" s="105"/>
      <c r="K29" s="105" t="s">
        <v>540</v>
      </c>
      <c r="L29" s="2"/>
      <c r="M29" s="2"/>
      <c r="N29" s="2"/>
      <c r="O29" s="2"/>
      <c r="P29" s="2"/>
      <c r="Q29" s="2"/>
      <c r="R29" s="2"/>
      <c r="S29" s="2"/>
      <c r="T29" s="2"/>
      <c r="U29" s="2"/>
      <c r="V29" s="2"/>
      <c r="W29" s="2"/>
      <c r="X29" s="2"/>
      <c r="Y29" s="2"/>
      <c r="Z29" s="2"/>
    </row>
    <row r="30">
      <c r="A30" s="1" t="s">
        <v>541</v>
      </c>
      <c r="B30" s="132"/>
      <c r="C30" s="132"/>
      <c r="D30" s="132"/>
      <c r="E30" s="105" t="s">
        <v>542</v>
      </c>
      <c r="F30" s="105" t="s">
        <v>542</v>
      </c>
      <c r="G30" s="105" t="s">
        <v>542</v>
      </c>
      <c r="H30" s="132"/>
      <c r="I30" s="105" t="s">
        <v>542</v>
      </c>
      <c r="J30" s="105"/>
      <c r="K30" s="105" t="s">
        <v>542</v>
      </c>
      <c r="L30" s="2"/>
      <c r="M30" s="2"/>
      <c r="N30" s="2"/>
      <c r="O30" s="2"/>
      <c r="P30" s="2"/>
      <c r="Q30" s="2"/>
      <c r="R30" s="2"/>
      <c r="S30" s="2"/>
      <c r="T30" s="2"/>
      <c r="U30" s="2"/>
      <c r="V30" s="2"/>
      <c r="W30" s="2"/>
      <c r="X30" s="2"/>
      <c r="Y30" s="2"/>
      <c r="Z30" s="2"/>
    </row>
    <row r="31">
      <c r="A31" s="1" t="s">
        <v>543</v>
      </c>
      <c r="B31" s="132"/>
      <c r="C31" s="132"/>
      <c r="D31" s="105" t="s">
        <v>440</v>
      </c>
      <c r="E31" s="132"/>
      <c r="F31" s="132"/>
      <c r="G31" s="132"/>
      <c r="H31" s="105" t="s">
        <v>440</v>
      </c>
      <c r="I31" s="105" t="s">
        <v>440</v>
      </c>
      <c r="J31" s="105" t="s">
        <v>440</v>
      </c>
      <c r="K31" s="132"/>
      <c r="L31" s="2"/>
      <c r="M31" s="2"/>
      <c r="N31" s="2"/>
      <c r="O31" s="2"/>
      <c r="P31" s="2"/>
      <c r="Q31" s="2"/>
      <c r="R31" s="2"/>
      <c r="S31" s="2"/>
      <c r="T31" s="2"/>
      <c r="U31" s="2"/>
      <c r="V31" s="2"/>
      <c r="W31" s="2"/>
      <c r="X31" s="2"/>
      <c r="Y31" s="2"/>
      <c r="Z31" s="2"/>
    </row>
    <row r="32">
      <c r="A32" s="2"/>
      <c r="B32" s="132"/>
      <c r="C32" s="132"/>
      <c r="D32" s="132"/>
      <c r="E32" s="132"/>
      <c r="F32" s="132"/>
      <c r="G32" s="132"/>
      <c r="H32" s="132"/>
      <c r="I32" s="132"/>
      <c r="J32" s="132"/>
      <c r="K32" s="132"/>
      <c r="L32" s="2"/>
      <c r="M32" s="2"/>
      <c r="N32" s="2"/>
      <c r="O32" s="2"/>
      <c r="P32" s="2"/>
      <c r="Q32" s="2"/>
      <c r="R32" s="2"/>
      <c r="S32" s="2"/>
      <c r="T32" s="2"/>
      <c r="U32" s="2"/>
      <c r="V32" s="2"/>
      <c r="W32" s="2"/>
      <c r="X32" s="2"/>
      <c r="Y32" s="2"/>
      <c r="Z32" s="2"/>
    </row>
    <row r="33">
      <c r="A33" s="2"/>
      <c r="B33" s="132"/>
      <c r="C33" s="132"/>
      <c r="D33" s="132"/>
      <c r="E33" s="132"/>
      <c r="F33" s="132"/>
      <c r="G33" s="132"/>
      <c r="H33" s="132"/>
      <c r="I33" s="132"/>
      <c r="J33" s="132"/>
      <c r="K33" s="132"/>
      <c r="L33" s="2"/>
      <c r="M33" s="2"/>
      <c r="N33" s="2"/>
      <c r="O33" s="2"/>
      <c r="P33" s="2"/>
      <c r="Q33" s="2"/>
      <c r="R33" s="2"/>
      <c r="S33" s="2"/>
      <c r="T33" s="2"/>
      <c r="U33" s="2"/>
      <c r="V33" s="2"/>
      <c r="W33" s="2"/>
      <c r="X33" s="2"/>
      <c r="Y33" s="2"/>
      <c r="Z33" s="2"/>
    </row>
    <row r="34">
      <c r="A34" s="2"/>
      <c r="B34" s="132"/>
      <c r="C34" s="132"/>
      <c r="D34" s="132"/>
      <c r="E34" s="132"/>
      <c r="F34" s="132"/>
      <c r="G34" s="132"/>
      <c r="H34" s="132"/>
      <c r="I34" s="132"/>
      <c r="J34" s="132"/>
      <c r="K34" s="132"/>
      <c r="L34" s="2"/>
      <c r="M34" s="2"/>
      <c r="N34" s="2"/>
      <c r="O34" s="2"/>
      <c r="P34" s="2"/>
      <c r="Q34" s="2"/>
      <c r="R34" s="2"/>
      <c r="S34" s="2"/>
      <c r="T34" s="2"/>
      <c r="U34" s="2"/>
      <c r="V34" s="2"/>
      <c r="W34" s="2"/>
      <c r="X34" s="2"/>
      <c r="Y34" s="2"/>
      <c r="Z34" s="2"/>
    </row>
    <row r="35">
      <c r="A35" s="2"/>
      <c r="B35" s="132"/>
      <c r="C35" s="132"/>
      <c r="D35" s="132"/>
      <c r="E35" s="132"/>
      <c r="F35" s="132"/>
      <c r="G35" s="132"/>
      <c r="H35" s="132"/>
      <c r="I35" s="132"/>
      <c r="J35" s="132"/>
      <c r="K35" s="132"/>
      <c r="L35" s="2"/>
      <c r="M35" s="2"/>
      <c r="N35" s="2"/>
      <c r="O35" s="2"/>
      <c r="P35" s="2"/>
      <c r="Q35" s="2"/>
      <c r="R35" s="2"/>
      <c r="S35" s="2"/>
      <c r="T35" s="2"/>
      <c r="U35" s="2"/>
      <c r="V35" s="2"/>
      <c r="W35" s="2"/>
      <c r="X35" s="2"/>
      <c r="Y35" s="2"/>
      <c r="Z35" s="2"/>
    </row>
    <row r="36">
      <c r="A36" s="2"/>
      <c r="B36" s="132"/>
      <c r="C36" s="132"/>
      <c r="D36" s="132"/>
      <c r="E36" s="132"/>
      <c r="F36" s="132"/>
      <c r="G36" s="132"/>
      <c r="H36" s="132"/>
      <c r="I36" s="132"/>
      <c r="J36" s="132"/>
      <c r="K36" s="132"/>
      <c r="L36" s="2"/>
      <c r="M36" s="2"/>
      <c r="N36" s="2"/>
      <c r="O36" s="2"/>
      <c r="P36" s="2"/>
      <c r="Q36" s="2"/>
      <c r="R36" s="2"/>
      <c r="S36" s="2"/>
      <c r="T36" s="2"/>
      <c r="U36" s="2"/>
      <c r="V36" s="2"/>
      <c r="W36" s="2"/>
      <c r="X36" s="2"/>
      <c r="Y36" s="2"/>
      <c r="Z36" s="2"/>
    </row>
    <row r="37">
      <c r="A37" s="2"/>
      <c r="B37" s="132"/>
      <c r="C37" s="132"/>
      <c r="D37" s="132"/>
      <c r="E37" s="132"/>
      <c r="F37" s="132"/>
      <c r="G37" s="132"/>
      <c r="H37" s="132"/>
      <c r="I37" s="132"/>
      <c r="J37" s="132"/>
      <c r="K37" s="132"/>
      <c r="L37" s="2"/>
      <c r="M37" s="2"/>
      <c r="N37" s="2"/>
      <c r="O37" s="2"/>
      <c r="P37" s="2"/>
      <c r="Q37" s="2"/>
      <c r="R37" s="2"/>
      <c r="S37" s="2"/>
      <c r="T37" s="2"/>
      <c r="U37" s="2"/>
      <c r="V37" s="2"/>
      <c r="W37" s="2"/>
      <c r="X37" s="2"/>
      <c r="Y37" s="2"/>
      <c r="Z37" s="2"/>
    </row>
    <row r="38">
      <c r="A38" s="2"/>
      <c r="B38" s="132"/>
      <c r="C38" s="132"/>
      <c r="D38" s="132"/>
      <c r="E38" s="132"/>
      <c r="F38" s="132"/>
      <c r="G38" s="132"/>
      <c r="H38" s="132"/>
      <c r="I38" s="132"/>
      <c r="J38" s="132"/>
      <c r="K38" s="132"/>
      <c r="L38" s="2"/>
      <c r="M38" s="2"/>
      <c r="N38" s="2"/>
      <c r="O38" s="2"/>
      <c r="P38" s="2"/>
      <c r="Q38" s="2"/>
      <c r="R38" s="2"/>
      <c r="S38" s="2"/>
      <c r="T38" s="2"/>
      <c r="U38" s="2"/>
      <c r="V38" s="2"/>
      <c r="W38" s="2"/>
      <c r="X38" s="2"/>
      <c r="Y38" s="2"/>
      <c r="Z38" s="2"/>
    </row>
    <row r="39">
      <c r="A39" s="2"/>
      <c r="B39" s="132"/>
      <c r="C39" s="132"/>
      <c r="D39" s="132"/>
      <c r="E39" s="132"/>
      <c r="F39" s="132"/>
      <c r="G39" s="132"/>
      <c r="H39" s="132"/>
      <c r="I39" s="132"/>
      <c r="J39" s="132"/>
      <c r="K39" s="132"/>
      <c r="L39" s="2"/>
      <c r="M39" s="2"/>
      <c r="N39" s="2"/>
      <c r="O39" s="2"/>
      <c r="P39" s="2"/>
      <c r="Q39" s="2"/>
      <c r="R39" s="2"/>
      <c r="S39" s="2"/>
      <c r="T39" s="2"/>
      <c r="U39" s="2"/>
      <c r="V39" s="2"/>
      <c r="W39" s="2"/>
      <c r="X39" s="2"/>
      <c r="Y39" s="2"/>
      <c r="Z39" s="2"/>
    </row>
    <row r="40">
      <c r="A40" s="2"/>
      <c r="B40" s="132"/>
      <c r="C40" s="132"/>
      <c r="D40" s="132"/>
      <c r="E40" s="132"/>
      <c r="F40" s="132"/>
      <c r="G40" s="132"/>
      <c r="H40" s="132"/>
      <c r="I40" s="132"/>
      <c r="J40" s="132"/>
      <c r="K40" s="132"/>
      <c r="L40" s="2"/>
      <c r="M40" s="2"/>
      <c r="N40" s="2"/>
      <c r="O40" s="2"/>
      <c r="P40" s="2"/>
      <c r="Q40" s="2"/>
      <c r="R40" s="2"/>
      <c r="S40" s="2"/>
      <c r="T40" s="2"/>
      <c r="U40" s="2"/>
      <c r="V40" s="2"/>
      <c r="W40" s="2"/>
      <c r="X40" s="2"/>
      <c r="Y40" s="2"/>
      <c r="Z40" s="2"/>
    </row>
    <row r="41">
      <c r="A41" s="2"/>
      <c r="B41" s="132"/>
      <c r="C41" s="132"/>
      <c r="D41" s="132"/>
      <c r="E41" s="132"/>
      <c r="F41" s="132"/>
      <c r="G41" s="132"/>
      <c r="H41" s="132"/>
      <c r="I41" s="132"/>
      <c r="J41" s="132"/>
      <c r="K41" s="132"/>
      <c r="L41" s="2"/>
      <c r="M41" s="2"/>
      <c r="N41" s="2"/>
      <c r="O41" s="2"/>
      <c r="P41" s="2"/>
      <c r="Q41" s="2"/>
      <c r="R41" s="2"/>
      <c r="S41" s="2"/>
      <c r="T41" s="2"/>
      <c r="U41" s="2"/>
      <c r="V41" s="2"/>
      <c r="W41" s="2"/>
      <c r="X41" s="2"/>
      <c r="Y41" s="2"/>
      <c r="Z41" s="2"/>
    </row>
    <row r="42">
      <c r="A42" s="2"/>
      <c r="B42" s="132"/>
      <c r="C42" s="132"/>
      <c r="D42" s="132"/>
      <c r="E42" s="132"/>
      <c r="F42" s="132"/>
      <c r="G42" s="132"/>
      <c r="H42" s="132"/>
      <c r="I42" s="132"/>
      <c r="J42" s="132"/>
      <c r="K42" s="132"/>
      <c r="L42" s="2"/>
      <c r="M42" s="2"/>
      <c r="N42" s="2"/>
      <c r="O42" s="2"/>
      <c r="P42" s="2"/>
      <c r="Q42" s="2"/>
      <c r="R42" s="2"/>
      <c r="S42" s="2"/>
      <c r="T42" s="2"/>
      <c r="U42" s="2"/>
      <c r="V42" s="2"/>
      <c r="W42" s="2"/>
      <c r="X42" s="2"/>
      <c r="Y42" s="2"/>
      <c r="Z42" s="2"/>
    </row>
    <row r="43">
      <c r="A43" s="2"/>
      <c r="B43" s="132"/>
      <c r="C43" s="132"/>
      <c r="D43" s="132"/>
      <c r="E43" s="132"/>
      <c r="F43" s="132"/>
      <c r="G43" s="132"/>
      <c r="H43" s="132"/>
      <c r="I43" s="132"/>
      <c r="J43" s="132"/>
      <c r="K43" s="132"/>
      <c r="L43" s="2"/>
      <c r="M43" s="2"/>
      <c r="N43" s="2"/>
      <c r="O43" s="2"/>
      <c r="P43" s="2"/>
      <c r="Q43" s="2"/>
      <c r="R43" s="2"/>
      <c r="S43" s="2"/>
      <c r="T43" s="2"/>
      <c r="U43" s="2"/>
      <c r="V43" s="2"/>
      <c r="W43" s="2"/>
      <c r="X43" s="2"/>
      <c r="Y43" s="2"/>
      <c r="Z43" s="2"/>
    </row>
    <row r="44">
      <c r="A44" s="2"/>
      <c r="B44" s="132"/>
      <c r="C44" s="132"/>
      <c r="D44" s="132"/>
      <c r="E44" s="132"/>
      <c r="F44" s="132"/>
      <c r="G44" s="132"/>
      <c r="H44" s="132"/>
      <c r="I44" s="132"/>
      <c r="J44" s="132"/>
      <c r="K44" s="132"/>
      <c r="L44" s="2"/>
      <c r="M44" s="2"/>
      <c r="N44" s="2"/>
      <c r="O44" s="2"/>
      <c r="P44" s="2"/>
      <c r="Q44" s="2"/>
      <c r="R44" s="2"/>
      <c r="S44" s="2"/>
      <c r="T44" s="2"/>
      <c r="U44" s="2"/>
      <c r="V44" s="2"/>
      <c r="W44" s="2"/>
      <c r="X44" s="2"/>
      <c r="Y44" s="2"/>
      <c r="Z44" s="2"/>
    </row>
    <row r="45">
      <c r="A45" s="2"/>
      <c r="B45" s="132"/>
      <c r="C45" s="132"/>
      <c r="D45" s="132"/>
      <c r="E45" s="132"/>
      <c r="F45" s="132"/>
      <c r="G45" s="132"/>
      <c r="H45" s="132"/>
      <c r="I45" s="132"/>
      <c r="J45" s="132"/>
      <c r="K45" s="132"/>
      <c r="L45" s="2"/>
      <c r="M45" s="2"/>
      <c r="N45" s="2"/>
      <c r="O45" s="2"/>
      <c r="P45" s="2"/>
      <c r="Q45" s="2"/>
      <c r="R45" s="2"/>
      <c r="S45" s="2"/>
      <c r="T45" s="2"/>
      <c r="U45" s="2"/>
      <c r="V45" s="2"/>
      <c r="W45" s="2"/>
      <c r="X45" s="2"/>
      <c r="Y45" s="2"/>
      <c r="Z45" s="2"/>
    </row>
    <row r="46">
      <c r="A46" s="2"/>
      <c r="B46" s="132"/>
      <c r="C46" s="132"/>
      <c r="D46" s="132"/>
      <c r="E46" s="132"/>
      <c r="F46" s="132"/>
      <c r="G46" s="132"/>
      <c r="H46" s="132"/>
      <c r="I46" s="132"/>
      <c r="J46" s="132"/>
      <c r="K46" s="132"/>
      <c r="L46" s="2"/>
      <c r="M46" s="2"/>
      <c r="N46" s="2"/>
      <c r="O46" s="2"/>
      <c r="P46" s="2"/>
      <c r="Q46" s="2"/>
      <c r="R46" s="2"/>
      <c r="S46" s="2"/>
      <c r="T46" s="2"/>
      <c r="U46" s="2"/>
      <c r="V46" s="2"/>
      <c r="W46" s="2"/>
      <c r="X46" s="2"/>
      <c r="Y46" s="2"/>
      <c r="Z46" s="2"/>
    </row>
    <row r="47">
      <c r="A47" s="2"/>
      <c r="B47" s="132"/>
      <c r="C47" s="132"/>
      <c r="D47" s="132"/>
      <c r="E47" s="132"/>
      <c r="F47" s="132"/>
      <c r="G47" s="132"/>
      <c r="H47" s="132"/>
      <c r="I47" s="132"/>
      <c r="J47" s="132"/>
      <c r="K47" s="132"/>
      <c r="L47" s="2"/>
      <c r="M47" s="2"/>
      <c r="N47" s="2"/>
      <c r="O47" s="2"/>
      <c r="P47" s="2"/>
      <c r="Q47" s="2"/>
      <c r="R47" s="2"/>
      <c r="S47" s="2"/>
      <c r="T47" s="2"/>
      <c r="U47" s="2"/>
      <c r="V47" s="2"/>
      <c r="W47" s="2"/>
      <c r="X47" s="2"/>
      <c r="Y47" s="2"/>
      <c r="Z47" s="2"/>
    </row>
    <row r="48">
      <c r="A48" s="2"/>
      <c r="B48" s="132"/>
      <c r="C48" s="132"/>
      <c r="D48" s="132"/>
      <c r="E48" s="132"/>
      <c r="F48" s="132"/>
      <c r="G48" s="132"/>
      <c r="H48" s="132"/>
      <c r="I48" s="132"/>
      <c r="J48" s="132"/>
      <c r="K48" s="132"/>
      <c r="L48" s="2"/>
      <c r="M48" s="2"/>
      <c r="N48" s="2"/>
      <c r="O48" s="2"/>
      <c r="P48" s="2"/>
      <c r="Q48" s="2"/>
      <c r="R48" s="2"/>
      <c r="S48" s="2"/>
      <c r="T48" s="2"/>
      <c r="U48" s="2"/>
      <c r="V48" s="2"/>
      <c r="W48" s="2"/>
      <c r="X48" s="2"/>
      <c r="Y48" s="2"/>
      <c r="Z48" s="2"/>
    </row>
    <row r="49">
      <c r="A49" s="2"/>
      <c r="B49" s="132"/>
      <c r="C49" s="132"/>
      <c r="D49" s="132"/>
      <c r="E49" s="132"/>
      <c r="F49" s="132"/>
      <c r="G49" s="132"/>
      <c r="H49" s="132"/>
      <c r="I49" s="132"/>
      <c r="J49" s="132"/>
      <c r="K49" s="132"/>
      <c r="L49" s="2"/>
      <c r="M49" s="2"/>
      <c r="N49" s="2"/>
      <c r="O49" s="2"/>
      <c r="P49" s="2"/>
      <c r="Q49" s="2"/>
      <c r="R49" s="2"/>
      <c r="S49" s="2"/>
      <c r="T49" s="2"/>
      <c r="U49" s="2"/>
      <c r="V49" s="2"/>
      <c r="W49" s="2"/>
      <c r="X49" s="2"/>
      <c r="Y49" s="2"/>
      <c r="Z49" s="2"/>
    </row>
    <row r="50">
      <c r="A50" s="2"/>
      <c r="B50" s="132"/>
      <c r="C50" s="132"/>
      <c r="D50" s="132"/>
      <c r="E50" s="132"/>
      <c r="F50" s="132"/>
      <c r="G50" s="132"/>
      <c r="H50" s="132"/>
      <c r="I50" s="132"/>
      <c r="J50" s="132"/>
      <c r="K50" s="132"/>
      <c r="L50" s="2"/>
      <c r="M50" s="2"/>
      <c r="N50" s="2"/>
      <c r="O50" s="2"/>
      <c r="P50" s="2"/>
      <c r="Q50" s="2"/>
      <c r="R50" s="2"/>
      <c r="S50" s="2"/>
      <c r="T50" s="2"/>
      <c r="U50" s="2"/>
      <c r="V50" s="2"/>
      <c r="W50" s="2"/>
      <c r="X50" s="2"/>
      <c r="Y50" s="2"/>
      <c r="Z50" s="2"/>
    </row>
    <row r="51">
      <c r="A51" s="2"/>
      <c r="B51" s="132"/>
      <c r="C51" s="132"/>
      <c r="D51" s="132"/>
      <c r="E51" s="132"/>
      <c r="F51" s="132"/>
      <c r="G51" s="132"/>
      <c r="H51" s="132"/>
      <c r="I51" s="132"/>
      <c r="J51" s="132"/>
      <c r="K51" s="132"/>
      <c r="L51" s="2"/>
      <c r="M51" s="2"/>
      <c r="N51" s="2"/>
      <c r="O51" s="2"/>
      <c r="P51" s="2"/>
      <c r="Q51" s="2"/>
      <c r="R51" s="2"/>
      <c r="S51" s="2"/>
      <c r="T51" s="2"/>
      <c r="U51" s="2"/>
      <c r="V51" s="2"/>
      <c r="W51" s="2"/>
      <c r="X51" s="2"/>
      <c r="Y51" s="2"/>
      <c r="Z51" s="2"/>
    </row>
    <row r="52">
      <c r="A52" s="2"/>
      <c r="B52" s="132"/>
      <c r="C52" s="132"/>
      <c r="D52" s="132"/>
      <c r="E52" s="132"/>
      <c r="F52" s="132"/>
      <c r="G52" s="132"/>
      <c r="H52" s="132"/>
      <c r="I52" s="132"/>
      <c r="J52" s="132"/>
      <c r="K52" s="132"/>
      <c r="L52" s="2"/>
      <c r="M52" s="2"/>
      <c r="N52" s="2"/>
      <c r="O52" s="2"/>
      <c r="P52" s="2"/>
      <c r="Q52" s="2"/>
      <c r="R52" s="2"/>
      <c r="S52" s="2"/>
      <c r="T52" s="2"/>
      <c r="U52" s="2"/>
      <c r="V52" s="2"/>
      <c r="W52" s="2"/>
      <c r="X52" s="2"/>
      <c r="Y52" s="2"/>
      <c r="Z52" s="2"/>
    </row>
    <row r="53">
      <c r="A53" s="2"/>
      <c r="B53" s="132"/>
      <c r="C53" s="132"/>
      <c r="D53" s="132"/>
      <c r="E53" s="132"/>
      <c r="F53" s="132"/>
      <c r="G53" s="132"/>
      <c r="H53" s="132"/>
      <c r="I53" s="132"/>
      <c r="J53" s="132"/>
      <c r="K53" s="132"/>
      <c r="L53" s="2"/>
      <c r="M53" s="2"/>
      <c r="N53" s="2"/>
      <c r="O53" s="2"/>
      <c r="P53" s="2"/>
      <c r="Q53" s="2"/>
      <c r="R53" s="2"/>
      <c r="S53" s="2"/>
      <c r="T53" s="2"/>
      <c r="U53" s="2"/>
      <c r="V53" s="2"/>
      <c r="W53" s="2"/>
      <c r="X53" s="2"/>
      <c r="Y53" s="2"/>
      <c r="Z53" s="2"/>
    </row>
    <row r="54">
      <c r="A54" s="2"/>
      <c r="B54" s="132"/>
      <c r="C54" s="132"/>
      <c r="D54" s="132"/>
      <c r="E54" s="132"/>
      <c r="F54" s="132"/>
      <c r="G54" s="132"/>
      <c r="H54" s="132"/>
      <c r="I54" s="132"/>
      <c r="J54" s="132"/>
      <c r="K54" s="132"/>
      <c r="L54" s="2"/>
      <c r="M54" s="2"/>
      <c r="N54" s="2"/>
      <c r="O54" s="2"/>
      <c r="P54" s="2"/>
      <c r="Q54" s="2"/>
      <c r="R54" s="2"/>
      <c r="S54" s="2"/>
      <c r="T54" s="2"/>
      <c r="U54" s="2"/>
      <c r="V54" s="2"/>
      <c r="W54" s="2"/>
      <c r="X54" s="2"/>
      <c r="Y54" s="2"/>
      <c r="Z54" s="2"/>
    </row>
    <row r="55">
      <c r="A55" s="2"/>
      <c r="B55" s="132"/>
      <c r="C55" s="132"/>
      <c r="D55" s="132"/>
      <c r="E55" s="132"/>
      <c r="F55" s="132"/>
      <c r="G55" s="132"/>
      <c r="H55" s="132"/>
      <c r="I55" s="132"/>
      <c r="J55" s="132"/>
      <c r="K55" s="132"/>
      <c r="L55" s="2"/>
      <c r="M55" s="2"/>
      <c r="N55" s="2"/>
      <c r="O55" s="2"/>
      <c r="P55" s="2"/>
      <c r="Q55" s="2"/>
      <c r="R55" s="2"/>
      <c r="S55" s="2"/>
      <c r="T55" s="2"/>
      <c r="U55" s="2"/>
      <c r="V55" s="2"/>
      <c r="W55" s="2"/>
      <c r="X55" s="2"/>
      <c r="Y55" s="2"/>
      <c r="Z55" s="2"/>
    </row>
    <row r="56">
      <c r="A56" s="2"/>
      <c r="B56" s="132"/>
      <c r="C56" s="132"/>
      <c r="D56" s="132"/>
      <c r="E56" s="132"/>
      <c r="F56" s="132"/>
      <c r="G56" s="132"/>
      <c r="H56" s="132"/>
      <c r="I56" s="132"/>
      <c r="J56" s="132"/>
      <c r="K56" s="132"/>
      <c r="L56" s="2"/>
      <c r="M56" s="2"/>
      <c r="N56" s="2"/>
      <c r="O56" s="2"/>
      <c r="P56" s="2"/>
      <c r="Q56" s="2"/>
      <c r="R56" s="2"/>
      <c r="S56" s="2"/>
      <c r="T56" s="2"/>
      <c r="U56" s="2"/>
      <c r="V56" s="2"/>
      <c r="W56" s="2"/>
      <c r="X56" s="2"/>
      <c r="Y56" s="2"/>
      <c r="Z56" s="2"/>
    </row>
    <row r="57">
      <c r="A57" s="2"/>
      <c r="B57" s="132"/>
      <c r="C57" s="132"/>
      <c r="D57" s="132"/>
      <c r="E57" s="132"/>
      <c r="F57" s="132"/>
      <c r="G57" s="132"/>
      <c r="H57" s="132"/>
      <c r="I57" s="132"/>
      <c r="J57" s="132"/>
      <c r="K57" s="132"/>
      <c r="L57" s="2"/>
      <c r="M57" s="2"/>
      <c r="N57" s="2"/>
      <c r="O57" s="2"/>
      <c r="P57" s="2"/>
      <c r="Q57" s="2"/>
      <c r="R57" s="2"/>
      <c r="S57" s="2"/>
      <c r="T57" s="2"/>
      <c r="U57" s="2"/>
      <c r="V57" s="2"/>
      <c r="W57" s="2"/>
      <c r="X57" s="2"/>
      <c r="Y57" s="2"/>
      <c r="Z57" s="2"/>
    </row>
    <row r="58">
      <c r="A58" s="2"/>
      <c r="B58" s="132"/>
      <c r="C58" s="132"/>
      <c r="D58" s="132"/>
      <c r="E58" s="132"/>
      <c r="F58" s="132"/>
      <c r="G58" s="132"/>
      <c r="H58" s="132"/>
      <c r="I58" s="132"/>
      <c r="J58" s="132"/>
      <c r="K58" s="132"/>
      <c r="L58" s="2"/>
      <c r="M58" s="2"/>
      <c r="N58" s="2"/>
      <c r="O58" s="2"/>
      <c r="P58" s="2"/>
      <c r="Q58" s="2"/>
      <c r="R58" s="2"/>
      <c r="S58" s="2"/>
      <c r="T58" s="2"/>
      <c r="U58" s="2"/>
      <c r="V58" s="2"/>
      <c r="W58" s="2"/>
      <c r="X58" s="2"/>
      <c r="Y58" s="2"/>
      <c r="Z58" s="2"/>
    </row>
    <row r="59">
      <c r="A59" s="2"/>
      <c r="B59" s="132"/>
      <c r="C59" s="132"/>
      <c r="D59" s="132"/>
      <c r="E59" s="132"/>
      <c r="F59" s="132"/>
      <c r="G59" s="132"/>
      <c r="H59" s="132"/>
      <c r="I59" s="132"/>
      <c r="J59" s="132"/>
      <c r="K59" s="132"/>
      <c r="L59" s="2"/>
      <c r="M59" s="2"/>
      <c r="N59" s="2"/>
      <c r="O59" s="2"/>
      <c r="P59" s="2"/>
      <c r="Q59" s="2"/>
      <c r="R59" s="2"/>
      <c r="S59" s="2"/>
      <c r="T59" s="2"/>
      <c r="U59" s="2"/>
      <c r="V59" s="2"/>
      <c r="W59" s="2"/>
      <c r="X59" s="2"/>
      <c r="Y59" s="2"/>
      <c r="Z59" s="2"/>
    </row>
    <row r="60">
      <c r="A60" s="2"/>
      <c r="B60" s="132"/>
      <c r="C60" s="132"/>
      <c r="D60" s="132"/>
      <c r="E60" s="132"/>
      <c r="F60" s="132"/>
      <c r="G60" s="132"/>
      <c r="H60" s="132"/>
      <c r="I60" s="132"/>
      <c r="J60" s="132"/>
      <c r="K60" s="132"/>
      <c r="L60" s="2"/>
      <c r="M60" s="2"/>
      <c r="N60" s="2"/>
      <c r="O60" s="2"/>
      <c r="P60" s="2"/>
      <c r="Q60" s="2"/>
      <c r="R60" s="2"/>
      <c r="S60" s="2"/>
      <c r="T60" s="2"/>
      <c r="U60" s="2"/>
      <c r="V60" s="2"/>
      <c r="W60" s="2"/>
      <c r="X60" s="2"/>
      <c r="Y60" s="2"/>
      <c r="Z60" s="2"/>
    </row>
    <row r="61">
      <c r="A61" s="2"/>
      <c r="B61" s="132"/>
      <c r="C61" s="132"/>
      <c r="D61" s="132"/>
      <c r="E61" s="132"/>
      <c r="F61" s="132"/>
      <c r="G61" s="132"/>
      <c r="H61" s="132"/>
      <c r="I61" s="132"/>
      <c r="J61" s="132"/>
      <c r="K61" s="132"/>
      <c r="L61" s="2"/>
      <c r="M61" s="2"/>
      <c r="N61" s="2"/>
      <c r="O61" s="2"/>
      <c r="P61" s="2"/>
      <c r="Q61" s="2"/>
      <c r="R61" s="2"/>
      <c r="S61" s="2"/>
      <c r="T61" s="2"/>
      <c r="U61" s="2"/>
      <c r="V61" s="2"/>
      <c r="W61" s="2"/>
      <c r="X61" s="2"/>
      <c r="Y61" s="2"/>
      <c r="Z61" s="2"/>
    </row>
    <row r="62">
      <c r="A62" s="2"/>
      <c r="B62" s="132"/>
      <c r="C62" s="132"/>
      <c r="D62" s="132"/>
      <c r="E62" s="132"/>
      <c r="F62" s="132"/>
      <c r="G62" s="132"/>
      <c r="H62" s="132"/>
      <c r="I62" s="132"/>
      <c r="J62" s="132"/>
      <c r="K62" s="132"/>
      <c r="L62" s="2"/>
      <c r="M62" s="2"/>
      <c r="N62" s="2"/>
      <c r="O62" s="2"/>
      <c r="P62" s="2"/>
      <c r="Q62" s="2"/>
      <c r="R62" s="2"/>
      <c r="S62" s="2"/>
      <c r="T62" s="2"/>
      <c r="U62" s="2"/>
      <c r="V62" s="2"/>
      <c r="W62" s="2"/>
      <c r="X62" s="2"/>
      <c r="Y62" s="2"/>
      <c r="Z62" s="2"/>
    </row>
    <row r="63">
      <c r="A63" s="2"/>
      <c r="B63" s="132"/>
      <c r="C63" s="132"/>
      <c r="D63" s="132"/>
      <c r="E63" s="132"/>
      <c r="F63" s="132"/>
      <c r="G63" s="132"/>
      <c r="H63" s="132"/>
      <c r="I63" s="132"/>
      <c r="J63" s="132"/>
      <c r="K63" s="132"/>
      <c r="L63" s="2"/>
      <c r="M63" s="2"/>
      <c r="N63" s="2"/>
      <c r="O63" s="2"/>
      <c r="P63" s="2"/>
      <c r="Q63" s="2"/>
      <c r="R63" s="2"/>
      <c r="S63" s="2"/>
      <c r="T63" s="2"/>
      <c r="U63" s="2"/>
      <c r="V63" s="2"/>
      <c r="W63" s="2"/>
      <c r="X63" s="2"/>
      <c r="Y63" s="2"/>
      <c r="Z63" s="2"/>
    </row>
    <row r="64">
      <c r="A64" s="2"/>
      <c r="B64" s="132"/>
      <c r="C64" s="132"/>
      <c r="D64" s="132"/>
      <c r="E64" s="132"/>
      <c r="F64" s="132"/>
      <c r="G64" s="132"/>
      <c r="H64" s="132"/>
      <c r="I64" s="132"/>
      <c r="J64" s="132"/>
      <c r="K64" s="132"/>
      <c r="L64" s="2"/>
      <c r="M64" s="2"/>
      <c r="N64" s="2"/>
      <c r="O64" s="2"/>
      <c r="P64" s="2"/>
      <c r="Q64" s="2"/>
      <c r="R64" s="2"/>
      <c r="S64" s="2"/>
      <c r="T64" s="2"/>
      <c r="U64" s="2"/>
      <c r="V64" s="2"/>
      <c r="W64" s="2"/>
      <c r="X64" s="2"/>
      <c r="Y64" s="2"/>
      <c r="Z64" s="2"/>
    </row>
    <row r="65">
      <c r="A65" s="2"/>
      <c r="B65" s="132"/>
      <c r="C65" s="132"/>
      <c r="D65" s="132"/>
      <c r="E65" s="132"/>
      <c r="F65" s="132"/>
      <c r="G65" s="132"/>
      <c r="H65" s="132"/>
      <c r="I65" s="132"/>
      <c r="J65" s="132"/>
      <c r="K65" s="132"/>
      <c r="L65" s="2"/>
      <c r="M65" s="2"/>
      <c r="N65" s="2"/>
      <c r="O65" s="2"/>
      <c r="P65" s="2"/>
      <c r="Q65" s="2"/>
      <c r="R65" s="2"/>
      <c r="S65" s="2"/>
      <c r="T65" s="2"/>
      <c r="U65" s="2"/>
      <c r="V65" s="2"/>
      <c r="W65" s="2"/>
      <c r="X65" s="2"/>
      <c r="Y65" s="2"/>
      <c r="Z65" s="2"/>
    </row>
    <row r="66">
      <c r="A66" s="2"/>
      <c r="B66" s="132"/>
      <c r="C66" s="132"/>
      <c r="D66" s="132"/>
      <c r="E66" s="132"/>
      <c r="F66" s="132"/>
      <c r="G66" s="132"/>
      <c r="H66" s="132"/>
      <c r="I66" s="132"/>
      <c r="J66" s="132"/>
      <c r="K66" s="132"/>
      <c r="L66" s="2"/>
      <c r="M66" s="2"/>
      <c r="N66" s="2"/>
      <c r="O66" s="2"/>
      <c r="P66" s="2"/>
      <c r="Q66" s="2"/>
      <c r="R66" s="2"/>
      <c r="S66" s="2"/>
      <c r="T66" s="2"/>
      <c r="U66" s="2"/>
      <c r="V66" s="2"/>
      <c r="W66" s="2"/>
      <c r="X66" s="2"/>
      <c r="Y66" s="2"/>
      <c r="Z66" s="2"/>
    </row>
    <row r="67">
      <c r="A67" s="2"/>
      <c r="B67" s="132"/>
      <c r="C67" s="132"/>
      <c r="D67" s="132"/>
      <c r="E67" s="132"/>
      <c r="F67" s="132"/>
      <c r="G67" s="132"/>
      <c r="H67" s="132"/>
      <c r="I67" s="132"/>
      <c r="J67" s="132"/>
      <c r="K67" s="132"/>
      <c r="L67" s="2"/>
      <c r="M67" s="2"/>
      <c r="N67" s="2"/>
      <c r="O67" s="2"/>
      <c r="P67" s="2"/>
      <c r="Q67" s="2"/>
      <c r="R67" s="2"/>
      <c r="S67" s="2"/>
      <c r="T67" s="2"/>
      <c r="U67" s="2"/>
      <c r="V67" s="2"/>
      <c r="W67" s="2"/>
      <c r="X67" s="2"/>
      <c r="Y67" s="2"/>
      <c r="Z67" s="2"/>
    </row>
    <row r="68">
      <c r="A68" s="2"/>
      <c r="B68" s="132"/>
      <c r="C68" s="132"/>
      <c r="D68" s="132"/>
      <c r="E68" s="132"/>
      <c r="F68" s="132"/>
      <c r="G68" s="132"/>
      <c r="H68" s="132"/>
      <c r="I68" s="132"/>
      <c r="J68" s="132"/>
      <c r="K68" s="132"/>
      <c r="L68" s="2"/>
      <c r="M68" s="2"/>
      <c r="N68" s="2"/>
      <c r="O68" s="2"/>
      <c r="P68" s="2"/>
      <c r="Q68" s="2"/>
      <c r="R68" s="2"/>
      <c r="S68" s="2"/>
      <c r="T68" s="2"/>
      <c r="U68" s="2"/>
      <c r="V68" s="2"/>
      <c r="W68" s="2"/>
      <c r="X68" s="2"/>
      <c r="Y68" s="2"/>
      <c r="Z68" s="2"/>
    </row>
    <row r="69">
      <c r="A69" s="2"/>
      <c r="B69" s="132"/>
      <c r="C69" s="132"/>
      <c r="D69" s="132"/>
      <c r="E69" s="132"/>
      <c r="F69" s="132"/>
      <c r="G69" s="132"/>
      <c r="H69" s="132"/>
      <c r="I69" s="132"/>
      <c r="J69" s="132"/>
      <c r="K69" s="132"/>
      <c r="L69" s="2"/>
      <c r="M69" s="2"/>
      <c r="N69" s="2"/>
      <c r="O69" s="2"/>
      <c r="P69" s="2"/>
      <c r="Q69" s="2"/>
      <c r="R69" s="2"/>
      <c r="S69" s="2"/>
      <c r="T69" s="2"/>
      <c r="U69" s="2"/>
      <c r="V69" s="2"/>
      <c r="W69" s="2"/>
      <c r="X69" s="2"/>
      <c r="Y69" s="2"/>
      <c r="Z69" s="2"/>
    </row>
    <row r="70">
      <c r="A70" s="2"/>
      <c r="B70" s="132"/>
      <c r="C70" s="132"/>
      <c r="D70" s="132"/>
      <c r="E70" s="132"/>
      <c r="F70" s="132"/>
      <c r="G70" s="132"/>
      <c r="H70" s="132"/>
      <c r="I70" s="132"/>
      <c r="J70" s="132"/>
      <c r="K70" s="132"/>
      <c r="L70" s="2"/>
      <c r="M70" s="2"/>
      <c r="N70" s="2"/>
      <c r="O70" s="2"/>
      <c r="P70" s="2"/>
      <c r="Q70" s="2"/>
      <c r="R70" s="2"/>
      <c r="S70" s="2"/>
      <c r="T70" s="2"/>
      <c r="U70" s="2"/>
      <c r="V70" s="2"/>
      <c r="W70" s="2"/>
      <c r="X70" s="2"/>
      <c r="Y70" s="2"/>
      <c r="Z70" s="2"/>
    </row>
    <row r="71">
      <c r="A71" s="2"/>
      <c r="B71" s="132"/>
      <c r="C71" s="132"/>
      <c r="D71" s="132"/>
      <c r="E71" s="132"/>
      <c r="F71" s="132"/>
      <c r="G71" s="132"/>
      <c r="H71" s="132"/>
      <c r="I71" s="132"/>
      <c r="J71" s="132"/>
      <c r="K71" s="132"/>
      <c r="L71" s="2"/>
      <c r="M71" s="2"/>
      <c r="N71" s="2"/>
      <c r="O71" s="2"/>
      <c r="P71" s="2"/>
      <c r="Q71" s="2"/>
      <c r="R71" s="2"/>
      <c r="S71" s="2"/>
      <c r="T71" s="2"/>
      <c r="U71" s="2"/>
      <c r="V71" s="2"/>
      <c r="W71" s="2"/>
      <c r="X71" s="2"/>
      <c r="Y71" s="2"/>
      <c r="Z71" s="2"/>
    </row>
    <row r="72">
      <c r="A72" s="2"/>
      <c r="B72" s="132"/>
      <c r="C72" s="132"/>
      <c r="D72" s="132"/>
      <c r="E72" s="132"/>
      <c r="F72" s="132"/>
      <c r="G72" s="132"/>
      <c r="H72" s="132"/>
      <c r="I72" s="132"/>
      <c r="J72" s="132"/>
      <c r="K72" s="132"/>
      <c r="L72" s="2"/>
      <c r="M72" s="2"/>
      <c r="N72" s="2"/>
      <c r="O72" s="2"/>
      <c r="P72" s="2"/>
      <c r="Q72" s="2"/>
      <c r="R72" s="2"/>
      <c r="S72" s="2"/>
      <c r="T72" s="2"/>
      <c r="U72" s="2"/>
      <c r="V72" s="2"/>
      <c r="W72" s="2"/>
      <c r="X72" s="2"/>
      <c r="Y72" s="2"/>
      <c r="Z72" s="2"/>
    </row>
    <row r="73">
      <c r="A73" s="2"/>
      <c r="B73" s="132"/>
      <c r="C73" s="132"/>
      <c r="D73" s="132"/>
      <c r="E73" s="132"/>
      <c r="F73" s="132"/>
      <c r="G73" s="132"/>
      <c r="H73" s="132"/>
      <c r="I73" s="132"/>
      <c r="J73" s="132"/>
      <c r="K73" s="132"/>
      <c r="L73" s="2"/>
      <c r="M73" s="2"/>
      <c r="N73" s="2"/>
      <c r="O73" s="2"/>
      <c r="P73" s="2"/>
      <c r="Q73" s="2"/>
      <c r="R73" s="2"/>
      <c r="S73" s="2"/>
      <c r="T73" s="2"/>
      <c r="U73" s="2"/>
      <c r="V73" s="2"/>
      <c r="W73" s="2"/>
      <c r="X73" s="2"/>
      <c r="Y73" s="2"/>
      <c r="Z73" s="2"/>
    </row>
    <row r="74">
      <c r="A74" s="2"/>
      <c r="B74" s="132"/>
      <c r="C74" s="132"/>
      <c r="D74" s="132"/>
      <c r="E74" s="132"/>
      <c r="F74" s="132"/>
      <c r="G74" s="132"/>
      <c r="H74" s="132"/>
      <c r="I74" s="132"/>
      <c r="J74" s="132"/>
      <c r="K74" s="132"/>
      <c r="L74" s="2"/>
      <c r="M74" s="2"/>
      <c r="N74" s="2"/>
      <c r="O74" s="2"/>
      <c r="P74" s="2"/>
      <c r="Q74" s="2"/>
      <c r="R74" s="2"/>
      <c r="S74" s="2"/>
      <c r="T74" s="2"/>
      <c r="U74" s="2"/>
      <c r="V74" s="2"/>
      <c r="W74" s="2"/>
      <c r="X74" s="2"/>
      <c r="Y74" s="2"/>
      <c r="Z74" s="2"/>
    </row>
    <row r="75">
      <c r="A75" s="2"/>
      <c r="B75" s="132"/>
      <c r="C75" s="132"/>
      <c r="D75" s="132"/>
      <c r="E75" s="132"/>
      <c r="F75" s="132"/>
      <c r="G75" s="132"/>
      <c r="H75" s="132"/>
      <c r="I75" s="132"/>
      <c r="J75" s="132"/>
      <c r="K75" s="132"/>
      <c r="L75" s="2"/>
      <c r="M75" s="2"/>
      <c r="N75" s="2"/>
      <c r="O75" s="2"/>
      <c r="P75" s="2"/>
      <c r="Q75" s="2"/>
      <c r="R75" s="2"/>
      <c r="S75" s="2"/>
      <c r="T75" s="2"/>
      <c r="U75" s="2"/>
      <c r="V75" s="2"/>
      <c r="W75" s="2"/>
      <c r="X75" s="2"/>
      <c r="Y75" s="2"/>
      <c r="Z75" s="2"/>
    </row>
    <row r="76">
      <c r="A76" s="2"/>
      <c r="B76" s="132"/>
      <c r="C76" s="132"/>
      <c r="D76" s="132"/>
      <c r="E76" s="132"/>
      <c r="F76" s="132"/>
      <c r="G76" s="132"/>
      <c r="H76" s="132"/>
      <c r="I76" s="132"/>
      <c r="J76" s="132"/>
      <c r="K76" s="132"/>
      <c r="L76" s="2"/>
      <c r="M76" s="2"/>
      <c r="N76" s="2"/>
      <c r="O76" s="2"/>
      <c r="P76" s="2"/>
      <c r="Q76" s="2"/>
      <c r="R76" s="2"/>
      <c r="S76" s="2"/>
      <c r="T76" s="2"/>
      <c r="U76" s="2"/>
      <c r="V76" s="2"/>
      <c r="W76" s="2"/>
      <c r="X76" s="2"/>
      <c r="Y76" s="2"/>
      <c r="Z76" s="2"/>
    </row>
    <row r="77">
      <c r="A77" s="2"/>
      <c r="B77" s="132"/>
      <c r="C77" s="132"/>
      <c r="D77" s="132"/>
      <c r="E77" s="132"/>
      <c r="F77" s="132"/>
      <c r="G77" s="132"/>
      <c r="H77" s="132"/>
      <c r="I77" s="132"/>
      <c r="J77" s="132"/>
      <c r="K77" s="132"/>
      <c r="L77" s="2"/>
      <c r="M77" s="2"/>
      <c r="N77" s="2"/>
      <c r="O77" s="2"/>
      <c r="P77" s="2"/>
      <c r="Q77" s="2"/>
      <c r="R77" s="2"/>
      <c r="S77" s="2"/>
      <c r="T77" s="2"/>
      <c r="U77" s="2"/>
      <c r="V77" s="2"/>
      <c r="W77" s="2"/>
      <c r="X77" s="2"/>
      <c r="Y77" s="2"/>
      <c r="Z77" s="2"/>
    </row>
    <row r="78">
      <c r="A78" s="2"/>
      <c r="B78" s="132"/>
      <c r="C78" s="132"/>
      <c r="D78" s="132"/>
      <c r="E78" s="132"/>
      <c r="F78" s="132"/>
      <c r="G78" s="132"/>
      <c r="H78" s="132"/>
      <c r="I78" s="132"/>
      <c r="J78" s="132"/>
      <c r="K78" s="132"/>
      <c r="L78" s="2"/>
      <c r="M78" s="2"/>
      <c r="N78" s="2"/>
      <c r="O78" s="2"/>
      <c r="P78" s="2"/>
      <c r="Q78" s="2"/>
      <c r="R78" s="2"/>
      <c r="S78" s="2"/>
      <c r="T78" s="2"/>
      <c r="U78" s="2"/>
      <c r="V78" s="2"/>
      <c r="W78" s="2"/>
      <c r="X78" s="2"/>
      <c r="Y78" s="2"/>
      <c r="Z78" s="2"/>
    </row>
    <row r="79">
      <c r="A79" s="2"/>
      <c r="B79" s="132"/>
      <c r="C79" s="132"/>
      <c r="D79" s="132"/>
      <c r="E79" s="132"/>
      <c r="F79" s="132"/>
      <c r="G79" s="132"/>
      <c r="H79" s="132"/>
      <c r="I79" s="132"/>
      <c r="J79" s="132"/>
      <c r="K79" s="132"/>
      <c r="L79" s="2"/>
      <c r="M79" s="2"/>
      <c r="N79" s="2"/>
      <c r="O79" s="2"/>
      <c r="P79" s="2"/>
      <c r="Q79" s="2"/>
      <c r="R79" s="2"/>
      <c r="S79" s="2"/>
      <c r="T79" s="2"/>
      <c r="U79" s="2"/>
      <c r="V79" s="2"/>
      <c r="W79" s="2"/>
      <c r="X79" s="2"/>
      <c r="Y79" s="2"/>
      <c r="Z79" s="2"/>
    </row>
    <row r="80">
      <c r="A80" s="2"/>
      <c r="B80" s="132"/>
      <c r="C80" s="132"/>
      <c r="D80" s="132"/>
      <c r="E80" s="132"/>
      <c r="F80" s="132"/>
      <c r="G80" s="132"/>
      <c r="H80" s="132"/>
      <c r="I80" s="132"/>
      <c r="J80" s="132"/>
      <c r="K80" s="132"/>
      <c r="L80" s="2"/>
      <c r="M80" s="2"/>
      <c r="N80" s="2"/>
      <c r="O80" s="2"/>
      <c r="P80" s="2"/>
      <c r="Q80" s="2"/>
      <c r="R80" s="2"/>
      <c r="S80" s="2"/>
      <c r="T80" s="2"/>
      <c r="U80" s="2"/>
      <c r="V80" s="2"/>
      <c r="W80" s="2"/>
      <c r="X80" s="2"/>
      <c r="Y80" s="2"/>
      <c r="Z80" s="2"/>
    </row>
    <row r="81">
      <c r="A81" s="2"/>
      <c r="B81" s="132"/>
      <c r="C81" s="132"/>
      <c r="D81" s="132"/>
      <c r="E81" s="132"/>
      <c r="F81" s="132"/>
      <c r="G81" s="132"/>
      <c r="H81" s="132"/>
      <c r="I81" s="132"/>
      <c r="J81" s="132"/>
      <c r="K81" s="132"/>
      <c r="L81" s="2"/>
      <c r="M81" s="2"/>
      <c r="N81" s="2"/>
      <c r="O81" s="2"/>
      <c r="P81" s="2"/>
      <c r="Q81" s="2"/>
      <c r="R81" s="2"/>
      <c r="S81" s="2"/>
      <c r="T81" s="2"/>
      <c r="U81" s="2"/>
      <c r="V81" s="2"/>
      <c r="W81" s="2"/>
      <c r="X81" s="2"/>
      <c r="Y81" s="2"/>
      <c r="Z81" s="2"/>
    </row>
    <row r="82">
      <c r="A82" s="2"/>
      <c r="B82" s="132"/>
      <c r="C82" s="132"/>
      <c r="D82" s="132"/>
      <c r="E82" s="132"/>
      <c r="F82" s="132"/>
      <c r="G82" s="132"/>
      <c r="H82" s="132"/>
      <c r="I82" s="132"/>
      <c r="J82" s="132"/>
      <c r="K82" s="132"/>
      <c r="L82" s="2"/>
      <c r="M82" s="2"/>
      <c r="N82" s="2"/>
      <c r="O82" s="2"/>
      <c r="P82" s="2"/>
      <c r="Q82" s="2"/>
      <c r="R82" s="2"/>
      <c r="S82" s="2"/>
      <c r="T82" s="2"/>
      <c r="U82" s="2"/>
      <c r="V82" s="2"/>
      <c r="W82" s="2"/>
      <c r="X82" s="2"/>
      <c r="Y82" s="2"/>
      <c r="Z82" s="2"/>
    </row>
    <row r="83">
      <c r="A83" s="2"/>
      <c r="B83" s="132"/>
      <c r="C83" s="132"/>
      <c r="D83" s="132"/>
      <c r="E83" s="132"/>
      <c r="F83" s="132"/>
      <c r="G83" s="132"/>
      <c r="H83" s="132"/>
      <c r="I83" s="132"/>
      <c r="J83" s="132"/>
      <c r="K83" s="132"/>
      <c r="L83" s="2"/>
      <c r="M83" s="2"/>
      <c r="N83" s="2"/>
      <c r="O83" s="2"/>
      <c r="P83" s="2"/>
      <c r="Q83" s="2"/>
      <c r="R83" s="2"/>
      <c r="S83" s="2"/>
      <c r="T83" s="2"/>
      <c r="U83" s="2"/>
      <c r="V83" s="2"/>
      <c r="W83" s="2"/>
      <c r="X83" s="2"/>
      <c r="Y83" s="2"/>
      <c r="Z83" s="2"/>
    </row>
    <row r="84">
      <c r="A84" s="2"/>
      <c r="B84" s="132"/>
      <c r="C84" s="132"/>
      <c r="D84" s="132"/>
      <c r="E84" s="132"/>
      <c r="F84" s="132"/>
      <c r="G84" s="132"/>
      <c r="H84" s="132"/>
      <c r="I84" s="132"/>
      <c r="J84" s="132"/>
      <c r="K84" s="132"/>
      <c r="L84" s="2"/>
      <c r="M84" s="2"/>
      <c r="N84" s="2"/>
      <c r="O84" s="2"/>
      <c r="P84" s="2"/>
      <c r="Q84" s="2"/>
      <c r="R84" s="2"/>
      <c r="S84" s="2"/>
      <c r="T84" s="2"/>
      <c r="U84" s="2"/>
      <c r="V84" s="2"/>
      <c r="W84" s="2"/>
      <c r="X84" s="2"/>
      <c r="Y84" s="2"/>
      <c r="Z84" s="2"/>
    </row>
    <row r="85">
      <c r="A85" s="2"/>
      <c r="B85" s="132"/>
      <c r="C85" s="132"/>
      <c r="D85" s="132"/>
      <c r="E85" s="132"/>
      <c r="F85" s="132"/>
      <c r="G85" s="132"/>
      <c r="H85" s="132"/>
      <c r="I85" s="132"/>
      <c r="J85" s="132"/>
      <c r="K85" s="132"/>
      <c r="L85" s="2"/>
      <c r="M85" s="2"/>
      <c r="N85" s="2"/>
      <c r="O85" s="2"/>
      <c r="P85" s="2"/>
      <c r="Q85" s="2"/>
      <c r="R85" s="2"/>
      <c r="S85" s="2"/>
      <c r="T85" s="2"/>
      <c r="U85" s="2"/>
      <c r="V85" s="2"/>
      <c r="W85" s="2"/>
      <c r="X85" s="2"/>
      <c r="Y85" s="2"/>
      <c r="Z85" s="2"/>
    </row>
    <row r="86">
      <c r="A86" s="2"/>
      <c r="B86" s="132"/>
      <c r="C86" s="132"/>
      <c r="D86" s="132"/>
      <c r="E86" s="132"/>
      <c r="F86" s="132"/>
      <c r="G86" s="132"/>
      <c r="H86" s="132"/>
      <c r="I86" s="132"/>
      <c r="J86" s="132"/>
      <c r="K86" s="132"/>
      <c r="L86" s="2"/>
      <c r="M86" s="2"/>
      <c r="N86" s="2"/>
      <c r="O86" s="2"/>
      <c r="P86" s="2"/>
      <c r="Q86" s="2"/>
      <c r="R86" s="2"/>
      <c r="S86" s="2"/>
      <c r="T86" s="2"/>
      <c r="U86" s="2"/>
      <c r="V86" s="2"/>
      <c r="W86" s="2"/>
      <c r="X86" s="2"/>
      <c r="Y86" s="2"/>
      <c r="Z86" s="2"/>
    </row>
    <row r="87">
      <c r="A87" s="2"/>
      <c r="B87" s="132"/>
      <c r="C87" s="132"/>
      <c r="D87" s="132"/>
      <c r="E87" s="132"/>
      <c r="F87" s="132"/>
      <c r="G87" s="132"/>
      <c r="H87" s="132"/>
      <c r="I87" s="132"/>
      <c r="J87" s="132"/>
      <c r="K87" s="132"/>
      <c r="L87" s="2"/>
      <c r="M87" s="2"/>
      <c r="N87" s="2"/>
      <c r="O87" s="2"/>
      <c r="P87" s="2"/>
      <c r="Q87" s="2"/>
      <c r="R87" s="2"/>
      <c r="S87" s="2"/>
      <c r="T87" s="2"/>
      <c r="U87" s="2"/>
      <c r="V87" s="2"/>
      <c r="W87" s="2"/>
      <c r="X87" s="2"/>
      <c r="Y87" s="2"/>
      <c r="Z87" s="2"/>
    </row>
    <row r="88">
      <c r="A88" s="2"/>
      <c r="B88" s="132"/>
      <c r="C88" s="132"/>
      <c r="D88" s="132"/>
      <c r="E88" s="132"/>
      <c r="F88" s="132"/>
      <c r="G88" s="132"/>
      <c r="H88" s="132"/>
      <c r="I88" s="132"/>
      <c r="J88" s="132"/>
      <c r="K88" s="132"/>
      <c r="L88" s="2"/>
      <c r="M88" s="2"/>
      <c r="N88" s="2"/>
      <c r="O88" s="2"/>
      <c r="P88" s="2"/>
      <c r="Q88" s="2"/>
      <c r="R88" s="2"/>
      <c r="S88" s="2"/>
      <c r="T88" s="2"/>
      <c r="U88" s="2"/>
      <c r="V88" s="2"/>
      <c r="W88" s="2"/>
      <c r="X88" s="2"/>
      <c r="Y88" s="2"/>
      <c r="Z88" s="2"/>
    </row>
    <row r="89">
      <c r="A89" s="2"/>
      <c r="B89" s="132"/>
      <c r="C89" s="132"/>
      <c r="D89" s="132"/>
      <c r="E89" s="132"/>
      <c r="F89" s="132"/>
      <c r="G89" s="132"/>
      <c r="H89" s="132"/>
      <c r="I89" s="132"/>
      <c r="J89" s="132"/>
      <c r="K89" s="132"/>
      <c r="L89" s="2"/>
      <c r="M89" s="2"/>
      <c r="N89" s="2"/>
      <c r="O89" s="2"/>
      <c r="P89" s="2"/>
      <c r="Q89" s="2"/>
      <c r="R89" s="2"/>
      <c r="S89" s="2"/>
      <c r="T89" s="2"/>
      <c r="U89" s="2"/>
      <c r="V89" s="2"/>
      <c r="W89" s="2"/>
      <c r="X89" s="2"/>
      <c r="Y89" s="2"/>
      <c r="Z89" s="2"/>
    </row>
    <row r="90">
      <c r="A90" s="2"/>
      <c r="B90" s="132"/>
      <c r="C90" s="132"/>
      <c r="D90" s="132"/>
      <c r="E90" s="132"/>
      <c r="F90" s="132"/>
      <c r="G90" s="132"/>
      <c r="H90" s="132"/>
      <c r="I90" s="132"/>
      <c r="J90" s="132"/>
      <c r="K90" s="132"/>
      <c r="L90" s="2"/>
      <c r="M90" s="2"/>
      <c r="N90" s="2"/>
      <c r="O90" s="2"/>
      <c r="P90" s="2"/>
      <c r="Q90" s="2"/>
      <c r="R90" s="2"/>
      <c r="S90" s="2"/>
      <c r="T90" s="2"/>
      <c r="U90" s="2"/>
      <c r="V90" s="2"/>
      <c r="W90" s="2"/>
      <c r="X90" s="2"/>
      <c r="Y90" s="2"/>
      <c r="Z90" s="2"/>
    </row>
    <row r="91">
      <c r="A91" s="2"/>
      <c r="B91" s="132"/>
      <c r="C91" s="132"/>
      <c r="D91" s="132"/>
      <c r="E91" s="132"/>
      <c r="F91" s="132"/>
      <c r="G91" s="132"/>
      <c r="H91" s="132"/>
      <c r="I91" s="132"/>
      <c r="J91" s="132"/>
      <c r="K91" s="132"/>
      <c r="L91" s="2"/>
      <c r="M91" s="2"/>
      <c r="N91" s="2"/>
      <c r="O91" s="2"/>
      <c r="P91" s="2"/>
      <c r="Q91" s="2"/>
      <c r="R91" s="2"/>
      <c r="S91" s="2"/>
      <c r="T91" s="2"/>
      <c r="U91" s="2"/>
      <c r="V91" s="2"/>
      <c r="W91" s="2"/>
      <c r="X91" s="2"/>
      <c r="Y91" s="2"/>
      <c r="Z91" s="2"/>
    </row>
    <row r="92">
      <c r="A92" s="2"/>
      <c r="B92" s="132"/>
      <c r="C92" s="132"/>
      <c r="D92" s="132"/>
      <c r="E92" s="132"/>
      <c r="F92" s="132"/>
      <c r="G92" s="132"/>
      <c r="H92" s="132"/>
      <c r="I92" s="132"/>
      <c r="J92" s="132"/>
      <c r="K92" s="132"/>
      <c r="L92" s="2"/>
      <c r="M92" s="2"/>
      <c r="N92" s="2"/>
      <c r="O92" s="2"/>
      <c r="P92" s="2"/>
      <c r="Q92" s="2"/>
      <c r="R92" s="2"/>
      <c r="S92" s="2"/>
      <c r="T92" s="2"/>
      <c r="U92" s="2"/>
      <c r="V92" s="2"/>
      <c r="W92" s="2"/>
      <c r="X92" s="2"/>
      <c r="Y92" s="2"/>
      <c r="Z92" s="2"/>
    </row>
    <row r="93">
      <c r="A93" s="2"/>
      <c r="B93" s="132"/>
      <c r="C93" s="132"/>
      <c r="D93" s="132"/>
      <c r="E93" s="132"/>
      <c r="F93" s="132"/>
      <c r="G93" s="132"/>
      <c r="H93" s="132"/>
      <c r="I93" s="132"/>
      <c r="J93" s="132"/>
      <c r="K93" s="132"/>
      <c r="L93" s="2"/>
      <c r="M93" s="2"/>
      <c r="N93" s="2"/>
      <c r="O93" s="2"/>
      <c r="P93" s="2"/>
      <c r="Q93" s="2"/>
      <c r="R93" s="2"/>
      <c r="S93" s="2"/>
      <c r="T93" s="2"/>
      <c r="U93" s="2"/>
      <c r="V93" s="2"/>
      <c r="W93" s="2"/>
      <c r="X93" s="2"/>
      <c r="Y93" s="2"/>
      <c r="Z93" s="2"/>
    </row>
    <row r="94">
      <c r="A94" s="2"/>
      <c r="B94" s="132"/>
      <c r="C94" s="132"/>
      <c r="D94" s="132"/>
      <c r="E94" s="132"/>
      <c r="F94" s="132"/>
      <c r="G94" s="132"/>
      <c r="H94" s="132"/>
      <c r="I94" s="132"/>
      <c r="J94" s="132"/>
      <c r="K94" s="132"/>
      <c r="L94" s="2"/>
      <c r="M94" s="2"/>
      <c r="N94" s="2"/>
      <c r="O94" s="2"/>
      <c r="P94" s="2"/>
      <c r="Q94" s="2"/>
      <c r="R94" s="2"/>
      <c r="S94" s="2"/>
      <c r="T94" s="2"/>
      <c r="U94" s="2"/>
      <c r="V94" s="2"/>
      <c r="W94" s="2"/>
      <c r="X94" s="2"/>
      <c r="Y94" s="2"/>
      <c r="Z94" s="2"/>
    </row>
    <row r="95">
      <c r="A95" s="2"/>
      <c r="B95" s="132"/>
      <c r="C95" s="132"/>
      <c r="D95" s="132"/>
      <c r="E95" s="132"/>
      <c r="F95" s="132"/>
      <c r="G95" s="132"/>
      <c r="H95" s="132"/>
      <c r="I95" s="132"/>
      <c r="J95" s="132"/>
      <c r="K95" s="132"/>
      <c r="L95" s="2"/>
      <c r="M95" s="2"/>
      <c r="N95" s="2"/>
      <c r="O95" s="2"/>
      <c r="P95" s="2"/>
      <c r="Q95" s="2"/>
      <c r="R95" s="2"/>
      <c r="S95" s="2"/>
      <c r="T95" s="2"/>
      <c r="U95" s="2"/>
      <c r="V95" s="2"/>
      <c r="W95" s="2"/>
      <c r="X95" s="2"/>
      <c r="Y95" s="2"/>
      <c r="Z95" s="2"/>
    </row>
    <row r="96">
      <c r="A96" s="2"/>
      <c r="B96" s="132"/>
      <c r="C96" s="132"/>
      <c r="D96" s="132"/>
      <c r="E96" s="132"/>
      <c r="F96" s="132"/>
      <c r="G96" s="132"/>
      <c r="H96" s="132"/>
      <c r="I96" s="132"/>
      <c r="J96" s="132"/>
      <c r="K96" s="132"/>
      <c r="L96" s="2"/>
      <c r="M96" s="2"/>
      <c r="N96" s="2"/>
      <c r="O96" s="2"/>
      <c r="P96" s="2"/>
      <c r="Q96" s="2"/>
      <c r="R96" s="2"/>
      <c r="S96" s="2"/>
      <c r="T96" s="2"/>
      <c r="U96" s="2"/>
      <c r="V96" s="2"/>
      <c r="W96" s="2"/>
      <c r="X96" s="2"/>
      <c r="Y96" s="2"/>
      <c r="Z96" s="2"/>
    </row>
    <row r="97">
      <c r="A97" s="2"/>
      <c r="B97" s="132"/>
      <c r="C97" s="132"/>
      <c r="D97" s="132"/>
      <c r="E97" s="132"/>
      <c r="F97" s="132"/>
      <c r="G97" s="132"/>
      <c r="H97" s="132"/>
      <c r="I97" s="132"/>
      <c r="J97" s="132"/>
      <c r="K97" s="132"/>
      <c r="L97" s="2"/>
      <c r="M97" s="2"/>
      <c r="N97" s="2"/>
      <c r="O97" s="2"/>
      <c r="P97" s="2"/>
      <c r="Q97" s="2"/>
      <c r="R97" s="2"/>
      <c r="S97" s="2"/>
      <c r="T97" s="2"/>
      <c r="U97" s="2"/>
      <c r="V97" s="2"/>
      <c r="W97" s="2"/>
      <c r="X97" s="2"/>
      <c r="Y97" s="2"/>
      <c r="Z97" s="2"/>
    </row>
    <row r="98">
      <c r="A98" s="2"/>
      <c r="B98" s="132"/>
      <c r="C98" s="132"/>
      <c r="D98" s="132"/>
      <c r="E98" s="132"/>
      <c r="F98" s="132"/>
      <c r="G98" s="132"/>
      <c r="H98" s="132"/>
      <c r="I98" s="132"/>
      <c r="J98" s="132"/>
      <c r="K98" s="132"/>
      <c r="L98" s="2"/>
      <c r="M98" s="2"/>
      <c r="N98" s="2"/>
      <c r="O98" s="2"/>
      <c r="P98" s="2"/>
      <c r="Q98" s="2"/>
      <c r="R98" s="2"/>
      <c r="S98" s="2"/>
      <c r="T98" s="2"/>
      <c r="U98" s="2"/>
      <c r="V98" s="2"/>
      <c r="W98" s="2"/>
      <c r="X98" s="2"/>
      <c r="Y98" s="2"/>
      <c r="Z98" s="2"/>
    </row>
    <row r="99">
      <c r="A99" s="2"/>
      <c r="B99" s="132"/>
      <c r="C99" s="132"/>
      <c r="D99" s="132"/>
      <c r="E99" s="132"/>
      <c r="F99" s="132"/>
      <c r="G99" s="132"/>
      <c r="H99" s="132"/>
      <c r="I99" s="132"/>
      <c r="J99" s="132"/>
      <c r="K99" s="132"/>
      <c r="L99" s="2"/>
      <c r="M99" s="2"/>
      <c r="N99" s="2"/>
      <c r="O99" s="2"/>
      <c r="P99" s="2"/>
      <c r="Q99" s="2"/>
      <c r="R99" s="2"/>
      <c r="S99" s="2"/>
      <c r="T99" s="2"/>
      <c r="U99" s="2"/>
      <c r="V99" s="2"/>
      <c r="W99" s="2"/>
      <c r="X99" s="2"/>
      <c r="Y99" s="2"/>
      <c r="Z99" s="2"/>
    </row>
    <row r="100">
      <c r="A100" s="2"/>
      <c r="B100" s="132"/>
      <c r="C100" s="132"/>
      <c r="D100" s="132"/>
      <c r="E100" s="132"/>
      <c r="F100" s="132"/>
      <c r="G100" s="132"/>
      <c r="H100" s="132"/>
      <c r="I100" s="132"/>
      <c r="J100" s="132"/>
      <c r="K100" s="132"/>
      <c r="L100" s="2"/>
      <c r="M100" s="2"/>
      <c r="N100" s="2"/>
      <c r="O100" s="2"/>
      <c r="P100" s="2"/>
      <c r="Q100" s="2"/>
      <c r="R100" s="2"/>
      <c r="S100" s="2"/>
      <c r="T100" s="2"/>
      <c r="U100" s="2"/>
      <c r="V100" s="2"/>
      <c r="W100" s="2"/>
      <c r="X100" s="2"/>
      <c r="Y100" s="2"/>
      <c r="Z100" s="2"/>
    </row>
    <row r="101">
      <c r="A101" s="2"/>
      <c r="B101" s="132"/>
      <c r="C101" s="132"/>
      <c r="D101" s="132"/>
      <c r="E101" s="132"/>
      <c r="F101" s="132"/>
      <c r="G101" s="132"/>
      <c r="H101" s="132"/>
      <c r="I101" s="132"/>
      <c r="J101" s="132"/>
      <c r="K101" s="132"/>
      <c r="L101" s="2"/>
      <c r="M101" s="2"/>
      <c r="N101" s="2"/>
      <c r="O101" s="2"/>
      <c r="P101" s="2"/>
      <c r="Q101" s="2"/>
      <c r="R101" s="2"/>
      <c r="S101" s="2"/>
      <c r="T101" s="2"/>
      <c r="U101" s="2"/>
      <c r="V101" s="2"/>
      <c r="W101" s="2"/>
      <c r="X101" s="2"/>
      <c r="Y101" s="2"/>
      <c r="Z101" s="2"/>
    </row>
    <row r="102">
      <c r="A102" s="2"/>
      <c r="B102" s="132"/>
      <c r="C102" s="132"/>
      <c r="D102" s="132"/>
      <c r="E102" s="132"/>
      <c r="F102" s="132"/>
      <c r="G102" s="132"/>
      <c r="H102" s="132"/>
      <c r="I102" s="132"/>
      <c r="J102" s="132"/>
      <c r="K102" s="132"/>
      <c r="L102" s="2"/>
      <c r="M102" s="2"/>
      <c r="N102" s="2"/>
      <c r="O102" s="2"/>
      <c r="P102" s="2"/>
      <c r="Q102" s="2"/>
      <c r="R102" s="2"/>
      <c r="S102" s="2"/>
      <c r="T102" s="2"/>
      <c r="U102" s="2"/>
      <c r="V102" s="2"/>
      <c r="W102" s="2"/>
      <c r="X102" s="2"/>
      <c r="Y102" s="2"/>
      <c r="Z102" s="2"/>
    </row>
    <row r="103">
      <c r="A103" s="2"/>
      <c r="B103" s="132"/>
      <c r="C103" s="132"/>
      <c r="D103" s="132"/>
      <c r="E103" s="132"/>
      <c r="F103" s="132"/>
      <c r="G103" s="132"/>
      <c r="H103" s="132"/>
      <c r="I103" s="132"/>
      <c r="J103" s="132"/>
      <c r="K103" s="132"/>
      <c r="L103" s="2"/>
      <c r="M103" s="2"/>
      <c r="N103" s="2"/>
      <c r="O103" s="2"/>
      <c r="P103" s="2"/>
      <c r="Q103" s="2"/>
      <c r="R103" s="2"/>
      <c r="S103" s="2"/>
      <c r="T103" s="2"/>
      <c r="U103" s="2"/>
      <c r="V103" s="2"/>
      <c r="W103" s="2"/>
      <c r="X103" s="2"/>
      <c r="Y103" s="2"/>
      <c r="Z103" s="2"/>
    </row>
    <row r="104">
      <c r="A104" s="2"/>
      <c r="B104" s="132"/>
      <c r="C104" s="132"/>
      <c r="D104" s="132"/>
      <c r="E104" s="132"/>
      <c r="F104" s="132"/>
      <c r="G104" s="132"/>
      <c r="H104" s="132"/>
      <c r="I104" s="132"/>
      <c r="J104" s="132"/>
      <c r="K104" s="132"/>
      <c r="L104" s="2"/>
      <c r="M104" s="2"/>
      <c r="N104" s="2"/>
      <c r="O104" s="2"/>
      <c r="P104" s="2"/>
      <c r="Q104" s="2"/>
      <c r="R104" s="2"/>
      <c r="S104" s="2"/>
      <c r="T104" s="2"/>
      <c r="U104" s="2"/>
      <c r="V104" s="2"/>
      <c r="W104" s="2"/>
      <c r="X104" s="2"/>
      <c r="Y104" s="2"/>
      <c r="Z104" s="2"/>
    </row>
    <row r="105">
      <c r="A105" s="2"/>
      <c r="B105" s="132"/>
      <c r="C105" s="132"/>
      <c r="D105" s="132"/>
      <c r="E105" s="132"/>
      <c r="F105" s="132"/>
      <c r="G105" s="132"/>
      <c r="H105" s="132"/>
      <c r="I105" s="132"/>
      <c r="J105" s="132"/>
      <c r="K105" s="132"/>
      <c r="L105" s="2"/>
      <c r="M105" s="2"/>
      <c r="N105" s="2"/>
      <c r="O105" s="2"/>
      <c r="P105" s="2"/>
      <c r="Q105" s="2"/>
      <c r="R105" s="2"/>
      <c r="S105" s="2"/>
      <c r="T105" s="2"/>
      <c r="U105" s="2"/>
      <c r="V105" s="2"/>
      <c r="W105" s="2"/>
      <c r="X105" s="2"/>
      <c r="Y105" s="2"/>
      <c r="Z105" s="2"/>
    </row>
    <row r="106">
      <c r="A106" s="2"/>
      <c r="B106" s="132"/>
      <c r="C106" s="132"/>
      <c r="D106" s="132"/>
      <c r="E106" s="132"/>
      <c r="F106" s="132"/>
      <c r="G106" s="132"/>
      <c r="H106" s="132"/>
      <c r="I106" s="132"/>
      <c r="J106" s="132"/>
      <c r="K106" s="132"/>
      <c r="L106" s="2"/>
      <c r="M106" s="2"/>
      <c r="N106" s="2"/>
      <c r="O106" s="2"/>
      <c r="P106" s="2"/>
      <c r="Q106" s="2"/>
      <c r="R106" s="2"/>
      <c r="S106" s="2"/>
      <c r="T106" s="2"/>
      <c r="U106" s="2"/>
      <c r="V106" s="2"/>
      <c r="W106" s="2"/>
      <c r="X106" s="2"/>
      <c r="Y106" s="2"/>
      <c r="Z106" s="2"/>
    </row>
    <row r="107">
      <c r="A107" s="2"/>
      <c r="B107" s="132"/>
      <c r="C107" s="132"/>
      <c r="D107" s="132"/>
      <c r="E107" s="132"/>
      <c r="F107" s="132"/>
      <c r="G107" s="132"/>
      <c r="H107" s="132"/>
      <c r="I107" s="132"/>
      <c r="J107" s="132"/>
      <c r="K107" s="132"/>
      <c r="L107" s="2"/>
      <c r="M107" s="2"/>
      <c r="N107" s="2"/>
      <c r="O107" s="2"/>
      <c r="P107" s="2"/>
      <c r="Q107" s="2"/>
      <c r="R107" s="2"/>
      <c r="S107" s="2"/>
      <c r="T107" s="2"/>
      <c r="U107" s="2"/>
      <c r="V107" s="2"/>
      <c r="W107" s="2"/>
      <c r="X107" s="2"/>
      <c r="Y107" s="2"/>
      <c r="Z107" s="2"/>
    </row>
    <row r="108">
      <c r="A108" s="2"/>
      <c r="B108" s="132"/>
      <c r="C108" s="132"/>
      <c r="D108" s="132"/>
      <c r="E108" s="132"/>
      <c r="F108" s="132"/>
      <c r="G108" s="132"/>
      <c r="H108" s="132"/>
      <c r="I108" s="132"/>
      <c r="J108" s="132"/>
      <c r="K108" s="132"/>
      <c r="L108" s="2"/>
      <c r="M108" s="2"/>
      <c r="N108" s="2"/>
      <c r="O108" s="2"/>
      <c r="P108" s="2"/>
      <c r="Q108" s="2"/>
      <c r="R108" s="2"/>
      <c r="S108" s="2"/>
      <c r="T108" s="2"/>
      <c r="U108" s="2"/>
      <c r="V108" s="2"/>
      <c r="W108" s="2"/>
      <c r="X108" s="2"/>
      <c r="Y108" s="2"/>
      <c r="Z108" s="2"/>
    </row>
    <row r="109">
      <c r="A109" s="2"/>
      <c r="B109" s="132"/>
      <c r="C109" s="132"/>
      <c r="D109" s="132"/>
      <c r="E109" s="132"/>
      <c r="F109" s="132"/>
      <c r="G109" s="132"/>
      <c r="H109" s="132"/>
      <c r="I109" s="132"/>
      <c r="J109" s="132"/>
      <c r="K109" s="132"/>
      <c r="L109" s="2"/>
      <c r="M109" s="2"/>
      <c r="N109" s="2"/>
      <c r="O109" s="2"/>
      <c r="P109" s="2"/>
      <c r="Q109" s="2"/>
      <c r="R109" s="2"/>
      <c r="S109" s="2"/>
      <c r="T109" s="2"/>
      <c r="U109" s="2"/>
      <c r="V109" s="2"/>
      <c r="W109" s="2"/>
      <c r="X109" s="2"/>
      <c r="Y109" s="2"/>
      <c r="Z109" s="2"/>
    </row>
    <row r="110">
      <c r="A110" s="2"/>
      <c r="B110" s="132"/>
      <c r="C110" s="132"/>
      <c r="D110" s="132"/>
      <c r="E110" s="132"/>
      <c r="F110" s="132"/>
      <c r="G110" s="132"/>
      <c r="H110" s="132"/>
      <c r="I110" s="132"/>
      <c r="J110" s="132"/>
      <c r="K110" s="132"/>
      <c r="L110" s="2"/>
      <c r="M110" s="2"/>
      <c r="N110" s="2"/>
      <c r="O110" s="2"/>
      <c r="P110" s="2"/>
      <c r="Q110" s="2"/>
      <c r="R110" s="2"/>
      <c r="S110" s="2"/>
      <c r="T110" s="2"/>
      <c r="U110" s="2"/>
      <c r="V110" s="2"/>
      <c r="W110" s="2"/>
      <c r="X110" s="2"/>
      <c r="Y110" s="2"/>
      <c r="Z110" s="2"/>
    </row>
    <row r="111">
      <c r="A111" s="2"/>
      <c r="B111" s="132"/>
      <c r="C111" s="132"/>
      <c r="D111" s="132"/>
      <c r="E111" s="132"/>
      <c r="F111" s="132"/>
      <c r="G111" s="132"/>
      <c r="H111" s="132"/>
      <c r="I111" s="132"/>
      <c r="J111" s="132"/>
      <c r="K111" s="132"/>
      <c r="L111" s="2"/>
      <c r="M111" s="2"/>
      <c r="N111" s="2"/>
      <c r="O111" s="2"/>
      <c r="P111" s="2"/>
      <c r="Q111" s="2"/>
      <c r="R111" s="2"/>
      <c r="S111" s="2"/>
      <c r="T111" s="2"/>
      <c r="U111" s="2"/>
      <c r="V111" s="2"/>
      <c r="W111" s="2"/>
      <c r="X111" s="2"/>
      <c r="Y111" s="2"/>
      <c r="Z111" s="2"/>
    </row>
    <row r="112">
      <c r="A112" s="2"/>
      <c r="B112" s="132"/>
      <c r="C112" s="132"/>
      <c r="D112" s="132"/>
      <c r="E112" s="132"/>
      <c r="F112" s="132"/>
      <c r="G112" s="132"/>
      <c r="H112" s="132"/>
      <c r="I112" s="132"/>
      <c r="J112" s="132"/>
      <c r="K112" s="132"/>
      <c r="L112" s="2"/>
      <c r="M112" s="2"/>
      <c r="N112" s="2"/>
      <c r="O112" s="2"/>
      <c r="P112" s="2"/>
      <c r="Q112" s="2"/>
      <c r="R112" s="2"/>
      <c r="S112" s="2"/>
      <c r="T112" s="2"/>
      <c r="U112" s="2"/>
      <c r="V112" s="2"/>
      <c r="W112" s="2"/>
      <c r="X112" s="2"/>
      <c r="Y112" s="2"/>
      <c r="Z112" s="2"/>
    </row>
    <row r="113">
      <c r="A113" s="2"/>
      <c r="B113" s="132"/>
      <c r="C113" s="132"/>
      <c r="D113" s="132"/>
      <c r="E113" s="132"/>
      <c r="F113" s="132"/>
      <c r="G113" s="132"/>
      <c r="H113" s="132"/>
      <c r="I113" s="132"/>
      <c r="J113" s="132"/>
      <c r="K113" s="132"/>
      <c r="L113" s="2"/>
      <c r="M113" s="2"/>
      <c r="N113" s="2"/>
      <c r="O113" s="2"/>
      <c r="P113" s="2"/>
      <c r="Q113" s="2"/>
      <c r="R113" s="2"/>
      <c r="S113" s="2"/>
      <c r="T113" s="2"/>
      <c r="U113" s="2"/>
      <c r="V113" s="2"/>
      <c r="W113" s="2"/>
      <c r="X113" s="2"/>
      <c r="Y113" s="2"/>
      <c r="Z113" s="2"/>
    </row>
    <row r="114">
      <c r="A114" s="2"/>
      <c r="B114" s="132"/>
      <c r="C114" s="132"/>
      <c r="D114" s="132"/>
      <c r="E114" s="132"/>
      <c r="F114" s="132"/>
      <c r="G114" s="132"/>
      <c r="H114" s="132"/>
      <c r="I114" s="132"/>
      <c r="J114" s="132"/>
      <c r="K114" s="132"/>
      <c r="L114" s="2"/>
      <c r="M114" s="2"/>
      <c r="N114" s="2"/>
      <c r="O114" s="2"/>
      <c r="P114" s="2"/>
      <c r="Q114" s="2"/>
      <c r="R114" s="2"/>
      <c r="S114" s="2"/>
      <c r="T114" s="2"/>
      <c r="U114" s="2"/>
      <c r="V114" s="2"/>
      <c r="W114" s="2"/>
      <c r="X114" s="2"/>
      <c r="Y114" s="2"/>
      <c r="Z114" s="2"/>
    </row>
    <row r="115">
      <c r="A115" s="2"/>
      <c r="B115" s="132"/>
      <c r="C115" s="132"/>
      <c r="D115" s="132"/>
      <c r="E115" s="132"/>
      <c r="F115" s="132"/>
      <c r="G115" s="132"/>
      <c r="H115" s="132"/>
      <c r="I115" s="132"/>
      <c r="J115" s="132"/>
      <c r="K115" s="132"/>
      <c r="L115" s="2"/>
      <c r="M115" s="2"/>
      <c r="N115" s="2"/>
      <c r="O115" s="2"/>
      <c r="P115" s="2"/>
      <c r="Q115" s="2"/>
      <c r="R115" s="2"/>
      <c r="S115" s="2"/>
      <c r="T115" s="2"/>
      <c r="U115" s="2"/>
      <c r="V115" s="2"/>
      <c r="W115" s="2"/>
      <c r="X115" s="2"/>
      <c r="Y115" s="2"/>
      <c r="Z115" s="2"/>
    </row>
    <row r="116">
      <c r="A116" s="2"/>
      <c r="B116" s="132"/>
      <c r="C116" s="132"/>
      <c r="D116" s="132"/>
      <c r="E116" s="132"/>
      <c r="F116" s="132"/>
      <c r="G116" s="132"/>
      <c r="H116" s="132"/>
      <c r="I116" s="132"/>
      <c r="J116" s="132"/>
      <c r="K116" s="132"/>
      <c r="L116" s="2"/>
      <c r="M116" s="2"/>
      <c r="N116" s="2"/>
      <c r="O116" s="2"/>
      <c r="P116" s="2"/>
      <c r="Q116" s="2"/>
      <c r="R116" s="2"/>
      <c r="S116" s="2"/>
      <c r="T116" s="2"/>
      <c r="U116" s="2"/>
      <c r="V116" s="2"/>
      <c r="W116" s="2"/>
      <c r="X116" s="2"/>
      <c r="Y116" s="2"/>
      <c r="Z116" s="2"/>
    </row>
    <row r="117">
      <c r="A117" s="2"/>
      <c r="B117" s="132"/>
      <c r="C117" s="132"/>
      <c r="D117" s="132"/>
      <c r="E117" s="132"/>
      <c r="F117" s="132"/>
      <c r="G117" s="132"/>
      <c r="H117" s="132"/>
      <c r="I117" s="132"/>
      <c r="J117" s="132"/>
      <c r="K117" s="132"/>
      <c r="L117" s="2"/>
      <c r="M117" s="2"/>
      <c r="N117" s="2"/>
      <c r="O117" s="2"/>
      <c r="P117" s="2"/>
      <c r="Q117" s="2"/>
      <c r="R117" s="2"/>
      <c r="S117" s="2"/>
      <c r="T117" s="2"/>
      <c r="U117" s="2"/>
      <c r="V117" s="2"/>
      <c r="W117" s="2"/>
      <c r="X117" s="2"/>
      <c r="Y117" s="2"/>
      <c r="Z117" s="2"/>
    </row>
    <row r="118">
      <c r="A118" s="2"/>
      <c r="B118" s="132"/>
      <c r="C118" s="132"/>
      <c r="D118" s="132"/>
      <c r="E118" s="132"/>
      <c r="F118" s="132"/>
      <c r="G118" s="132"/>
      <c r="H118" s="132"/>
      <c r="I118" s="132"/>
      <c r="J118" s="132"/>
      <c r="K118" s="132"/>
      <c r="L118" s="2"/>
      <c r="M118" s="2"/>
      <c r="N118" s="2"/>
      <c r="O118" s="2"/>
      <c r="P118" s="2"/>
      <c r="Q118" s="2"/>
      <c r="R118" s="2"/>
      <c r="S118" s="2"/>
      <c r="T118" s="2"/>
      <c r="U118" s="2"/>
      <c r="V118" s="2"/>
      <c r="W118" s="2"/>
      <c r="X118" s="2"/>
      <c r="Y118" s="2"/>
      <c r="Z118" s="2"/>
    </row>
    <row r="119">
      <c r="A119" s="2"/>
      <c r="B119" s="132"/>
      <c r="C119" s="132"/>
      <c r="D119" s="132"/>
      <c r="E119" s="132"/>
      <c r="F119" s="132"/>
      <c r="G119" s="132"/>
      <c r="H119" s="132"/>
      <c r="I119" s="132"/>
      <c r="J119" s="132"/>
      <c r="K119" s="132"/>
      <c r="L119" s="2"/>
      <c r="M119" s="2"/>
      <c r="N119" s="2"/>
      <c r="O119" s="2"/>
      <c r="P119" s="2"/>
      <c r="Q119" s="2"/>
      <c r="R119" s="2"/>
      <c r="S119" s="2"/>
      <c r="T119" s="2"/>
      <c r="U119" s="2"/>
      <c r="V119" s="2"/>
      <c r="W119" s="2"/>
      <c r="X119" s="2"/>
      <c r="Y119" s="2"/>
      <c r="Z119" s="2"/>
    </row>
    <row r="120">
      <c r="A120" s="2"/>
      <c r="B120" s="132"/>
      <c r="C120" s="132"/>
      <c r="D120" s="132"/>
      <c r="E120" s="132"/>
      <c r="F120" s="132"/>
      <c r="G120" s="132"/>
      <c r="H120" s="132"/>
      <c r="I120" s="132"/>
      <c r="J120" s="132"/>
      <c r="K120" s="132"/>
      <c r="L120" s="2"/>
      <c r="M120" s="2"/>
      <c r="N120" s="2"/>
      <c r="O120" s="2"/>
      <c r="P120" s="2"/>
      <c r="Q120" s="2"/>
      <c r="R120" s="2"/>
      <c r="S120" s="2"/>
      <c r="T120" s="2"/>
      <c r="U120" s="2"/>
      <c r="V120" s="2"/>
      <c r="W120" s="2"/>
      <c r="X120" s="2"/>
      <c r="Y120" s="2"/>
      <c r="Z120" s="2"/>
    </row>
    <row r="121">
      <c r="A121" s="2"/>
      <c r="B121" s="132"/>
      <c r="C121" s="132"/>
      <c r="D121" s="132"/>
      <c r="E121" s="132"/>
      <c r="F121" s="132"/>
      <c r="G121" s="132"/>
      <c r="H121" s="132"/>
      <c r="I121" s="132"/>
      <c r="J121" s="132"/>
      <c r="K121" s="132"/>
      <c r="L121" s="2"/>
      <c r="M121" s="2"/>
      <c r="N121" s="2"/>
      <c r="O121" s="2"/>
      <c r="P121" s="2"/>
      <c r="Q121" s="2"/>
      <c r="R121" s="2"/>
      <c r="S121" s="2"/>
      <c r="T121" s="2"/>
      <c r="U121" s="2"/>
      <c r="V121" s="2"/>
      <c r="W121" s="2"/>
      <c r="X121" s="2"/>
      <c r="Y121" s="2"/>
      <c r="Z121" s="2"/>
    </row>
    <row r="122">
      <c r="A122" s="2"/>
      <c r="B122" s="132"/>
      <c r="C122" s="132"/>
      <c r="D122" s="132"/>
      <c r="E122" s="132"/>
      <c r="F122" s="132"/>
      <c r="G122" s="132"/>
      <c r="H122" s="132"/>
      <c r="I122" s="132"/>
      <c r="J122" s="132"/>
      <c r="K122" s="132"/>
      <c r="L122" s="2"/>
      <c r="M122" s="2"/>
      <c r="N122" s="2"/>
      <c r="O122" s="2"/>
      <c r="P122" s="2"/>
      <c r="Q122" s="2"/>
      <c r="R122" s="2"/>
      <c r="S122" s="2"/>
      <c r="T122" s="2"/>
      <c r="U122" s="2"/>
      <c r="V122" s="2"/>
      <c r="W122" s="2"/>
      <c r="X122" s="2"/>
      <c r="Y122" s="2"/>
      <c r="Z122" s="2"/>
    </row>
    <row r="123">
      <c r="A123" s="2"/>
      <c r="B123" s="132"/>
      <c r="C123" s="132"/>
      <c r="D123" s="132"/>
      <c r="E123" s="132"/>
      <c r="F123" s="132"/>
      <c r="G123" s="132"/>
      <c r="H123" s="132"/>
      <c r="I123" s="132"/>
      <c r="J123" s="132"/>
      <c r="K123" s="132"/>
      <c r="L123" s="2"/>
      <c r="M123" s="2"/>
      <c r="N123" s="2"/>
      <c r="O123" s="2"/>
      <c r="P123" s="2"/>
      <c r="Q123" s="2"/>
      <c r="R123" s="2"/>
      <c r="S123" s="2"/>
      <c r="T123" s="2"/>
      <c r="U123" s="2"/>
      <c r="V123" s="2"/>
      <c r="W123" s="2"/>
      <c r="X123" s="2"/>
      <c r="Y123" s="2"/>
      <c r="Z123" s="2"/>
    </row>
    <row r="124">
      <c r="A124" s="2"/>
      <c r="B124" s="132"/>
      <c r="C124" s="132"/>
      <c r="D124" s="132"/>
      <c r="E124" s="132"/>
      <c r="F124" s="132"/>
      <c r="G124" s="132"/>
      <c r="H124" s="132"/>
      <c r="I124" s="132"/>
      <c r="J124" s="132"/>
      <c r="K124" s="132"/>
      <c r="L124" s="2"/>
      <c r="M124" s="2"/>
      <c r="N124" s="2"/>
      <c r="O124" s="2"/>
      <c r="P124" s="2"/>
      <c r="Q124" s="2"/>
      <c r="R124" s="2"/>
      <c r="S124" s="2"/>
      <c r="T124" s="2"/>
      <c r="U124" s="2"/>
      <c r="V124" s="2"/>
      <c r="W124" s="2"/>
      <c r="X124" s="2"/>
      <c r="Y124" s="2"/>
      <c r="Z124" s="2"/>
    </row>
    <row r="125">
      <c r="A125" s="2"/>
      <c r="B125" s="132"/>
      <c r="C125" s="132"/>
      <c r="D125" s="132"/>
      <c r="E125" s="132"/>
      <c r="F125" s="132"/>
      <c r="G125" s="132"/>
      <c r="H125" s="132"/>
      <c r="I125" s="132"/>
      <c r="J125" s="132"/>
      <c r="K125" s="132"/>
      <c r="L125" s="2"/>
      <c r="M125" s="2"/>
      <c r="N125" s="2"/>
      <c r="O125" s="2"/>
      <c r="P125" s="2"/>
      <c r="Q125" s="2"/>
      <c r="R125" s="2"/>
      <c r="S125" s="2"/>
      <c r="T125" s="2"/>
      <c r="U125" s="2"/>
      <c r="V125" s="2"/>
      <c r="W125" s="2"/>
      <c r="X125" s="2"/>
      <c r="Y125" s="2"/>
      <c r="Z125" s="2"/>
    </row>
    <row r="126">
      <c r="A126" s="2"/>
      <c r="B126" s="132"/>
      <c r="C126" s="132"/>
      <c r="D126" s="132"/>
      <c r="E126" s="132"/>
      <c r="F126" s="132"/>
      <c r="G126" s="132"/>
      <c r="H126" s="132"/>
      <c r="I126" s="132"/>
      <c r="J126" s="132"/>
      <c r="K126" s="132"/>
      <c r="L126" s="2"/>
      <c r="M126" s="2"/>
      <c r="N126" s="2"/>
      <c r="O126" s="2"/>
      <c r="P126" s="2"/>
      <c r="Q126" s="2"/>
      <c r="R126" s="2"/>
      <c r="S126" s="2"/>
      <c r="T126" s="2"/>
      <c r="U126" s="2"/>
      <c r="V126" s="2"/>
      <c r="W126" s="2"/>
      <c r="X126" s="2"/>
      <c r="Y126" s="2"/>
      <c r="Z126" s="2"/>
    </row>
    <row r="127">
      <c r="A127" s="2"/>
      <c r="B127" s="132"/>
      <c r="C127" s="132"/>
      <c r="D127" s="132"/>
      <c r="E127" s="132"/>
      <c r="F127" s="132"/>
      <c r="G127" s="132"/>
      <c r="H127" s="132"/>
      <c r="I127" s="132"/>
      <c r="J127" s="132"/>
      <c r="K127" s="132"/>
      <c r="L127" s="2"/>
      <c r="M127" s="2"/>
      <c r="N127" s="2"/>
      <c r="O127" s="2"/>
      <c r="P127" s="2"/>
      <c r="Q127" s="2"/>
      <c r="R127" s="2"/>
      <c r="S127" s="2"/>
      <c r="T127" s="2"/>
      <c r="U127" s="2"/>
      <c r="V127" s="2"/>
      <c r="W127" s="2"/>
      <c r="X127" s="2"/>
      <c r="Y127" s="2"/>
      <c r="Z127" s="2"/>
    </row>
    <row r="128">
      <c r="A128" s="2"/>
      <c r="B128" s="132"/>
      <c r="C128" s="132"/>
      <c r="D128" s="132"/>
      <c r="E128" s="132"/>
      <c r="F128" s="132"/>
      <c r="G128" s="132"/>
      <c r="H128" s="132"/>
      <c r="I128" s="132"/>
      <c r="J128" s="132"/>
      <c r="K128" s="132"/>
      <c r="L128" s="2"/>
      <c r="M128" s="2"/>
      <c r="N128" s="2"/>
      <c r="O128" s="2"/>
      <c r="P128" s="2"/>
      <c r="Q128" s="2"/>
      <c r="R128" s="2"/>
      <c r="S128" s="2"/>
      <c r="T128" s="2"/>
      <c r="U128" s="2"/>
      <c r="V128" s="2"/>
      <c r="W128" s="2"/>
      <c r="X128" s="2"/>
      <c r="Y128" s="2"/>
      <c r="Z128" s="2"/>
    </row>
    <row r="129">
      <c r="A129" s="2"/>
      <c r="B129" s="132"/>
      <c r="C129" s="132"/>
      <c r="D129" s="132"/>
      <c r="E129" s="132"/>
      <c r="F129" s="132"/>
      <c r="G129" s="132"/>
      <c r="H129" s="132"/>
      <c r="I129" s="132"/>
      <c r="J129" s="132"/>
      <c r="K129" s="132"/>
      <c r="L129" s="2"/>
      <c r="M129" s="2"/>
      <c r="N129" s="2"/>
      <c r="O129" s="2"/>
      <c r="P129" s="2"/>
      <c r="Q129" s="2"/>
      <c r="R129" s="2"/>
      <c r="S129" s="2"/>
      <c r="T129" s="2"/>
      <c r="U129" s="2"/>
      <c r="V129" s="2"/>
      <c r="W129" s="2"/>
      <c r="X129" s="2"/>
      <c r="Y129" s="2"/>
      <c r="Z129" s="2"/>
    </row>
    <row r="130">
      <c r="A130" s="2"/>
      <c r="B130" s="132"/>
      <c r="C130" s="132"/>
      <c r="D130" s="132"/>
      <c r="E130" s="132"/>
      <c r="F130" s="132"/>
      <c r="G130" s="132"/>
      <c r="H130" s="132"/>
      <c r="I130" s="132"/>
      <c r="J130" s="132"/>
      <c r="K130" s="132"/>
      <c r="L130" s="2"/>
      <c r="M130" s="2"/>
      <c r="N130" s="2"/>
      <c r="O130" s="2"/>
      <c r="P130" s="2"/>
      <c r="Q130" s="2"/>
      <c r="R130" s="2"/>
      <c r="S130" s="2"/>
      <c r="T130" s="2"/>
      <c r="U130" s="2"/>
      <c r="V130" s="2"/>
      <c r="W130" s="2"/>
      <c r="X130" s="2"/>
      <c r="Y130" s="2"/>
      <c r="Z130" s="2"/>
    </row>
    <row r="131">
      <c r="A131" s="2"/>
      <c r="B131" s="132"/>
      <c r="C131" s="132"/>
      <c r="D131" s="132"/>
      <c r="E131" s="132"/>
      <c r="F131" s="132"/>
      <c r="G131" s="132"/>
      <c r="H131" s="132"/>
      <c r="I131" s="132"/>
      <c r="J131" s="132"/>
      <c r="K131" s="132"/>
      <c r="L131" s="2"/>
      <c r="M131" s="2"/>
      <c r="N131" s="2"/>
      <c r="O131" s="2"/>
      <c r="P131" s="2"/>
      <c r="Q131" s="2"/>
      <c r="R131" s="2"/>
      <c r="S131" s="2"/>
      <c r="T131" s="2"/>
      <c r="U131" s="2"/>
      <c r="V131" s="2"/>
      <c r="W131" s="2"/>
      <c r="X131" s="2"/>
      <c r="Y131" s="2"/>
      <c r="Z131" s="2"/>
    </row>
    <row r="132">
      <c r="A132" s="2"/>
      <c r="B132" s="132"/>
      <c r="C132" s="132"/>
      <c r="D132" s="132"/>
      <c r="E132" s="132"/>
      <c r="F132" s="132"/>
      <c r="G132" s="132"/>
      <c r="H132" s="132"/>
      <c r="I132" s="132"/>
      <c r="J132" s="132"/>
      <c r="K132" s="132"/>
      <c r="L132" s="2"/>
      <c r="M132" s="2"/>
      <c r="N132" s="2"/>
      <c r="O132" s="2"/>
      <c r="P132" s="2"/>
      <c r="Q132" s="2"/>
      <c r="R132" s="2"/>
      <c r="S132" s="2"/>
      <c r="T132" s="2"/>
      <c r="U132" s="2"/>
      <c r="V132" s="2"/>
      <c r="W132" s="2"/>
      <c r="X132" s="2"/>
      <c r="Y132" s="2"/>
      <c r="Z132" s="2"/>
    </row>
    <row r="133">
      <c r="A133" s="2"/>
      <c r="B133" s="132"/>
      <c r="C133" s="132"/>
      <c r="D133" s="132"/>
      <c r="E133" s="132"/>
      <c r="F133" s="132"/>
      <c r="G133" s="132"/>
      <c r="H133" s="132"/>
      <c r="I133" s="132"/>
      <c r="J133" s="132"/>
      <c r="K133" s="132"/>
      <c r="L133" s="2"/>
      <c r="M133" s="2"/>
      <c r="N133" s="2"/>
      <c r="O133" s="2"/>
      <c r="P133" s="2"/>
      <c r="Q133" s="2"/>
      <c r="R133" s="2"/>
      <c r="S133" s="2"/>
      <c r="T133" s="2"/>
      <c r="U133" s="2"/>
      <c r="V133" s="2"/>
      <c r="W133" s="2"/>
      <c r="X133" s="2"/>
      <c r="Y133" s="2"/>
      <c r="Z133" s="2"/>
    </row>
    <row r="134">
      <c r="A134" s="2"/>
      <c r="B134" s="132"/>
      <c r="C134" s="132"/>
      <c r="D134" s="132"/>
      <c r="E134" s="132"/>
      <c r="F134" s="132"/>
      <c r="G134" s="132"/>
      <c r="H134" s="132"/>
      <c r="I134" s="132"/>
      <c r="J134" s="132"/>
      <c r="K134" s="132"/>
      <c r="L134" s="2"/>
      <c r="M134" s="2"/>
      <c r="N134" s="2"/>
      <c r="O134" s="2"/>
      <c r="P134" s="2"/>
      <c r="Q134" s="2"/>
      <c r="R134" s="2"/>
      <c r="S134" s="2"/>
      <c r="T134" s="2"/>
      <c r="U134" s="2"/>
      <c r="V134" s="2"/>
      <c r="W134" s="2"/>
      <c r="X134" s="2"/>
      <c r="Y134" s="2"/>
      <c r="Z134" s="2"/>
    </row>
    <row r="135">
      <c r="A135" s="2"/>
      <c r="B135" s="132"/>
      <c r="C135" s="132"/>
      <c r="D135" s="132"/>
      <c r="E135" s="132"/>
      <c r="F135" s="132"/>
      <c r="G135" s="132"/>
      <c r="H135" s="132"/>
      <c r="I135" s="132"/>
      <c r="J135" s="132"/>
      <c r="K135" s="132"/>
      <c r="L135" s="2"/>
      <c r="M135" s="2"/>
      <c r="N135" s="2"/>
      <c r="O135" s="2"/>
      <c r="P135" s="2"/>
      <c r="Q135" s="2"/>
      <c r="R135" s="2"/>
      <c r="S135" s="2"/>
      <c r="T135" s="2"/>
      <c r="U135" s="2"/>
      <c r="V135" s="2"/>
      <c r="W135" s="2"/>
      <c r="X135" s="2"/>
      <c r="Y135" s="2"/>
      <c r="Z135" s="2"/>
    </row>
    <row r="136">
      <c r="A136" s="2"/>
      <c r="B136" s="132"/>
      <c r="C136" s="132"/>
      <c r="D136" s="132"/>
      <c r="E136" s="132"/>
      <c r="F136" s="132"/>
      <c r="G136" s="132"/>
      <c r="H136" s="132"/>
      <c r="I136" s="132"/>
      <c r="J136" s="132"/>
      <c r="K136" s="132"/>
      <c r="L136" s="2"/>
      <c r="M136" s="2"/>
      <c r="N136" s="2"/>
      <c r="O136" s="2"/>
      <c r="P136" s="2"/>
      <c r="Q136" s="2"/>
      <c r="R136" s="2"/>
      <c r="S136" s="2"/>
      <c r="T136" s="2"/>
      <c r="U136" s="2"/>
      <c r="V136" s="2"/>
      <c r="W136" s="2"/>
      <c r="X136" s="2"/>
      <c r="Y136" s="2"/>
      <c r="Z136" s="2"/>
    </row>
    <row r="137">
      <c r="A137" s="2"/>
      <c r="B137" s="132"/>
      <c r="C137" s="132"/>
      <c r="D137" s="132"/>
      <c r="E137" s="132"/>
      <c r="F137" s="132"/>
      <c r="G137" s="132"/>
      <c r="H137" s="132"/>
      <c r="I137" s="132"/>
      <c r="J137" s="132"/>
      <c r="K137" s="132"/>
      <c r="L137" s="2"/>
      <c r="M137" s="2"/>
      <c r="N137" s="2"/>
      <c r="O137" s="2"/>
      <c r="P137" s="2"/>
      <c r="Q137" s="2"/>
      <c r="R137" s="2"/>
      <c r="S137" s="2"/>
      <c r="T137" s="2"/>
      <c r="U137" s="2"/>
      <c r="V137" s="2"/>
      <c r="W137" s="2"/>
      <c r="X137" s="2"/>
      <c r="Y137" s="2"/>
      <c r="Z137" s="2"/>
    </row>
    <row r="138">
      <c r="A138" s="2"/>
      <c r="B138" s="132"/>
      <c r="C138" s="132"/>
      <c r="D138" s="132"/>
      <c r="E138" s="132"/>
      <c r="F138" s="132"/>
      <c r="G138" s="132"/>
      <c r="H138" s="132"/>
      <c r="I138" s="132"/>
      <c r="J138" s="132"/>
      <c r="K138" s="132"/>
      <c r="L138" s="2"/>
      <c r="M138" s="2"/>
      <c r="N138" s="2"/>
      <c r="O138" s="2"/>
      <c r="P138" s="2"/>
      <c r="Q138" s="2"/>
      <c r="R138" s="2"/>
      <c r="S138" s="2"/>
      <c r="T138" s="2"/>
      <c r="U138" s="2"/>
      <c r="V138" s="2"/>
      <c r="W138" s="2"/>
      <c r="X138" s="2"/>
      <c r="Y138" s="2"/>
      <c r="Z138" s="2"/>
    </row>
    <row r="139">
      <c r="A139" s="2"/>
      <c r="B139" s="132"/>
      <c r="C139" s="132"/>
      <c r="D139" s="132"/>
      <c r="E139" s="132"/>
      <c r="F139" s="132"/>
      <c r="G139" s="132"/>
      <c r="H139" s="132"/>
      <c r="I139" s="132"/>
      <c r="J139" s="132"/>
      <c r="K139" s="132"/>
      <c r="L139" s="2"/>
      <c r="M139" s="2"/>
      <c r="N139" s="2"/>
      <c r="O139" s="2"/>
      <c r="P139" s="2"/>
      <c r="Q139" s="2"/>
      <c r="R139" s="2"/>
      <c r="S139" s="2"/>
      <c r="T139" s="2"/>
      <c r="U139" s="2"/>
      <c r="V139" s="2"/>
      <c r="W139" s="2"/>
      <c r="X139" s="2"/>
      <c r="Y139" s="2"/>
      <c r="Z139" s="2"/>
    </row>
    <row r="140">
      <c r="A140" s="2"/>
      <c r="B140" s="132"/>
      <c r="C140" s="132"/>
      <c r="D140" s="132"/>
      <c r="E140" s="132"/>
      <c r="F140" s="132"/>
      <c r="G140" s="132"/>
      <c r="H140" s="132"/>
      <c r="I140" s="132"/>
      <c r="J140" s="132"/>
      <c r="K140" s="132"/>
      <c r="L140" s="2"/>
      <c r="M140" s="2"/>
      <c r="N140" s="2"/>
      <c r="O140" s="2"/>
      <c r="P140" s="2"/>
      <c r="Q140" s="2"/>
      <c r="R140" s="2"/>
      <c r="S140" s="2"/>
      <c r="T140" s="2"/>
      <c r="U140" s="2"/>
      <c r="V140" s="2"/>
      <c r="W140" s="2"/>
      <c r="X140" s="2"/>
      <c r="Y140" s="2"/>
      <c r="Z140" s="2"/>
    </row>
    <row r="141">
      <c r="A141" s="2"/>
      <c r="B141" s="132"/>
      <c r="C141" s="132"/>
      <c r="D141" s="132"/>
      <c r="E141" s="132"/>
      <c r="F141" s="132"/>
      <c r="G141" s="132"/>
      <c r="H141" s="132"/>
      <c r="I141" s="132"/>
      <c r="J141" s="132"/>
      <c r="K141" s="132"/>
      <c r="L141" s="2"/>
      <c r="M141" s="2"/>
      <c r="N141" s="2"/>
      <c r="O141" s="2"/>
      <c r="P141" s="2"/>
      <c r="Q141" s="2"/>
      <c r="R141" s="2"/>
      <c r="S141" s="2"/>
      <c r="T141" s="2"/>
      <c r="U141" s="2"/>
      <c r="V141" s="2"/>
      <c r="W141" s="2"/>
      <c r="X141" s="2"/>
      <c r="Y141" s="2"/>
      <c r="Z141" s="2"/>
    </row>
    <row r="142">
      <c r="A142" s="2"/>
      <c r="B142" s="132"/>
      <c r="C142" s="132"/>
      <c r="D142" s="132"/>
      <c r="E142" s="132"/>
      <c r="F142" s="132"/>
      <c r="G142" s="132"/>
      <c r="H142" s="132"/>
      <c r="I142" s="132"/>
      <c r="J142" s="132"/>
      <c r="K142" s="132"/>
      <c r="L142" s="2"/>
      <c r="M142" s="2"/>
      <c r="N142" s="2"/>
      <c r="O142" s="2"/>
      <c r="P142" s="2"/>
      <c r="Q142" s="2"/>
      <c r="R142" s="2"/>
      <c r="S142" s="2"/>
      <c r="T142" s="2"/>
      <c r="U142" s="2"/>
      <c r="V142" s="2"/>
      <c r="W142" s="2"/>
      <c r="X142" s="2"/>
      <c r="Y142" s="2"/>
      <c r="Z142" s="2"/>
    </row>
    <row r="143">
      <c r="A143" s="2"/>
      <c r="B143" s="132"/>
      <c r="C143" s="132"/>
      <c r="D143" s="132"/>
      <c r="E143" s="132"/>
      <c r="F143" s="132"/>
      <c r="G143" s="132"/>
      <c r="H143" s="132"/>
      <c r="I143" s="132"/>
      <c r="J143" s="132"/>
      <c r="K143" s="132"/>
      <c r="L143" s="2"/>
      <c r="M143" s="2"/>
      <c r="N143" s="2"/>
      <c r="O143" s="2"/>
      <c r="P143" s="2"/>
      <c r="Q143" s="2"/>
      <c r="R143" s="2"/>
      <c r="S143" s="2"/>
      <c r="T143" s="2"/>
      <c r="U143" s="2"/>
      <c r="V143" s="2"/>
      <c r="W143" s="2"/>
      <c r="X143" s="2"/>
      <c r="Y143" s="2"/>
      <c r="Z143" s="2"/>
    </row>
    <row r="144">
      <c r="A144" s="2"/>
      <c r="B144" s="132"/>
      <c r="C144" s="132"/>
      <c r="D144" s="132"/>
      <c r="E144" s="132"/>
      <c r="F144" s="132"/>
      <c r="G144" s="132"/>
      <c r="H144" s="132"/>
      <c r="I144" s="132"/>
      <c r="J144" s="132"/>
      <c r="K144" s="132"/>
      <c r="L144" s="2"/>
      <c r="M144" s="2"/>
      <c r="N144" s="2"/>
      <c r="O144" s="2"/>
      <c r="P144" s="2"/>
      <c r="Q144" s="2"/>
      <c r="R144" s="2"/>
      <c r="S144" s="2"/>
      <c r="T144" s="2"/>
      <c r="U144" s="2"/>
      <c r="V144" s="2"/>
      <c r="W144" s="2"/>
      <c r="X144" s="2"/>
      <c r="Y144" s="2"/>
      <c r="Z144" s="2"/>
    </row>
    <row r="145">
      <c r="A145" s="2"/>
      <c r="B145" s="132"/>
      <c r="C145" s="132"/>
      <c r="D145" s="132"/>
      <c r="E145" s="132"/>
      <c r="F145" s="132"/>
      <c r="G145" s="132"/>
      <c r="H145" s="132"/>
      <c r="I145" s="132"/>
      <c r="J145" s="132"/>
      <c r="K145" s="132"/>
      <c r="L145" s="2"/>
      <c r="M145" s="2"/>
      <c r="N145" s="2"/>
      <c r="O145" s="2"/>
      <c r="P145" s="2"/>
      <c r="Q145" s="2"/>
      <c r="R145" s="2"/>
      <c r="S145" s="2"/>
      <c r="T145" s="2"/>
      <c r="U145" s="2"/>
      <c r="V145" s="2"/>
      <c r="W145" s="2"/>
      <c r="X145" s="2"/>
      <c r="Y145" s="2"/>
      <c r="Z145" s="2"/>
    </row>
    <row r="146">
      <c r="A146" s="2"/>
      <c r="B146" s="132"/>
      <c r="C146" s="132"/>
      <c r="D146" s="132"/>
      <c r="E146" s="132"/>
      <c r="F146" s="132"/>
      <c r="G146" s="132"/>
      <c r="H146" s="132"/>
      <c r="I146" s="132"/>
      <c r="J146" s="132"/>
      <c r="K146" s="132"/>
      <c r="L146" s="2"/>
      <c r="M146" s="2"/>
      <c r="N146" s="2"/>
      <c r="O146" s="2"/>
      <c r="P146" s="2"/>
      <c r="Q146" s="2"/>
      <c r="R146" s="2"/>
      <c r="S146" s="2"/>
      <c r="T146" s="2"/>
      <c r="U146" s="2"/>
      <c r="V146" s="2"/>
      <c r="W146" s="2"/>
      <c r="X146" s="2"/>
      <c r="Y146" s="2"/>
      <c r="Z146" s="2"/>
    </row>
    <row r="147">
      <c r="A147" s="2"/>
      <c r="B147" s="132"/>
      <c r="C147" s="132"/>
      <c r="D147" s="132"/>
      <c r="E147" s="132"/>
      <c r="F147" s="132"/>
      <c r="G147" s="132"/>
      <c r="H147" s="132"/>
      <c r="I147" s="132"/>
      <c r="J147" s="132"/>
      <c r="K147" s="132"/>
      <c r="L147" s="2"/>
      <c r="M147" s="2"/>
      <c r="N147" s="2"/>
      <c r="O147" s="2"/>
      <c r="P147" s="2"/>
      <c r="Q147" s="2"/>
      <c r="R147" s="2"/>
      <c r="S147" s="2"/>
      <c r="T147" s="2"/>
      <c r="U147" s="2"/>
      <c r="V147" s="2"/>
      <c r="W147" s="2"/>
      <c r="X147" s="2"/>
      <c r="Y147" s="2"/>
      <c r="Z147" s="2"/>
    </row>
    <row r="148">
      <c r="A148" s="2"/>
      <c r="B148" s="132"/>
      <c r="C148" s="132"/>
      <c r="D148" s="132"/>
      <c r="E148" s="132"/>
      <c r="F148" s="132"/>
      <c r="G148" s="132"/>
      <c r="H148" s="132"/>
      <c r="I148" s="132"/>
      <c r="J148" s="132"/>
      <c r="K148" s="132"/>
      <c r="L148" s="2"/>
      <c r="M148" s="2"/>
      <c r="N148" s="2"/>
      <c r="O148" s="2"/>
      <c r="P148" s="2"/>
      <c r="Q148" s="2"/>
      <c r="R148" s="2"/>
      <c r="S148" s="2"/>
      <c r="T148" s="2"/>
      <c r="U148" s="2"/>
      <c r="V148" s="2"/>
      <c r="W148" s="2"/>
      <c r="X148" s="2"/>
      <c r="Y148" s="2"/>
      <c r="Z148" s="2"/>
    </row>
    <row r="149">
      <c r="A149" s="2"/>
      <c r="B149" s="132"/>
      <c r="C149" s="132"/>
      <c r="D149" s="132"/>
      <c r="E149" s="132"/>
      <c r="F149" s="132"/>
      <c r="G149" s="132"/>
      <c r="H149" s="132"/>
      <c r="I149" s="132"/>
      <c r="J149" s="132"/>
      <c r="K149" s="132"/>
      <c r="L149" s="2"/>
      <c r="M149" s="2"/>
      <c r="N149" s="2"/>
      <c r="O149" s="2"/>
      <c r="P149" s="2"/>
      <c r="Q149" s="2"/>
      <c r="R149" s="2"/>
      <c r="S149" s="2"/>
      <c r="T149" s="2"/>
      <c r="U149" s="2"/>
      <c r="V149" s="2"/>
      <c r="W149" s="2"/>
      <c r="X149" s="2"/>
      <c r="Y149" s="2"/>
      <c r="Z149" s="2"/>
    </row>
    <row r="150">
      <c r="A150" s="2"/>
      <c r="B150" s="132"/>
      <c r="C150" s="132"/>
      <c r="D150" s="132"/>
      <c r="E150" s="132"/>
      <c r="F150" s="132"/>
      <c r="G150" s="132"/>
      <c r="H150" s="132"/>
      <c r="I150" s="132"/>
      <c r="J150" s="132"/>
      <c r="K150" s="132"/>
      <c r="L150" s="2"/>
      <c r="M150" s="2"/>
      <c r="N150" s="2"/>
      <c r="O150" s="2"/>
      <c r="P150" s="2"/>
      <c r="Q150" s="2"/>
      <c r="R150" s="2"/>
      <c r="S150" s="2"/>
      <c r="T150" s="2"/>
      <c r="U150" s="2"/>
      <c r="V150" s="2"/>
      <c r="W150" s="2"/>
      <c r="X150" s="2"/>
      <c r="Y150" s="2"/>
      <c r="Z150" s="2"/>
    </row>
    <row r="151">
      <c r="A151" s="2"/>
      <c r="B151" s="132"/>
      <c r="C151" s="132"/>
      <c r="D151" s="132"/>
      <c r="E151" s="132"/>
      <c r="F151" s="132"/>
      <c r="G151" s="132"/>
      <c r="H151" s="132"/>
      <c r="I151" s="132"/>
      <c r="J151" s="132"/>
      <c r="K151" s="132"/>
      <c r="L151" s="2"/>
      <c r="M151" s="2"/>
      <c r="N151" s="2"/>
      <c r="O151" s="2"/>
      <c r="P151" s="2"/>
      <c r="Q151" s="2"/>
      <c r="R151" s="2"/>
      <c r="S151" s="2"/>
      <c r="T151" s="2"/>
      <c r="U151" s="2"/>
      <c r="V151" s="2"/>
      <c r="W151" s="2"/>
      <c r="X151" s="2"/>
      <c r="Y151" s="2"/>
      <c r="Z151" s="2"/>
    </row>
    <row r="152">
      <c r="A152" s="2"/>
      <c r="B152" s="132"/>
      <c r="C152" s="132"/>
      <c r="D152" s="132"/>
      <c r="E152" s="132"/>
      <c r="F152" s="132"/>
      <c r="G152" s="132"/>
      <c r="H152" s="132"/>
      <c r="I152" s="132"/>
      <c r="J152" s="132"/>
      <c r="K152" s="132"/>
      <c r="L152" s="2"/>
      <c r="M152" s="2"/>
      <c r="N152" s="2"/>
      <c r="O152" s="2"/>
      <c r="P152" s="2"/>
      <c r="Q152" s="2"/>
      <c r="R152" s="2"/>
      <c r="S152" s="2"/>
      <c r="T152" s="2"/>
      <c r="U152" s="2"/>
      <c r="V152" s="2"/>
      <c r="W152" s="2"/>
      <c r="X152" s="2"/>
      <c r="Y152" s="2"/>
      <c r="Z152" s="2"/>
    </row>
    <row r="153">
      <c r="A153" s="2"/>
      <c r="B153" s="132"/>
      <c r="C153" s="132"/>
      <c r="D153" s="132"/>
      <c r="E153" s="132"/>
      <c r="F153" s="132"/>
      <c r="G153" s="132"/>
      <c r="H153" s="132"/>
      <c r="I153" s="132"/>
      <c r="J153" s="132"/>
      <c r="K153" s="132"/>
      <c r="L153" s="2"/>
      <c r="M153" s="2"/>
      <c r="N153" s="2"/>
      <c r="O153" s="2"/>
      <c r="P153" s="2"/>
      <c r="Q153" s="2"/>
      <c r="R153" s="2"/>
      <c r="S153" s="2"/>
      <c r="T153" s="2"/>
      <c r="U153" s="2"/>
      <c r="V153" s="2"/>
      <c r="W153" s="2"/>
      <c r="X153" s="2"/>
      <c r="Y153" s="2"/>
      <c r="Z153" s="2"/>
    </row>
    <row r="154">
      <c r="A154" s="2"/>
      <c r="B154" s="132"/>
      <c r="C154" s="132"/>
      <c r="D154" s="132"/>
      <c r="E154" s="132"/>
      <c r="F154" s="132"/>
      <c r="G154" s="132"/>
      <c r="H154" s="132"/>
      <c r="I154" s="132"/>
      <c r="J154" s="132"/>
      <c r="K154" s="132"/>
      <c r="L154" s="2"/>
      <c r="M154" s="2"/>
      <c r="N154" s="2"/>
      <c r="O154" s="2"/>
      <c r="P154" s="2"/>
      <c r="Q154" s="2"/>
      <c r="R154" s="2"/>
      <c r="S154" s="2"/>
      <c r="T154" s="2"/>
      <c r="U154" s="2"/>
      <c r="V154" s="2"/>
      <c r="W154" s="2"/>
      <c r="X154" s="2"/>
      <c r="Y154" s="2"/>
      <c r="Z154" s="2"/>
    </row>
    <row r="155">
      <c r="A155" s="2"/>
      <c r="B155" s="132"/>
      <c r="C155" s="132"/>
      <c r="D155" s="132"/>
      <c r="E155" s="132"/>
      <c r="F155" s="132"/>
      <c r="G155" s="132"/>
      <c r="H155" s="132"/>
      <c r="I155" s="132"/>
      <c r="J155" s="132"/>
      <c r="K155" s="132"/>
      <c r="L155" s="2"/>
      <c r="M155" s="2"/>
      <c r="N155" s="2"/>
      <c r="O155" s="2"/>
      <c r="P155" s="2"/>
      <c r="Q155" s="2"/>
      <c r="R155" s="2"/>
      <c r="S155" s="2"/>
      <c r="T155" s="2"/>
      <c r="U155" s="2"/>
      <c r="V155" s="2"/>
      <c r="W155" s="2"/>
      <c r="X155" s="2"/>
      <c r="Y155" s="2"/>
      <c r="Z155" s="2"/>
    </row>
    <row r="156">
      <c r="A156" s="2"/>
      <c r="B156" s="132"/>
      <c r="C156" s="132"/>
      <c r="D156" s="132"/>
      <c r="E156" s="132"/>
      <c r="F156" s="132"/>
      <c r="G156" s="132"/>
      <c r="H156" s="132"/>
      <c r="I156" s="132"/>
      <c r="J156" s="132"/>
      <c r="K156" s="132"/>
      <c r="L156" s="2"/>
      <c r="M156" s="2"/>
      <c r="N156" s="2"/>
      <c r="O156" s="2"/>
      <c r="P156" s="2"/>
      <c r="Q156" s="2"/>
      <c r="R156" s="2"/>
      <c r="S156" s="2"/>
      <c r="T156" s="2"/>
      <c r="U156" s="2"/>
      <c r="V156" s="2"/>
      <c r="W156" s="2"/>
      <c r="X156" s="2"/>
      <c r="Y156" s="2"/>
      <c r="Z156" s="2"/>
    </row>
    <row r="157">
      <c r="A157" s="2"/>
      <c r="B157" s="132"/>
      <c r="C157" s="132"/>
      <c r="D157" s="132"/>
      <c r="E157" s="132"/>
      <c r="F157" s="132"/>
      <c r="G157" s="132"/>
      <c r="H157" s="132"/>
      <c r="I157" s="132"/>
      <c r="J157" s="132"/>
      <c r="K157" s="132"/>
      <c r="L157" s="2"/>
      <c r="M157" s="2"/>
      <c r="N157" s="2"/>
      <c r="O157" s="2"/>
      <c r="P157" s="2"/>
      <c r="Q157" s="2"/>
      <c r="R157" s="2"/>
      <c r="S157" s="2"/>
      <c r="T157" s="2"/>
      <c r="U157" s="2"/>
      <c r="V157" s="2"/>
      <c r="W157" s="2"/>
      <c r="X157" s="2"/>
      <c r="Y157" s="2"/>
      <c r="Z157" s="2"/>
    </row>
    <row r="158">
      <c r="A158" s="2"/>
      <c r="B158" s="132"/>
      <c r="C158" s="132"/>
      <c r="D158" s="132"/>
      <c r="E158" s="132"/>
      <c r="F158" s="132"/>
      <c r="G158" s="132"/>
      <c r="H158" s="132"/>
      <c r="I158" s="132"/>
      <c r="J158" s="132"/>
      <c r="K158" s="132"/>
      <c r="L158" s="2"/>
      <c r="M158" s="2"/>
      <c r="N158" s="2"/>
      <c r="O158" s="2"/>
      <c r="P158" s="2"/>
      <c r="Q158" s="2"/>
      <c r="R158" s="2"/>
      <c r="S158" s="2"/>
      <c r="T158" s="2"/>
      <c r="U158" s="2"/>
      <c r="V158" s="2"/>
      <c r="W158" s="2"/>
      <c r="X158" s="2"/>
      <c r="Y158" s="2"/>
      <c r="Z158" s="2"/>
    </row>
    <row r="159">
      <c r="A159" s="2"/>
      <c r="B159" s="132"/>
      <c r="C159" s="132"/>
      <c r="D159" s="132"/>
      <c r="E159" s="132"/>
      <c r="F159" s="132"/>
      <c r="G159" s="132"/>
      <c r="H159" s="132"/>
      <c r="I159" s="132"/>
      <c r="J159" s="132"/>
      <c r="K159" s="132"/>
      <c r="L159" s="2"/>
      <c r="M159" s="2"/>
      <c r="N159" s="2"/>
      <c r="O159" s="2"/>
      <c r="P159" s="2"/>
      <c r="Q159" s="2"/>
      <c r="R159" s="2"/>
      <c r="S159" s="2"/>
      <c r="T159" s="2"/>
      <c r="U159" s="2"/>
      <c r="V159" s="2"/>
      <c r="W159" s="2"/>
      <c r="X159" s="2"/>
      <c r="Y159" s="2"/>
      <c r="Z159" s="2"/>
    </row>
    <row r="160">
      <c r="A160" s="2"/>
      <c r="B160" s="132"/>
      <c r="C160" s="132"/>
      <c r="D160" s="132"/>
      <c r="E160" s="132"/>
      <c r="F160" s="132"/>
      <c r="G160" s="132"/>
      <c r="H160" s="132"/>
      <c r="I160" s="132"/>
      <c r="J160" s="132"/>
      <c r="K160" s="132"/>
      <c r="L160" s="2"/>
      <c r="M160" s="2"/>
      <c r="N160" s="2"/>
      <c r="O160" s="2"/>
      <c r="P160" s="2"/>
      <c r="Q160" s="2"/>
      <c r="R160" s="2"/>
      <c r="S160" s="2"/>
      <c r="T160" s="2"/>
      <c r="U160" s="2"/>
      <c r="V160" s="2"/>
      <c r="W160" s="2"/>
      <c r="X160" s="2"/>
      <c r="Y160" s="2"/>
      <c r="Z160" s="2"/>
    </row>
    <row r="161">
      <c r="A161" s="2"/>
      <c r="B161" s="132"/>
      <c r="C161" s="132"/>
      <c r="D161" s="132"/>
      <c r="E161" s="132"/>
      <c r="F161" s="132"/>
      <c r="G161" s="132"/>
      <c r="H161" s="132"/>
      <c r="I161" s="132"/>
      <c r="J161" s="132"/>
      <c r="K161" s="132"/>
      <c r="L161" s="2"/>
      <c r="M161" s="2"/>
      <c r="N161" s="2"/>
      <c r="O161" s="2"/>
      <c r="P161" s="2"/>
      <c r="Q161" s="2"/>
      <c r="R161" s="2"/>
      <c r="S161" s="2"/>
      <c r="T161" s="2"/>
      <c r="U161" s="2"/>
      <c r="V161" s="2"/>
      <c r="W161" s="2"/>
      <c r="X161" s="2"/>
      <c r="Y161" s="2"/>
      <c r="Z161" s="2"/>
    </row>
    <row r="162">
      <c r="A162" s="2"/>
      <c r="B162" s="132"/>
      <c r="C162" s="132"/>
      <c r="D162" s="132"/>
      <c r="E162" s="132"/>
      <c r="F162" s="132"/>
      <c r="G162" s="132"/>
      <c r="H162" s="132"/>
      <c r="I162" s="132"/>
      <c r="J162" s="132"/>
      <c r="K162" s="132"/>
      <c r="L162" s="2"/>
      <c r="M162" s="2"/>
      <c r="N162" s="2"/>
      <c r="O162" s="2"/>
      <c r="P162" s="2"/>
      <c r="Q162" s="2"/>
      <c r="R162" s="2"/>
      <c r="S162" s="2"/>
      <c r="T162" s="2"/>
      <c r="U162" s="2"/>
      <c r="V162" s="2"/>
      <c r="W162" s="2"/>
      <c r="X162" s="2"/>
      <c r="Y162" s="2"/>
      <c r="Z162" s="2"/>
    </row>
    <row r="163">
      <c r="A163" s="2"/>
      <c r="B163" s="132"/>
      <c r="C163" s="132"/>
      <c r="D163" s="132"/>
      <c r="E163" s="132"/>
      <c r="F163" s="132"/>
      <c r="G163" s="132"/>
      <c r="H163" s="132"/>
      <c r="I163" s="132"/>
      <c r="J163" s="132"/>
      <c r="K163" s="132"/>
      <c r="L163" s="2"/>
      <c r="M163" s="2"/>
      <c r="N163" s="2"/>
      <c r="O163" s="2"/>
      <c r="P163" s="2"/>
      <c r="Q163" s="2"/>
      <c r="R163" s="2"/>
      <c r="S163" s="2"/>
      <c r="T163" s="2"/>
      <c r="U163" s="2"/>
      <c r="V163" s="2"/>
      <c r="W163" s="2"/>
      <c r="X163" s="2"/>
      <c r="Y163" s="2"/>
      <c r="Z163" s="2"/>
    </row>
    <row r="164">
      <c r="A164" s="2"/>
      <c r="B164" s="132"/>
      <c r="C164" s="132"/>
      <c r="D164" s="132"/>
      <c r="E164" s="132"/>
      <c r="F164" s="132"/>
      <c r="G164" s="132"/>
      <c r="H164" s="132"/>
      <c r="I164" s="132"/>
      <c r="J164" s="132"/>
      <c r="K164" s="132"/>
      <c r="L164" s="2"/>
      <c r="M164" s="2"/>
      <c r="N164" s="2"/>
      <c r="O164" s="2"/>
      <c r="P164" s="2"/>
      <c r="Q164" s="2"/>
      <c r="R164" s="2"/>
      <c r="S164" s="2"/>
      <c r="T164" s="2"/>
      <c r="U164" s="2"/>
      <c r="V164" s="2"/>
      <c r="W164" s="2"/>
      <c r="X164" s="2"/>
      <c r="Y164" s="2"/>
      <c r="Z164" s="2"/>
    </row>
    <row r="165">
      <c r="A165" s="2"/>
      <c r="B165" s="132"/>
      <c r="C165" s="132"/>
      <c r="D165" s="132"/>
      <c r="E165" s="132"/>
      <c r="F165" s="132"/>
      <c r="G165" s="132"/>
      <c r="H165" s="132"/>
      <c r="I165" s="132"/>
      <c r="J165" s="132"/>
      <c r="K165" s="132"/>
      <c r="L165" s="2"/>
      <c r="M165" s="2"/>
      <c r="N165" s="2"/>
      <c r="O165" s="2"/>
      <c r="P165" s="2"/>
      <c r="Q165" s="2"/>
      <c r="R165" s="2"/>
      <c r="S165" s="2"/>
      <c r="T165" s="2"/>
      <c r="U165" s="2"/>
      <c r="V165" s="2"/>
      <c r="W165" s="2"/>
      <c r="X165" s="2"/>
      <c r="Y165" s="2"/>
      <c r="Z165" s="2"/>
    </row>
    <row r="166">
      <c r="A166" s="2"/>
      <c r="B166" s="132"/>
      <c r="C166" s="132"/>
      <c r="D166" s="132"/>
      <c r="E166" s="132"/>
      <c r="F166" s="132"/>
      <c r="G166" s="132"/>
      <c r="H166" s="132"/>
      <c r="I166" s="132"/>
      <c r="J166" s="132"/>
      <c r="K166" s="132"/>
      <c r="L166" s="2"/>
      <c r="M166" s="2"/>
      <c r="N166" s="2"/>
      <c r="O166" s="2"/>
      <c r="P166" s="2"/>
      <c r="Q166" s="2"/>
      <c r="R166" s="2"/>
      <c r="S166" s="2"/>
      <c r="T166" s="2"/>
      <c r="U166" s="2"/>
      <c r="V166" s="2"/>
      <c r="W166" s="2"/>
      <c r="X166" s="2"/>
      <c r="Y166" s="2"/>
      <c r="Z166" s="2"/>
    </row>
    <row r="167">
      <c r="A167" s="2"/>
      <c r="B167" s="132"/>
      <c r="C167" s="132"/>
      <c r="D167" s="132"/>
      <c r="E167" s="132"/>
      <c r="F167" s="132"/>
      <c r="G167" s="132"/>
      <c r="H167" s="132"/>
      <c r="I167" s="132"/>
      <c r="J167" s="132"/>
      <c r="K167" s="132"/>
      <c r="L167" s="2"/>
      <c r="M167" s="2"/>
      <c r="N167" s="2"/>
      <c r="O167" s="2"/>
      <c r="P167" s="2"/>
      <c r="Q167" s="2"/>
      <c r="R167" s="2"/>
      <c r="S167" s="2"/>
      <c r="T167" s="2"/>
      <c r="U167" s="2"/>
      <c r="V167" s="2"/>
      <c r="W167" s="2"/>
      <c r="X167" s="2"/>
      <c r="Y167" s="2"/>
      <c r="Z167" s="2"/>
    </row>
    <row r="168">
      <c r="A168" s="2"/>
      <c r="B168" s="132"/>
      <c r="C168" s="132"/>
      <c r="D168" s="132"/>
      <c r="E168" s="132"/>
      <c r="F168" s="132"/>
      <c r="G168" s="132"/>
      <c r="H168" s="132"/>
      <c r="I168" s="132"/>
      <c r="J168" s="132"/>
      <c r="K168" s="132"/>
      <c r="L168" s="2"/>
      <c r="M168" s="2"/>
      <c r="N168" s="2"/>
      <c r="O168" s="2"/>
      <c r="P168" s="2"/>
      <c r="Q168" s="2"/>
      <c r="R168" s="2"/>
      <c r="S168" s="2"/>
      <c r="T168" s="2"/>
      <c r="U168" s="2"/>
      <c r="V168" s="2"/>
      <c r="W168" s="2"/>
      <c r="X168" s="2"/>
      <c r="Y168" s="2"/>
      <c r="Z168" s="2"/>
    </row>
    <row r="169">
      <c r="A169" s="2"/>
      <c r="B169" s="132"/>
      <c r="C169" s="132"/>
      <c r="D169" s="132"/>
      <c r="E169" s="132"/>
      <c r="F169" s="132"/>
      <c r="G169" s="132"/>
      <c r="H169" s="132"/>
      <c r="I169" s="132"/>
      <c r="J169" s="132"/>
      <c r="K169" s="132"/>
      <c r="L169" s="2"/>
      <c r="M169" s="2"/>
      <c r="N169" s="2"/>
      <c r="O169" s="2"/>
      <c r="P169" s="2"/>
      <c r="Q169" s="2"/>
      <c r="R169" s="2"/>
      <c r="S169" s="2"/>
      <c r="T169" s="2"/>
      <c r="U169" s="2"/>
      <c r="V169" s="2"/>
      <c r="W169" s="2"/>
      <c r="X169" s="2"/>
      <c r="Y169" s="2"/>
      <c r="Z169" s="2"/>
    </row>
    <row r="170">
      <c r="A170" s="2"/>
      <c r="B170" s="132"/>
      <c r="C170" s="132"/>
      <c r="D170" s="132"/>
      <c r="E170" s="132"/>
      <c r="F170" s="132"/>
      <c r="G170" s="132"/>
      <c r="H170" s="132"/>
      <c r="I170" s="132"/>
      <c r="J170" s="132"/>
      <c r="K170" s="132"/>
      <c r="L170" s="2"/>
      <c r="M170" s="2"/>
      <c r="N170" s="2"/>
      <c r="O170" s="2"/>
      <c r="P170" s="2"/>
      <c r="Q170" s="2"/>
      <c r="R170" s="2"/>
      <c r="S170" s="2"/>
      <c r="T170" s="2"/>
      <c r="U170" s="2"/>
      <c r="V170" s="2"/>
      <c r="W170" s="2"/>
      <c r="X170" s="2"/>
      <c r="Y170" s="2"/>
      <c r="Z170" s="2"/>
    </row>
    <row r="171">
      <c r="A171" s="2"/>
      <c r="B171" s="132"/>
      <c r="C171" s="132"/>
      <c r="D171" s="132"/>
      <c r="E171" s="132"/>
      <c r="F171" s="132"/>
      <c r="G171" s="132"/>
      <c r="H171" s="132"/>
      <c r="I171" s="132"/>
      <c r="J171" s="132"/>
      <c r="K171" s="132"/>
      <c r="L171" s="2"/>
      <c r="M171" s="2"/>
      <c r="N171" s="2"/>
      <c r="O171" s="2"/>
      <c r="P171" s="2"/>
      <c r="Q171" s="2"/>
      <c r="R171" s="2"/>
      <c r="S171" s="2"/>
      <c r="T171" s="2"/>
      <c r="U171" s="2"/>
      <c r="V171" s="2"/>
      <c r="W171" s="2"/>
      <c r="X171" s="2"/>
      <c r="Y171" s="2"/>
      <c r="Z171" s="2"/>
    </row>
    <row r="172">
      <c r="A172" s="2"/>
      <c r="B172" s="132"/>
      <c r="C172" s="132"/>
      <c r="D172" s="132"/>
      <c r="E172" s="132"/>
      <c r="F172" s="132"/>
      <c r="G172" s="132"/>
      <c r="H172" s="132"/>
      <c r="I172" s="132"/>
      <c r="J172" s="132"/>
      <c r="K172" s="132"/>
      <c r="L172" s="2"/>
      <c r="M172" s="2"/>
      <c r="N172" s="2"/>
      <c r="O172" s="2"/>
      <c r="P172" s="2"/>
      <c r="Q172" s="2"/>
      <c r="R172" s="2"/>
      <c r="S172" s="2"/>
      <c r="T172" s="2"/>
      <c r="U172" s="2"/>
      <c r="V172" s="2"/>
      <c r="W172" s="2"/>
      <c r="X172" s="2"/>
      <c r="Y172" s="2"/>
      <c r="Z172" s="2"/>
    </row>
    <row r="173">
      <c r="A173" s="2"/>
      <c r="B173" s="132"/>
      <c r="C173" s="132"/>
      <c r="D173" s="132"/>
      <c r="E173" s="132"/>
      <c r="F173" s="132"/>
      <c r="G173" s="132"/>
      <c r="H173" s="132"/>
      <c r="I173" s="132"/>
      <c r="J173" s="132"/>
      <c r="K173" s="132"/>
      <c r="L173" s="2"/>
      <c r="M173" s="2"/>
      <c r="N173" s="2"/>
      <c r="O173" s="2"/>
      <c r="P173" s="2"/>
      <c r="Q173" s="2"/>
      <c r="R173" s="2"/>
      <c r="S173" s="2"/>
      <c r="T173" s="2"/>
      <c r="U173" s="2"/>
      <c r="V173" s="2"/>
      <c r="W173" s="2"/>
      <c r="X173" s="2"/>
      <c r="Y173" s="2"/>
      <c r="Z173" s="2"/>
    </row>
    <row r="174">
      <c r="A174" s="2"/>
      <c r="B174" s="132"/>
      <c r="C174" s="132"/>
      <c r="D174" s="132"/>
      <c r="E174" s="132"/>
      <c r="F174" s="132"/>
      <c r="G174" s="132"/>
      <c r="H174" s="132"/>
      <c r="I174" s="132"/>
      <c r="J174" s="132"/>
      <c r="K174" s="132"/>
      <c r="L174" s="2"/>
      <c r="M174" s="2"/>
      <c r="N174" s="2"/>
      <c r="O174" s="2"/>
      <c r="P174" s="2"/>
      <c r="Q174" s="2"/>
      <c r="R174" s="2"/>
      <c r="S174" s="2"/>
      <c r="T174" s="2"/>
      <c r="U174" s="2"/>
      <c r="V174" s="2"/>
      <c r="W174" s="2"/>
      <c r="X174" s="2"/>
      <c r="Y174" s="2"/>
      <c r="Z174" s="2"/>
    </row>
    <row r="175">
      <c r="A175" s="2"/>
      <c r="B175" s="132"/>
      <c r="C175" s="132"/>
      <c r="D175" s="132"/>
      <c r="E175" s="132"/>
      <c r="F175" s="132"/>
      <c r="G175" s="132"/>
      <c r="H175" s="132"/>
      <c r="I175" s="132"/>
      <c r="J175" s="132"/>
      <c r="K175" s="132"/>
      <c r="L175" s="2"/>
      <c r="M175" s="2"/>
      <c r="N175" s="2"/>
      <c r="O175" s="2"/>
      <c r="P175" s="2"/>
      <c r="Q175" s="2"/>
      <c r="R175" s="2"/>
      <c r="S175" s="2"/>
      <c r="T175" s="2"/>
      <c r="U175" s="2"/>
      <c r="V175" s="2"/>
      <c r="W175" s="2"/>
      <c r="X175" s="2"/>
      <c r="Y175" s="2"/>
      <c r="Z175" s="2"/>
    </row>
    <row r="176">
      <c r="A176" s="2"/>
      <c r="B176" s="132"/>
      <c r="C176" s="132"/>
      <c r="D176" s="132"/>
      <c r="E176" s="132"/>
      <c r="F176" s="132"/>
      <c r="G176" s="132"/>
      <c r="H176" s="132"/>
      <c r="I176" s="132"/>
      <c r="J176" s="132"/>
      <c r="K176" s="132"/>
      <c r="L176" s="2"/>
      <c r="M176" s="2"/>
      <c r="N176" s="2"/>
      <c r="O176" s="2"/>
      <c r="P176" s="2"/>
      <c r="Q176" s="2"/>
      <c r="R176" s="2"/>
      <c r="S176" s="2"/>
      <c r="T176" s="2"/>
      <c r="U176" s="2"/>
      <c r="V176" s="2"/>
      <c r="W176" s="2"/>
      <c r="X176" s="2"/>
      <c r="Y176" s="2"/>
      <c r="Z176" s="2"/>
    </row>
    <row r="177">
      <c r="A177" s="2"/>
      <c r="B177" s="132"/>
      <c r="C177" s="132"/>
      <c r="D177" s="132"/>
      <c r="E177" s="132"/>
      <c r="F177" s="132"/>
      <c r="G177" s="132"/>
      <c r="H177" s="132"/>
      <c r="I177" s="132"/>
      <c r="J177" s="132"/>
      <c r="K177" s="132"/>
      <c r="L177" s="2"/>
      <c r="M177" s="2"/>
      <c r="N177" s="2"/>
      <c r="O177" s="2"/>
      <c r="P177" s="2"/>
      <c r="Q177" s="2"/>
      <c r="R177" s="2"/>
      <c r="S177" s="2"/>
      <c r="T177" s="2"/>
      <c r="U177" s="2"/>
      <c r="V177" s="2"/>
      <c r="W177" s="2"/>
      <c r="X177" s="2"/>
      <c r="Y177" s="2"/>
      <c r="Z177" s="2"/>
    </row>
    <row r="178">
      <c r="A178" s="2"/>
      <c r="B178" s="132"/>
      <c r="C178" s="132"/>
      <c r="D178" s="132"/>
      <c r="E178" s="132"/>
      <c r="F178" s="132"/>
      <c r="G178" s="132"/>
      <c r="H178" s="132"/>
      <c r="I178" s="132"/>
      <c r="J178" s="132"/>
      <c r="K178" s="132"/>
      <c r="L178" s="2"/>
      <c r="M178" s="2"/>
      <c r="N178" s="2"/>
      <c r="O178" s="2"/>
      <c r="P178" s="2"/>
      <c r="Q178" s="2"/>
      <c r="R178" s="2"/>
      <c r="S178" s="2"/>
      <c r="T178" s="2"/>
      <c r="U178" s="2"/>
      <c r="V178" s="2"/>
      <c r="W178" s="2"/>
      <c r="X178" s="2"/>
      <c r="Y178" s="2"/>
      <c r="Z178" s="2"/>
    </row>
    <row r="179">
      <c r="A179" s="2"/>
      <c r="B179" s="132"/>
      <c r="C179" s="132"/>
      <c r="D179" s="132"/>
      <c r="E179" s="132"/>
      <c r="F179" s="132"/>
      <c r="G179" s="132"/>
      <c r="H179" s="132"/>
      <c r="I179" s="132"/>
      <c r="J179" s="132"/>
      <c r="K179" s="132"/>
      <c r="L179" s="2"/>
      <c r="M179" s="2"/>
      <c r="N179" s="2"/>
      <c r="O179" s="2"/>
      <c r="P179" s="2"/>
      <c r="Q179" s="2"/>
      <c r="R179" s="2"/>
      <c r="S179" s="2"/>
      <c r="T179" s="2"/>
      <c r="U179" s="2"/>
      <c r="V179" s="2"/>
      <c r="W179" s="2"/>
      <c r="X179" s="2"/>
      <c r="Y179" s="2"/>
      <c r="Z179" s="2"/>
    </row>
    <row r="180">
      <c r="A180" s="2"/>
      <c r="B180" s="132"/>
      <c r="C180" s="132"/>
      <c r="D180" s="132"/>
      <c r="E180" s="132"/>
      <c r="F180" s="132"/>
      <c r="G180" s="132"/>
      <c r="H180" s="132"/>
      <c r="I180" s="132"/>
      <c r="J180" s="132"/>
      <c r="K180" s="132"/>
      <c r="L180" s="2"/>
      <c r="M180" s="2"/>
      <c r="N180" s="2"/>
      <c r="O180" s="2"/>
      <c r="P180" s="2"/>
      <c r="Q180" s="2"/>
      <c r="R180" s="2"/>
      <c r="S180" s="2"/>
      <c r="T180" s="2"/>
      <c r="U180" s="2"/>
      <c r="V180" s="2"/>
      <c r="W180" s="2"/>
      <c r="X180" s="2"/>
      <c r="Y180" s="2"/>
      <c r="Z180" s="2"/>
    </row>
    <row r="181">
      <c r="A181" s="2"/>
      <c r="B181" s="132"/>
      <c r="C181" s="132"/>
      <c r="D181" s="132"/>
      <c r="E181" s="132"/>
      <c r="F181" s="132"/>
      <c r="G181" s="132"/>
      <c r="H181" s="132"/>
      <c r="I181" s="132"/>
      <c r="J181" s="132"/>
      <c r="K181" s="132"/>
      <c r="L181" s="2"/>
      <c r="M181" s="2"/>
      <c r="N181" s="2"/>
      <c r="O181" s="2"/>
      <c r="P181" s="2"/>
      <c r="Q181" s="2"/>
      <c r="R181" s="2"/>
      <c r="S181" s="2"/>
      <c r="T181" s="2"/>
      <c r="U181" s="2"/>
      <c r="V181" s="2"/>
      <c r="W181" s="2"/>
      <c r="X181" s="2"/>
      <c r="Y181" s="2"/>
      <c r="Z181" s="2"/>
    </row>
    <row r="182">
      <c r="A182" s="2"/>
      <c r="B182" s="132"/>
      <c r="C182" s="132"/>
      <c r="D182" s="132"/>
      <c r="E182" s="132"/>
      <c r="F182" s="132"/>
      <c r="G182" s="132"/>
      <c r="H182" s="132"/>
      <c r="I182" s="132"/>
      <c r="J182" s="132"/>
      <c r="K182" s="132"/>
      <c r="L182" s="2"/>
      <c r="M182" s="2"/>
      <c r="N182" s="2"/>
      <c r="O182" s="2"/>
      <c r="P182" s="2"/>
      <c r="Q182" s="2"/>
      <c r="R182" s="2"/>
      <c r="S182" s="2"/>
      <c r="T182" s="2"/>
      <c r="U182" s="2"/>
      <c r="V182" s="2"/>
      <c r="W182" s="2"/>
      <c r="X182" s="2"/>
      <c r="Y182" s="2"/>
      <c r="Z182" s="2"/>
    </row>
    <row r="183">
      <c r="A183" s="2"/>
      <c r="B183" s="132"/>
      <c r="C183" s="132"/>
      <c r="D183" s="132"/>
      <c r="E183" s="132"/>
      <c r="F183" s="132"/>
      <c r="G183" s="132"/>
      <c r="H183" s="132"/>
      <c r="I183" s="132"/>
      <c r="J183" s="132"/>
      <c r="K183" s="132"/>
      <c r="L183" s="2"/>
      <c r="M183" s="2"/>
      <c r="N183" s="2"/>
      <c r="O183" s="2"/>
      <c r="P183" s="2"/>
      <c r="Q183" s="2"/>
      <c r="R183" s="2"/>
      <c r="S183" s="2"/>
      <c r="T183" s="2"/>
      <c r="U183" s="2"/>
      <c r="V183" s="2"/>
      <c r="W183" s="2"/>
      <c r="X183" s="2"/>
      <c r="Y183" s="2"/>
      <c r="Z183" s="2"/>
    </row>
    <row r="184">
      <c r="A184" s="2"/>
      <c r="B184" s="132"/>
      <c r="C184" s="132"/>
      <c r="D184" s="132"/>
      <c r="E184" s="132"/>
      <c r="F184" s="132"/>
      <c r="G184" s="132"/>
      <c r="H184" s="132"/>
      <c r="I184" s="132"/>
      <c r="J184" s="132"/>
      <c r="K184" s="132"/>
      <c r="L184" s="2"/>
      <c r="M184" s="2"/>
      <c r="N184" s="2"/>
      <c r="O184" s="2"/>
      <c r="P184" s="2"/>
      <c r="Q184" s="2"/>
      <c r="R184" s="2"/>
      <c r="S184" s="2"/>
      <c r="T184" s="2"/>
      <c r="U184" s="2"/>
      <c r="V184" s="2"/>
      <c r="W184" s="2"/>
      <c r="X184" s="2"/>
      <c r="Y184" s="2"/>
      <c r="Z184" s="2"/>
    </row>
    <row r="185">
      <c r="A185" s="2"/>
      <c r="B185" s="132"/>
      <c r="C185" s="132"/>
      <c r="D185" s="132"/>
      <c r="E185" s="132"/>
      <c r="F185" s="132"/>
      <c r="G185" s="132"/>
      <c r="H185" s="132"/>
      <c r="I185" s="132"/>
      <c r="J185" s="132"/>
      <c r="K185" s="132"/>
      <c r="L185" s="2"/>
      <c r="M185" s="2"/>
      <c r="N185" s="2"/>
      <c r="O185" s="2"/>
      <c r="P185" s="2"/>
      <c r="Q185" s="2"/>
      <c r="R185" s="2"/>
      <c r="S185" s="2"/>
      <c r="T185" s="2"/>
      <c r="U185" s="2"/>
      <c r="V185" s="2"/>
      <c r="W185" s="2"/>
      <c r="X185" s="2"/>
      <c r="Y185" s="2"/>
      <c r="Z185" s="2"/>
    </row>
    <row r="186">
      <c r="A186" s="2"/>
      <c r="B186" s="132"/>
      <c r="C186" s="132"/>
      <c r="D186" s="132"/>
      <c r="E186" s="132"/>
      <c r="F186" s="132"/>
      <c r="G186" s="132"/>
      <c r="H186" s="132"/>
      <c r="I186" s="132"/>
      <c r="J186" s="132"/>
      <c r="K186" s="132"/>
      <c r="L186" s="2"/>
      <c r="M186" s="2"/>
      <c r="N186" s="2"/>
      <c r="O186" s="2"/>
      <c r="P186" s="2"/>
      <c r="Q186" s="2"/>
      <c r="R186" s="2"/>
      <c r="S186" s="2"/>
      <c r="T186" s="2"/>
      <c r="U186" s="2"/>
      <c r="V186" s="2"/>
      <c r="W186" s="2"/>
      <c r="X186" s="2"/>
      <c r="Y186" s="2"/>
      <c r="Z186" s="2"/>
    </row>
    <row r="187">
      <c r="A187" s="2"/>
      <c r="B187" s="132"/>
      <c r="C187" s="132"/>
      <c r="D187" s="132"/>
      <c r="E187" s="132"/>
      <c r="F187" s="132"/>
      <c r="G187" s="132"/>
      <c r="H187" s="132"/>
      <c r="I187" s="132"/>
      <c r="J187" s="132"/>
      <c r="K187" s="132"/>
      <c r="L187" s="2"/>
      <c r="M187" s="2"/>
      <c r="N187" s="2"/>
      <c r="O187" s="2"/>
      <c r="P187" s="2"/>
      <c r="Q187" s="2"/>
      <c r="R187" s="2"/>
      <c r="S187" s="2"/>
      <c r="T187" s="2"/>
      <c r="U187" s="2"/>
      <c r="V187" s="2"/>
      <c r="W187" s="2"/>
      <c r="X187" s="2"/>
      <c r="Y187" s="2"/>
      <c r="Z187" s="2"/>
    </row>
    <row r="188">
      <c r="A188" s="2"/>
      <c r="B188" s="132"/>
      <c r="C188" s="132"/>
      <c r="D188" s="132"/>
      <c r="E188" s="132"/>
      <c r="F188" s="132"/>
      <c r="G188" s="132"/>
      <c r="H188" s="132"/>
      <c r="I188" s="132"/>
      <c r="J188" s="132"/>
      <c r="K188" s="132"/>
      <c r="L188" s="2"/>
      <c r="M188" s="2"/>
      <c r="N188" s="2"/>
      <c r="O188" s="2"/>
      <c r="P188" s="2"/>
      <c r="Q188" s="2"/>
      <c r="R188" s="2"/>
      <c r="S188" s="2"/>
      <c r="T188" s="2"/>
      <c r="U188" s="2"/>
      <c r="V188" s="2"/>
      <c r="W188" s="2"/>
      <c r="X188" s="2"/>
      <c r="Y188" s="2"/>
      <c r="Z188" s="2"/>
    </row>
    <row r="189">
      <c r="A189" s="2"/>
      <c r="B189" s="132"/>
      <c r="C189" s="132"/>
      <c r="D189" s="132"/>
      <c r="E189" s="132"/>
      <c r="F189" s="132"/>
      <c r="G189" s="132"/>
      <c r="H189" s="132"/>
      <c r="I189" s="132"/>
      <c r="J189" s="132"/>
      <c r="K189" s="132"/>
      <c r="L189" s="2"/>
      <c r="M189" s="2"/>
      <c r="N189" s="2"/>
      <c r="O189" s="2"/>
      <c r="P189" s="2"/>
      <c r="Q189" s="2"/>
      <c r="R189" s="2"/>
      <c r="S189" s="2"/>
      <c r="T189" s="2"/>
      <c r="U189" s="2"/>
      <c r="V189" s="2"/>
      <c r="W189" s="2"/>
      <c r="X189" s="2"/>
      <c r="Y189" s="2"/>
      <c r="Z189" s="2"/>
    </row>
    <row r="190">
      <c r="A190" s="2"/>
      <c r="B190" s="132"/>
      <c r="C190" s="132"/>
      <c r="D190" s="132"/>
      <c r="E190" s="132"/>
      <c r="F190" s="132"/>
      <c r="G190" s="132"/>
      <c r="H190" s="132"/>
      <c r="I190" s="132"/>
      <c r="J190" s="132"/>
      <c r="K190" s="132"/>
      <c r="L190" s="2"/>
      <c r="M190" s="2"/>
      <c r="N190" s="2"/>
      <c r="O190" s="2"/>
      <c r="P190" s="2"/>
      <c r="Q190" s="2"/>
      <c r="R190" s="2"/>
      <c r="S190" s="2"/>
      <c r="T190" s="2"/>
      <c r="U190" s="2"/>
      <c r="V190" s="2"/>
      <c r="W190" s="2"/>
      <c r="X190" s="2"/>
      <c r="Y190" s="2"/>
      <c r="Z190" s="2"/>
    </row>
    <row r="191">
      <c r="A191" s="2"/>
      <c r="B191" s="132"/>
      <c r="C191" s="132"/>
      <c r="D191" s="132"/>
      <c r="E191" s="132"/>
      <c r="F191" s="132"/>
      <c r="G191" s="132"/>
      <c r="H191" s="132"/>
      <c r="I191" s="132"/>
      <c r="J191" s="132"/>
      <c r="K191" s="132"/>
      <c r="L191" s="2"/>
      <c r="M191" s="2"/>
      <c r="N191" s="2"/>
      <c r="O191" s="2"/>
      <c r="P191" s="2"/>
      <c r="Q191" s="2"/>
      <c r="R191" s="2"/>
      <c r="S191" s="2"/>
      <c r="T191" s="2"/>
      <c r="U191" s="2"/>
      <c r="V191" s="2"/>
      <c r="W191" s="2"/>
      <c r="X191" s="2"/>
      <c r="Y191" s="2"/>
      <c r="Z191" s="2"/>
    </row>
    <row r="192">
      <c r="A192" s="2"/>
      <c r="B192" s="132"/>
      <c r="C192" s="132"/>
      <c r="D192" s="132"/>
      <c r="E192" s="132"/>
      <c r="F192" s="132"/>
      <c r="G192" s="132"/>
      <c r="H192" s="132"/>
      <c r="I192" s="132"/>
      <c r="J192" s="132"/>
      <c r="K192" s="132"/>
      <c r="L192" s="2"/>
      <c r="M192" s="2"/>
      <c r="N192" s="2"/>
      <c r="O192" s="2"/>
      <c r="P192" s="2"/>
      <c r="Q192" s="2"/>
      <c r="R192" s="2"/>
      <c r="S192" s="2"/>
      <c r="T192" s="2"/>
      <c r="U192" s="2"/>
      <c r="V192" s="2"/>
      <c r="W192" s="2"/>
      <c r="X192" s="2"/>
      <c r="Y192" s="2"/>
      <c r="Z192" s="2"/>
    </row>
    <row r="193">
      <c r="A193" s="2"/>
      <c r="B193" s="132"/>
      <c r="C193" s="132"/>
      <c r="D193" s="132"/>
      <c r="E193" s="132"/>
      <c r="F193" s="132"/>
      <c r="G193" s="132"/>
      <c r="H193" s="132"/>
      <c r="I193" s="132"/>
      <c r="J193" s="132"/>
      <c r="K193" s="132"/>
      <c r="L193" s="2"/>
      <c r="M193" s="2"/>
      <c r="N193" s="2"/>
      <c r="O193" s="2"/>
      <c r="P193" s="2"/>
      <c r="Q193" s="2"/>
      <c r="R193" s="2"/>
      <c r="S193" s="2"/>
      <c r="T193" s="2"/>
      <c r="U193" s="2"/>
      <c r="V193" s="2"/>
      <c r="W193" s="2"/>
      <c r="X193" s="2"/>
      <c r="Y193" s="2"/>
      <c r="Z193" s="2"/>
    </row>
    <row r="194">
      <c r="A194" s="2"/>
      <c r="B194" s="132"/>
      <c r="C194" s="132"/>
      <c r="D194" s="132"/>
      <c r="E194" s="132"/>
      <c r="F194" s="132"/>
      <c r="G194" s="132"/>
      <c r="H194" s="132"/>
      <c r="I194" s="132"/>
      <c r="J194" s="132"/>
      <c r="K194" s="132"/>
      <c r="L194" s="2"/>
      <c r="M194" s="2"/>
      <c r="N194" s="2"/>
      <c r="O194" s="2"/>
      <c r="P194" s="2"/>
      <c r="Q194" s="2"/>
      <c r="R194" s="2"/>
      <c r="S194" s="2"/>
      <c r="T194" s="2"/>
      <c r="U194" s="2"/>
      <c r="V194" s="2"/>
      <c r="W194" s="2"/>
      <c r="X194" s="2"/>
      <c r="Y194" s="2"/>
      <c r="Z194" s="2"/>
    </row>
    <row r="195">
      <c r="A195" s="2"/>
      <c r="B195" s="132"/>
      <c r="C195" s="132"/>
      <c r="D195" s="132"/>
      <c r="E195" s="132"/>
      <c r="F195" s="132"/>
      <c r="G195" s="132"/>
      <c r="H195" s="132"/>
      <c r="I195" s="132"/>
      <c r="J195" s="132"/>
      <c r="K195" s="132"/>
      <c r="L195" s="2"/>
      <c r="M195" s="2"/>
      <c r="N195" s="2"/>
      <c r="O195" s="2"/>
      <c r="P195" s="2"/>
      <c r="Q195" s="2"/>
      <c r="R195" s="2"/>
      <c r="S195" s="2"/>
      <c r="T195" s="2"/>
      <c r="U195" s="2"/>
      <c r="V195" s="2"/>
      <c r="W195" s="2"/>
      <c r="X195" s="2"/>
      <c r="Y195" s="2"/>
      <c r="Z195" s="2"/>
    </row>
    <row r="196">
      <c r="A196" s="2"/>
      <c r="B196" s="132"/>
      <c r="C196" s="132"/>
      <c r="D196" s="132"/>
      <c r="E196" s="132"/>
      <c r="F196" s="132"/>
      <c r="G196" s="132"/>
      <c r="H196" s="132"/>
      <c r="I196" s="132"/>
      <c r="J196" s="132"/>
      <c r="K196" s="132"/>
      <c r="L196" s="2"/>
      <c r="M196" s="2"/>
      <c r="N196" s="2"/>
      <c r="O196" s="2"/>
      <c r="P196" s="2"/>
      <c r="Q196" s="2"/>
      <c r="R196" s="2"/>
      <c r="S196" s="2"/>
      <c r="T196" s="2"/>
      <c r="U196" s="2"/>
      <c r="V196" s="2"/>
      <c r="W196" s="2"/>
      <c r="X196" s="2"/>
      <c r="Y196" s="2"/>
      <c r="Z196" s="2"/>
    </row>
    <row r="197">
      <c r="A197" s="2"/>
      <c r="B197" s="132"/>
      <c r="C197" s="132"/>
      <c r="D197" s="132"/>
      <c r="E197" s="132"/>
      <c r="F197" s="132"/>
      <c r="G197" s="132"/>
      <c r="H197" s="132"/>
      <c r="I197" s="132"/>
      <c r="J197" s="132"/>
      <c r="K197" s="132"/>
      <c r="L197" s="2"/>
      <c r="M197" s="2"/>
      <c r="N197" s="2"/>
      <c r="O197" s="2"/>
      <c r="P197" s="2"/>
      <c r="Q197" s="2"/>
      <c r="R197" s="2"/>
      <c r="S197" s="2"/>
      <c r="T197" s="2"/>
      <c r="U197" s="2"/>
      <c r="V197" s="2"/>
      <c r="W197" s="2"/>
      <c r="X197" s="2"/>
      <c r="Y197" s="2"/>
      <c r="Z197" s="2"/>
    </row>
    <row r="198">
      <c r="A198" s="2"/>
      <c r="B198" s="132"/>
      <c r="C198" s="132"/>
      <c r="D198" s="132"/>
      <c r="E198" s="132"/>
      <c r="F198" s="132"/>
      <c r="G198" s="132"/>
      <c r="H198" s="132"/>
      <c r="I198" s="132"/>
      <c r="J198" s="132"/>
      <c r="K198" s="132"/>
      <c r="L198" s="2"/>
      <c r="M198" s="2"/>
      <c r="N198" s="2"/>
      <c r="O198" s="2"/>
      <c r="P198" s="2"/>
      <c r="Q198" s="2"/>
      <c r="R198" s="2"/>
      <c r="S198" s="2"/>
      <c r="T198" s="2"/>
      <c r="U198" s="2"/>
      <c r="V198" s="2"/>
      <c r="W198" s="2"/>
      <c r="X198" s="2"/>
      <c r="Y198" s="2"/>
      <c r="Z198" s="2"/>
    </row>
    <row r="199">
      <c r="A199" s="2"/>
      <c r="B199" s="132"/>
      <c r="C199" s="132"/>
      <c r="D199" s="132"/>
      <c r="E199" s="132"/>
      <c r="F199" s="132"/>
      <c r="G199" s="132"/>
      <c r="H199" s="132"/>
      <c r="I199" s="132"/>
      <c r="J199" s="132"/>
      <c r="K199" s="132"/>
      <c r="L199" s="2"/>
      <c r="M199" s="2"/>
      <c r="N199" s="2"/>
      <c r="O199" s="2"/>
      <c r="P199" s="2"/>
      <c r="Q199" s="2"/>
      <c r="R199" s="2"/>
      <c r="S199" s="2"/>
      <c r="T199" s="2"/>
      <c r="U199" s="2"/>
      <c r="V199" s="2"/>
      <c r="W199" s="2"/>
      <c r="X199" s="2"/>
      <c r="Y199" s="2"/>
      <c r="Z199" s="2"/>
    </row>
    <row r="200">
      <c r="A200" s="2"/>
      <c r="B200" s="132"/>
      <c r="C200" s="132"/>
      <c r="D200" s="132"/>
      <c r="E200" s="132"/>
      <c r="F200" s="132"/>
      <c r="G200" s="132"/>
      <c r="H200" s="132"/>
      <c r="I200" s="132"/>
      <c r="J200" s="132"/>
      <c r="K200" s="132"/>
      <c r="L200" s="2"/>
      <c r="M200" s="2"/>
      <c r="N200" s="2"/>
      <c r="O200" s="2"/>
      <c r="P200" s="2"/>
      <c r="Q200" s="2"/>
      <c r="R200" s="2"/>
      <c r="S200" s="2"/>
      <c r="T200" s="2"/>
      <c r="U200" s="2"/>
      <c r="V200" s="2"/>
      <c r="W200" s="2"/>
      <c r="X200" s="2"/>
      <c r="Y200" s="2"/>
      <c r="Z200" s="2"/>
    </row>
    <row r="201">
      <c r="A201" s="2"/>
      <c r="B201" s="132"/>
      <c r="C201" s="132"/>
      <c r="D201" s="132"/>
      <c r="E201" s="132"/>
      <c r="F201" s="132"/>
      <c r="G201" s="132"/>
      <c r="H201" s="132"/>
      <c r="I201" s="132"/>
      <c r="J201" s="132"/>
      <c r="K201" s="132"/>
      <c r="L201" s="2"/>
      <c r="M201" s="2"/>
      <c r="N201" s="2"/>
      <c r="O201" s="2"/>
      <c r="P201" s="2"/>
      <c r="Q201" s="2"/>
      <c r="R201" s="2"/>
      <c r="S201" s="2"/>
      <c r="T201" s="2"/>
      <c r="U201" s="2"/>
      <c r="V201" s="2"/>
      <c r="W201" s="2"/>
      <c r="X201" s="2"/>
      <c r="Y201" s="2"/>
      <c r="Z201" s="2"/>
    </row>
    <row r="202">
      <c r="A202" s="2"/>
      <c r="B202" s="132"/>
      <c r="C202" s="132"/>
      <c r="D202" s="132"/>
      <c r="E202" s="132"/>
      <c r="F202" s="132"/>
      <c r="G202" s="132"/>
      <c r="H202" s="132"/>
      <c r="I202" s="132"/>
      <c r="J202" s="132"/>
      <c r="K202" s="132"/>
      <c r="L202" s="2"/>
      <c r="M202" s="2"/>
      <c r="N202" s="2"/>
      <c r="O202" s="2"/>
      <c r="P202" s="2"/>
      <c r="Q202" s="2"/>
      <c r="R202" s="2"/>
      <c r="S202" s="2"/>
      <c r="T202" s="2"/>
      <c r="U202" s="2"/>
      <c r="V202" s="2"/>
      <c r="W202" s="2"/>
      <c r="X202" s="2"/>
      <c r="Y202" s="2"/>
      <c r="Z202" s="2"/>
    </row>
    <row r="203">
      <c r="A203" s="2"/>
      <c r="B203" s="132"/>
      <c r="C203" s="132"/>
      <c r="D203" s="132"/>
      <c r="E203" s="132"/>
      <c r="F203" s="132"/>
      <c r="G203" s="132"/>
      <c r="H203" s="132"/>
      <c r="I203" s="132"/>
      <c r="J203" s="132"/>
      <c r="K203" s="132"/>
      <c r="L203" s="2"/>
      <c r="M203" s="2"/>
      <c r="N203" s="2"/>
      <c r="O203" s="2"/>
      <c r="P203" s="2"/>
      <c r="Q203" s="2"/>
      <c r="R203" s="2"/>
      <c r="S203" s="2"/>
      <c r="T203" s="2"/>
      <c r="U203" s="2"/>
      <c r="V203" s="2"/>
      <c r="W203" s="2"/>
      <c r="X203" s="2"/>
      <c r="Y203" s="2"/>
      <c r="Z203" s="2"/>
    </row>
    <row r="204">
      <c r="A204" s="2"/>
      <c r="B204" s="132"/>
      <c r="C204" s="132"/>
      <c r="D204" s="132"/>
      <c r="E204" s="132"/>
      <c r="F204" s="132"/>
      <c r="G204" s="132"/>
      <c r="H204" s="132"/>
      <c r="I204" s="132"/>
      <c r="J204" s="132"/>
      <c r="K204" s="132"/>
      <c r="L204" s="2"/>
      <c r="M204" s="2"/>
      <c r="N204" s="2"/>
      <c r="O204" s="2"/>
      <c r="P204" s="2"/>
      <c r="Q204" s="2"/>
      <c r="R204" s="2"/>
      <c r="S204" s="2"/>
      <c r="T204" s="2"/>
      <c r="U204" s="2"/>
      <c r="V204" s="2"/>
      <c r="W204" s="2"/>
      <c r="X204" s="2"/>
      <c r="Y204" s="2"/>
      <c r="Z204" s="2"/>
    </row>
    <row r="205">
      <c r="A205" s="2"/>
      <c r="B205" s="132"/>
      <c r="C205" s="132"/>
      <c r="D205" s="132"/>
      <c r="E205" s="132"/>
      <c r="F205" s="132"/>
      <c r="G205" s="132"/>
      <c r="H205" s="132"/>
      <c r="I205" s="132"/>
      <c r="J205" s="132"/>
      <c r="K205" s="132"/>
      <c r="L205" s="2"/>
      <c r="M205" s="2"/>
      <c r="N205" s="2"/>
      <c r="O205" s="2"/>
      <c r="P205" s="2"/>
      <c r="Q205" s="2"/>
      <c r="R205" s="2"/>
      <c r="S205" s="2"/>
      <c r="T205" s="2"/>
      <c r="U205" s="2"/>
      <c r="V205" s="2"/>
      <c r="W205" s="2"/>
      <c r="X205" s="2"/>
      <c r="Y205" s="2"/>
      <c r="Z205" s="2"/>
    </row>
    <row r="206">
      <c r="A206" s="2"/>
      <c r="B206" s="132"/>
      <c r="C206" s="132"/>
      <c r="D206" s="132"/>
      <c r="E206" s="132"/>
      <c r="F206" s="132"/>
      <c r="G206" s="132"/>
      <c r="H206" s="132"/>
      <c r="I206" s="132"/>
      <c r="J206" s="132"/>
      <c r="K206" s="132"/>
      <c r="L206" s="2"/>
      <c r="M206" s="2"/>
      <c r="N206" s="2"/>
      <c r="O206" s="2"/>
      <c r="P206" s="2"/>
      <c r="Q206" s="2"/>
      <c r="R206" s="2"/>
      <c r="S206" s="2"/>
      <c r="T206" s="2"/>
      <c r="U206" s="2"/>
      <c r="V206" s="2"/>
      <c r="W206" s="2"/>
      <c r="X206" s="2"/>
      <c r="Y206" s="2"/>
      <c r="Z206" s="2"/>
    </row>
    <row r="207">
      <c r="A207" s="2"/>
      <c r="B207" s="132"/>
      <c r="C207" s="132"/>
      <c r="D207" s="132"/>
      <c r="E207" s="132"/>
      <c r="F207" s="132"/>
      <c r="G207" s="132"/>
      <c r="H207" s="132"/>
      <c r="I207" s="132"/>
      <c r="J207" s="132"/>
      <c r="K207" s="132"/>
      <c r="L207" s="2"/>
      <c r="M207" s="2"/>
      <c r="N207" s="2"/>
      <c r="O207" s="2"/>
      <c r="P207" s="2"/>
      <c r="Q207" s="2"/>
      <c r="R207" s="2"/>
      <c r="S207" s="2"/>
      <c r="T207" s="2"/>
      <c r="U207" s="2"/>
      <c r="V207" s="2"/>
      <c r="W207" s="2"/>
      <c r="X207" s="2"/>
      <c r="Y207" s="2"/>
      <c r="Z207" s="2"/>
    </row>
    <row r="208">
      <c r="A208" s="2"/>
      <c r="B208" s="132"/>
      <c r="C208" s="132"/>
      <c r="D208" s="132"/>
      <c r="E208" s="132"/>
      <c r="F208" s="132"/>
      <c r="G208" s="132"/>
      <c r="H208" s="132"/>
      <c r="I208" s="132"/>
      <c r="J208" s="132"/>
      <c r="K208" s="132"/>
      <c r="L208" s="2"/>
      <c r="M208" s="2"/>
      <c r="N208" s="2"/>
      <c r="O208" s="2"/>
      <c r="P208" s="2"/>
      <c r="Q208" s="2"/>
      <c r="R208" s="2"/>
      <c r="S208" s="2"/>
      <c r="T208" s="2"/>
      <c r="U208" s="2"/>
      <c r="V208" s="2"/>
      <c r="W208" s="2"/>
      <c r="X208" s="2"/>
      <c r="Y208" s="2"/>
      <c r="Z208" s="2"/>
    </row>
    <row r="209">
      <c r="A209" s="2"/>
      <c r="B209" s="132"/>
      <c r="C209" s="132"/>
      <c r="D209" s="132"/>
      <c r="E209" s="132"/>
      <c r="F209" s="132"/>
      <c r="G209" s="132"/>
      <c r="H209" s="132"/>
      <c r="I209" s="132"/>
      <c r="J209" s="132"/>
      <c r="K209" s="132"/>
      <c r="L209" s="2"/>
      <c r="M209" s="2"/>
      <c r="N209" s="2"/>
      <c r="O209" s="2"/>
      <c r="P209" s="2"/>
      <c r="Q209" s="2"/>
      <c r="R209" s="2"/>
      <c r="S209" s="2"/>
      <c r="T209" s="2"/>
      <c r="U209" s="2"/>
      <c r="V209" s="2"/>
      <c r="W209" s="2"/>
      <c r="X209" s="2"/>
      <c r="Y209" s="2"/>
      <c r="Z209" s="2"/>
    </row>
    <row r="210">
      <c r="A210" s="2"/>
      <c r="B210" s="132"/>
      <c r="C210" s="132"/>
      <c r="D210" s="132"/>
      <c r="E210" s="132"/>
      <c r="F210" s="132"/>
      <c r="G210" s="132"/>
      <c r="H210" s="132"/>
      <c r="I210" s="132"/>
      <c r="J210" s="132"/>
      <c r="K210" s="132"/>
      <c r="L210" s="2"/>
      <c r="M210" s="2"/>
      <c r="N210" s="2"/>
      <c r="O210" s="2"/>
      <c r="P210" s="2"/>
      <c r="Q210" s="2"/>
      <c r="R210" s="2"/>
      <c r="S210" s="2"/>
      <c r="T210" s="2"/>
      <c r="U210" s="2"/>
      <c r="V210" s="2"/>
      <c r="W210" s="2"/>
      <c r="X210" s="2"/>
      <c r="Y210" s="2"/>
      <c r="Z210" s="2"/>
    </row>
    <row r="211">
      <c r="A211" s="2"/>
      <c r="B211" s="132"/>
      <c r="C211" s="132"/>
      <c r="D211" s="132"/>
      <c r="E211" s="132"/>
      <c r="F211" s="132"/>
      <c r="G211" s="132"/>
      <c r="H211" s="132"/>
      <c r="I211" s="132"/>
      <c r="J211" s="132"/>
      <c r="K211" s="132"/>
      <c r="L211" s="2"/>
      <c r="M211" s="2"/>
      <c r="N211" s="2"/>
      <c r="O211" s="2"/>
      <c r="P211" s="2"/>
      <c r="Q211" s="2"/>
      <c r="R211" s="2"/>
      <c r="S211" s="2"/>
      <c r="T211" s="2"/>
      <c r="U211" s="2"/>
      <c r="V211" s="2"/>
      <c r="W211" s="2"/>
      <c r="X211" s="2"/>
      <c r="Y211" s="2"/>
      <c r="Z211" s="2"/>
    </row>
    <row r="212">
      <c r="A212" s="2"/>
      <c r="B212" s="132"/>
      <c r="C212" s="132"/>
      <c r="D212" s="132"/>
      <c r="E212" s="132"/>
      <c r="F212" s="132"/>
      <c r="G212" s="132"/>
      <c r="H212" s="132"/>
      <c r="I212" s="132"/>
      <c r="J212" s="132"/>
      <c r="K212" s="132"/>
      <c r="L212" s="2"/>
      <c r="M212" s="2"/>
      <c r="N212" s="2"/>
      <c r="O212" s="2"/>
      <c r="P212" s="2"/>
      <c r="Q212" s="2"/>
      <c r="R212" s="2"/>
      <c r="S212" s="2"/>
      <c r="T212" s="2"/>
      <c r="U212" s="2"/>
      <c r="V212" s="2"/>
      <c r="W212" s="2"/>
      <c r="X212" s="2"/>
      <c r="Y212" s="2"/>
      <c r="Z212" s="2"/>
    </row>
    <row r="213">
      <c r="A213" s="2"/>
      <c r="B213" s="132"/>
      <c r="C213" s="132"/>
      <c r="D213" s="132"/>
      <c r="E213" s="132"/>
      <c r="F213" s="132"/>
      <c r="G213" s="132"/>
      <c r="H213" s="132"/>
      <c r="I213" s="132"/>
      <c r="J213" s="132"/>
      <c r="K213" s="132"/>
      <c r="L213" s="2"/>
      <c r="M213" s="2"/>
      <c r="N213" s="2"/>
      <c r="O213" s="2"/>
      <c r="P213" s="2"/>
      <c r="Q213" s="2"/>
      <c r="R213" s="2"/>
      <c r="S213" s="2"/>
      <c r="T213" s="2"/>
      <c r="U213" s="2"/>
      <c r="V213" s="2"/>
      <c r="W213" s="2"/>
      <c r="X213" s="2"/>
      <c r="Y213" s="2"/>
      <c r="Z213" s="2"/>
    </row>
    <row r="214">
      <c r="A214" s="2"/>
      <c r="B214" s="132"/>
      <c r="C214" s="132"/>
      <c r="D214" s="132"/>
      <c r="E214" s="132"/>
      <c r="F214" s="132"/>
      <c r="G214" s="132"/>
      <c r="H214" s="132"/>
      <c r="I214" s="132"/>
      <c r="J214" s="132"/>
      <c r="K214" s="132"/>
      <c r="L214" s="2"/>
      <c r="M214" s="2"/>
      <c r="N214" s="2"/>
      <c r="O214" s="2"/>
      <c r="P214" s="2"/>
      <c r="Q214" s="2"/>
      <c r="R214" s="2"/>
      <c r="S214" s="2"/>
      <c r="T214" s="2"/>
      <c r="U214" s="2"/>
      <c r="V214" s="2"/>
      <c r="W214" s="2"/>
      <c r="X214" s="2"/>
      <c r="Y214" s="2"/>
      <c r="Z214" s="2"/>
    </row>
    <row r="215">
      <c r="A215" s="2"/>
      <c r="B215" s="132"/>
      <c r="C215" s="132"/>
      <c r="D215" s="132"/>
      <c r="E215" s="132"/>
      <c r="F215" s="132"/>
      <c r="G215" s="132"/>
      <c r="H215" s="132"/>
      <c r="I215" s="132"/>
      <c r="J215" s="132"/>
      <c r="K215" s="132"/>
      <c r="L215" s="2"/>
      <c r="M215" s="2"/>
      <c r="N215" s="2"/>
      <c r="O215" s="2"/>
      <c r="P215" s="2"/>
      <c r="Q215" s="2"/>
      <c r="R215" s="2"/>
      <c r="S215" s="2"/>
      <c r="T215" s="2"/>
      <c r="U215" s="2"/>
      <c r="V215" s="2"/>
      <c r="W215" s="2"/>
      <c r="X215" s="2"/>
      <c r="Y215" s="2"/>
      <c r="Z215" s="2"/>
    </row>
    <row r="216">
      <c r="A216" s="2"/>
      <c r="B216" s="132"/>
      <c r="C216" s="132"/>
      <c r="D216" s="132"/>
      <c r="E216" s="132"/>
      <c r="F216" s="132"/>
      <c r="G216" s="132"/>
      <c r="H216" s="132"/>
      <c r="I216" s="132"/>
      <c r="J216" s="132"/>
      <c r="K216" s="132"/>
      <c r="L216" s="2"/>
      <c r="M216" s="2"/>
      <c r="N216" s="2"/>
      <c r="O216" s="2"/>
      <c r="P216" s="2"/>
      <c r="Q216" s="2"/>
      <c r="R216" s="2"/>
      <c r="S216" s="2"/>
      <c r="T216" s="2"/>
      <c r="U216" s="2"/>
      <c r="V216" s="2"/>
      <c r="W216" s="2"/>
      <c r="X216" s="2"/>
      <c r="Y216" s="2"/>
      <c r="Z216" s="2"/>
    </row>
    <row r="217">
      <c r="A217" s="2"/>
      <c r="B217" s="132"/>
      <c r="C217" s="132"/>
      <c r="D217" s="132"/>
      <c r="E217" s="132"/>
      <c r="F217" s="132"/>
      <c r="G217" s="132"/>
      <c r="H217" s="132"/>
      <c r="I217" s="132"/>
      <c r="J217" s="132"/>
      <c r="K217" s="132"/>
      <c r="L217" s="2"/>
      <c r="M217" s="2"/>
      <c r="N217" s="2"/>
      <c r="O217" s="2"/>
      <c r="P217" s="2"/>
      <c r="Q217" s="2"/>
      <c r="R217" s="2"/>
      <c r="S217" s="2"/>
      <c r="T217" s="2"/>
      <c r="U217" s="2"/>
      <c r="V217" s="2"/>
      <c r="W217" s="2"/>
      <c r="X217" s="2"/>
      <c r="Y217" s="2"/>
      <c r="Z217" s="2"/>
    </row>
    <row r="218">
      <c r="A218" s="2"/>
      <c r="B218" s="132"/>
      <c r="C218" s="132"/>
      <c r="D218" s="132"/>
      <c r="E218" s="132"/>
      <c r="F218" s="132"/>
      <c r="G218" s="132"/>
      <c r="H218" s="132"/>
      <c r="I218" s="132"/>
      <c r="J218" s="132"/>
      <c r="K218" s="132"/>
      <c r="L218" s="2"/>
      <c r="M218" s="2"/>
      <c r="N218" s="2"/>
      <c r="O218" s="2"/>
      <c r="P218" s="2"/>
      <c r="Q218" s="2"/>
      <c r="R218" s="2"/>
      <c r="S218" s="2"/>
      <c r="T218" s="2"/>
      <c r="U218" s="2"/>
      <c r="V218" s="2"/>
      <c r="W218" s="2"/>
      <c r="X218" s="2"/>
      <c r="Y218" s="2"/>
      <c r="Z218" s="2"/>
    </row>
    <row r="219">
      <c r="A219" s="2"/>
      <c r="B219" s="132"/>
      <c r="C219" s="132"/>
      <c r="D219" s="132"/>
      <c r="E219" s="132"/>
      <c r="F219" s="132"/>
      <c r="G219" s="132"/>
      <c r="H219" s="132"/>
      <c r="I219" s="132"/>
      <c r="J219" s="132"/>
      <c r="K219" s="132"/>
      <c r="L219" s="2"/>
      <c r="M219" s="2"/>
      <c r="N219" s="2"/>
      <c r="O219" s="2"/>
      <c r="P219" s="2"/>
      <c r="Q219" s="2"/>
      <c r="R219" s="2"/>
      <c r="S219" s="2"/>
      <c r="T219" s="2"/>
      <c r="U219" s="2"/>
      <c r="V219" s="2"/>
      <c r="W219" s="2"/>
      <c r="X219" s="2"/>
      <c r="Y219" s="2"/>
      <c r="Z219" s="2"/>
    </row>
    <row r="220">
      <c r="A220" s="2"/>
      <c r="B220" s="132"/>
      <c r="C220" s="132"/>
      <c r="D220" s="132"/>
      <c r="E220" s="132"/>
      <c r="F220" s="132"/>
      <c r="G220" s="132"/>
      <c r="H220" s="132"/>
      <c r="I220" s="132"/>
      <c r="J220" s="132"/>
      <c r="K220" s="132"/>
      <c r="L220" s="2"/>
      <c r="M220" s="2"/>
      <c r="N220" s="2"/>
      <c r="O220" s="2"/>
      <c r="P220" s="2"/>
      <c r="Q220" s="2"/>
      <c r="R220" s="2"/>
      <c r="S220" s="2"/>
      <c r="T220" s="2"/>
      <c r="U220" s="2"/>
      <c r="V220" s="2"/>
      <c r="W220" s="2"/>
      <c r="X220" s="2"/>
      <c r="Y220" s="2"/>
      <c r="Z220" s="2"/>
    </row>
    <row r="221">
      <c r="A221" s="2"/>
      <c r="B221" s="132"/>
      <c r="C221" s="132"/>
      <c r="D221" s="132"/>
      <c r="E221" s="132"/>
      <c r="F221" s="132"/>
      <c r="G221" s="132"/>
      <c r="H221" s="132"/>
      <c r="I221" s="132"/>
      <c r="J221" s="132"/>
      <c r="K221" s="132"/>
      <c r="L221" s="2"/>
      <c r="M221" s="2"/>
      <c r="N221" s="2"/>
      <c r="O221" s="2"/>
      <c r="P221" s="2"/>
      <c r="Q221" s="2"/>
      <c r="R221" s="2"/>
      <c r="S221" s="2"/>
      <c r="T221" s="2"/>
      <c r="U221" s="2"/>
      <c r="V221" s="2"/>
      <c r="W221" s="2"/>
      <c r="X221" s="2"/>
      <c r="Y221" s="2"/>
      <c r="Z221" s="2"/>
    </row>
    <row r="222">
      <c r="A222" s="2"/>
      <c r="B222" s="132"/>
      <c r="C222" s="132"/>
      <c r="D222" s="132"/>
      <c r="E222" s="132"/>
      <c r="F222" s="132"/>
      <c r="G222" s="132"/>
      <c r="H222" s="132"/>
      <c r="I222" s="132"/>
      <c r="J222" s="132"/>
      <c r="K222" s="132"/>
      <c r="L222" s="2"/>
      <c r="M222" s="2"/>
      <c r="N222" s="2"/>
      <c r="O222" s="2"/>
      <c r="P222" s="2"/>
      <c r="Q222" s="2"/>
      <c r="R222" s="2"/>
      <c r="S222" s="2"/>
      <c r="T222" s="2"/>
      <c r="U222" s="2"/>
      <c r="V222" s="2"/>
      <c r="W222" s="2"/>
      <c r="X222" s="2"/>
      <c r="Y222" s="2"/>
      <c r="Z222" s="2"/>
    </row>
    <row r="223">
      <c r="A223" s="2"/>
      <c r="B223" s="132"/>
      <c r="C223" s="132"/>
      <c r="D223" s="132"/>
      <c r="E223" s="132"/>
      <c r="F223" s="132"/>
      <c r="G223" s="132"/>
      <c r="H223" s="132"/>
      <c r="I223" s="132"/>
      <c r="J223" s="132"/>
      <c r="K223" s="132"/>
      <c r="L223" s="2"/>
      <c r="M223" s="2"/>
      <c r="N223" s="2"/>
      <c r="O223" s="2"/>
      <c r="P223" s="2"/>
      <c r="Q223" s="2"/>
      <c r="R223" s="2"/>
      <c r="S223" s="2"/>
      <c r="T223" s="2"/>
      <c r="U223" s="2"/>
      <c r="V223" s="2"/>
      <c r="W223" s="2"/>
      <c r="X223" s="2"/>
      <c r="Y223" s="2"/>
      <c r="Z223" s="2"/>
    </row>
    <row r="224">
      <c r="A224" s="2"/>
      <c r="B224" s="132"/>
      <c r="C224" s="132"/>
      <c r="D224" s="132"/>
      <c r="E224" s="132"/>
      <c r="F224" s="132"/>
      <c r="G224" s="132"/>
      <c r="H224" s="132"/>
      <c r="I224" s="132"/>
      <c r="J224" s="132"/>
      <c r="K224" s="132"/>
      <c r="L224" s="2"/>
      <c r="M224" s="2"/>
      <c r="N224" s="2"/>
      <c r="O224" s="2"/>
      <c r="P224" s="2"/>
      <c r="Q224" s="2"/>
      <c r="R224" s="2"/>
      <c r="S224" s="2"/>
      <c r="T224" s="2"/>
      <c r="U224" s="2"/>
      <c r="V224" s="2"/>
      <c r="W224" s="2"/>
      <c r="X224" s="2"/>
      <c r="Y224" s="2"/>
      <c r="Z224" s="2"/>
    </row>
    <row r="225">
      <c r="A225" s="2"/>
      <c r="B225" s="132"/>
      <c r="C225" s="132"/>
      <c r="D225" s="132"/>
      <c r="E225" s="132"/>
      <c r="F225" s="132"/>
      <c r="G225" s="132"/>
      <c r="H225" s="132"/>
      <c r="I225" s="132"/>
      <c r="J225" s="132"/>
      <c r="K225" s="132"/>
      <c r="L225" s="2"/>
      <c r="M225" s="2"/>
      <c r="N225" s="2"/>
      <c r="O225" s="2"/>
      <c r="P225" s="2"/>
      <c r="Q225" s="2"/>
      <c r="R225" s="2"/>
      <c r="S225" s="2"/>
      <c r="T225" s="2"/>
      <c r="U225" s="2"/>
      <c r="V225" s="2"/>
      <c r="W225" s="2"/>
      <c r="X225" s="2"/>
      <c r="Y225" s="2"/>
      <c r="Z225" s="2"/>
    </row>
    <row r="226">
      <c r="A226" s="2"/>
      <c r="B226" s="132"/>
      <c r="C226" s="132"/>
      <c r="D226" s="132"/>
      <c r="E226" s="132"/>
      <c r="F226" s="132"/>
      <c r="G226" s="132"/>
      <c r="H226" s="132"/>
      <c r="I226" s="132"/>
      <c r="J226" s="132"/>
      <c r="K226" s="132"/>
      <c r="L226" s="2"/>
      <c r="M226" s="2"/>
      <c r="N226" s="2"/>
      <c r="O226" s="2"/>
      <c r="P226" s="2"/>
      <c r="Q226" s="2"/>
      <c r="R226" s="2"/>
      <c r="S226" s="2"/>
      <c r="T226" s="2"/>
      <c r="U226" s="2"/>
      <c r="V226" s="2"/>
      <c r="W226" s="2"/>
      <c r="X226" s="2"/>
      <c r="Y226" s="2"/>
      <c r="Z226" s="2"/>
    </row>
    <row r="227">
      <c r="A227" s="2"/>
      <c r="B227" s="132"/>
      <c r="C227" s="132"/>
      <c r="D227" s="132"/>
      <c r="E227" s="132"/>
      <c r="F227" s="132"/>
      <c r="G227" s="132"/>
      <c r="H227" s="132"/>
      <c r="I227" s="132"/>
      <c r="J227" s="132"/>
      <c r="K227" s="132"/>
      <c r="L227" s="2"/>
      <c r="M227" s="2"/>
      <c r="N227" s="2"/>
      <c r="O227" s="2"/>
      <c r="P227" s="2"/>
      <c r="Q227" s="2"/>
      <c r="R227" s="2"/>
      <c r="S227" s="2"/>
      <c r="T227" s="2"/>
      <c r="U227" s="2"/>
      <c r="V227" s="2"/>
      <c r="W227" s="2"/>
      <c r="X227" s="2"/>
      <c r="Y227" s="2"/>
      <c r="Z227" s="2"/>
    </row>
    <row r="228">
      <c r="A228" s="2"/>
      <c r="B228" s="132"/>
      <c r="C228" s="132"/>
      <c r="D228" s="132"/>
      <c r="E228" s="132"/>
      <c r="F228" s="132"/>
      <c r="G228" s="132"/>
      <c r="H228" s="132"/>
      <c r="I228" s="132"/>
      <c r="J228" s="132"/>
      <c r="K228" s="132"/>
      <c r="L228" s="2"/>
      <c r="M228" s="2"/>
      <c r="N228" s="2"/>
      <c r="O228" s="2"/>
      <c r="P228" s="2"/>
      <c r="Q228" s="2"/>
      <c r="R228" s="2"/>
      <c r="S228" s="2"/>
      <c r="T228" s="2"/>
      <c r="U228" s="2"/>
      <c r="V228" s="2"/>
      <c r="W228" s="2"/>
      <c r="X228" s="2"/>
      <c r="Y228" s="2"/>
      <c r="Z228" s="2"/>
    </row>
    <row r="229">
      <c r="A229" s="2"/>
      <c r="B229" s="132"/>
      <c r="C229" s="132"/>
      <c r="D229" s="132"/>
      <c r="E229" s="132"/>
      <c r="F229" s="132"/>
      <c r="G229" s="132"/>
      <c r="H229" s="132"/>
      <c r="I229" s="132"/>
      <c r="J229" s="132"/>
      <c r="K229" s="132"/>
      <c r="L229" s="2"/>
      <c r="M229" s="2"/>
      <c r="N229" s="2"/>
      <c r="O229" s="2"/>
      <c r="P229" s="2"/>
      <c r="Q229" s="2"/>
      <c r="R229" s="2"/>
      <c r="S229" s="2"/>
      <c r="T229" s="2"/>
      <c r="U229" s="2"/>
      <c r="V229" s="2"/>
      <c r="W229" s="2"/>
      <c r="X229" s="2"/>
      <c r="Y229" s="2"/>
      <c r="Z229" s="2"/>
    </row>
    <row r="230">
      <c r="A230" s="2"/>
      <c r="B230" s="132"/>
      <c r="C230" s="132"/>
      <c r="D230" s="132"/>
      <c r="E230" s="132"/>
      <c r="F230" s="132"/>
      <c r="G230" s="132"/>
      <c r="H230" s="132"/>
      <c r="I230" s="132"/>
      <c r="J230" s="132"/>
      <c r="K230" s="132"/>
      <c r="L230" s="2"/>
      <c r="M230" s="2"/>
      <c r="N230" s="2"/>
      <c r="O230" s="2"/>
      <c r="P230" s="2"/>
      <c r="Q230" s="2"/>
      <c r="R230" s="2"/>
      <c r="S230" s="2"/>
      <c r="T230" s="2"/>
      <c r="U230" s="2"/>
      <c r="V230" s="2"/>
      <c r="W230" s="2"/>
      <c r="X230" s="2"/>
      <c r="Y230" s="2"/>
      <c r="Z230" s="2"/>
    </row>
    <row r="231">
      <c r="A231" s="2"/>
      <c r="B231" s="132"/>
      <c r="C231" s="132"/>
      <c r="D231" s="132"/>
      <c r="E231" s="132"/>
      <c r="F231" s="132"/>
      <c r="G231" s="132"/>
      <c r="H231" s="132"/>
      <c r="I231" s="132"/>
      <c r="J231" s="132"/>
      <c r="K231" s="132"/>
      <c r="L231" s="2"/>
      <c r="M231" s="2"/>
      <c r="N231" s="2"/>
      <c r="O231" s="2"/>
      <c r="P231" s="2"/>
      <c r="Q231" s="2"/>
      <c r="R231" s="2"/>
      <c r="S231" s="2"/>
      <c r="T231" s="2"/>
      <c r="U231" s="2"/>
      <c r="V231" s="2"/>
      <c r="W231" s="2"/>
      <c r="X231" s="2"/>
      <c r="Y231" s="2"/>
      <c r="Z231" s="2"/>
    </row>
    <row r="232">
      <c r="A232" s="2"/>
      <c r="B232" s="132"/>
      <c r="C232" s="132"/>
      <c r="D232" s="132"/>
      <c r="E232" s="132"/>
      <c r="F232" s="132"/>
      <c r="G232" s="132"/>
      <c r="H232" s="132"/>
      <c r="I232" s="132"/>
      <c r="J232" s="132"/>
      <c r="K232" s="132"/>
      <c r="L232" s="2"/>
      <c r="M232" s="2"/>
      <c r="N232" s="2"/>
      <c r="O232" s="2"/>
      <c r="P232" s="2"/>
      <c r="Q232" s="2"/>
      <c r="R232" s="2"/>
      <c r="S232" s="2"/>
      <c r="T232" s="2"/>
      <c r="U232" s="2"/>
      <c r="V232" s="2"/>
      <c r="W232" s="2"/>
      <c r="X232" s="2"/>
      <c r="Y232" s="2"/>
      <c r="Z232" s="2"/>
    </row>
    <row r="233">
      <c r="A233" s="2"/>
      <c r="B233" s="132"/>
      <c r="C233" s="132"/>
      <c r="D233" s="132"/>
      <c r="E233" s="132"/>
      <c r="F233" s="132"/>
      <c r="G233" s="132"/>
      <c r="H233" s="132"/>
      <c r="I233" s="132"/>
      <c r="J233" s="132"/>
      <c r="K233" s="132"/>
      <c r="L233" s="2"/>
      <c r="M233" s="2"/>
      <c r="N233" s="2"/>
      <c r="O233" s="2"/>
      <c r="P233" s="2"/>
      <c r="Q233" s="2"/>
      <c r="R233" s="2"/>
      <c r="S233" s="2"/>
      <c r="T233" s="2"/>
      <c r="U233" s="2"/>
      <c r="V233" s="2"/>
      <c r="W233" s="2"/>
      <c r="X233" s="2"/>
      <c r="Y233" s="2"/>
      <c r="Z233" s="2"/>
    </row>
    <row r="234">
      <c r="A234" s="2"/>
      <c r="B234" s="132"/>
      <c r="C234" s="132"/>
      <c r="D234" s="132"/>
      <c r="E234" s="132"/>
      <c r="F234" s="132"/>
      <c r="G234" s="132"/>
      <c r="H234" s="132"/>
      <c r="I234" s="132"/>
      <c r="J234" s="132"/>
      <c r="K234" s="132"/>
      <c r="L234" s="2"/>
      <c r="M234" s="2"/>
      <c r="N234" s="2"/>
      <c r="O234" s="2"/>
      <c r="P234" s="2"/>
      <c r="Q234" s="2"/>
      <c r="R234" s="2"/>
      <c r="S234" s="2"/>
      <c r="T234" s="2"/>
      <c r="U234" s="2"/>
      <c r="V234" s="2"/>
      <c r="W234" s="2"/>
      <c r="X234" s="2"/>
      <c r="Y234" s="2"/>
      <c r="Z234" s="2"/>
    </row>
    <row r="235">
      <c r="A235" s="2"/>
      <c r="B235" s="132"/>
      <c r="C235" s="132"/>
      <c r="D235" s="132"/>
      <c r="E235" s="132"/>
      <c r="F235" s="132"/>
      <c r="G235" s="132"/>
      <c r="H235" s="132"/>
      <c r="I235" s="132"/>
      <c r="J235" s="132"/>
      <c r="K235" s="132"/>
      <c r="L235" s="2"/>
      <c r="M235" s="2"/>
      <c r="N235" s="2"/>
      <c r="O235" s="2"/>
      <c r="P235" s="2"/>
      <c r="Q235" s="2"/>
      <c r="R235" s="2"/>
      <c r="S235" s="2"/>
      <c r="T235" s="2"/>
      <c r="U235" s="2"/>
      <c r="V235" s="2"/>
      <c r="W235" s="2"/>
      <c r="X235" s="2"/>
      <c r="Y235" s="2"/>
      <c r="Z235" s="2"/>
    </row>
    <row r="236">
      <c r="A236" s="2"/>
      <c r="B236" s="132"/>
      <c r="C236" s="132"/>
      <c r="D236" s="132"/>
      <c r="E236" s="132"/>
      <c r="F236" s="132"/>
      <c r="G236" s="132"/>
      <c r="H236" s="132"/>
      <c r="I236" s="132"/>
      <c r="J236" s="132"/>
      <c r="K236" s="132"/>
      <c r="L236" s="2"/>
      <c r="M236" s="2"/>
      <c r="N236" s="2"/>
      <c r="O236" s="2"/>
      <c r="P236" s="2"/>
      <c r="Q236" s="2"/>
      <c r="R236" s="2"/>
      <c r="S236" s="2"/>
      <c r="T236" s="2"/>
      <c r="U236" s="2"/>
      <c r="V236" s="2"/>
      <c r="W236" s="2"/>
      <c r="X236" s="2"/>
      <c r="Y236" s="2"/>
      <c r="Z236" s="2"/>
    </row>
    <row r="237">
      <c r="A237" s="2"/>
      <c r="B237" s="132"/>
      <c r="C237" s="132"/>
      <c r="D237" s="132"/>
      <c r="E237" s="132"/>
      <c r="F237" s="132"/>
      <c r="G237" s="132"/>
      <c r="H237" s="132"/>
      <c r="I237" s="132"/>
      <c r="J237" s="132"/>
      <c r="K237" s="132"/>
      <c r="L237" s="2"/>
      <c r="M237" s="2"/>
      <c r="N237" s="2"/>
      <c r="O237" s="2"/>
      <c r="P237" s="2"/>
      <c r="Q237" s="2"/>
      <c r="R237" s="2"/>
      <c r="S237" s="2"/>
      <c r="T237" s="2"/>
      <c r="U237" s="2"/>
      <c r="V237" s="2"/>
      <c r="W237" s="2"/>
      <c r="X237" s="2"/>
      <c r="Y237" s="2"/>
      <c r="Z237" s="2"/>
    </row>
    <row r="238">
      <c r="A238" s="2"/>
      <c r="B238" s="132"/>
      <c r="C238" s="132"/>
      <c r="D238" s="132"/>
      <c r="E238" s="132"/>
      <c r="F238" s="132"/>
      <c r="G238" s="132"/>
      <c r="H238" s="132"/>
      <c r="I238" s="132"/>
      <c r="J238" s="132"/>
      <c r="K238" s="132"/>
      <c r="L238" s="2"/>
      <c r="M238" s="2"/>
      <c r="N238" s="2"/>
      <c r="O238" s="2"/>
      <c r="P238" s="2"/>
      <c r="Q238" s="2"/>
      <c r="R238" s="2"/>
      <c r="S238" s="2"/>
      <c r="T238" s="2"/>
      <c r="U238" s="2"/>
      <c r="V238" s="2"/>
      <c r="W238" s="2"/>
      <c r="X238" s="2"/>
      <c r="Y238" s="2"/>
      <c r="Z238" s="2"/>
    </row>
    <row r="239">
      <c r="A239" s="2"/>
      <c r="B239" s="132"/>
      <c r="C239" s="132"/>
      <c r="D239" s="132"/>
      <c r="E239" s="132"/>
      <c r="F239" s="132"/>
      <c r="G239" s="132"/>
      <c r="H239" s="132"/>
      <c r="I239" s="132"/>
      <c r="J239" s="132"/>
      <c r="K239" s="132"/>
      <c r="L239" s="2"/>
      <c r="M239" s="2"/>
      <c r="N239" s="2"/>
      <c r="O239" s="2"/>
      <c r="P239" s="2"/>
      <c r="Q239" s="2"/>
      <c r="R239" s="2"/>
      <c r="S239" s="2"/>
      <c r="T239" s="2"/>
      <c r="U239" s="2"/>
      <c r="V239" s="2"/>
      <c r="W239" s="2"/>
      <c r="X239" s="2"/>
      <c r="Y239" s="2"/>
      <c r="Z239" s="2"/>
    </row>
    <row r="240">
      <c r="A240" s="2"/>
      <c r="B240" s="132"/>
      <c r="C240" s="132"/>
      <c r="D240" s="132"/>
      <c r="E240" s="132"/>
      <c r="F240" s="132"/>
      <c r="G240" s="132"/>
      <c r="H240" s="132"/>
      <c r="I240" s="132"/>
      <c r="J240" s="132"/>
      <c r="K240" s="132"/>
      <c r="L240" s="2"/>
      <c r="M240" s="2"/>
      <c r="N240" s="2"/>
      <c r="O240" s="2"/>
      <c r="P240" s="2"/>
      <c r="Q240" s="2"/>
      <c r="R240" s="2"/>
      <c r="S240" s="2"/>
      <c r="T240" s="2"/>
      <c r="U240" s="2"/>
      <c r="V240" s="2"/>
      <c r="W240" s="2"/>
      <c r="X240" s="2"/>
      <c r="Y240" s="2"/>
      <c r="Z240" s="2"/>
    </row>
    <row r="241">
      <c r="A241" s="2"/>
      <c r="B241" s="132"/>
      <c r="C241" s="132"/>
      <c r="D241" s="132"/>
      <c r="E241" s="132"/>
      <c r="F241" s="132"/>
      <c r="G241" s="132"/>
      <c r="H241" s="132"/>
      <c r="I241" s="132"/>
      <c r="J241" s="132"/>
      <c r="K241" s="132"/>
      <c r="L241" s="2"/>
      <c r="M241" s="2"/>
      <c r="N241" s="2"/>
      <c r="O241" s="2"/>
      <c r="P241" s="2"/>
      <c r="Q241" s="2"/>
      <c r="R241" s="2"/>
      <c r="S241" s="2"/>
      <c r="T241" s="2"/>
      <c r="U241" s="2"/>
      <c r="V241" s="2"/>
      <c r="W241" s="2"/>
      <c r="X241" s="2"/>
      <c r="Y241" s="2"/>
      <c r="Z241" s="2"/>
    </row>
    <row r="242">
      <c r="A242" s="2"/>
      <c r="B242" s="132"/>
      <c r="C242" s="132"/>
      <c r="D242" s="132"/>
      <c r="E242" s="132"/>
      <c r="F242" s="132"/>
      <c r="G242" s="132"/>
      <c r="H242" s="132"/>
      <c r="I242" s="132"/>
      <c r="J242" s="132"/>
      <c r="K242" s="132"/>
      <c r="L242" s="2"/>
      <c r="M242" s="2"/>
      <c r="N242" s="2"/>
      <c r="O242" s="2"/>
      <c r="P242" s="2"/>
      <c r="Q242" s="2"/>
      <c r="R242" s="2"/>
      <c r="S242" s="2"/>
      <c r="T242" s="2"/>
      <c r="U242" s="2"/>
      <c r="V242" s="2"/>
      <c r="W242" s="2"/>
      <c r="X242" s="2"/>
      <c r="Y242" s="2"/>
      <c r="Z242" s="2"/>
    </row>
    <row r="243">
      <c r="A243" s="2"/>
      <c r="B243" s="132"/>
      <c r="C243" s="132"/>
      <c r="D243" s="132"/>
      <c r="E243" s="132"/>
      <c r="F243" s="132"/>
      <c r="G243" s="132"/>
      <c r="H243" s="132"/>
      <c r="I243" s="132"/>
      <c r="J243" s="132"/>
      <c r="K243" s="132"/>
      <c r="L243" s="2"/>
      <c r="M243" s="2"/>
      <c r="N243" s="2"/>
      <c r="O243" s="2"/>
      <c r="P243" s="2"/>
      <c r="Q243" s="2"/>
      <c r="R243" s="2"/>
      <c r="S243" s="2"/>
      <c r="T243" s="2"/>
      <c r="U243" s="2"/>
      <c r="V243" s="2"/>
      <c r="W243" s="2"/>
      <c r="X243" s="2"/>
      <c r="Y243" s="2"/>
      <c r="Z243" s="2"/>
    </row>
    <row r="244">
      <c r="A244" s="2"/>
      <c r="B244" s="132"/>
      <c r="C244" s="132"/>
      <c r="D244" s="132"/>
      <c r="E244" s="132"/>
      <c r="F244" s="132"/>
      <c r="G244" s="132"/>
      <c r="H244" s="132"/>
      <c r="I244" s="132"/>
      <c r="J244" s="132"/>
      <c r="K244" s="132"/>
      <c r="L244" s="2"/>
      <c r="M244" s="2"/>
      <c r="N244" s="2"/>
      <c r="O244" s="2"/>
      <c r="P244" s="2"/>
      <c r="Q244" s="2"/>
      <c r="R244" s="2"/>
      <c r="S244" s="2"/>
      <c r="T244" s="2"/>
      <c r="U244" s="2"/>
      <c r="V244" s="2"/>
      <c r="W244" s="2"/>
      <c r="X244" s="2"/>
      <c r="Y244" s="2"/>
      <c r="Z244" s="2"/>
    </row>
    <row r="245">
      <c r="A245" s="2"/>
      <c r="B245" s="132"/>
      <c r="C245" s="132"/>
      <c r="D245" s="132"/>
      <c r="E245" s="132"/>
      <c r="F245" s="132"/>
      <c r="G245" s="132"/>
      <c r="H245" s="132"/>
      <c r="I245" s="132"/>
      <c r="J245" s="132"/>
      <c r="K245" s="132"/>
      <c r="L245" s="2"/>
      <c r="M245" s="2"/>
      <c r="N245" s="2"/>
      <c r="O245" s="2"/>
      <c r="P245" s="2"/>
      <c r="Q245" s="2"/>
      <c r="R245" s="2"/>
      <c r="S245" s="2"/>
      <c r="T245" s="2"/>
      <c r="U245" s="2"/>
      <c r="V245" s="2"/>
      <c r="W245" s="2"/>
      <c r="X245" s="2"/>
      <c r="Y245" s="2"/>
      <c r="Z245" s="2"/>
    </row>
    <row r="246">
      <c r="A246" s="2"/>
      <c r="B246" s="132"/>
      <c r="C246" s="132"/>
      <c r="D246" s="132"/>
      <c r="E246" s="132"/>
      <c r="F246" s="132"/>
      <c r="G246" s="132"/>
      <c r="H246" s="132"/>
      <c r="I246" s="132"/>
      <c r="J246" s="132"/>
      <c r="K246" s="132"/>
      <c r="L246" s="2"/>
      <c r="M246" s="2"/>
      <c r="N246" s="2"/>
      <c r="O246" s="2"/>
      <c r="P246" s="2"/>
      <c r="Q246" s="2"/>
      <c r="R246" s="2"/>
      <c r="S246" s="2"/>
      <c r="T246" s="2"/>
      <c r="U246" s="2"/>
      <c r="V246" s="2"/>
      <c r="W246" s="2"/>
      <c r="X246" s="2"/>
      <c r="Y246" s="2"/>
      <c r="Z246" s="2"/>
    </row>
    <row r="247">
      <c r="A247" s="2"/>
      <c r="B247" s="132"/>
      <c r="C247" s="132"/>
      <c r="D247" s="132"/>
      <c r="E247" s="132"/>
      <c r="F247" s="132"/>
      <c r="G247" s="132"/>
      <c r="H247" s="132"/>
      <c r="I247" s="132"/>
      <c r="J247" s="132"/>
      <c r="K247" s="132"/>
      <c r="L247" s="2"/>
      <c r="M247" s="2"/>
      <c r="N247" s="2"/>
      <c r="O247" s="2"/>
      <c r="P247" s="2"/>
      <c r="Q247" s="2"/>
      <c r="R247" s="2"/>
      <c r="S247" s="2"/>
      <c r="T247" s="2"/>
      <c r="U247" s="2"/>
      <c r="V247" s="2"/>
      <c r="W247" s="2"/>
      <c r="X247" s="2"/>
      <c r="Y247" s="2"/>
      <c r="Z247" s="2"/>
    </row>
    <row r="248">
      <c r="A248" s="2"/>
      <c r="B248" s="132"/>
      <c r="C248" s="132"/>
      <c r="D248" s="132"/>
      <c r="E248" s="132"/>
      <c r="F248" s="132"/>
      <c r="G248" s="132"/>
      <c r="H248" s="132"/>
      <c r="I248" s="132"/>
      <c r="J248" s="132"/>
      <c r="K248" s="132"/>
      <c r="L248" s="2"/>
      <c r="M248" s="2"/>
      <c r="N248" s="2"/>
      <c r="O248" s="2"/>
      <c r="P248" s="2"/>
      <c r="Q248" s="2"/>
      <c r="R248" s="2"/>
      <c r="S248" s="2"/>
      <c r="T248" s="2"/>
      <c r="U248" s="2"/>
      <c r="V248" s="2"/>
      <c r="W248" s="2"/>
      <c r="X248" s="2"/>
      <c r="Y248" s="2"/>
      <c r="Z248" s="2"/>
    </row>
    <row r="249">
      <c r="A249" s="2"/>
      <c r="B249" s="132"/>
      <c r="C249" s="132"/>
      <c r="D249" s="132"/>
      <c r="E249" s="132"/>
      <c r="F249" s="132"/>
      <c r="G249" s="132"/>
      <c r="H249" s="132"/>
      <c r="I249" s="132"/>
      <c r="J249" s="132"/>
      <c r="K249" s="132"/>
      <c r="L249" s="2"/>
      <c r="M249" s="2"/>
      <c r="N249" s="2"/>
      <c r="O249" s="2"/>
      <c r="P249" s="2"/>
      <c r="Q249" s="2"/>
      <c r="R249" s="2"/>
      <c r="S249" s="2"/>
      <c r="T249" s="2"/>
      <c r="U249" s="2"/>
      <c r="V249" s="2"/>
      <c r="W249" s="2"/>
      <c r="X249" s="2"/>
      <c r="Y249" s="2"/>
      <c r="Z249" s="2"/>
    </row>
    <row r="250">
      <c r="A250" s="2"/>
      <c r="B250" s="132"/>
      <c r="C250" s="132"/>
      <c r="D250" s="132"/>
      <c r="E250" s="132"/>
      <c r="F250" s="132"/>
      <c r="G250" s="132"/>
      <c r="H250" s="132"/>
      <c r="I250" s="132"/>
      <c r="J250" s="132"/>
      <c r="K250" s="132"/>
      <c r="L250" s="2"/>
      <c r="M250" s="2"/>
      <c r="N250" s="2"/>
      <c r="O250" s="2"/>
      <c r="P250" s="2"/>
      <c r="Q250" s="2"/>
      <c r="R250" s="2"/>
      <c r="S250" s="2"/>
      <c r="T250" s="2"/>
      <c r="U250" s="2"/>
      <c r="V250" s="2"/>
      <c r="W250" s="2"/>
      <c r="X250" s="2"/>
      <c r="Y250" s="2"/>
      <c r="Z250" s="2"/>
    </row>
    <row r="251">
      <c r="A251" s="2"/>
      <c r="B251" s="132"/>
      <c r="C251" s="132"/>
      <c r="D251" s="132"/>
      <c r="E251" s="132"/>
      <c r="F251" s="132"/>
      <c r="G251" s="132"/>
      <c r="H251" s="132"/>
      <c r="I251" s="132"/>
      <c r="J251" s="132"/>
      <c r="K251" s="132"/>
      <c r="L251" s="2"/>
      <c r="M251" s="2"/>
      <c r="N251" s="2"/>
      <c r="O251" s="2"/>
      <c r="P251" s="2"/>
      <c r="Q251" s="2"/>
      <c r="R251" s="2"/>
      <c r="S251" s="2"/>
      <c r="T251" s="2"/>
      <c r="U251" s="2"/>
      <c r="V251" s="2"/>
      <c r="W251" s="2"/>
      <c r="X251" s="2"/>
      <c r="Y251" s="2"/>
      <c r="Z251" s="2"/>
    </row>
    <row r="252">
      <c r="A252" s="2"/>
      <c r="B252" s="132"/>
      <c r="C252" s="132"/>
      <c r="D252" s="132"/>
      <c r="E252" s="132"/>
      <c r="F252" s="132"/>
      <c r="G252" s="132"/>
      <c r="H252" s="132"/>
      <c r="I252" s="132"/>
      <c r="J252" s="132"/>
      <c r="K252" s="132"/>
      <c r="L252" s="2"/>
      <c r="M252" s="2"/>
      <c r="N252" s="2"/>
      <c r="O252" s="2"/>
      <c r="P252" s="2"/>
      <c r="Q252" s="2"/>
      <c r="R252" s="2"/>
      <c r="S252" s="2"/>
      <c r="T252" s="2"/>
      <c r="U252" s="2"/>
      <c r="V252" s="2"/>
      <c r="W252" s="2"/>
      <c r="X252" s="2"/>
      <c r="Y252" s="2"/>
      <c r="Z252" s="2"/>
    </row>
    <row r="253">
      <c r="A253" s="2"/>
      <c r="B253" s="132"/>
      <c r="C253" s="132"/>
      <c r="D253" s="132"/>
      <c r="E253" s="132"/>
      <c r="F253" s="132"/>
      <c r="G253" s="132"/>
      <c r="H253" s="132"/>
      <c r="I253" s="132"/>
      <c r="J253" s="132"/>
      <c r="K253" s="132"/>
      <c r="L253" s="2"/>
      <c r="M253" s="2"/>
      <c r="N253" s="2"/>
      <c r="O253" s="2"/>
      <c r="P253" s="2"/>
      <c r="Q253" s="2"/>
      <c r="R253" s="2"/>
      <c r="S253" s="2"/>
      <c r="T253" s="2"/>
      <c r="U253" s="2"/>
      <c r="V253" s="2"/>
      <c r="W253" s="2"/>
      <c r="X253" s="2"/>
      <c r="Y253" s="2"/>
      <c r="Z253" s="2"/>
    </row>
    <row r="254">
      <c r="A254" s="2"/>
      <c r="B254" s="132"/>
      <c r="C254" s="132"/>
      <c r="D254" s="132"/>
      <c r="E254" s="132"/>
      <c r="F254" s="132"/>
      <c r="G254" s="132"/>
      <c r="H254" s="132"/>
      <c r="I254" s="132"/>
      <c r="J254" s="132"/>
      <c r="K254" s="132"/>
      <c r="L254" s="2"/>
      <c r="M254" s="2"/>
      <c r="N254" s="2"/>
      <c r="O254" s="2"/>
      <c r="P254" s="2"/>
      <c r="Q254" s="2"/>
      <c r="R254" s="2"/>
      <c r="S254" s="2"/>
      <c r="T254" s="2"/>
      <c r="U254" s="2"/>
      <c r="V254" s="2"/>
      <c r="W254" s="2"/>
      <c r="X254" s="2"/>
      <c r="Y254" s="2"/>
      <c r="Z254" s="2"/>
    </row>
    <row r="255">
      <c r="A255" s="2"/>
      <c r="B255" s="132"/>
      <c r="C255" s="132"/>
      <c r="D255" s="132"/>
      <c r="E255" s="132"/>
      <c r="F255" s="132"/>
      <c r="G255" s="132"/>
      <c r="H255" s="132"/>
      <c r="I255" s="132"/>
      <c r="J255" s="132"/>
      <c r="K255" s="132"/>
      <c r="L255" s="2"/>
      <c r="M255" s="2"/>
      <c r="N255" s="2"/>
      <c r="O255" s="2"/>
      <c r="P255" s="2"/>
      <c r="Q255" s="2"/>
      <c r="R255" s="2"/>
      <c r="S255" s="2"/>
      <c r="T255" s="2"/>
      <c r="U255" s="2"/>
      <c r="V255" s="2"/>
      <c r="W255" s="2"/>
      <c r="X255" s="2"/>
      <c r="Y255" s="2"/>
      <c r="Z255" s="2"/>
    </row>
    <row r="256">
      <c r="A256" s="2"/>
      <c r="B256" s="132"/>
      <c r="C256" s="132"/>
      <c r="D256" s="132"/>
      <c r="E256" s="132"/>
      <c r="F256" s="132"/>
      <c r="G256" s="132"/>
      <c r="H256" s="132"/>
      <c r="I256" s="132"/>
      <c r="J256" s="132"/>
      <c r="K256" s="132"/>
      <c r="L256" s="2"/>
      <c r="M256" s="2"/>
      <c r="N256" s="2"/>
      <c r="O256" s="2"/>
      <c r="P256" s="2"/>
      <c r="Q256" s="2"/>
      <c r="R256" s="2"/>
      <c r="S256" s="2"/>
      <c r="T256" s="2"/>
      <c r="U256" s="2"/>
      <c r="V256" s="2"/>
      <c r="W256" s="2"/>
      <c r="X256" s="2"/>
      <c r="Y256" s="2"/>
      <c r="Z256" s="2"/>
    </row>
    <row r="257">
      <c r="A257" s="2"/>
      <c r="B257" s="132"/>
      <c r="C257" s="132"/>
      <c r="D257" s="132"/>
      <c r="E257" s="132"/>
      <c r="F257" s="132"/>
      <c r="G257" s="132"/>
      <c r="H257" s="132"/>
      <c r="I257" s="132"/>
      <c r="J257" s="132"/>
      <c r="K257" s="132"/>
      <c r="L257" s="2"/>
      <c r="M257" s="2"/>
      <c r="N257" s="2"/>
      <c r="O257" s="2"/>
      <c r="P257" s="2"/>
      <c r="Q257" s="2"/>
      <c r="R257" s="2"/>
      <c r="S257" s="2"/>
      <c r="T257" s="2"/>
      <c r="U257" s="2"/>
      <c r="V257" s="2"/>
      <c r="W257" s="2"/>
      <c r="X257" s="2"/>
      <c r="Y257" s="2"/>
      <c r="Z257" s="2"/>
    </row>
    <row r="258">
      <c r="A258" s="2"/>
      <c r="B258" s="132"/>
      <c r="C258" s="132"/>
      <c r="D258" s="132"/>
      <c r="E258" s="132"/>
      <c r="F258" s="132"/>
      <c r="G258" s="132"/>
      <c r="H258" s="132"/>
      <c r="I258" s="132"/>
      <c r="J258" s="132"/>
      <c r="K258" s="132"/>
      <c r="L258" s="2"/>
      <c r="M258" s="2"/>
      <c r="N258" s="2"/>
      <c r="O258" s="2"/>
      <c r="P258" s="2"/>
      <c r="Q258" s="2"/>
      <c r="R258" s="2"/>
      <c r="S258" s="2"/>
      <c r="T258" s="2"/>
      <c r="U258" s="2"/>
      <c r="V258" s="2"/>
      <c r="W258" s="2"/>
      <c r="X258" s="2"/>
      <c r="Y258" s="2"/>
      <c r="Z258" s="2"/>
    </row>
    <row r="259">
      <c r="A259" s="2"/>
      <c r="B259" s="132"/>
      <c r="C259" s="132"/>
      <c r="D259" s="132"/>
      <c r="E259" s="132"/>
      <c r="F259" s="132"/>
      <c r="G259" s="132"/>
      <c r="H259" s="132"/>
      <c r="I259" s="132"/>
      <c r="J259" s="132"/>
      <c r="K259" s="132"/>
      <c r="L259" s="2"/>
      <c r="M259" s="2"/>
      <c r="N259" s="2"/>
      <c r="O259" s="2"/>
      <c r="P259" s="2"/>
      <c r="Q259" s="2"/>
      <c r="R259" s="2"/>
      <c r="S259" s="2"/>
      <c r="T259" s="2"/>
      <c r="U259" s="2"/>
      <c r="V259" s="2"/>
      <c r="W259" s="2"/>
      <c r="X259" s="2"/>
      <c r="Y259" s="2"/>
      <c r="Z259" s="2"/>
    </row>
    <row r="260">
      <c r="A260" s="2"/>
      <c r="B260" s="132"/>
      <c r="C260" s="132"/>
      <c r="D260" s="132"/>
      <c r="E260" s="132"/>
      <c r="F260" s="132"/>
      <c r="G260" s="132"/>
      <c r="H260" s="132"/>
      <c r="I260" s="132"/>
      <c r="J260" s="132"/>
      <c r="K260" s="132"/>
      <c r="L260" s="2"/>
      <c r="M260" s="2"/>
      <c r="N260" s="2"/>
      <c r="O260" s="2"/>
      <c r="P260" s="2"/>
      <c r="Q260" s="2"/>
      <c r="R260" s="2"/>
      <c r="S260" s="2"/>
      <c r="T260" s="2"/>
      <c r="U260" s="2"/>
      <c r="V260" s="2"/>
      <c r="W260" s="2"/>
      <c r="X260" s="2"/>
      <c r="Y260" s="2"/>
      <c r="Z260" s="2"/>
    </row>
    <row r="261">
      <c r="A261" s="2"/>
      <c r="B261" s="132"/>
      <c r="C261" s="132"/>
      <c r="D261" s="132"/>
      <c r="E261" s="132"/>
      <c r="F261" s="132"/>
      <c r="G261" s="132"/>
      <c r="H261" s="132"/>
      <c r="I261" s="132"/>
      <c r="J261" s="132"/>
      <c r="K261" s="132"/>
      <c r="L261" s="2"/>
      <c r="M261" s="2"/>
      <c r="N261" s="2"/>
      <c r="O261" s="2"/>
      <c r="P261" s="2"/>
      <c r="Q261" s="2"/>
      <c r="R261" s="2"/>
      <c r="S261" s="2"/>
      <c r="T261" s="2"/>
      <c r="U261" s="2"/>
      <c r="V261" s="2"/>
      <c r="W261" s="2"/>
      <c r="X261" s="2"/>
      <c r="Y261" s="2"/>
      <c r="Z261" s="2"/>
    </row>
    <row r="262">
      <c r="A262" s="2"/>
      <c r="B262" s="132"/>
      <c r="C262" s="132"/>
      <c r="D262" s="132"/>
      <c r="E262" s="132"/>
      <c r="F262" s="132"/>
      <c r="G262" s="132"/>
      <c r="H262" s="132"/>
      <c r="I262" s="132"/>
      <c r="J262" s="132"/>
      <c r="K262" s="132"/>
      <c r="L262" s="2"/>
      <c r="M262" s="2"/>
      <c r="N262" s="2"/>
      <c r="O262" s="2"/>
      <c r="P262" s="2"/>
      <c r="Q262" s="2"/>
      <c r="R262" s="2"/>
      <c r="S262" s="2"/>
      <c r="T262" s="2"/>
      <c r="U262" s="2"/>
      <c r="V262" s="2"/>
      <c r="W262" s="2"/>
      <c r="X262" s="2"/>
      <c r="Y262" s="2"/>
      <c r="Z262" s="2"/>
    </row>
    <row r="263">
      <c r="A263" s="2"/>
      <c r="B263" s="132"/>
      <c r="C263" s="132"/>
      <c r="D263" s="132"/>
      <c r="E263" s="132"/>
      <c r="F263" s="132"/>
      <c r="G263" s="132"/>
      <c r="H263" s="132"/>
      <c r="I263" s="132"/>
      <c r="J263" s="132"/>
      <c r="K263" s="132"/>
      <c r="L263" s="2"/>
      <c r="M263" s="2"/>
      <c r="N263" s="2"/>
      <c r="O263" s="2"/>
      <c r="P263" s="2"/>
      <c r="Q263" s="2"/>
      <c r="R263" s="2"/>
      <c r="S263" s="2"/>
      <c r="T263" s="2"/>
      <c r="U263" s="2"/>
      <c r="V263" s="2"/>
      <c r="W263" s="2"/>
      <c r="X263" s="2"/>
      <c r="Y263" s="2"/>
      <c r="Z263" s="2"/>
    </row>
    <row r="264">
      <c r="A264" s="2"/>
      <c r="B264" s="132"/>
      <c r="C264" s="132"/>
      <c r="D264" s="132"/>
      <c r="E264" s="132"/>
      <c r="F264" s="132"/>
      <c r="G264" s="132"/>
      <c r="H264" s="132"/>
      <c r="I264" s="132"/>
      <c r="J264" s="132"/>
      <c r="K264" s="132"/>
      <c r="L264" s="2"/>
      <c r="M264" s="2"/>
      <c r="N264" s="2"/>
      <c r="O264" s="2"/>
      <c r="P264" s="2"/>
      <c r="Q264" s="2"/>
      <c r="R264" s="2"/>
      <c r="S264" s="2"/>
      <c r="T264" s="2"/>
      <c r="U264" s="2"/>
      <c r="V264" s="2"/>
      <c r="W264" s="2"/>
      <c r="X264" s="2"/>
      <c r="Y264" s="2"/>
      <c r="Z264" s="2"/>
    </row>
    <row r="265">
      <c r="A265" s="2"/>
      <c r="B265" s="132"/>
      <c r="C265" s="132"/>
      <c r="D265" s="132"/>
      <c r="E265" s="132"/>
      <c r="F265" s="132"/>
      <c r="G265" s="132"/>
      <c r="H265" s="132"/>
      <c r="I265" s="132"/>
      <c r="J265" s="132"/>
      <c r="K265" s="132"/>
      <c r="L265" s="2"/>
      <c r="M265" s="2"/>
      <c r="N265" s="2"/>
      <c r="O265" s="2"/>
      <c r="P265" s="2"/>
      <c r="Q265" s="2"/>
      <c r="R265" s="2"/>
      <c r="S265" s="2"/>
      <c r="T265" s="2"/>
      <c r="U265" s="2"/>
      <c r="V265" s="2"/>
      <c r="W265" s="2"/>
      <c r="X265" s="2"/>
      <c r="Y265" s="2"/>
      <c r="Z265" s="2"/>
    </row>
    <row r="266">
      <c r="A266" s="2"/>
      <c r="B266" s="132"/>
      <c r="C266" s="132"/>
      <c r="D266" s="132"/>
      <c r="E266" s="132"/>
      <c r="F266" s="132"/>
      <c r="G266" s="132"/>
      <c r="H266" s="132"/>
      <c r="I266" s="132"/>
      <c r="J266" s="132"/>
      <c r="K266" s="132"/>
      <c r="L266" s="2"/>
      <c r="M266" s="2"/>
      <c r="N266" s="2"/>
      <c r="O266" s="2"/>
      <c r="P266" s="2"/>
      <c r="Q266" s="2"/>
      <c r="R266" s="2"/>
      <c r="S266" s="2"/>
      <c r="T266" s="2"/>
      <c r="U266" s="2"/>
      <c r="V266" s="2"/>
      <c r="W266" s="2"/>
      <c r="X266" s="2"/>
      <c r="Y266" s="2"/>
      <c r="Z266" s="2"/>
    </row>
    <row r="267">
      <c r="A267" s="2"/>
      <c r="B267" s="132"/>
      <c r="C267" s="132"/>
      <c r="D267" s="132"/>
      <c r="E267" s="132"/>
      <c r="F267" s="132"/>
      <c r="G267" s="132"/>
      <c r="H267" s="132"/>
      <c r="I267" s="132"/>
      <c r="J267" s="132"/>
      <c r="K267" s="132"/>
      <c r="L267" s="2"/>
      <c r="M267" s="2"/>
      <c r="N267" s="2"/>
      <c r="O267" s="2"/>
      <c r="P267" s="2"/>
      <c r="Q267" s="2"/>
      <c r="R267" s="2"/>
      <c r="S267" s="2"/>
      <c r="T267" s="2"/>
      <c r="U267" s="2"/>
      <c r="V267" s="2"/>
      <c r="W267" s="2"/>
      <c r="X267" s="2"/>
      <c r="Y267" s="2"/>
      <c r="Z267" s="2"/>
    </row>
    <row r="268">
      <c r="A268" s="2"/>
      <c r="B268" s="132"/>
      <c r="C268" s="132"/>
      <c r="D268" s="132"/>
      <c r="E268" s="132"/>
      <c r="F268" s="132"/>
      <c r="G268" s="132"/>
      <c r="H268" s="132"/>
      <c r="I268" s="132"/>
      <c r="J268" s="132"/>
      <c r="K268" s="132"/>
      <c r="L268" s="2"/>
      <c r="M268" s="2"/>
      <c r="N268" s="2"/>
      <c r="O268" s="2"/>
      <c r="P268" s="2"/>
      <c r="Q268" s="2"/>
      <c r="R268" s="2"/>
      <c r="S268" s="2"/>
      <c r="T268" s="2"/>
      <c r="U268" s="2"/>
      <c r="V268" s="2"/>
      <c r="W268" s="2"/>
      <c r="X268" s="2"/>
      <c r="Y268" s="2"/>
      <c r="Z268" s="2"/>
    </row>
    <row r="269">
      <c r="A269" s="2"/>
      <c r="B269" s="132"/>
      <c r="C269" s="132"/>
      <c r="D269" s="132"/>
      <c r="E269" s="132"/>
      <c r="F269" s="132"/>
      <c r="G269" s="132"/>
      <c r="H269" s="132"/>
      <c r="I269" s="132"/>
      <c r="J269" s="132"/>
      <c r="K269" s="132"/>
      <c r="L269" s="2"/>
      <c r="M269" s="2"/>
      <c r="N269" s="2"/>
      <c r="O269" s="2"/>
      <c r="P269" s="2"/>
      <c r="Q269" s="2"/>
      <c r="R269" s="2"/>
      <c r="S269" s="2"/>
      <c r="T269" s="2"/>
      <c r="U269" s="2"/>
      <c r="V269" s="2"/>
      <c r="W269" s="2"/>
      <c r="X269" s="2"/>
      <c r="Y269" s="2"/>
      <c r="Z269" s="2"/>
    </row>
    <row r="270">
      <c r="A270" s="2"/>
      <c r="B270" s="132"/>
      <c r="C270" s="132"/>
      <c r="D270" s="132"/>
      <c r="E270" s="132"/>
      <c r="F270" s="132"/>
      <c r="G270" s="132"/>
      <c r="H270" s="132"/>
      <c r="I270" s="132"/>
      <c r="J270" s="132"/>
      <c r="K270" s="132"/>
      <c r="L270" s="2"/>
      <c r="M270" s="2"/>
      <c r="N270" s="2"/>
      <c r="O270" s="2"/>
      <c r="P270" s="2"/>
      <c r="Q270" s="2"/>
      <c r="R270" s="2"/>
      <c r="S270" s="2"/>
      <c r="T270" s="2"/>
      <c r="U270" s="2"/>
      <c r="V270" s="2"/>
      <c r="W270" s="2"/>
      <c r="X270" s="2"/>
      <c r="Y270" s="2"/>
      <c r="Z270" s="2"/>
    </row>
    <row r="271">
      <c r="A271" s="2"/>
      <c r="B271" s="132"/>
      <c r="C271" s="132"/>
      <c r="D271" s="132"/>
      <c r="E271" s="132"/>
      <c r="F271" s="132"/>
      <c r="G271" s="132"/>
      <c r="H271" s="132"/>
      <c r="I271" s="132"/>
      <c r="J271" s="132"/>
      <c r="K271" s="132"/>
      <c r="L271" s="2"/>
      <c r="M271" s="2"/>
      <c r="N271" s="2"/>
      <c r="O271" s="2"/>
      <c r="P271" s="2"/>
      <c r="Q271" s="2"/>
      <c r="R271" s="2"/>
      <c r="S271" s="2"/>
      <c r="T271" s="2"/>
      <c r="U271" s="2"/>
      <c r="V271" s="2"/>
      <c r="W271" s="2"/>
      <c r="X271" s="2"/>
      <c r="Y271" s="2"/>
      <c r="Z271" s="2"/>
    </row>
    <row r="272">
      <c r="A272" s="2"/>
      <c r="B272" s="132"/>
      <c r="C272" s="132"/>
      <c r="D272" s="132"/>
      <c r="E272" s="132"/>
      <c r="F272" s="132"/>
      <c r="G272" s="132"/>
      <c r="H272" s="132"/>
      <c r="I272" s="132"/>
      <c r="J272" s="132"/>
      <c r="K272" s="132"/>
      <c r="L272" s="2"/>
      <c r="M272" s="2"/>
      <c r="N272" s="2"/>
      <c r="O272" s="2"/>
      <c r="P272" s="2"/>
      <c r="Q272" s="2"/>
      <c r="R272" s="2"/>
      <c r="S272" s="2"/>
      <c r="T272" s="2"/>
      <c r="U272" s="2"/>
      <c r="V272" s="2"/>
      <c r="W272" s="2"/>
      <c r="X272" s="2"/>
      <c r="Y272" s="2"/>
      <c r="Z272" s="2"/>
    </row>
    <row r="273">
      <c r="A273" s="2"/>
      <c r="B273" s="132"/>
      <c r="C273" s="132"/>
      <c r="D273" s="132"/>
      <c r="E273" s="132"/>
      <c r="F273" s="132"/>
      <c r="G273" s="132"/>
      <c r="H273" s="132"/>
      <c r="I273" s="132"/>
      <c r="J273" s="132"/>
      <c r="K273" s="132"/>
      <c r="L273" s="2"/>
      <c r="M273" s="2"/>
      <c r="N273" s="2"/>
      <c r="O273" s="2"/>
      <c r="P273" s="2"/>
      <c r="Q273" s="2"/>
      <c r="R273" s="2"/>
      <c r="S273" s="2"/>
      <c r="T273" s="2"/>
      <c r="U273" s="2"/>
      <c r="V273" s="2"/>
      <c r="W273" s="2"/>
      <c r="X273" s="2"/>
      <c r="Y273" s="2"/>
      <c r="Z273" s="2"/>
    </row>
    <row r="274">
      <c r="A274" s="2"/>
      <c r="B274" s="132"/>
      <c r="C274" s="132"/>
      <c r="D274" s="132"/>
      <c r="E274" s="132"/>
      <c r="F274" s="132"/>
      <c r="G274" s="132"/>
      <c r="H274" s="132"/>
      <c r="I274" s="132"/>
      <c r="J274" s="132"/>
      <c r="K274" s="132"/>
      <c r="L274" s="2"/>
      <c r="M274" s="2"/>
      <c r="N274" s="2"/>
      <c r="O274" s="2"/>
      <c r="P274" s="2"/>
      <c r="Q274" s="2"/>
      <c r="R274" s="2"/>
      <c r="S274" s="2"/>
      <c r="T274" s="2"/>
      <c r="U274" s="2"/>
      <c r="V274" s="2"/>
      <c r="W274" s="2"/>
      <c r="X274" s="2"/>
      <c r="Y274" s="2"/>
      <c r="Z274" s="2"/>
    </row>
    <row r="275">
      <c r="A275" s="2"/>
      <c r="B275" s="132"/>
      <c r="C275" s="132"/>
      <c r="D275" s="132"/>
      <c r="E275" s="132"/>
      <c r="F275" s="132"/>
      <c r="G275" s="132"/>
      <c r="H275" s="132"/>
      <c r="I275" s="132"/>
      <c r="J275" s="132"/>
      <c r="K275" s="132"/>
      <c r="L275" s="2"/>
      <c r="M275" s="2"/>
      <c r="N275" s="2"/>
      <c r="O275" s="2"/>
      <c r="P275" s="2"/>
      <c r="Q275" s="2"/>
      <c r="R275" s="2"/>
      <c r="S275" s="2"/>
      <c r="T275" s="2"/>
      <c r="U275" s="2"/>
      <c r="V275" s="2"/>
      <c r="W275" s="2"/>
      <c r="X275" s="2"/>
      <c r="Y275" s="2"/>
      <c r="Z275" s="2"/>
    </row>
    <row r="276">
      <c r="A276" s="2"/>
      <c r="B276" s="132"/>
      <c r="C276" s="132"/>
      <c r="D276" s="132"/>
      <c r="E276" s="132"/>
      <c r="F276" s="132"/>
      <c r="G276" s="132"/>
      <c r="H276" s="132"/>
      <c r="I276" s="132"/>
      <c r="J276" s="132"/>
      <c r="K276" s="132"/>
      <c r="L276" s="2"/>
      <c r="M276" s="2"/>
      <c r="N276" s="2"/>
      <c r="O276" s="2"/>
      <c r="P276" s="2"/>
      <c r="Q276" s="2"/>
      <c r="R276" s="2"/>
      <c r="S276" s="2"/>
      <c r="T276" s="2"/>
      <c r="U276" s="2"/>
      <c r="V276" s="2"/>
      <c r="W276" s="2"/>
      <c r="X276" s="2"/>
      <c r="Y276" s="2"/>
      <c r="Z276" s="2"/>
    </row>
    <row r="277">
      <c r="A277" s="2"/>
      <c r="B277" s="132"/>
      <c r="C277" s="132"/>
      <c r="D277" s="132"/>
      <c r="E277" s="132"/>
      <c r="F277" s="132"/>
      <c r="G277" s="132"/>
      <c r="H277" s="132"/>
      <c r="I277" s="132"/>
      <c r="J277" s="132"/>
      <c r="K277" s="132"/>
      <c r="L277" s="2"/>
      <c r="M277" s="2"/>
      <c r="N277" s="2"/>
      <c r="O277" s="2"/>
      <c r="P277" s="2"/>
      <c r="Q277" s="2"/>
      <c r="R277" s="2"/>
      <c r="S277" s="2"/>
      <c r="T277" s="2"/>
      <c r="U277" s="2"/>
      <c r="V277" s="2"/>
      <c r="W277" s="2"/>
      <c r="X277" s="2"/>
      <c r="Y277" s="2"/>
      <c r="Z277" s="2"/>
    </row>
    <row r="278">
      <c r="A278" s="2"/>
      <c r="B278" s="132"/>
      <c r="C278" s="132"/>
      <c r="D278" s="132"/>
      <c r="E278" s="132"/>
      <c r="F278" s="132"/>
      <c r="G278" s="132"/>
      <c r="H278" s="132"/>
      <c r="I278" s="132"/>
      <c r="J278" s="132"/>
      <c r="K278" s="132"/>
      <c r="L278" s="2"/>
      <c r="M278" s="2"/>
      <c r="N278" s="2"/>
      <c r="O278" s="2"/>
      <c r="P278" s="2"/>
      <c r="Q278" s="2"/>
      <c r="R278" s="2"/>
      <c r="S278" s="2"/>
      <c r="T278" s="2"/>
      <c r="U278" s="2"/>
      <c r="V278" s="2"/>
      <c r="W278" s="2"/>
      <c r="X278" s="2"/>
      <c r="Y278" s="2"/>
      <c r="Z278" s="2"/>
    </row>
    <row r="279">
      <c r="A279" s="2"/>
      <c r="B279" s="132"/>
      <c r="C279" s="132"/>
      <c r="D279" s="132"/>
      <c r="E279" s="132"/>
      <c r="F279" s="132"/>
      <c r="G279" s="132"/>
      <c r="H279" s="132"/>
      <c r="I279" s="132"/>
      <c r="J279" s="132"/>
      <c r="K279" s="132"/>
      <c r="L279" s="2"/>
      <c r="M279" s="2"/>
      <c r="N279" s="2"/>
      <c r="O279" s="2"/>
      <c r="P279" s="2"/>
      <c r="Q279" s="2"/>
      <c r="R279" s="2"/>
      <c r="S279" s="2"/>
      <c r="T279" s="2"/>
      <c r="U279" s="2"/>
      <c r="V279" s="2"/>
      <c r="W279" s="2"/>
      <c r="X279" s="2"/>
      <c r="Y279" s="2"/>
      <c r="Z279" s="2"/>
    </row>
    <row r="280">
      <c r="A280" s="2"/>
      <c r="B280" s="132"/>
      <c r="C280" s="132"/>
      <c r="D280" s="132"/>
      <c r="E280" s="132"/>
      <c r="F280" s="132"/>
      <c r="G280" s="132"/>
      <c r="H280" s="132"/>
      <c r="I280" s="132"/>
      <c r="J280" s="132"/>
      <c r="K280" s="132"/>
      <c r="L280" s="2"/>
      <c r="M280" s="2"/>
      <c r="N280" s="2"/>
      <c r="O280" s="2"/>
      <c r="P280" s="2"/>
      <c r="Q280" s="2"/>
      <c r="R280" s="2"/>
      <c r="S280" s="2"/>
      <c r="T280" s="2"/>
      <c r="U280" s="2"/>
      <c r="V280" s="2"/>
      <c r="W280" s="2"/>
      <c r="X280" s="2"/>
      <c r="Y280" s="2"/>
      <c r="Z280" s="2"/>
    </row>
    <row r="281">
      <c r="A281" s="2"/>
      <c r="B281" s="132"/>
      <c r="C281" s="132"/>
      <c r="D281" s="132"/>
      <c r="E281" s="132"/>
      <c r="F281" s="132"/>
      <c r="G281" s="132"/>
      <c r="H281" s="132"/>
      <c r="I281" s="132"/>
      <c r="J281" s="132"/>
      <c r="K281" s="132"/>
      <c r="L281" s="2"/>
      <c r="M281" s="2"/>
      <c r="N281" s="2"/>
      <c r="O281" s="2"/>
      <c r="P281" s="2"/>
      <c r="Q281" s="2"/>
      <c r="R281" s="2"/>
      <c r="S281" s="2"/>
      <c r="T281" s="2"/>
      <c r="U281" s="2"/>
      <c r="V281" s="2"/>
      <c r="W281" s="2"/>
      <c r="X281" s="2"/>
      <c r="Y281" s="2"/>
      <c r="Z281" s="2"/>
    </row>
    <row r="282">
      <c r="A282" s="2"/>
      <c r="B282" s="132"/>
      <c r="C282" s="132"/>
      <c r="D282" s="132"/>
      <c r="E282" s="132"/>
      <c r="F282" s="132"/>
      <c r="G282" s="132"/>
      <c r="H282" s="132"/>
      <c r="I282" s="132"/>
      <c r="J282" s="132"/>
      <c r="K282" s="132"/>
      <c r="L282" s="2"/>
      <c r="M282" s="2"/>
      <c r="N282" s="2"/>
      <c r="O282" s="2"/>
      <c r="P282" s="2"/>
      <c r="Q282" s="2"/>
      <c r="R282" s="2"/>
      <c r="S282" s="2"/>
      <c r="T282" s="2"/>
      <c r="U282" s="2"/>
      <c r="V282" s="2"/>
      <c r="W282" s="2"/>
      <c r="X282" s="2"/>
      <c r="Y282" s="2"/>
      <c r="Z282" s="2"/>
    </row>
    <row r="283">
      <c r="A283" s="2"/>
      <c r="B283" s="132"/>
      <c r="C283" s="132"/>
      <c r="D283" s="132"/>
      <c r="E283" s="132"/>
      <c r="F283" s="132"/>
      <c r="G283" s="132"/>
      <c r="H283" s="132"/>
      <c r="I283" s="132"/>
      <c r="J283" s="132"/>
      <c r="K283" s="132"/>
      <c r="L283" s="2"/>
      <c r="M283" s="2"/>
      <c r="N283" s="2"/>
      <c r="O283" s="2"/>
      <c r="P283" s="2"/>
      <c r="Q283" s="2"/>
      <c r="R283" s="2"/>
      <c r="S283" s="2"/>
      <c r="T283" s="2"/>
      <c r="U283" s="2"/>
      <c r="V283" s="2"/>
      <c r="W283" s="2"/>
      <c r="X283" s="2"/>
      <c r="Y283" s="2"/>
      <c r="Z283" s="2"/>
    </row>
    <row r="284">
      <c r="A284" s="2"/>
      <c r="B284" s="132"/>
      <c r="C284" s="132"/>
      <c r="D284" s="132"/>
      <c r="E284" s="132"/>
      <c r="F284" s="132"/>
      <c r="G284" s="132"/>
      <c r="H284" s="132"/>
      <c r="I284" s="132"/>
      <c r="J284" s="132"/>
      <c r="K284" s="132"/>
      <c r="L284" s="2"/>
      <c r="M284" s="2"/>
      <c r="N284" s="2"/>
      <c r="O284" s="2"/>
      <c r="P284" s="2"/>
      <c r="Q284" s="2"/>
      <c r="R284" s="2"/>
      <c r="S284" s="2"/>
      <c r="T284" s="2"/>
      <c r="U284" s="2"/>
      <c r="V284" s="2"/>
      <c r="W284" s="2"/>
      <c r="X284" s="2"/>
      <c r="Y284" s="2"/>
      <c r="Z284" s="2"/>
    </row>
    <row r="285">
      <c r="A285" s="2"/>
      <c r="B285" s="132"/>
      <c r="C285" s="132"/>
      <c r="D285" s="132"/>
      <c r="E285" s="132"/>
      <c r="F285" s="132"/>
      <c r="G285" s="132"/>
      <c r="H285" s="132"/>
      <c r="I285" s="132"/>
      <c r="J285" s="132"/>
      <c r="K285" s="132"/>
      <c r="L285" s="2"/>
      <c r="M285" s="2"/>
      <c r="N285" s="2"/>
      <c r="O285" s="2"/>
      <c r="P285" s="2"/>
      <c r="Q285" s="2"/>
      <c r="R285" s="2"/>
      <c r="S285" s="2"/>
      <c r="T285" s="2"/>
      <c r="U285" s="2"/>
      <c r="V285" s="2"/>
      <c r="W285" s="2"/>
      <c r="X285" s="2"/>
      <c r="Y285" s="2"/>
      <c r="Z285" s="2"/>
    </row>
    <row r="286">
      <c r="A286" s="2"/>
      <c r="B286" s="132"/>
      <c r="C286" s="132"/>
      <c r="D286" s="132"/>
      <c r="E286" s="132"/>
      <c r="F286" s="132"/>
      <c r="G286" s="132"/>
      <c r="H286" s="132"/>
      <c r="I286" s="132"/>
      <c r="J286" s="132"/>
      <c r="K286" s="132"/>
      <c r="L286" s="2"/>
      <c r="M286" s="2"/>
      <c r="N286" s="2"/>
      <c r="O286" s="2"/>
      <c r="P286" s="2"/>
      <c r="Q286" s="2"/>
      <c r="R286" s="2"/>
      <c r="S286" s="2"/>
      <c r="T286" s="2"/>
      <c r="U286" s="2"/>
      <c r="V286" s="2"/>
      <c r="W286" s="2"/>
      <c r="X286" s="2"/>
      <c r="Y286" s="2"/>
      <c r="Z286" s="2"/>
    </row>
    <row r="287">
      <c r="A287" s="2"/>
      <c r="B287" s="132"/>
      <c r="C287" s="132"/>
      <c r="D287" s="132"/>
      <c r="E287" s="132"/>
      <c r="F287" s="132"/>
      <c r="G287" s="132"/>
      <c r="H287" s="132"/>
      <c r="I287" s="132"/>
      <c r="J287" s="132"/>
      <c r="K287" s="132"/>
      <c r="L287" s="2"/>
      <c r="M287" s="2"/>
      <c r="N287" s="2"/>
      <c r="O287" s="2"/>
      <c r="P287" s="2"/>
      <c r="Q287" s="2"/>
      <c r="R287" s="2"/>
      <c r="S287" s="2"/>
      <c r="T287" s="2"/>
      <c r="U287" s="2"/>
      <c r="V287" s="2"/>
      <c r="W287" s="2"/>
      <c r="X287" s="2"/>
      <c r="Y287" s="2"/>
      <c r="Z287" s="2"/>
    </row>
    <row r="288">
      <c r="A288" s="2"/>
      <c r="B288" s="132"/>
      <c r="C288" s="132"/>
      <c r="D288" s="132"/>
      <c r="E288" s="132"/>
      <c r="F288" s="132"/>
      <c r="G288" s="132"/>
      <c r="H288" s="132"/>
      <c r="I288" s="132"/>
      <c r="J288" s="132"/>
      <c r="K288" s="132"/>
      <c r="L288" s="2"/>
      <c r="M288" s="2"/>
      <c r="N288" s="2"/>
      <c r="O288" s="2"/>
      <c r="P288" s="2"/>
      <c r="Q288" s="2"/>
      <c r="R288" s="2"/>
      <c r="S288" s="2"/>
      <c r="T288" s="2"/>
      <c r="U288" s="2"/>
      <c r="V288" s="2"/>
      <c r="W288" s="2"/>
      <c r="X288" s="2"/>
      <c r="Y288" s="2"/>
      <c r="Z288" s="2"/>
    </row>
    <row r="289">
      <c r="A289" s="2"/>
      <c r="B289" s="132"/>
      <c r="C289" s="132"/>
      <c r="D289" s="132"/>
      <c r="E289" s="132"/>
      <c r="F289" s="132"/>
      <c r="G289" s="132"/>
      <c r="H289" s="132"/>
      <c r="I289" s="132"/>
      <c r="J289" s="132"/>
      <c r="K289" s="132"/>
      <c r="L289" s="2"/>
      <c r="M289" s="2"/>
      <c r="N289" s="2"/>
      <c r="O289" s="2"/>
      <c r="P289" s="2"/>
      <c r="Q289" s="2"/>
      <c r="R289" s="2"/>
      <c r="S289" s="2"/>
      <c r="T289" s="2"/>
      <c r="U289" s="2"/>
      <c r="V289" s="2"/>
      <c r="W289" s="2"/>
      <c r="X289" s="2"/>
      <c r="Y289" s="2"/>
      <c r="Z289" s="2"/>
    </row>
    <row r="290">
      <c r="A290" s="2"/>
      <c r="B290" s="132"/>
      <c r="C290" s="132"/>
      <c r="D290" s="132"/>
      <c r="E290" s="132"/>
      <c r="F290" s="132"/>
      <c r="G290" s="132"/>
      <c r="H290" s="132"/>
      <c r="I290" s="132"/>
      <c r="J290" s="132"/>
      <c r="K290" s="132"/>
      <c r="L290" s="2"/>
      <c r="M290" s="2"/>
      <c r="N290" s="2"/>
      <c r="O290" s="2"/>
      <c r="P290" s="2"/>
      <c r="Q290" s="2"/>
      <c r="R290" s="2"/>
      <c r="S290" s="2"/>
      <c r="T290" s="2"/>
      <c r="U290" s="2"/>
      <c r="V290" s="2"/>
      <c r="W290" s="2"/>
      <c r="X290" s="2"/>
      <c r="Y290" s="2"/>
      <c r="Z290" s="2"/>
    </row>
    <row r="291">
      <c r="A291" s="2"/>
      <c r="B291" s="132"/>
      <c r="C291" s="132"/>
      <c r="D291" s="132"/>
      <c r="E291" s="132"/>
      <c r="F291" s="132"/>
      <c r="G291" s="132"/>
      <c r="H291" s="132"/>
      <c r="I291" s="132"/>
      <c r="J291" s="132"/>
      <c r="K291" s="132"/>
      <c r="L291" s="2"/>
      <c r="M291" s="2"/>
      <c r="N291" s="2"/>
      <c r="O291" s="2"/>
      <c r="P291" s="2"/>
      <c r="Q291" s="2"/>
      <c r="R291" s="2"/>
      <c r="S291" s="2"/>
      <c r="T291" s="2"/>
      <c r="U291" s="2"/>
      <c r="V291" s="2"/>
      <c r="W291" s="2"/>
      <c r="X291" s="2"/>
      <c r="Y291" s="2"/>
      <c r="Z291" s="2"/>
    </row>
    <row r="292">
      <c r="A292" s="2"/>
      <c r="B292" s="132"/>
      <c r="C292" s="132"/>
      <c r="D292" s="132"/>
      <c r="E292" s="132"/>
      <c r="F292" s="132"/>
      <c r="G292" s="132"/>
      <c r="H292" s="132"/>
      <c r="I292" s="132"/>
      <c r="J292" s="132"/>
      <c r="K292" s="132"/>
      <c r="L292" s="2"/>
      <c r="M292" s="2"/>
      <c r="N292" s="2"/>
      <c r="O292" s="2"/>
      <c r="P292" s="2"/>
      <c r="Q292" s="2"/>
      <c r="R292" s="2"/>
      <c r="S292" s="2"/>
      <c r="T292" s="2"/>
      <c r="U292" s="2"/>
      <c r="V292" s="2"/>
      <c r="W292" s="2"/>
      <c r="X292" s="2"/>
      <c r="Y292" s="2"/>
      <c r="Z292" s="2"/>
    </row>
    <row r="293">
      <c r="A293" s="2"/>
      <c r="B293" s="132"/>
      <c r="C293" s="132"/>
      <c r="D293" s="132"/>
      <c r="E293" s="132"/>
      <c r="F293" s="132"/>
      <c r="G293" s="132"/>
      <c r="H293" s="132"/>
      <c r="I293" s="132"/>
      <c r="J293" s="132"/>
      <c r="K293" s="132"/>
      <c r="L293" s="2"/>
      <c r="M293" s="2"/>
      <c r="N293" s="2"/>
      <c r="O293" s="2"/>
      <c r="P293" s="2"/>
      <c r="Q293" s="2"/>
      <c r="R293" s="2"/>
      <c r="S293" s="2"/>
      <c r="T293" s="2"/>
      <c r="U293" s="2"/>
      <c r="V293" s="2"/>
      <c r="W293" s="2"/>
      <c r="X293" s="2"/>
      <c r="Y293" s="2"/>
      <c r="Z293" s="2"/>
    </row>
    <row r="294">
      <c r="A294" s="2"/>
      <c r="B294" s="132"/>
      <c r="C294" s="132"/>
      <c r="D294" s="132"/>
      <c r="E294" s="132"/>
      <c r="F294" s="132"/>
      <c r="G294" s="132"/>
      <c r="H294" s="132"/>
      <c r="I294" s="132"/>
      <c r="J294" s="132"/>
      <c r="K294" s="132"/>
      <c r="L294" s="2"/>
      <c r="M294" s="2"/>
      <c r="N294" s="2"/>
      <c r="O294" s="2"/>
      <c r="P294" s="2"/>
      <c r="Q294" s="2"/>
      <c r="R294" s="2"/>
      <c r="S294" s="2"/>
      <c r="T294" s="2"/>
      <c r="U294" s="2"/>
      <c r="V294" s="2"/>
      <c r="W294" s="2"/>
      <c r="X294" s="2"/>
      <c r="Y294" s="2"/>
      <c r="Z294" s="2"/>
    </row>
    <row r="295">
      <c r="A295" s="2"/>
      <c r="B295" s="132"/>
      <c r="C295" s="132"/>
      <c r="D295" s="132"/>
      <c r="E295" s="132"/>
      <c r="F295" s="132"/>
      <c r="G295" s="132"/>
      <c r="H295" s="132"/>
      <c r="I295" s="132"/>
      <c r="J295" s="132"/>
      <c r="K295" s="132"/>
      <c r="L295" s="2"/>
      <c r="M295" s="2"/>
      <c r="N295" s="2"/>
      <c r="O295" s="2"/>
      <c r="P295" s="2"/>
      <c r="Q295" s="2"/>
      <c r="R295" s="2"/>
      <c r="S295" s="2"/>
      <c r="T295" s="2"/>
      <c r="U295" s="2"/>
      <c r="V295" s="2"/>
      <c r="W295" s="2"/>
      <c r="X295" s="2"/>
      <c r="Y295" s="2"/>
      <c r="Z295" s="2"/>
    </row>
    <row r="296">
      <c r="A296" s="2"/>
      <c r="B296" s="132"/>
      <c r="C296" s="132"/>
      <c r="D296" s="132"/>
      <c r="E296" s="132"/>
      <c r="F296" s="132"/>
      <c r="G296" s="132"/>
      <c r="H296" s="132"/>
      <c r="I296" s="132"/>
      <c r="J296" s="132"/>
      <c r="K296" s="132"/>
      <c r="L296" s="2"/>
      <c r="M296" s="2"/>
      <c r="N296" s="2"/>
      <c r="O296" s="2"/>
      <c r="P296" s="2"/>
      <c r="Q296" s="2"/>
      <c r="R296" s="2"/>
      <c r="S296" s="2"/>
      <c r="T296" s="2"/>
      <c r="U296" s="2"/>
      <c r="V296" s="2"/>
      <c r="W296" s="2"/>
      <c r="X296" s="2"/>
      <c r="Y296" s="2"/>
      <c r="Z296" s="2"/>
    </row>
    <row r="297">
      <c r="A297" s="2"/>
      <c r="B297" s="132"/>
      <c r="C297" s="132"/>
      <c r="D297" s="132"/>
      <c r="E297" s="132"/>
      <c r="F297" s="132"/>
      <c r="G297" s="132"/>
      <c r="H297" s="132"/>
      <c r="I297" s="132"/>
      <c r="J297" s="132"/>
      <c r="K297" s="132"/>
      <c r="L297" s="2"/>
      <c r="M297" s="2"/>
      <c r="N297" s="2"/>
      <c r="O297" s="2"/>
      <c r="P297" s="2"/>
      <c r="Q297" s="2"/>
      <c r="R297" s="2"/>
      <c r="S297" s="2"/>
      <c r="T297" s="2"/>
      <c r="U297" s="2"/>
      <c r="V297" s="2"/>
      <c r="W297" s="2"/>
      <c r="X297" s="2"/>
      <c r="Y297" s="2"/>
      <c r="Z297" s="2"/>
    </row>
    <row r="298">
      <c r="A298" s="2"/>
      <c r="B298" s="132"/>
      <c r="C298" s="132"/>
      <c r="D298" s="132"/>
      <c r="E298" s="132"/>
      <c r="F298" s="132"/>
      <c r="G298" s="132"/>
      <c r="H298" s="132"/>
      <c r="I298" s="132"/>
      <c r="J298" s="132"/>
      <c r="K298" s="132"/>
      <c r="L298" s="2"/>
      <c r="M298" s="2"/>
      <c r="N298" s="2"/>
      <c r="O298" s="2"/>
      <c r="P298" s="2"/>
      <c r="Q298" s="2"/>
      <c r="R298" s="2"/>
      <c r="S298" s="2"/>
      <c r="T298" s="2"/>
      <c r="U298" s="2"/>
      <c r="V298" s="2"/>
      <c r="W298" s="2"/>
      <c r="X298" s="2"/>
      <c r="Y298" s="2"/>
      <c r="Z298" s="2"/>
    </row>
    <row r="299">
      <c r="A299" s="2"/>
      <c r="B299" s="132"/>
      <c r="C299" s="132"/>
      <c r="D299" s="132"/>
      <c r="E299" s="132"/>
      <c r="F299" s="132"/>
      <c r="G299" s="132"/>
      <c r="H299" s="132"/>
      <c r="I299" s="132"/>
      <c r="J299" s="132"/>
      <c r="K299" s="132"/>
      <c r="L299" s="2"/>
      <c r="M299" s="2"/>
      <c r="N299" s="2"/>
      <c r="O299" s="2"/>
      <c r="P299" s="2"/>
      <c r="Q299" s="2"/>
      <c r="R299" s="2"/>
      <c r="S299" s="2"/>
      <c r="T299" s="2"/>
      <c r="U299" s="2"/>
      <c r="V299" s="2"/>
      <c r="W299" s="2"/>
      <c r="X299" s="2"/>
      <c r="Y299" s="2"/>
      <c r="Z299" s="2"/>
    </row>
    <row r="300">
      <c r="A300" s="2"/>
      <c r="B300" s="132"/>
      <c r="C300" s="132"/>
      <c r="D300" s="132"/>
      <c r="E300" s="132"/>
      <c r="F300" s="132"/>
      <c r="G300" s="132"/>
      <c r="H300" s="132"/>
      <c r="I300" s="132"/>
      <c r="J300" s="132"/>
      <c r="K300" s="132"/>
      <c r="L300" s="2"/>
      <c r="M300" s="2"/>
      <c r="N300" s="2"/>
      <c r="O300" s="2"/>
      <c r="P300" s="2"/>
      <c r="Q300" s="2"/>
      <c r="R300" s="2"/>
      <c r="S300" s="2"/>
      <c r="T300" s="2"/>
      <c r="U300" s="2"/>
      <c r="V300" s="2"/>
      <c r="W300" s="2"/>
      <c r="X300" s="2"/>
      <c r="Y300" s="2"/>
      <c r="Z300" s="2"/>
    </row>
    <row r="301">
      <c r="A301" s="2"/>
      <c r="B301" s="132"/>
      <c r="C301" s="132"/>
      <c r="D301" s="132"/>
      <c r="E301" s="132"/>
      <c r="F301" s="132"/>
      <c r="G301" s="132"/>
      <c r="H301" s="132"/>
      <c r="I301" s="132"/>
      <c r="J301" s="132"/>
      <c r="K301" s="132"/>
      <c r="L301" s="2"/>
      <c r="M301" s="2"/>
      <c r="N301" s="2"/>
      <c r="O301" s="2"/>
      <c r="P301" s="2"/>
      <c r="Q301" s="2"/>
      <c r="R301" s="2"/>
      <c r="S301" s="2"/>
      <c r="T301" s="2"/>
      <c r="U301" s="2"/>
      <c r="V301" s="2"/>
      <c r="W301" s="2"/>
      <c r="X301" s="2"/>
      <c r="Y301" s="2"/>
      <c r="Z301" s="2"/>
    </row>
    <row r="302">
      <c r="A302" s="2"/>
      <c r="B302" s="132"/>
      <c r="C302" s="132"/>
      <c r="D302" s="132"/>
      <c r="E302" s="132"/>
      <c r="F302" s="132"/>
      <c r="G302" s="132"/>
      <c r="H302" s="132"/>
      <c r="I302" s="132"/>
      <c r="J302" s="132"/>
      <c r="K302" s="132"/>
      <c r="L302" s="2"/>
      <c r="M302" s="2"/>
      <c r="N302" s="2"/>
      <c r="O302" s="2"/>
      <c r="P302" s="2"/>
      <c r="Q302" s="2"/>
      <c r="R302" s="2"/>
      <c r="S302" s="2"/>
      <c r="T302" s="2"/>
      <c r="U302" s="2"/>
      <c r="V302" s="2"/>
      <c r="W302" s="2"/>
      <c r="X302" s="2"/>
      <c r="Y302" s="2"/>
      <c r="Z302" s="2"/>
    </row>
    <row r="303">
      <c r="A303" s="2"/>
      <c r="B303" s="132"/>
      <c r="C303" s="132"/>
      <c r="D303" s="132"/>
      <c r="E303" s="132"/>
      <c r="F303" s="132"/>
      <c r="G303" s="132"/>
      <c r="H303" s="132"/>
      <c r="I303" s="132"/>
      <c r="J303" s="132"/>
      <c r="K303" s="132"/>
      <c r="L303" s="2"/>
      <c r="M303" s="2"/>
      <c r="N303" s="2"/>
      <c r="O303" s="2"/>
      <c r="P303" s="2"/>
      <c r="Q303" s="2"/>
      <c r="R303" s="2"/>
      <c r="S303" s="2"/>
      <c r="T303" s="2"/>
      <c r="U303" s="2"/>
      <c r="V303" s="2"/>
      <c r="W303" s="2"/>
      <c r="X303" s="2"/>
      <c r="Y303" s="2"/>
      <c r="Z303" s="2"/>
    </row>
    <row r="304">
      <c r="A304" s="2"/>
      <c r="B304" s="132"/>
      <c r="C304" s="132"/>
      <c r="D304" s="132"/>
      <c r="E304" s="132"/>
      <c r="F304" s="132"/>
      <c r="G304" s="132"/>
      <c r="H304" s="132"/>
      <c r="I304" s="132"/>
      <c r="J304" s="132"/>
      <c r="K304" s="132"/>
      <c r="L304" s="2"/>
      <c r="M304" s="2"/>
      <c r="N304" s="2"/>
      <c r="O304" s="2"/>
      <c r="P304" s="2"/>
      <c r="Q304" s="2"/>
      <c r="R304" s="2"/>
      <c r="S304" s="2"/>
      <c r="T304" s="2"/>
      <c r="U304" s="2"/>
      <c r="V304" s="2"/>
      <c r="W304" s="2"/>
      <c r="X304" s="2"/>
      <c r="Y304" s="2"/>
      <c r="Z304" s="2"/>
    </row>
    <row r="305">
      <c r="A305" s="2"/>
      <c r="B305" s="132"/>
      <c r="C305" s="132"/>
      <c r="D305" s="132"/>
      <c r="E305" s="132"/>
      <c r="F305" s="132"/>
      <c r="G305" s="132"/>
      <c r="H305" s="132"/>
      <c r="I305" s="132"/>
      <c r="J305" s="132"/>
      <c r="K305" s="132"/>
      <c r="L305" s="2"/>
      <c r="M305" s="2"/>
      <c r="N305" s="2"/>
      <c r="O305" s="2"/>
      <c r="P305" s="2"/>
      <c r="Q305" s="2"/>
      <c r="R305" s="2"/>
      <c r="S305" s="2"/>
      <c r="T305" s="2"/>
      <c r="U305" s="2"/>
      <c r="V305" s="2"/>
      <c r="W305" s="2"/>
      <c r="X305" s="2"/>
      <c r="Y305" s="2"/>
      <c r="Z305" s="2"/>
    </row>
    <row r="306">
      <c r="A306" s="2"/>
      <c r="B306" s="132"/>
      <c r="C306" s="132"/>
      <c r="D306" s="132"/>
      <c r="E306" s="132"/>
      <c r="F306" s="132"/>
      <c r="G306" s="132"/>
      <c r="H306" s="132"/>
      <c r="I306" s="132"/>
      <c r="J306" s="132"/>
      <c r="K306" s="132"/>
      <c r="L306" s="2"/>
      <c r="M306" s="2"/>
      <c r="N306" s="2"/>
      <c r="O306" s="2"/>
      <c r="P306" s="2"/>
      <c r="Q306" s="2"/>
      <c r="R306" s="2"/>
      <c r="S306" s="2"/>
      <c r="T306" s="2"/>
      <c r="U306" s="2"/>
      <c r="V306" s="2"/>
      <c r="W306" s="2"/>
      <c r="X306" s="2"/>
      <c r="Y306" s="2"/>
      <c r="Z306" s="2"/>
    </row>
    <row r="307">
      <c r="A307" s="2"/>
      <c r="B307" s="132"/>
      <c r="C307" s="132"/>
      <c r="D307" s="132"/>
      <c r="E307" s="132"/>
      <c r="F307" s="132"/>
      <c r="G307" s="132"/>
      <c r="H307" s="132"/>
      <c r="I307" s="132"/>
      <c r="J307" s="132"/>
      <c r="K307" s="132"/>
      <c r="L307" s="2"/>
      <c r="M307" s="2"/>
      <c r="N307" s="2"/>
      <c r="O307" s="2"/>
      <c r="P307" s="2"/>
      <c r="Q307" s="2"/>
      <c r="R307" s="2"/>
      <c r="S307" s="2"/>
      <c r="T307" s="2"/>
      <c r="U307" s="2"/>
      <c r="V307" s="2"/>
      <c r="W307" s="2"/>
      <c r="X307" s="2"/>
      <c r="Y307" s="2"/>
      <c r="Z307" s="2"/>
    </row>
    <row r="308">
      <c r="A308" s="2"/>
      <c r="B308" s="132"/>
      <c r="C308" s="132"/>
      <c r="D308" s="132"/>
      <c r="E308" s="132"/>
      <c r="F308" s="132"/>
      <c r="G308" s="132"/>
      <c r="H308" s="132"/>
      <c r="I308" s="132"/>
      <c r="J308" s="132"/>
      <c r="K308" s="132"/>
      <c r="L308" s="2"/>
      <c r="M308" s="2"/>
      <c r="N308" s="2"/>
      <c r="O308" s="2"/>
      <c r="P308" s="2"/>
      <c r="Q308" s="2"/>
      <c r="R308" s="2"/>
      <c r="S308" s="2"/>
      <c r="T308" s="2"/>
      <c r="U308" s="2"/>
      <c r="V308" s="2"/>
      <c r="W308" s="2"/>
      <c r="X308" s="2"/>
      <c r="Y308" s="2"/>
      <c r="Z308" s="2"/>
    </row>
    <row r="309">
      <c r="A309" s="2"/>
      <c r="B309" s="132"/>
      <c r="C309" s="132"/>
      <c r="D309" s="132"/>
      <c r="E309" s="132"/>
      <c r="F309" s="132"/>
      <c r="G309" s="132"/>
      <c r="H309" s="132"/>
      <c r="I309" s="132"/>
      <c r="J309" s="132"/>
      <c r="K309" s="132"/>
      <c r="L309" s="2"/>
      <c r="M309" s="2"/>
      <c r="N309" s="2"/>
      <c r="O309" s="2"/>
      <c r="P309" s="2"/>
      <c r="Q309" s="2"/>
      <c r="R309" s="2"/>
      <c r="S309" s="2"/>
      <c r="T309" s="2"/>
      <c r="U309" s="2"/>
      <c r="V309" s="2"/>
      <c r="W309" s="2"/>
      <c r="X309" s="2"/>
      <c r="Y309" s="2"/>
      <c r="Z309" s="2"/>
    </row>
    <row r="310">
      <c r="A310" s="2"/>
      <c r="B310" s="132"/>
      <c r="C310" s="132"/>
      <c r="D310" s="132"/>
      <c r="E310" s="132"/>
      <c r="F310" s="132"/>
      <c r="G310" s="132"/>
      <c r="H310" s="132"/>
      <c r="I310" s="132"/>
      <c r="J310" s="132"/>
      <c r="K310" s="132"/>
      <c r="L310" s="2"/>
      <c r="M310" s="2"/>
      <c r="N310" s="2"/>
      <c r="O310" s="2"/>
      <c r="P310" s="2"/>
      <c r="Q310" s="2"/>
      <c r="R310" s="2"/>
      <c r="S310" s="2"/>
      <c r="T310" s="2"/>
      <c r="U310" s="2"/>
      <c r="V310" s="2"/>
      <c r="W310" s="2"/>
      <c r="X310" s="2"/>
      <c r="Y310" s="2"/>
      <c r="Z310" s="2"/>
    </row>
    <row r="311">
      <c r="A311" s="2"/>
      <c r="B311" s="132"/>
      <c r="C311" s="132"/>
      <c r="D311" s="132"/>
      <c r="E311" s="132"/>
      <c r="F311" s="132"/>
      <c r="G311" s="132"/>
      <c r="H311" s="132"/>
      <c r="I311" s="132"/>
      <c r="J311" s="132"/>
      <c r="K311" s="132"/>
      <c r="L311" s="2"/>
      <c r="M311" s="2"/>
      <c r="N311" s="2"/>
      <c r="O311" s="2"/>
      <c r="P311" s="2"/>
      <c r="Q311" s="2"/>
      <c r="R311" s="2"/>
      <c r="S311" s="2"/>
      <c r="T311" s="2"/>
      <c r="U311" s="2"/>
      <c r="V311" s="2"/>
      <c r="W311" s="2"/>
      <c r="X311" s="2"/>
      <c r="Y311" s="2"/>
      <c r="Z311" s="2"/>
    </row>
    <row r="312">
      <c r="A312" s="2"/>
      <c r="B312" s="132"/>
      <c r="C312" s="132"/>
      <c r="D312" s="132"/>
      <c r="E312" s="132"/>
      <c r="F312" s="132"/>
      <c r="G312" s="132"/>
      <c r="H312" s="132"/>
      <c r="I312" s="132"/>
      <c r="J312" s="132"/>
      <c r="K312" s="132"/>
      <c r="L312" s="2"/>
      <c r="M312" s="2"/>
      <c r="N312" s="2"/>
      <c r="O312" s="2"/>
      <c r="P312" s="2"/>
      <c r="Q312" s="2"/>
      <c r="R312" s="2"/>
      <c r="S312" s="2"/>
      <c r="T312" s="2"/>
      <c r="U312" s="2"/>
      <c r="V312" s="2"/>
      <c r="W312" s="2"/>
      <c r="X312" s="2"/>
      <c r="Y312" s="2"/>
      <c r="Z312" s="2"/>
    </row>
    <row r="313">
      <c r="A313" s="2"/>
      <c r="B313" s="132"/>
      <c r="C313" s="132"/>
      <c r="D313" s="132"/>
      <c r="E313" s="132"/>
      <c r="F313" s="132"/>
      <c r="G313" s="132"/>
      <c r="H313" s="132"/>
      <c r="I313" s="132"/>
      <c r="J313" s="132"/>
      <c r="K313" s="132"/>
      <c r="L313" s="2"/>
      <c r="M313" s="2"/>
      <c r="N313" s="2"/>
      <c r="O313" s="2"/>
      <c r="P313" s="2"/>
      <c r="Q313" s="2"/>
      <c r="R313" s="2"/>
      <c r="S313" s="2"/>
      <c r="T313" s="2"/>
      <c r="U313" s="2"/>
      <c r="V313" s="2"/>
      <c r="W313" s="2"/>
      <c r="X313" s="2"/>
      <c r="Y313" s="2"/>
      <c r="Z313" s="2"/>
    </row>
    <row r="314">
      <c r="A314" s="2"/>
      <c r="B314" s="132"/>
      <c r="C314" s="132"/>
      <c r="D314" s="132"/>
      <c r="E314" s="132"/>
      <c r="F314" s="132"/>
      <c r="G314" s="132"/>
      <c r="H314" s="132"/>
      <c r="I314" s="132"/>
      <c r="J314" s="132"/>
      <c r="K314" s="132"/>
      <c r="L314" s="2"/>
      <c r="M314" s="2"/>
      <c r="N314" s="2"/>
      <c r="O314" s="2"/>
      <c r="P314" s="2"/>
      <c r="Q314" s="2"/>
      <c r="R314" s="2"/>
      <c r="S314" s="2"/>
      <c r="T314" s="2"/>
      <c r="U314" s="2"/>
      <c r="V314" s="2"/>
      <c r="W314" s="2"/>
      <c r="X314" s="2"/>
      <c r="Y314" s="2"/>
      <c r="Z314" s="2"/>
    </row>
    <row r="315">
      <c r="A315" s="2"/>
      <c r="B315" s="132"/>
      <c r="C315" s="132"/>
      <c r="D315" s="132"/>
      <c r="E315" s="132"/>
      <c r="F315" s="132"/>
      <c r="G315" s="132"/>
      <c r="H315" s="132"/>
      <c r="I315" s="132"/>
      <c r="J315" s="132"/>
      <c r="K315" s="132"/>
      <c r="L315" s="2"/>
      <c r="M315" s="2"/>
      <c r="N315" s="2"/>
      <c r="O315" s="2"/>
      <c r="P315" s="2"/>
      <c r="Q315" s="2"/>
      <c r="R315" s="2"/>
      <c r="S315" s="2"/>
      <c r="T315" s="2"/>
      <c r="U315" s="2"/>
      <c r="V315" s="2"/>
      <c r="W315" s="2"/>
      <c r="X315" s="2"/>
      <c r="Y315" s="2"/>
      <c r="Z315" s="2"/>
    </row>
    <row r="316">
      <c r="A316" s="2"/>
      <c r="B316" s="132"/>
      <c r="C316" s="132"/>
      <c r="D316" s="132"/>
      <c r="E316" s="132"/>
      <c r="F316" s="132"/>
      <c r="G316" s="132"/>
      <c r="H316" s="132"/>
      <c r="I316" s="132"/>
      <c r="J316" s="132"/>
      <c r="K316" s="132"/>
      <c r="L316" s="2"/>
      <c r="M316" s="2"/>
      <c r="N316" s="2"/>
      <c r="O316" s="2"/>
      <c r="P316" s="2"/>
      <c r="Q316" s="2"/>
      <c r="R316" s="2"/>
      <c r="S316" s="2"/>
      <c r="T316" s="2"/>
      <c r="U316" s="2"/>
      <c r="V316" s="2"/>
      <c r="W316" s="2"/>
      <c r="X316" s="2"/>
      <c r="Y316" s="2"/>
      <c r="Z316" s="2"/>
    </row>
    <row r="317">
      <c r="A317" s="2"/>
      <c r="B317" s="132"/>
      <c r="C317" s="132"/>
      <c r="D317" s="132"/>
      <c r="E317" s="132"/>
      <c r="F317" s="132"/>
      <c r="G317" s="132"/>
      <c r="H317" s="132"/>
      <c r="I317" s="132"/>
      <c r="J317" s="132"/>
      <c r="K317" s="132"/>
      <c r="L317" s="2"/>
      <c r="M317" s="2"/>
      <c r="N317" s="2"/>
      <c r="O317" s="2"/>
      <c r="P317" s="2"/>
      <c r="Q317" s="2"/>
      <c r="R317" s="2"/>
      <c r="S317" s="2"/>
      <c r="T317" s="2"/>
      <c r="U317" s="2"/>
      <c r="V317" s="2"/>
      <c r="W317" s="2"/>
      <c r="X317" s="2"/>
      <c r="Y317" s="2"/>
      <c r="Z317" s="2"/>
    </row>
    <row r="318">
      <c r="A318" s="2"/>
      <c r="B318" s="132"/>
      <c r="C318" s="132"/>
      <c r="D318" s="132"/>
      <c r="E318" s="132"/>
      <c r="F318" s="132"/>
      <c r="G318" s="132"/>
      <c r="H318" s="132"/>
      <c r="I318" s="132"/>
      <c r="J318" s="132"/>
      <c r="K318" s="132"/>
      <c r="L318" s="2"/>
      <c r="M318" s="2"/>
      <c r="N318" s="2"/>
      <c r="O318" s="2"/>
      <c r="P318" s="2"/>
      <c r="Q318" s="2"/>
      <c r="R318" s="2"/>
      <c r="S318" s="2"/>
      <c r="T318" s="2"/>
      <c r="U318" s="2"/>
      <c r="V318" s="2"/>
      <c r="W318" s="2"/>
      <c r="X318" s="2"/>
      <c r="Y318" s="2"/>
      <c r="Z318" s="2"/>
    </row>
    <row r="319">
      <c r="A319" s="2"/>
      <c r="B319" s="132"/>
      <c r="C319" s="132"/>
      <c r="D319" s="132"/>
      <c r="E319" s="132"/>
      <c r="F319" s="132"/>
      <c r="G319" s="132"/>
      <c r="H319" s="132"/>
      <c r="I319" s="132"/>
      <c r="J319" s="132"/>
      <c r="K319" s="132"/>
      <c r="L319" s="2"/>
      <c r="M319" s="2"/>
      <c r="N319" s="2"/>
      <c r="O319" s="2"/>
      <c r="P319" s="2"/>
      <c r="Q319" s="2"/>
      <c r="R319" s="2"/>
      <c r="S319" s="2"/>
      <c r="T319" s="2"/>
      <c r="U319" s="2"/>
      <c r="V319" s="2"/>
      <c r="W319" s="2"/>
      <c r="X319" s="2"/>
      <c r="Y319" s="2"/>
      <c r="Z319" s="2"/>
    </row>
    <row r="320">
      <c r="A320" s="2"/>
      <c r="B320" s="132"/>
      <c r="C320" s="132"/>
      <c r="D320" s="132"/>
      <c r="E320" s="132"/>
      <c r="F320" s="132"/>
      <c r="G320" s="132"/>
      <c r="H320" s="132"/>
      <c r="I320" s="132"/>
      <c r="J320" s="132"/>
      <c r="K320" s="132"/>
      <c r="L320" s="2"/>
      <c r="M320" s="2"/>
      <c r="N320" s="2"/>
      <c r="O320" s="2"/>
      <c r="P320" s="2"/>
      <c r="Q320" s="2"/>
      <c r="R320" s="2"/>
      <c r="S320" s="2"/>
      <c r="T320" s="2"/>
      <c r="U320" s="2"/>
      <c r="V320" s="2"/>
      <c r="W320" s="2"/>
      <c r="X320" s="2"/>
      <c r="Y320" s="2"/>
      <c r="Z320" s="2"/>
    </row>
    <row r="321">
      <c r="A321" s="2"/>
      <c r="B321" s="132"/>
      <c r="C321" s="132"/>
      <c r="D321" s="132"/>
      <c r="E321" s="132"/>
      <c r="F321" s="132"/>
      <c r="G321" s="132"/>
      <c r="H321" s="132"/>
      <c r="I321" s="132"/>
      <c r="J321" s="132"/>
      <c r="K321" s="132"/>
      <c r="L321" s="2"/>
      <c r="M321" s="2"/>
      <c r="N321" s="2"/>
      <c r="O321" s="2"/>
      <c r="P321" s="2"/>
      <c r="Q321" s="2"/>
      <c r="R321" s="2"/>
      <c r="S321" s="2"/>
      <c r="T321" s="2"/>
      <c r="U321" s="2"/>
      <c r="V321" s="2"/>
      <c r="W321" s="2"/>
      <c r="X321" s="2"/>
      <c r="Y321" s="2"/>
      <c r="Z321" s="2"/>
    </row>
    <row r="322">
      <c r="A322" s="2"/>
      <c r="B322" s="132"/>
      <c r="C322" s="132"/>
      <c r="D322" s="132"/>
      <c r="E322" s="132"/>
      <c r="F322" s="132"/>
      <c r="G322" s="132"/>
      <c r="H322" s="132"/>
      <c r="I322" s="132"/>
      <c r="J322" s="132"/>
      <c r="K322" s="132"/>
      <c r="L322" s="2"/>
      <c r="M322" s="2"/>
      <c r="N322" s="2"/>
      <c r="O322" s="2"/>
      <c r="P322" s="2"/>
      <c r="Q322" s="2"/>
      <c r="R322" s="2"/>
      <c r="S322" s="2"/>
      <c r="T322" s="2"/>
      <c r="U322" s="2"/>
      <c r="V322" s="2"/>
      <c r="W322" s="2"/>
      <c r="X322" s="2"/>
      <c r="Y322" s="2"/>
      <c r="Z322" s="2"/>
    </row>
    <row r="323">
      <c r="A323" s="2"/>
      <c r="B323" s="132"/>
      <c r="C323" s="132"/>
      <c r="D323" s="132"/>
      <c r="E323" s="132"/>
      <c r="F323" s="132"/>
      <c r="G323" s="132"/>
      <c r="H323" s="132"/>
      <c r="I323" s="132"/>
      <c r="J323" s="132"/>
      <c r="K323" s="132"/>
      <c r="L323" s="2"/>
      <c r="M323" s="2"/>
      <c r="N323" s="2"/>
      <c r="O323" s="2"/>
      <c r="P323" s="2"/>
      <c r="Q323" s="2"/>
      <c r="R323" s="2"/>
      <c r="S323" s="2"/>
      <c r="T323" s="2"/>
      <c r="U323" s="2"/>
      <c r="V323" s="2"/>
      <c r="W323" s="2"/>
      <c r="X323" s="2"/>
      <c r="Y323" s="2"/>
      <c r="Z323" s="2"/>
    </row>
    <row r="324">
      <c r="A324" s="2"/>
      <c r="B324" s="132"/>
      <c r="C324" s="132"/>
      <c r="D324" s="132"/>
      <c r="E324" s="132"/>
      <c r="F324" s="132"/>
      <c r="G324" s="132"/>
      <c r="H324" s="132"/>
      <c r="I324" s="132"/>
      <c r="J324" s="132"/>
      <c r="K324" s="132"/>
      <c r="L324" s="2"/>
      <c r="M324" s="2"/>
      <c r="N324" s="2"/>
      <c r="O324" s="2"/>
      <c r="P324" s="2"/>
      <c r="Q324" s="2"/>
      <c r="R324" s="2"/>
      <c r="S324" s="2"/>
      <c r="T324" s="2"/>
      <c r="U324" s="2"/>
      <c r="V324" s="2"/>
      <c r="W324" s="2"/>
      <c r="X324" s="2"/>
      <c r="Y324" s="2"/>
      <c r="Z324" s="2"/>
    </row>
    <row r="325">
      <c r="A325" s="2"/>
      <c r="B325" s="132"/>
      <c r="C325" s="132"/>
      <c r="D325" s="132"/>
      <c r="E325" s="132"/>
      <c r="F325" s="132"/>
      <c r="G325" s="132"/>
      <c r="H325" s="132"/>
      <c r="I325" s="132"/>
      <c r="J325" s="132"/>
      <c r="K325" s="132"/>
      <c r="L325" s="2"/>
      <c r="M325" s="2"/>
      <c r="N325" s="2"/>
      <c r="O325" s="2"/>
      <c r="P325" s="2"/>
      <c r="Q325" s="2"/>
      <c r="R325" s="2"/>
      <c r="S325" s="2"/>
      <c r="T325" s="2"/>
      <c r="U325" s="2"/>
      <c r="V325" s="2"/>
      <c r="W325" s="2"/>
      <c r="X325" s="2"/>
      <c r="Y325" s="2"/>
      <c r="Z325" s="2"/>
    </row>
    <row r="326">
      <c r="A326" s="2"/>
      <c r="B326" s="132"/>
      <c r="C326" s="132"/>
      <c r="D326" s="132"/>
      <c r="E326" s="132"/>
      <c r="F326" s="132"/>
      <c r="G326" s="132"/>
      <c r="H326" s="132"/>
      <c r="I326" s="132"/>
      <c r="J326" s="132"/>
      <c r="K326" s="132"/>
      <c r="L326" s="2"/>
      <c r="M326" s="2"/>
      <c r="N326" s="2"/>
      <c r="O326" s="2"/>
      <c r="P326" s="2"/>
      <c r="Q326" s="2"/>
      <c r="R326" s="2"/>
      <c r="S326" s="2"/>
      <c r="T326" s="2"/>
      <c r="U326" s="2"/>
      <c r="V326" s="2"/>
      <c r="W326" s="2"/>
      <c r="X326" s="2"/>
      <c r="Y326" s="2"/>
      <c r="Z326" s="2"/>
    </row>
    <row r="327">
      <c r="A327" s="2"/>
      <c r="B327" s="132"/>
      <c r="C327" s="132"/>
      <c r="D327" s="132"/>
      <c r="E327" s="132"/>
      <c r="F327" s="132"/>
      <c r="G327" s="132"/>
      <c r="H327" s="132"/>
      <c r="I327" s="132"/>
      <c r="J327" s="132"/>
      <c r="K327" s="132"/>
      <c r="L327" s="2"/>
      <c r="M327" s="2"/>
      <c r="N327" s="2"/>
      <c r="O327" s="2"/>
      <c r="P327" s="2"/>
      <c r="Q327" s="2"/>
      <c r="R327" s="2"/>
      <c r="S327" s="2"/>
      <c r="T327" s="2"/>
      <c r="U327" s="2"/>
      <c r="V327" s="2"/>
      <c r="W327" s="2"/>
      <c r="X327" s="2"/>
      <c r="Y327" s="2"/>
      <c r="Z327" s="2"/>
    </row>
    <row r="328">
      <c r="A328" s="2"/>
      <c r="B328" s="132"/>
      <c r="C328" s="132"/>
      <c r="D328" s="132"/>
      <c r="E328" s="132"/>
      <c r="F328" s="132"/>
      <c r="G328" s="132"/>
      <c r="H328" s="132"/>
      <c r="I328" s="132"/>
      <c r="J328" s="132"/>
      <c r="K328" s="132"/>
      <c r="L328" s="2"/>
      <c r="M328" s="2"/>
      <c r="N328" s="2"/>
      <c r="O328" s="2"/>
      <c r="P328" s="2"/>
      <c r="Q328" s="2"/>
      <c r="R328" s="2"/>
      <c r="S328" s="2"/>
      <c r="T328" s="2"/>
      <c r="U328" s="2"/>
      <c r="V328" s="2"/>
      <c r="W328" s="2"/>
      <c r="X328" s="2"/>
      <c r="Y328" s="2"/>
      <c r="Z328" s="2"/>
    </row>
    <row r="329">
      <c r="A329" s="2"/>
      <c r="B329" s="132"/>
      <c r="C329" s="132"/>
      <c r="D329" s="132"/>
      <c r="E329" s="132"/>
      <c r="F329" s="132"/>
      <c r="G329" s="132"/>
      <c r="H329" s="132"/>
      <c r="I329" s="132"/>
      <c r="J329" s="132"/>
      <c r="K329" s="132"/>
      <c r="L329" s="2"/>
      <c r="M329" s="2"/>
      <c r="N329" s="2"/>
      <c r="O329" s="2"/>
      <c r="P329" s="2"/>
      <c r="Q329" s="2"/>
      <c r="R329" s="2"/>
      <c r="S329" s="2"/>
      <c r="T329" s="2"/>
      <c r="U329" s="2"/>
      <c r="V329" s="2"/>
      <c r="W329" s="2"/>
      <c r="X329" s="2"/>
      <c r="Y329" s="2"/>
      <c r="Z329" s="2"/>
    </row>
    <row r="330">
      <c r="A330" s="2"/>
      <c r="B330" s="132"/>
      <c r="C330" s="132"/>
      <c r="D330" s="132"/>
      <c r="E330" s="132"/>
      <c r="F330" s="132"/>
      <c r="G330" s="132"/>
      <c r="H330" s="132"/>
      <c r="I330" s="132"/>
      <c r="J330" s="132"/>
      <c r="K330" s="132"/>
      <c r="L330" s="2"/>
      <c r="M330" s="2"/>
      <c r="N330" s="2"/>
      <c r="O330" s="2"/>
      <c r="P330" s="2"/>
      <c r="Q330" s="2"/>
      <c r="R330" s="2"/>
      <c r="S330" s="2"/>
      <c r="T330" s="2"/>
      <c r="U330" s="2"/>
      <c r="V330" s="2"/>
      <c r="W330" s="2"/>
      <c r="X330" s="2"/>
      <c r="Y330" s="2"/>
      <c r="Z330" s="2"/>
    </row>
    <row r="331">
      <c r="A331" s="2"/>
      <c r="B331" s="132"/>
      <c r="C331" s="132"/>
      <c r="D331" s="132"/>
      <c r="E331" s="132"/>
      <c r="F331" s="132"/>
      <c r="G331" s="132"/>
      <c r="H331" s="132"/>
      <c r="I331" s="132"/>
      <c r="J331" s="132"/>
      <c r="K331" s="132"/>
      <c r="L331" s="2"/>
      <c r="M331" s="2"/>
      <c r="N331" s="2"/>
      <c r="O331" s="2"/>
      <c r="P331" s="2"/>
      <c r="Q331" s="2"/>
      <c r="R331" s="2"/>
      <c r="S331" s="2"/>
      <c r="T331" s="2"/>
      <c r="U331" s="2"/>
      <c r="V331" s="2"/>
      <c r="W331" s="2"/>
      <c r="X331" s="2"/>
      <c r="Y331" s="2"/>
      <c r="Z331" s="2"/>
    </row>
    <row r="332">
      <c r="A332" s="2"/>
      <c r="B332" s="132"/>
      <c r="C332" s="132"/>
      <c r="D332" s="132"/>
      <c r="E332" s="132"/>
      <c r="F332" s="132"/>
      <c r="G332" s="132"/>
      <c r="H332" s="132"/>
      <c r="I332" s="132"/>
      <c r="J332" s="132"/>
      <c r="K332" s="132"/>
      <c r="L332" s="2"/>
      <c r="M332" s="2"/>
      <c r="N332" s="2"/>
      <c r="O332" s="2"/>
      <c r="P332" s="2"/>
      <c r="Q332" s="2"/>
      <c r="R332" s="2"/>
      <c r="S332" s="2"/>
      <c r="T332" s="2"/>
      <c r="U332" s="2"/>
      <c r="V332" s="2"/>
      <c r="W332" s="2"/>
      <c r="X332" s="2"/>
      <c r="Y332" s="2"/>
      <c r="Z332" s="2"/>
    </row>
    <row r="333">
      <c r="A333" s="2"/>
      <c r="B333" s="132"/>
      <c r="C333" s="132"/>
      <c r="D333" s="132"/>
      <c r="E333" s="132"/>
      <c r="F333" s="132"/>
      <c r="G333" s="132"/>
      <c r="H333" s="132"/>
      <c r="I333" s="132"/>
      <c r="J333" s="132"/>
      <c r="K333" s="132"/>
      <c r="L333" s="2"/>
      <c r="M333" s="2"/>
      <c r="N333" s="2"/>
      <c r="O333" s="2"/>
      <c r="P333" s="2"/>
      <c r="Q333" s="2"/>
      <c r="R333" s="2"/>
      <c r="S333" s="2"/>
      <c r="T333" s="2"/>
      <c r="U333" s="2"/>
      <c r="V333" s="2"/>
      <c r="W333" s="2"/>
      <c r="X333" s="2"/>
      <c r="Y333" s="2"/>
      <c r="Z333" s="2"/>
    </row>
    <row r="334">
      <c r="A334" s="2"/>
      <c r="B334" s="132"/>
      <c r="C334" s="132"/>
      <c r="D334" s="132"/>
      <c r="E334" s="132"/>
      <c r="F334" s="132"/>
      <c r="G334" s="132"/>
      <c r="H334" s="132"/>
      <c r="I334" s="132"/>
      <c r="J334" s="132"/>
      <c r="K334" s="132"/>
      <c r="L334" s="2"/>
      <c r="M334" s="2"/>
      <c r="N334" s="2"/>
      <c r="O334" s="2"/>
      <c r="P334" s="2"/>
      <c r="Q334" s="2"/>
      <c r="R334" s="2"/>
      <c r="S334" s="2"/>
      <c r="T334" s="2"/>
      <c r="U334" s="2"/>
      <c r="V334" s="2"/>
      <c r="W334" s="2"/>
      <c r="X334" s="2"/>
      <c r="Y334" s="2"/>
      <c r="Z334" s="2"/>
    </row>
    <row r="335">
      <c r="A335" s="2"/>
      <c r="B335" s="132"/>
      <c r="C335" s="132"/>
      <c r="D335" s="132"/>
      <c r="E335" s="132"/>
      <c r="F335" s="132"/>
      <c r="G335" s="132"/>
      <c r="H335" s="132"/>
      <c r="I335" s="132"/>
      <c r="J335" s="132"/>
      <c r="K335" s="132"/>
      <c r="L335" s="2"/>
      <c r="M335" s="2"/>
      <c r="N335" s="2"/>
      <c r="O335" s="2"/>
      <c r="P335" s="2"/>
      <c r="Q335" s="2"/>
      <c r="R335" s="2"/>
      <c r="S335" s="2"/>
      <c r="T335" s="2"/>
      <c r="U335" s="2"/>
      <c r="V335" s="2"/>
      <c r="W335" s="2"/>
      <c r="X335" s="2"/>
      <c r="Y335" s="2"/>
      <c r="Z335" s="2"/>
    </row>
    <row r="336">
      <c r="A336" s="2"/>
      <c r="B336" s="132"/>
      <c r="C336" s="132"/>
      <c r="D336" s="132"/>
      <c r="E336" s="132"/>
      <c r="F336" s="132"/>
      <c r="G336" s="132"/>
      <c r="H336" s="132"/>
      <c r="I336" s="132"/>
      <c r="J336" s="132"/>
      <c r="K336" s="132"/>
      <c r="L336" s="2"/>
      <c r="M336" s="2"/>
      <c r="N336" s="2"/>
      <c r="O336" s="2"/>
      <c r="P336" s="2"/>
      <c r="Q336" s="2"/>
      <c r="R336" s="2"/>
      <c r="S336" s="2"/>
      <c r="T336" s="2"/>
      <c r="U336" s="2"/>
      <c r="V336" s="2"/>
      <c r="W336" s="2"/>
      <c r="X336" s="2"/>
      <c r="Y336" s="2"/>
      <c r="Z336" s="2"/>
    </row>
    <row r="337">
      <c r="A337" s="2"/>
      <c r="B337" s="132"/>
      <c r="C337" s="132"/>
      <c r="D337" s="132"/>
      <c r="E337" s="132"/>
      <c r="F337" s="132"/>
      <c r="G337" s="132"/>
      <c r="H337" s="132"/>
      <c r="I337" s="132"/>
      <c r="J337" s="132"/>
      <c r="K337" s="132"/>
      <c r="L337" s="2"/>
      <c r="M337" s="2"/>
      <c r="N337" s="2"/>
      <c r="O337" s="2"/>
      <c r="P337" s="2"/>
      <c r="Q337" s="2"/>
      <c r="R337" s="2"/>
      <c r="S337" s="2"/>
      <c r="T337" s="2"/>
      <c r="U337" s="2"/>
      <c r="V337" s="2"/>
      <c r="W337" s="2"/>
      <c r="X337" s="2"/>
      <c r="Y337" s="2"/>
      <c r="Z337" s="2"/>
    </row>
    <row r="338">
      <c r="A338" s="2"/>
      <c r="B338" s="132"/>
      <c r="C338" s="132"/>
      <c r="D338" s="132"/>
      <c r="E338" s="132"/>
      <c r="F338" s="132"/>
      <c r="G338" s="132"/>
      <c r="H338" s="132"/>
      <c r="I338" s="132"/>
      <c r="J338" s="132"/>
      <c r="K338" s="132"/>
      <c r="L338" s="2"/>
      <c r="M338" s="2"/>
      <c r="N338" s="2"/>
      <c r="O338" s="2"/>
      <c r="P338" s="2"/>
      <c r="Q338" s="2"/>
      <c r="R338" s="2"/>
      <c r="S338" s="2"/>
      <c r="T338" s="2"/>
      <c r="U338" s="2"/>
      <c r="V338" s="2"/>
      <c r="W338" s="2"/>
      <c r="X338" s="2"/>
      <c r="Y338" s="2"/>
      <c r="Z338" s="2"/>
    </row>
    <row r="339">
      <c r="A339" s="2"/>
      <c r="B339" s="132"/>
      <c r="C339" s="132"/>
      <c r="D339" s="132"/>
      <c r="E339" s="132"/>
      <c r="F339" s="132"/>
      <c r="G339" s="132"/>
      <c r="H339" s="132"/>
      <c r="I339" s="132"/>
      <c r="J339" s="132"/>
      <c r="K339" s="132"/>
      <c r="L339" s="2"/>
      <c r="M339" s="2"/>
      <c r="N339" s="2"/>
      <c r="O339" s="2"/>
      <c r="P339" s="2"/>
      <c r="Q339" s="2"/>
      <c r="R339" s="2"/>
      <c r="S339" s="2"/>
      <c r="T339" s="2"/>
      <c r="U339" s="2"/>
      <c r="V339" s="2"/>
      <c r="W339" s="2"/>
      <c r="X339" s="2"/>
      <c r="Y339" s="2"/>
      <c r="Z339" s="2"/>
    </row>
    <row r="340">
      <c r="A340" s="2"/>
      <c r="B340" s="132"/>
      <c r="C340" s="132"/>
      <c r="D340" s="132"/>
      <c r="E340" s="132"/>
      <c r="F340" s="132"/>
      <c r="G340" s="132"/>
      <c r="H340" s="132"/>
      <c r="I340" s="132"/>
      <c r="J340" s="132"/>
      <c r="K340" s="132"/>
      <c r="L340" s="2"/>
      <c r="M340" s="2"/>
      <c r="N340" s="2"/>
      <c r="O340" s="2"/>
      <c r="P340" s="2"/>
      <c r="Q340" s="2"/>
      <c r="R340" s="2"/>
      <c r="S340" s="2"/>
      <c r="T340" s="2"/>
      <c r="U340" s="2"/>
      <c r="V340" s="2"/>
      <c r="W340" s="2"/>
      <c r="X340" s="2"/>
      <c r="Y340" s="2"/>
      <c r="Z340" s="2"/>
    </row>
    <row r="341">
      <c r="A341" s="2"/>
      <c r="B341" s="132"/>
      <c r="C341" s="132"/>
      <c r="D341" s="132"/>
      <c r="E341" s="132"/>
      <c r="F341" s="132"/>
      <c r="G341" s="132"/>
      <c r="H341" s="132"/>
      <c r="I341" s="132"/>
      <c r="J341" s="132"/>
      <c r="K341" s="132"/>
      <c r="L341" s="2"/>
      <c r="M341" s="2"/>
      <c r="N341" s="2"/>
      <c r="O341" s="2"/>
      <c r="P341" s="2"/>
      <c r="Q341" s="2"/>
      <c r="R341" s="2"/>
      <c r="S341" s="2"/>
      <c r="T341" s="2"/>
      <c r="U341" s="2"/>
      <c r="V341" s="2"/>
      <c r="W341" s="2"/>
      <c r="X341" s="2"/>
      <c r="Y341" s="2"/>
      <c r="Z341" s="2"/>
    </row>
    <row r="342">
      <c r="A342" s="2"/>
      <c r="B342" s="132"/>
      <c r="C342" s="132"/>
      <c r="D342" s="132"/>
      <c r="E342" s="132"/>
      <c r="F342" s="132"/>
      <c r="G342" s="132"/>
      <c r="H342" s="132"/>
      <c r="I342" s="132"/>
      <c r="J342" s="132"/>
      <c r="K342" s="132"/>
      <c r="L342" s="2"/>
      <c r="M342" s="2"/>
      <c r="N342" s="2"/>
      <c r="O342" s="2"/>
      <c r="P342" s="2"/>
      <c r="Q342" s="2"/>
      <c r="R342" s="2"/>
      <c r="S342" s="2"/>
      <c r="T342" s="2"/>
      <c r="U342" s="2"/>
      <c r="V342" s="2"/>
      <c r="W342" s="2"/>
      <c r="X342" s="2"/>
      <c r="Y342" s="2"/>
      <c r="Z342" s="2"/>
    </row>
    <row r="343">
      <c r="A343" s="2"/>
      <c r="B343" s="132"/>
      <c r="C343" s="132"/>
      <c r="D343" s="132"/>
      <c r="E343" s="132"/>
      <c r="F343" s="132"/>
      <c r="G343" s="132"/>
      <c r="H343" s="132"/>
      <c r="I343" s="132"/>
      <c r="J343" s="132"/>
      <c r="K343" s="132"/>
      <c r="L343" s="2"/>
      <c r="M343" s="2"/>
      <c r="N343" s="2"/>
      <c r="O343" s="2"/>
      <c r="P343" s="2"/>
      <c r="Q343" s="2"/>
      <c r="R343" s="2"/>
      <c r="S343" s="2"/>
      <c r="T343" s="2"/>
      <c r="U343" s="2"/>
      <c r="V343" s="2"/>
      <c r="W343" s="2"/>
      <c r="X343" s="2"/>
      <c r="Y343" s="2"/>
      <c r="Z343" s="2"/>
    </row>
    <row r="344">
      <c r="A344" s="2"/>
      <c r="B344" s="132"/>
      <c r="C344" s="132"/>
      <c r="D344" s="132"/>
      <c r="E344" s="132"/>
      <c r="F344" s="132"/>
      <c r="G344" s="132"/>
      <c r="H344" s="132"/>
      <c r="I344" s="132"/>
      <c r="J344" s="132"/>
      <c r="K344" s="132"/>
      <c r="L344" s="2"/>
      <c r="M344" s="2"/>
      <c r="N344" s="2"/>
      <c r="O344" s="2"/>
      <c r="P344" s="2"/>
      <c r="Q344" s="2"/>
      <c r="R344" s="2"/>
      <c r="S344" s="2"/>
      <c r="T344" s="2"/>
      <c r="U344" s="2"/>
      <c r="V344" s="2"/>
      <c r="W344" s="2"/>
      <c r="X344" s="2"/>
      <c r="Y344" s="2"/>
      <c r="Z344" s="2"/>
    </row>
    <row r="345">
      <c r="A345" s="2"/>
      <c r="B345" s="132"/>
      <c r="C345" s="132"/>
      <c r="D345" s="132"/>
      <c r="E345" s="132"/>
      <c r="F345" s="132"/>
      <c r="G345" s="132"/>
      <c r="H345" s="132"/>
      <c r="I345" s="132"/>
      <c r="J345" s="132"/>
      <c r="K345" s="132"/>
      <c r="L345" s="2"/>
      <c r="M345" s="2"/>
      <c r="N345" s="2"/>
      <c r="O345" s="2"/>
      <c r="P345" s="2"/>
      <c r="Q345" s="2"/>
      <c r="R345" s="2"/>
      <c r="S345" s="2"/>
      <c r="T345" s="2"/>
      <c r="U345" s="2"/>
      <c r="V345" s="2"/>
      <c r="W345" s="2"/>
      <c r="X345" s="2"/>
      <c r="Y345" s="2"/>
      <c r="Z345" s="2"/>
    </row>
    <row r="346">
      <c r="A346" s="2"/>
      <c r="B346" s="132"/>
      <c r="C346" s="132"/>
      <c r="D346" s="132"/>
      <c r="E346" s="132"/>
      <c r="F346" s="132"/>
      <c r="G346" s="132"/>
      <c r="H346" s="132"/>
      <c r="I346" s="132"/>
      <c r="J346" s="132"/>
      <c r="K346" s="132"/>
      <c r="L346" s="2"/>
      <c r="M346" s="2"/>
      <c r="N346" s="2"/>
      <c r="O346" s="2"/>
      <c r="P346" s="2"/>
      <c r="Q346" s="2"/>
      <c r="R346" s="2"/>
      <c r="S346" s="2"/>
      <c r="T346" s="2"/>
      <c r="U346" s="2"/>
      <c r="V346" s="2"/>
      <c r="W346" s="2"/>
      <c r="X346" s="2"/>
      <c r="Y346" s="2"/>
      <c r="Z346" s="2"/>
    </row>
    <row r="347">
      <c r="A347" s="2"/>
      <c r="B347" s="132"/>
      <c r="C347" s="132"/>
      <c r="D347" s="132"/>
      <c r="E347" s="132"/>
      <c r="F347" s="132"/>
      <c r="G347" s="132"/>
      <c r="H347" s="132"/>
      <c r="I347" s="132"/>
      <c r="J347" s="132"/>
      <c r="K347" s="132"/>
      <c r="L347" s="2"/>
      <c r="M347" s="2"/>
      <c r="N347" s="2"/>
      <c r="O347" s="2"/>
      <c r="P347" s="2"/>
      <c r="Q347" s="2"/>
      <c r="R347" s="2"/>
      <c r="S347" s="2"/>
      <c r="T347" s="2"/>
      <c r="U347" s="2"/>
      <c r="V347" s="2"/>
      <c r="W347" s="2"/>
      <c r="X347" s="2"/>
      <c r="Y347" s="2"/>
      <c r="Z347" s="2"/>
    </row>
    <row r="348">
      <c r="A348" s="2"/>
      <c r="B348" s="132"/>
      <c r="C348" s="132"/>
      <c r="D348" s="132"/>
      <c r="E348" s="132"/>
      <c r="F348" s="132"/>
      <c r="G348" s="132"/>
      <c r="H348" s="132"/>
      <c r="I348" s="132"/>
      <c r="J348" s="132"/>
      <c r="K348" s="132"/>
      <c r="L348" s="2"/>
      <c r="M348" s="2"/>
      <c r="N348" s="2"/>
      <c r="O348" s="2"/>
      <c r="P348" s="2"/>
      <c r="Q348" s="2"/>
      <c r="R348" s="2"/>
      <c r="S348" s="2"/>
      <c r="T348" s="2"/>
      <c r="U348" s="2"/>
      <c r="V348" s="2"/>
      <c r="W348" s="2"/>
      <c r="X348" s="2"/>
      <c r="Y348" s="2"/>
      <c r="Z348" s="2"/>
    </row>
    <row r="349">
      <c r="A349" s="2"/>
      <c r="B349" s="132"/>
      <c r="C349" s="132"/>
      <c r="D349" s="132"/>
      <c r="E349" s="132"/>
      <c r="F349" s="132"/>
      <c r="G349" s="132"/>
      <c r="H349" s="132"/>
      <c r="I349" s="132"/>
      <c r="J349" s="132"/>
      <c r="K349" s="132"/>
      <c r="L349" s="2"/>
      <c r="M349" s="2"/>
      <c r="N349" s="2"/>
      <c r="O349" s="2"/>
      <c r="P349" s="2"/>
      <c r="Q349" s="2"/>
      <c r="R349" s="2"/>
      <c r="S349" s="2"/>
      <c r="T349" s="2"/>
      <c r="U349" s="2"/>
      <c r="V349" s="2"/>
      <c r="W349" s="2"/>
      <c r="X349" s="2"/>
      <c r="Y349" s="2"/>
      <c r="Z349" s="2"/>
    </row>
    <row r="350">
      <c r="A350" s="2"/>
      <c r="B350" s="132"/>
      <c r="C350" s="132"/>
      <c r="D350" s="132"/>
      <c r="E350" s="132"/>
      <c r="F350" s="132"/>
      <c r="G350" s="132"/>
      <c r="H350" s="132"/>
      <c r="I350" s="132"/>
      <c r="J350" s="132"/>
      <c r="K350" s="132"/>
      <c r="L350" s="2"/>
      <c r="M350" s="2"/>
      <c r="N350" s="2"/>
      <c r="O350" s="2"/>
      <c r="P350" s="2"/>
      <c r="Q350" s="2"/>
      <c r="R350" s="2"/>
      <c r="S350" s="2"/>
      <c r="T350" s="2"/>
      <c r="U350" s="2"/>
      <c r="V350" s="2"/>
      <c r="W350" s="2"/>
      <c r="X350" s="2"/>
      <c r="Y350" s="2"/>
      <c r="Z350" s="2"/>
    </row>
    <row r="351">
      <c r="A351" s="2"/>
      <c r="B351" s="132"/>
      <c r="C351" s="132"/>
      <c r="D351" s="132"/>
      <c r="E351" s="132"/>
      <c r="F351" s="132"/>
      <c r="G351" s="132"/>
      <c r="H351" s="132"/>
      <c r="I351" s="132"/>
      <c r="J351" s="132"/>
      <c r="K351" s="132"/>
      <c r="L351" s="2"/>
      <c r="M351" s="2"/>
      <c r="N351" s="2"/>
      <c r="O351" s="2"/>
      <c r="P351" s="2"/>
      <c r="Q351" s="2"/>
      <c r="R351" s="2"/>
      <c r="S351" s="2"/>
      <c r="T351" s="2"/>
      <c r="U351" s="2"/>
      <c r="V351" s="2"/>
      <c r="W351" s="2"/>
      <c r="X351" s="2"/>
      <c r="Y351" s="2"/>
      <c r="Z351" s="2"/>
    </row>
    <row r="352">
      <c r="A352" s="2"/>
      <c r="B352" s="132"/>
      <c r="C352" s="132"/>
      <c r="D352" s="132"/>
      <c r="E352" s="132"/>
      <c r="F352" s="132"/>
      <c r="G352" s="132"/>
      <c r="H352" s="132"/>
      <c r="I352" s="132"/>
      <c r="J352" s="132"/>
      <c r="K352" s="132"/>
      <c r="L352" s="2"/>
      <c r="M352" s="2"/>
      <c r="N352" s="2"/>
      <c r="O352" s="2"/>
      <c r="P352" s="2"/>
      <c r="Q352" s="2"/>
      <c r="R352" s="2"/>
      <c r="S352" s="2"/>
      <c r="T352" s="2"/>
      <c r="U352" s="2"/>
      <c r="V352" s="2"/>
      <c r="W352" s="2"/>
      <c r="X352" s="2"/>
      <c r="Y352" s="2"/>
      <c r="Z352" s="2"/>
    </row>
    <row r="353">
      <c r="A353" s="2"/>
      <c r="B353" s="132"/>
      <c r="C353" s="132"/>
      <c r="D353" s="132"/>
      <c r="E353" s="132"/>
      <c r="F353" s="132"/>
      <c r="G353" s="132"/>
      <c r="H353" s="132"/>
      <c r="I353" s="132"/>
      <c r="J353" s="132"/>
      <c r="K353" s="132"/>
      <c r="L353" s="2"/>
      <c r="M353" s="2"/>
      <c r="N353" s="2"/>
      <c r="O353" s="2"/>
      <c r="P353" s="2"/>
      <c r="Q353" s="2"/>
      <c r="R353" s="2"/>
      <c r="S353" s="2"/>
      <c r="T353" s="2"/>
      <c r="U353" s="2"/>
      <c r="V353" s="2"/>
      <c r="W353" s="2"/>
      <c r="X353" s="2"/>
      <c r="Y353" s="2"/>
      <c r="Z353" s="2"/>
    </row>
    <row r="354">
      <c r="A354" s="2"/>
      <c r="B354" s="132"/>
      <c r="C354" s="132"/>
      <c r="D354" s="132"/>
      <c r="E354" s="132"/>
      <c r="F354" s="132"/>
      <c r="G354" s="132"/>
      <c r="H354" s="132"/>
      <c r="I354" s="132"/>
      <c r="J354" s="132"/>
      <c r="K354" s="132"/>
      <c r="L354" s="2"/>
      <c r="M354" s="2"/>
      <c r="N354" s="2"/>
      <c r="O354" s="2"/>
      <c r="P354" s="2"/>
      <c r="Q354" s="2"/>
      <c r="R354" s="2"/>
      <c r="S354" s="2"/>
      <c r="T354" s="2"/>
      <c r="U354" s="2"/>
      <c r="V354" s="2"/>
      <c r="W354" s="2"/>
      <c r="X354" s="2"/>
      <c r="Y354" s="2"/>
      <c r="Z354" s="2"/>
    </row>
    <row r="355">
      <c r="A355" s="2"/>
      <c r="B355" s="132"/>
      <c r="C355" s="132"/>
      <c r="D355" s="132"/>
      <c r="E355" s="132"/>
      <c r="F355" s="132"/>
      <c r="G355" s="132"/>
      <c r="H355" s="132"/>
      <c r="I355" s="132"/>
      <c r="J355" s="132"/>
      <c r="K355" s="132"/>
      <c r="L355" s="2"/>
      <c r="M355" s="2"/>
      <c r="N355" s="2"/>
      <c r="O355" s="2"/>
      <c r="P355" s="2"/>
      <c r="Q355" s="2"/>
      <c r="R355" s="2"/>
      <c r="S355" s="2"/>
      <c r="T355" s="2"/>
      <c r="U355" s="2"/>
      <c r="V355" s="2"/>
      <c r="W355" s="2"/>
      <c r="X355" s="2"/>
      <c r="Y355" s="2"/>
      <c r="Z355" s="2"/>
    </row>
    <row r="356">
      <c r="A356" s="2"/>
      <c r="B356" s="132"/>
      <c r="C356" s="132"/>
      <c r="D356" s="132"/>
      <c r="E356" s="132"/>
      <c r="F356" s="132"/>
      <c r="G356" s="132"/>
      <c r="H356" s="132"/>
      <c r="I356" s="132"/>
      <c r="J356" s="132"/>
      <c r="K356" s="132"/>
      <c r="L356" s="2"/>
      <c r="M356" s="2"/>
      <c r="N356" s="2"/>
      <c r="O356" s="2"/>
      <c r="P356" s="2"/>
      <c r="Q356" s="2"/>
      <c r="R356" s="2"/>
      <c r="S356" s="2"/>
      <c r="T356" s="2"/>
      <c r="U356" s="2"/>
      <c r="V356" s="2"/>
      <c r="W356" s="2"/>
      <c r="X356" s="2"/>
      <c r="Y356" s="2"/>
      <c r="Z356" s="2"/>
    </row>
    <row r="357">
      <c r="A357" s="2"/>
      <c r="B357" s="132"/>
      <c r="C357" s="132"/>
      <c r="D357" s="132"/>
      <c r="E357" s="132"/>
      <c r="F357" s="132"/>
      <c r="G357" s="132"/>
      <c r="H357" s="132"/>
      <c r="I357" s="132"/>
      <c r="J357" s="132"/>
      <c r="K357" s="132"/>
      <c r="L357" s="2"/>
      <c r="M357" s="2"/>
      <c r="N357" s="2"/>
      <c r="O357" s="2"/>
      <c r="P357" s="2"/>
      <c r="Q357" s="2"/>
      <c r="R357" s="2"/>
      <c r="S357" s="2"/>
      <c r="T357" s="2"/>
      <c r="U357" s="2"/>
      <c r="V357" s="2"/>
      <c r="W357" s="2"/>
      <c r="X357" s="2"/>
      <c r="Y357" s="2"/>
      <c r="Z357" s="2"/>
    </row>
    <row r="358">
      <c r="A358" s="2"/>
      <c r="B358" s="132"/>
      <c r="C358" s="132"/>
      <c r="D358" s="132"/>
      <c r="E358" s="132"/>
      <c r="F358" s="132"/>
      <c r="G358" s="132"/>
      <c r="H358" s="132"/>
      <c r="I358" s="132"/>
      <c r="J358" s="132"/>
      <c r="K358" s="132"/>
      <c r="L358" s="2"/>
      <c r="M358" s="2"/>
      <c r="N358" s="2"/>
      <c r="O358" s="2"/>
      <c r="P358" s="2"/>
      <c r="Q358" s="2"/>
      <c r="R358" s="2"/>
      <c r="S358" s="2"/>
      <c r="T358" s="2"/>
      <c r="U358" s="2"/>
      <c r="V358" s="2"/>
      <c r="W358" s="2"/>
      <c r="X358" s="2"/>
      <c r="Y358" s="2"/>
      <c r="Z358" s="2"/>
    </row>
    <row r="359">
      <c r="A359" s="2"/>
      <c r="B359" s="132"/>
      <c r="C359" s="132"/>
      <c r="D359" s="132"/>
      <c r="E359" s="132"/>
      <c r="F359" s="132"/>
      <c r="G359" s="132"/>
      <c r="H359" s="132"/>
      <c r="I359" s="132"/>
      <c r="J359" s="132"/>
      <c r="K359" s="132"/>
      <c r="L359" s="2"/>
      <c r="M359" s="2"/>
      <c r="N359" s="2"/>
      <c r="O359" s="2"/>
      <c r="P359" s="2"/>
      <c r="Q359" s="2"/>
      <c r="R359" s="2"/>
      <c r="S359" s="2"/>
      <c r="T359" s="2"/>
      <c r="U359" s="2"/>
      <c r="V359" s="2"/>
      <c r="W359" s="2"/>
      <c r="X359" s="2"/>
      <c r="Y359" s="2"/>
      <c r="Z359" s="2"/>
    </row>
    <row r="360">
      <c r="A360" s="2"/>
      <c r="B360" s="132"/>
      <c r="C360" s="132"/>
      <c r="D360" s="132"/>
      <c r="E360" s="132"/>
      <c r="F360" s="132"/>
      <c r="G360" s="132"/>
      <c r="H360" s="132"/>
      <c r="I360" s="132"/>
      <c r="J360" s="132"/>
      <c r="K360" s="132"/>
      <c r="L360" s="2"/>
      <c r="M360" s="2"/>
      <c r="N360" s="2"/>
      <c r="O360" s="2"/>
      <c r="P360" s="2"/>
      <c r="Q360" s="2"/>
      <c r="R360" s="2"/>
      <c r="S360" s="2"/>
      <c r="T360" s="2"/>
      <c r="U360" s="2"/>
      <c r="V360" s="2"/>
      <c r="W360" s="2"/>
      <c r="X360" s="2"/>
      <c r="Y360" s="2"/>
      <c r="Z360" s="2"/>
    </row>
    <row r="361">
      <c r="A361" s="2"/>
      <c r="B361" s="132"/>
      <c r="C361" s="132"/>
      <c r="D361" s="132"/>
      <c r="E361" s="132"/>
      <c r="F361" s="132"/>
      <c r="G361" s="132"/>
      <c r="H361" s="132"/>
      <c r="I361" s="132"/>
      <c r="J361" s="132"/>
      <c r="K361" s="132"/>
      <c r="L361" s="2"/>
      <c r="M361" s="2"/>
      <c r="N361" s="2"/>
      <c r="O361" s="2"/>
      <c r="P361" s="2"/>
      <c r="Q361" s="2"/>
      <c r="R361" s="2"/>
      <c r="S361" s="2"/>
      <c r="T361" s="2"/>
      <c r="U361" s="2"/>
      <c r="V361" s="2"/>
      <c r="W361" s="2"/>
      <c r="X361" s="2"/>
      <c r="Y361" s="2"/>
      <c r="Z361" s="2"/>
    </row>
    <row r="362">
      <c r="A362" s="2"/>
      <c r="B362" s="132"/>
      <c r="C362" s="132"/>
      <c r="D362" s="132"/>
      <c r="E362" s="132"/>
      <c r="F362" s="132"/>
      <c r="G362" s="132"/>
      <c r="H362" s="132"/>
      <c r="I362" s="132"/>
      <c r="J362" s="132"/>
      <c r="K362" s="132"/>
      <c r="L362" s="2"/>
      <c r="M362" s="2"/>
      <c r="N362" s="2"/>
      <c r="O362" s="2"/>
      <c r="P362" s="2"/>
      <c r="Q362" s="2"/>
      <c r="R362" s="2"/>
      <c r="S362" s="2"/>
      <c r="T362" s="2"/>
      <c r="U362" s="2"/>
      <c r="V362" s="2"/>
      <c r="W362" s="2"/>
      <c r="X362" s="2"/>
      <c r="Y362" s="2"/>
      <c r="Z362" s="2"/>
    </row>
    <row r="363">
      <c r="A363" s="2"/>
      <c r="B363" s="132"/>
      <c r="C363" s="132"/>
      <c r="D363" s="132"/>
      <c r="E363" s="132"/>
      <c r="F363" s="132"/>
      <c r="G363" s="132"/>
      <c r="H363" s="132"/>
      <c r="I363" s="132"/>
      <c r="J363" s="132"/>
      <c r="K363" s="132"/>
      <c r="L363" s="2"/>
      <c r="M363" s="2"/>
      <c r="N363" s="2"/>
      <c r="O363" s="2"/>
      <c r="P363" s="2"/>
      <c r="Q363" s="2"/>
      <c r="R363" s="2"/>
      <c r="S363" s="2"/>
      <c r="T363" s="2"/>
      <c r="U363" s="2"/>
      <c r="V363" s="2"/>
      <c r="W363" s="2"/>
      <c r="X363" s="2"/>
      <c r="Y363" s="2"/>
      <c r="Z363" s="2"/>
    </row>
    <row r="364">
      <c r="A364" s="2"/>
      <c r="B364" s="132"/>
      <c r="C364" s="132"/>
      <c r="D364" s="132"/>
      <c r="E364" s="132"/>
      <c r="F364" s="132"/>
      <c r="G364" s="132"/>
      <c r="H364" s="132"/>
      <c r="I364" s="132"/>
      <c r="J364" s="132"/>
      <c r="K364" s="132"/>
      <c r="L364" s="2"/>
      <c r="M364" s="2"/>
      <c r="N364" s="2"/>
      <c r="O364" s="2"/>
      <c r="P364" s="2"/>
      <c r="Q364" s="2"/>
      <c r="R364" s="2"/>
      <c r="S364" s="2"/>
      <c r="T364" s="2"/>
      <c r="U364" s="2"/>
      <c r="V364" s="2"/>
      <c r="W364" s="2"/>
      <c r="X364" s="2"/>
      <c r="Y364" s="2"/>
      <c r="Z364" s="2"/>
    </row>
    <row r="365">
      <c r="A365" s="2"/>
      <c r="B365" s="132"/>
      <c r="C365" s="132"/>
      <c r="D365" s="132"/>
      <c r="E365" s="132"/>
      <c r="F365" s="132"/>
      <c r="G365" s="132"/>
      <c r="H365" s="132"/>
      <c r="I365" s="132"/>
      <c r="J365" s="132"/>
      <c r="K365" s="132"/>
      <c r="L365" s="2"/>
      <c r="M365" s="2"/>
      <c r="N365" s="2"/>
      <c r="O365" s="2"/>
      <c r="P365" s="2"/>
      <c r="Q365" s="2"/>
      <c r="R365" s="2"/>
      <c r="S365" s="2"/>
      <c r="T365" s="2"/>
      <c r="U365" s="2"/>
      <c r="V365" s="2"/>
      <c r="W365" s="2"/>
      <c r="X365" s="2"/>
      <c r="Y365" s="2"/>
      <c r="Z365" s="2"/>
    </row>
    <row r="366">
      <c r="A366" s="2"/>
      <c r="B366" s="132"/>
      <c r="C366" s="132"/>
      <c r="D366" s="132"/>
      <c r="E366" s="132"/>
      <c r="F366" s="132"/>
      <c r="G366" s="132"/>
      <c r="H366" s="132"/>
      <c r="I366" s="132"/>
      <c r="J366" s="132"/>
      <c r="K366" s="132"/>
      <c r="L366" s="2"/>
      <c r="M366" s="2"/>
      <c r="N366" s="2"/>
      <c r="O366" s="2"/>
      <c r="P366" s="2"/>
      <c r="Q366" s="2"/>
      <c r="R366" s="2"/>
      <c r="S366" s="2"/>
      <c r="T366" s="2"/>
      <c r="U366" s="2"/>
      <c r="V366" s="2"/>
      <c r="W366" s="2"/>
      <c r="X366" s="2"/>
      <c r="Y366" s="2"/>
      <c r="Z366" s="2"/>
    </row>
    <row r="367">
      <c r="A367" s="2"/>
      <c r="B367" s="132"/>
      <c r="C367" s="132"/>
      <c r="D367" s="132"/>
      <c r="E367" s="132"/>
      <c r="F367" s="132"/>
      <c r="G367" s="132"/>
      <c r="H367" s="132"/>
      <c r="I367" s="132"/>
      <c r="J367" s="132"/>
      <c r="K367" s="132"/>
      <c r="L367" s="2"/>
      <c r="M367" s="2"/>
      <c r="N367" s="2"/>
      <c r="O367" s="2"/>
      <c r="P367" s="2"/>
      <c r="Q367" s="2"/>
      <c r="R367" s="2"/>
      <c r="S367" s="2"/>
      <c r="T367" s="2"/>
      <c r="U367" s="2"/>
      <c r="V367" s="2"/>
      <c r="W367" s="2"/>
      <c r="X367" s="2"/>
      <c r="Y367" s="2"/>
      <c r="Z367" s="2"/>
    </row>
    <row r="368">
      <c r="A368" s="2"/>
      <c r="B368" s="132"/>
      <c r="C368" s="132"/>
      <c r="D368" s="132"/>
      <c r="E368" s="132"/>
      <c r="F368" s="132"/>
      <c r="G368" s="132"/>
      <c r="H368" s="132"/>
      <c r="I368" s="132"/>
      <c r="J368" s="132"/>
      <c r="K368" s="132"/>
      <c r="L368" s="2"/>
      <c r="M368" s="2"/>
      <c r="N368" s="2"/>
      <c r="O368" s="2"/>
      <c r="P368" s="2"/>
      <c r="Q368" s="2"/>
      <c r="R368" s="2"/>
      <c r="S368" s="2"/>
      <c r="T368" s="2"/>
      <c r="U368" s="2"/>
      <c r="V368" s="2"/>
      <c r="W368" s="2"/>
      <c r="X368" s="2"/>
      <c r="Y368" s="2"/>
      <c r="Z368" s="2"/>
    </row>
    <row r="369">
      <c r="A369" s="2"/>
      <c r="B369" s="132"/>
      <c r="C369" s="132"/>
      <c r="D369" s="132"/>
      <c r="E369" s="132"/>
      <c r="F369" s="132"/>
      <c r="G369" s="132"/>
      <c r="H369" s="132"/>
      <c r="I369" s="132"/>
      <c r="J369" s="132"/>
      <c r="K369" s="132"/>
      <c r="L369" s="2"/>
      <c r="M369" s="2"/>
      <c r="N369" s="2"/>
      <c r="O369" s="2"/>
      <c r="P369" s="2"/>
      <c r="Q369" s="2"/>
      <c r="R369" s="2"/>
      <c r="S369" s="2"/>
      <c r="T369" s="2"/>
      <c r="U369" s="2"/>
      <c r="V369" s="2"/>
      <c r="W369" s="2"/>
      <c r="X369" s="2"/>
      <c r="Y369" s="2"/>
      <c r="Z369" s="2"/>
    </row>
    <row r="370">
      <c r="A370" s="2"/>
      <c r="B370" s="132"/>
      <c r="C370" s="132"/>
      <c r="D370" s="132"/>
      <c r="E370" s="132"/>
      <c r="F370" s="132"/>
      <c r="G370" s="132"/>
      <c r="H370" s="132"/>
      <c r="I370" s="132"/>
      <c r="J370" s="132"/>
      <c r="K370" s="132"/>
      <c r="L370" s="2"/>
      <c r="M370" s="2"/>
      <c r="N370" s="2"/>
      <c r="O370" s="2"/>
      <c r="P370" s="2"/>
      <c r="Q370" s="2"/>
      <c r="R370" s="2"/>
      <c r="S370" s="2"/>
      <c r="T370" s="2"/>
      <c r="U370" s="2"/>
      <c r="V370" s="2"/>
      <c r="W370" s="2"/>
      <c r="X370" s="2"/>
      <c r="Y370" s="2"/>
      <c r="Z370" s="2"/>
    </row>
    <row r="371">
      <c r="A371" s="2"/>
      <c r="B371" s="132"/>
      <c r="C371" s="132"/>
      <c r="D371" s="132"/>
      <c r="E371" s="132"/>
      <c r="F371" s="132"/>
      <c r="G371" s="132"/>
      <c r="H371" s="132"/>
      <c r="I371" s="132"/>
      <c r="J371" s="132"/>
      <c r="K371" s="132"/>
      <c r="L371" s="2"/>
      <c r="M371" s="2"/>
      <c r="N371" s="2"/>
      <c r="O371" s="2"/>
      <c r="P371" s="2"/>
      <c r="Q371" s="2"/>
      <c r="R371" s="2"/>
      <c r="S371" s="2"/>
      <c r="T371" s="2"/>
      <c r="U371" s="2"/>
      <c r="V371" s="2"/>
      <c r="W371" s="2"/>
      <c r="X371" s="2"/>
      <c r="Y371" s="2"/>
      <c r="Z371" s="2"/>
    </row>
    <row r="372">
      <c r="A372" s="2"/>
      <c r="B372" s="132"/>
      <c r="C372" s="132"/>
      <c r="D372" s="132"/>
      <c r="E372" s="132"/>
      <c r="F372" s="132"/>
      <c r="G372" s="132"/>
      <c r="H372" s="132"/>
      <c r="I372" s="132"/>
      <c r="J372" s="132"/>
      <c r="K372" s="132"/>
      <c r="L372" s="2"/>
      <c r="M372" s="2"/>
      <c r="N372" s="2"/>
      <c r="O372" s="2"/>
      <c r="P372" s="2"/>
      <c r="Q372" s="2"/>
      <c r="R372" s="2"/>
      <c r="S372" s="2"/>
      <c r="T372" s="2"/>
      <c r="U372" s="2"/>
      <c r="V372" s="2"/>
      <c r="W372" s="2"/>
      <c r="X372" s="2"/>
      <c r="Y372" s="2"/>
      <c r="Z372" s="2"/>
    </row>
    <row r="373">
      <c r="A373" s="2"/>
      <c r="B373" s="132"/>
      <c r="C373" s="132"/>
      <c r="D373" s="132"/>
      <c r="E373" s="132"/>
      <c r="F373" s="132"/>
      <c r="G373" s="132"/>
      <c r="H373" s="132"/>
      <c r="I373" s="132"/>
      <c r="J373" s="132"/>
      <c r="K373" s="132"/>
      <c r="L373" s="2"/>
      <c r="M373" s="2"/>
      <c r="N373" s="2"/>
      <c r="O373" s="2"/>
      <c r="P373" s="2"/>
      <c r="Q373" s="2"/>
      <c r="R373" s="2"/>
      <c r="S373" s="2"/>
      <c r="T373" s="2"/>
      <c r="U373" s="2"/>
      <c r="V373" s="2"/>
      <c r="W373" s="2"/>
      <c r="X373" s="2"/>
      <c r="Y373" s="2"/>
      <c r="Z373" s="2"/>
    </row>
    <row r="374">
      <c r="A374" s="2"/>
      <c r="B374" s="132"/>
      <c r="C374" s="132"/>
      <c r="D374" s="132"/>
      <c r="E374" s="132"/>
      <c r="F374" s="132"/>
      <c r="G374" s="132"/>
      <c r="H374" s="132"/>
      <c r="I374" s="132"/>
      <c r="J374" s="132"/>
      <c r="K374" s="132"/>
      <c r="L374" s="2"/>
      <c r="M374" s="2"/>
      <c r="N374" s="2"/>
      <c r="O374" s="2"/>
      <c r="P374" s="2"/>
      <c r="Q374" s="2"/>
      <c r="R374" s="2"/>
      <c r="S374" s="2"/>
      <c r="T374" s="2"/>
      <c r="U374" s="2"/>
      <c r="V374" s="2"/>
      <c r="W374" s="2"/>
      <c r="X374" s="2"/>
      <c r="Y374" s="2"/>
      <c r="Z374" s="2"/>
    </row>
    <row r="375">
      <c r="A375" s="2"/>
      <c r="B375" s="132"/>
      <c r="C375" s="132"/>
      <c r="D375" s="132"/>
      <c r="E375" s="132"/>
      <c r="F375" s="132"/>
      <c r="G375" s="132"/>
      <c r="H375" s="132"/>
      <c r="I375" s="132"/>
      <c r="J375" s="132"/>
      <c r="K375" s="132"/>
      <c r="L375" s="2"/>
      <c r="M375" s="2"/>
      <c r="N375" s="2"/>
      <c r="O375" s="2"/>
      <c r="P375" s="2"/>
      <c r="Q375" s="2"/>
      <c r="R375" s="2"/>
      <c r="S375" s="2"/>
      <c r="T375" s="2"/>
      <c r="U375" s="2"/>
      <c r="V375" s="2"/>
      <c r="W375" s="2"/>
      <c r="X375" s="2"/>
      <c r="Y375" s="2"/>
      <c r="Z375" s="2"/>
    </row>
    <row r="376">
      <c r="A376" s="2"/>
      <c r="B376" s="132"/>
      <c r="C376" s="132"/>
      <c r="D376" s="132"/>
      <c r="E376" s="132"/>
      <c r="F376" s="132"/>
      <c r="G376" s="132"/>
      <c r="H376" s="132"/>
      <c r="I376" s="132"/>
      <c r="J376" s="132"/>
      <c r="K376" s="132"/>
      <c r="L376" s="2"/>
      <c r="M376" s="2"/>
      <c r="N376" s="2"/>
      <c r="O376" s="2"/>
      <c r="P376" s="2"/>
      <c r="Q376" s="2"/>
      <c r="R376" s="2"/>
      <c r="S376" s="2"/>
      <c r="T376" s="2"/>
      <c r="U376" s="2"/>
      <c r="V376" s="2"/>
      <c r="W376" s="2"/>
      <c r="X376" s="2"/>
      <c r="Y376" s="2"/>
      <c r="Z376" s="2"/>
    </row>
    <row r="377">
      <c r="A377" s="2"/>
      <c r="B377" s="132"/>
      <c r="C377" s="132"/>
      <c r="D377" s="132"/>
      <c r="E377" s="132"/>
      <c r="F377" s="132"/>
      <c r="G377" s="132"/>
      <c r="H377" s="132"/>
      <c r="I377" s="132"/>
      <c r="J377" s="132"/>
      <c r="K377" s="132"/>
      <c r="L377" s="2"/>
      <c r="M377" s="2"/>
      <c r="N377" s="2"/>
      <c r="O377" s="2"/>
      <c r="P377" s="2"/>
      <c r="Q377" s="2"/>
      <c r="R377" s="2"/>
      <c r="S377" s="2"/>
      <c r="T377" s="2"/>
      <c r="U377" s="2"/>
      <c r="V377" s="2"/>
      <c r="W377" s="2"/>
      <c r="X377" s="2"/>
      <c r="Y377" s="2"/>
      <c r="Z377" s="2"/>
    </row>
    <row r="378">
      <c r="A378" s="2"/>
      <c r="B378" s="132"/>
      <c r="C378" s="132"/>
      <c r="D378" s="132"/>
      <c r="E378" s="132"/>
      <c r="F378" s="132"/>
      <c r="G378" s="132"/>
      <c r="H378" s="132"/>
      <c r="I378" s="132"/>
      <c r="J378" s="132"/>
      <c r="K378" s="132"/>
      <c r="L378" s="2"/>
      <c r="M378" s="2"/>
      <c r="N378" s="2"/>
      <c r="O378" s="2"/>
      <c r="P378" s="2"/>
      <c r="Q378" s="2"/>
      <c r="R378" s="2"/>
      <c r="S378" s="2"/>
      <c r="T378" s="2"/>
      <c r="U378" s="2"/>
      <c r="V378" s="2"/>
      <c r="W378" s="2"/>
      <c r="X378" s="2"/>
      <c r="Y378" s="2"/>
      <c r="Z378" s="2"/>
    </row>
    <row r="379">
      <c r="A379" s="2"/>
      <c r="B379" s="132"/>
      <c r="C379" s="132"/>
      <c r="D379" s="132"/>
      <c r="E379" s="132"/>
      <c r="F379" s="132"/>
      <c r="G379" s="132"/>
      <c r="H379" s="132"/>
      <c r="I379" s="132"/>
      <c r="J379" s="132"/>
      <c r="K379" s="132"/>
      <c r="L379" s="2"/>
      <c r="M379" s="2"/>
      <c r="N379" s="2"/>
      <c r="O379" s="2"/>
      <c r="P379" s="2"/>
      <c r="Q379" s="2"/>
      <c r="R379" s="2"/>
      <c r="S379" s="2"/>
      <c r="T379" s="2"/>
      <c r="U379" s="2"/>
      <c r="V379" s="2"/>
      <c r="W379" s="2"/>
      <c r="X379" s="2"/>
      <c r="Y379" s="2"/>
      <c r="Z379" s="2"/>
    </row>
    <row r="380">
      <c r="A380" s="2"/>
      <c r="B380" s="132"/>
      <c r="C380" s="132"/>
      <c r="D380" s="132"/>
      <c r="E380" s="132"/>
      <c r="F380" s="132"/>
      <c r="G380" s="132"/>
      <c r="H380" s="132"/>
      <c r="I380" s="132"/>
      <c r="J380" s="132"/>
      <c r="K380" s="132"/>
      <c r="L380" s="2"/>
      <c r="M380" s="2"/>
      <c r="N380" s="2"/>
      <c r="O380" s="2"/>
      <c r="P380" s="2"/>
      <c r="Q380" s="2"/>
      <c r="R380" s="2"/>
      <c r="S380" s="2"/>
      <c r="T380" s="2"/>
      <c r="U380" s="2"/>
      <c r="V380" s="2"/>
      <c r="W380" s="2"/>
      <c r="X380" s="2"/>
      <c r="Y380" s="2"/>
      <c r="Z380" s="2"/>
    </row>
    <row r="381">
      <c r="A381" s="2"/>
      <c r="B381" s="132"/>
      <c r="C381" s="132"/>
      <c r="D381" s="132"/>
      <c r="E381" s="132"/>
      <c r="F381" s="132"/>
      <c r="G381" s="132"/>
      <c r="H381" s="132"/>
      <c r="I381" s="132"/>
      <c r="J381" s="132"/>
      <c r="K381" s="132"/>
      <c r="L381" s="2"/>
      <c r="M381" s="2"/>
      <c r="N381" s="2"/>
      <c r="O381" s="2"/>
      <c r="P381" s="2"/>
      <c r="Q381" s="2"/>
      <c r="R381" s="2"/>
      <c r="S381" s="2"/>
      <c r="T381" s="2"/>
      <c r="U381" s="2"/>
      <c r="V381" s="2"/>
      <c r="W381" s="2"/>
      <c r="X381" s="2"/>
      <c r="Y381" s="2"/>
      <c r="Z381" s="2"/>
    </row>
    <row r="382">
      <c r="A382" s="2"/>
      <c r="B382" s="132"/>
      <c r="C382" s="132"/>
      <c r="D382" s="132"/>
      <c r="E382" s="132"/>
      <c r="F382" s="132"/>
      <c r="G382" s="132"/>
      <c r="H382" s="132"/>
      <c r="I382" s="132"/>
      <c r="J382" s="132"/>
      <c r="K382" s="132"/>
      <c r="L382" s="2"/>
      <c r="M382" s="2"/>
      <c r="N382" s="2"/>
      <c r="O382" s="2"/>
      <c r="P382" s="2"/>
      <c r="Q382" s="2"/>
      <c r="R382" s="2"/>
      <c r="S382" s="2"/>
      <c r="T382" s="2"/>
      <c r="U382" s="2"/>
      <c r="V382" s="2"/>
      <c r="W382" s="2"/>
      <c r="X382" s="2"/>
      <c r="Y382" s="2"/>
      <c r="Z382" s="2"/>
    </row>
    <row r="383">
      <c r="A383" s="2"/>
      <c r="B383" s="132"/>
      <c r="C383" s="132"/>
      <c r="D383" s="132"/>
      <c r="E383" s="132"/>
      <c r="F383" s="132"/>
      <c r="G383" s="132"/>
      <c r="H383" s="132"/>
      <c r="I383" s="132"/>
      <c r="J383" s="132"/>
      <c r="K383" s="132"/>
      <c r="L383" s="2"/>
      <c r="M383" s="2"/>
      <c r="N383" s="2"/>
      <c r="O383" s="2"/>
      <c r="P383" s="2"/>
      <c r="Q383" s="2"/>
      <c r="R383" s="2"/>
      <c r="S383" s="2"/>
      <c r="T383" s="2"/>
      <c r="U383" s="2"/>
      <c r="V383" s="2"/>
      <c r="W383" s="2"/>
      <c r="X383" s="2"/>
      <c r="Y383" s="2"/>
      <c r="Z383" s="2"/>
    </row>
    <row r="384">
      <c r="A384" s="2"/>
      <c r="B384" s="132"/>
      <c r="C384" s="132"/>
      <c r="D384" s="132"/>
      <c r="E384" s="132"/>
      <c r="F384" s="132"/>
      <c r="G384" s="132"/>
      <c r="H384" s="132"/>
      <c r="I384" s="132"/>
      <c r="J384" s="132"/>
      <c r="K384" s="132"/>
      <c r="L384" s="2"/>
      <c r="M384" s="2"/>
      <c r="N384" s="2"/>
      <c r="O384" s="2"/>
      <c r="P384" s="2"/>
      <c r="Q384" s="2"/>
      <c r="R384" s="2"/>
      <c r="S384" s="2"/>
      <c r="T384" s="2"/>
      <c r="U384" s="2"/>
      <c r="V384" s="2"/>
      <c r="W384" s="2"/>
      <c r="X384" s="2"/>
      <c r="Y384" s="2"/>
      <c r="Z384" s="2"/>
    </row>
    <row r="385">
      <c r="A385" s="2"/>
      <c r="B385" s="132"/>
      <c r="C385" s="132"/>
      <c r="D385" s="132"/>
      <c r="E385" s="132"/>
      <c r="F385" s="132"/>
      <c r="G385" s="132"/>
      <c r="H385" s="132"/>
      <c r="I385" s="132"/>
      <c r="J385" s="132"/>
      <c r="K385" s="132"/>
      <c r="L385" s="2"/>
      <c r="M385" s="2"/>
      <c r="N385" s="2"/>
      <c r="O385" s="2"/>
      <c r="P385" s="2"/>
      <c r="Q385" s="2"/>
      <c r="R385" s="2"/>
      <c r="S385" s="2"/>
      <c r="T385" s="2"/>
      <c r="U385" s="2"/>
      <c r="V385" s="2"/>
      <c r="W385" s="2"/>
      <c r="X385" s="2"/>
      <c r="Y385" s="2"/>
      <c r="Z385" s="2"/>
    </row>
    <row r="386">
      <c r="A386" s="2"/>
      <c r="B386" s="132"/>
      <c r="C386" s="132"/>
      <c r="D386" s="132"/>
      <c r="E386" s="132"/>
      <c r="F386" s="132"/>
      <c r="G386" s="132"/>
      <c r="H386" s="132"/>
      <c r="I386" s="132"/>
      <c r="J386" s="132"/>
      <c r="K386" s="132"/>
      <c r="L386" s="2"/>
      <c r="M386" s="2"/>
      <c r="N386" s="2"/>
      <c r="O386" s="2"/>
      <c r="P386" s="2"/>
      <c r="Q386" s="2"/>
      <c r="R386" s="2"/>
      <c r="S386" s="2"/>
      <c r="T386" s="2"/>
      <c r="U386" s="2"/>
      <c r="V386" s="2"/>
      <c r="W386" s="2"/>
      <c r="X386" s="2"/>
      <c r="Y386" s="2"/>
      <c r="Z386" s="2"/>
    </row>
    <row r="387">
      <c r="A387" s="2"/>
      <c r="B387" s="132"/>
      <c r="C387" s="132"/>
      <c r="D387" s="132"/>
      <c r="E387" s="132"/>
      <c r="F387" s="132"/>
      <c r="G387" s="132"/>
      <c r="H387" s="132"/>
      <c r="I387" s="132"/>
      <c r="J387" s="132"/>
      <c r="K387" s="132"/>
      <c r="L387" s="2"/>
      <c r="M387" s="2"/>
      <c r="N387" s="2"/>
      <c r="O387" s="2"/>
      <c r="P387" s="2"/>
      <c r="Q387" s="2"/>
      <c r="R387" s="2"/>
      <c r="S387" s="2"/>
      <c r="T387" s="2"/>
      <c r="U387" s="2"/>
      <c r="V387" s="2"/>
      <c r="W387" s="2"/>
      <c r="X387" s="2"/>
      <c r="Y387" s="2"/>
      <c r="Z387" s="2"/>
    </row>
    <row r="388">
      <c r="A388" s="2"/>
      <c r="B388" s="132"/>
      <c r="C388" s="132"/>
      <c r="D388" s="132"/>
      <c r="E388" s="132"/>
      <c r="F388" s="132"/>
      <c r="G388" s="132"/>
      <c r="H388" s="132"/>
      <c r="I388" s="132"/>
      <c r="J388" s="132"/>
      <c r="K388" s="132"/>
      <c r="L388" s="2"/>
      <c r="M388" s="2"/>
      <c r="N388" s="2"/>
      <c r="O388" s="2"/>
      <c r="P388" s="2"/>
      <c r="Q388" s="2"/>
      <c r="R388" s="2"/>
      <c r="S388" s="2"/>
      <c r="T388" s="2"/>
      <c r="U388" s="2"/>
      <c r="V388" s="2"/>
      <c r="W388" s="2"/>
      <c r="X388" s="2"/>
      <c r="Y388" s="2"/>
      <c r="Z388" s="2"/>
    </row>
    <row r="389">
      <c r="A389" s="2"/>
      <c r="B389" s="132"/>
      <c r="C389" s="132"/>
      <c r="D389" s="132"/>
      <c r="E389" s="132"/>
      <c r="F389" s="132"/>
      <c r="G389" s="132"/>
      <c r="H389" s="132"/>
      <c r="I389" s="132"/>
      <c r="J389" s="132"/>
      <c r="K389" s="132"/>
      <c r="L389" s="2"/>
      <c r="M389" s="2"/>
      <c r="N389" s="2"/>
      <c r="O389" s="2"/>
      <c r="P389" s="2"/>
      <c r="Q389" s="2"/>
      <c r="R389" s="2"/>
      <c r="S389" s="2"/>
      <c r="T389" s="2"/>
      <c r="U389" s="2"/>
      <c r="V389" s="2"/>
      <c r="W389" s="2"/>
      <c r="X389" s="2"/>
      <c r="Y389" s="2"/>
      <c r="Z389" s="2"/>
    </row>
    <row r="390">
      <c r="A390" s="2"/>
      <c r="B390" s="132"/>
      <c r="C390" s="132"/>
      <c r="D390" s="132"/>
      <c r="E390" s="132"/>
      <c r="F390" s="132"/>
      <c r="G390" s="132"/>
      <c r="H390" s="132"/>
      <c r="I390" s="132"/>
      <c r="J390" s="132"/>
      <c r="K390" s="132"/>
      <c r="L390" s="2"/>
      <c r="M390" s="2"/>
      <c r="N390" s="2"/>
      <c r="O390" s="2"/>
      <c r="P390" s="2"/>
      <c r="Q390" s="2"/>
      <c r="R390" s="2"/>
      <c r="S390" s="2"/>
      <c r="T390" s="2"/>
      <c r="U390" s="2"/>
      <c r="V390" s="2"/>
      <c r="W390" s="2"/>
      <c r="X390" s="2"/>
      <c r="Y390" s="2"/>
      <c r="Z390" s="2"/>
    </row>
    <row r="391">
      <c r="A391" s="2"/>
      <c r="B391" s="132"/>
      <c r="C391" s="132"/>
      <c r="D391" s="132"/>
      <c r="E391" s="132"/>
      <c r="F391" s="132"/>
      <c r="G391" s="132"/>
      <c r="H391" s="132"/>
      <c r="I391" s="132"/>
      <c r="J391" s="132"/>
      <c r="K391" s="132"/>
      <c r="L391" s="2"/>
      <c r="M391" s="2"/>
      <c r="N391" s="2"/>
      <c r="O391" s="2"/>
      <c r="P391" s="2"/>
      <c r="Q391" s="2"/>
      <c r="R391" s="2"/>
      <c r="S391" s="2"/>
      <c r="T391" s="2"/>
      <c r="U391" s="2"/>
      <c r="V391" s="2"/>
      <c r="W391" s="2"/>
      <c r="X391" s="2"/>
      <c r="Y391" s="2"/>
      <c r="Z391" s="2"/>
    </row>
    <row r="392">
      <c r="A392" s="2"/>
      <c r="B392" s="132"/>
      <c r="C392" s="132"/>
      <c r="D392" s="132"/>
      <c r="E392" s="132"/>
      <c r="F392" s="132"/>
      <c r="G392" s="132"/>
      <c r="H392" s="132"/>
      <c r="I392" s="132"/>
      <c r="J392" s="132"/>
      <c r="K392" s="132"/>
      <c r="L392" s="2"/>
      <c r="M392" s="2"/>
      <c r="N392" s="2"/>
      <c r="O392" s="2"/>
      <c r="P392" s="2"/>
      <c r="Q392" s="2"/>
      <c r="R392" s="2"/>
      <c r="S392" s="2"/>
      <c r="T392" s="2"/>
      <c r="U392" s="2"/>
      <c r="V392" s="2"/>
      <c r="W392" s="2"/>
      <c r="X392" s="2"/>
      <c r="Y392" s="2"/>
      <c r="Z392" s="2"/>
    </row>
    <row r="393">
      <c r="A393" s="2"/>
      <c r="B393" s="132"/>
      <c r="C393" s="132"/>
      <c r="D393" s="132"/>
      <c r="E393" s="132"/>
      <c r="F393" s="132"/>
      <c r="G393" s="132"/>
      <c r="H393" s="132"/>
      <c r="I393" s="132"/>
      <c r="J393" s="132"/>
      <c r="K393" s="132"/>
      <c r="L393" s="2"/>
      <c r="M393" s="2"/>
      <c r="N393" s="2"/>
      <c r="O393" s="2"/>
      <c r="P393" s="2"/>
      <c r="Q393" s="2"/>
      <c r="R393" s="2"/>
      <c r="S393" s="2"/>
      <c r="T393" s="2"/>
      <c r="U393" s="2"/>
      <c r="V393" s="2"/>
      <c r="W393" s="2"/>
      <c r="X393" s="2"/>
      <c r="Y393" s="2"/>
      <c r="Z393" s="2"/>
    </row>
    <row r="394">
      <c r="A394" s="2"/>
      <c r="B394" s="132"/>
      <c r="C394" s="132"/>
      <c r="D394" s="132"/>
      <c r="E394" s="132"/>
      <c r="F394" s="132"/>
      <c r="G394" s="132"/>
      <c r="H394" s="132"/>
      <c r="I394" s="132"/>
      <c r="J394" s="132"/>
      <c r="K394" s="132"/>
      <c r="L394" s="2"/>
      <c r="M394" s="2"/>
      <c r="N394" s="2"/>
      <c r="O394" s="2"/>
      <c r="P394" s="2"/>
      <c r="Q394" s="2"/>
      <c r="R394" s="2"/>
      <c r="S394" s="2"/>
      <c r="T394" s="2"/>
      <c r="U394" s="2"/>
      <c r="V394" s="2"/>
      <c r="W394" s="2"/>
      <c r="X394" s="2"/>
      <c r="Y394" s="2"/>
      <c r="Z394" s="2"/>
    </row>
    <row r="395">
      <c r="A395" s="2"/>
      <c r="B395" s="132"/>
      <c r="C395" s="132"/>
      <c r="D395" s="132"/>
      <c r="E395" s="132"/>
      <c r="F395" s="132"/>
      <c r="G395" s="132"/>
      <c r="H395" s="132"/>
      <c r="I395" s="132"/>
      <c r="J395" s="132"/>
      <c r="K395" s="132"/>
      <c r="L395" s="2"/>
      <c r="M395" s="2"/>
      <c r="N395" s="2"/>
      <c r="O395" s="2"/>
      <c r="P395" s="2"/>
      <c r="Q395" s="2"/>
      <c r="R395" s="2"/>
      <c r="S395" s="2"/>
      <c r="T395" s="2"/>
      <c r="U395" s="2"/>
      <c r="V395" s="2"/>
      <c r="W395" s="2"/>
      <c r="X395" s="2"/>
      <c r="Y395" s="2"/>
      <c r="Z395" s="2"/>
    </row>
    <row r="396">
      <c r="A396" s="2"/>
      <c r="B396" s="132"/>
      <c r="C396" s="132"/>
      <c r="D396" s="132"/>
      <c r="E396" s="132"/>
      <c r="F396" s="132"/>
      <c r="G396" s="132"/>
      <c r="H396" s="132"/>
      <c r="I396" s="132"/>
      <c r="J396" s="132"/>
      <c r="K396" s="132"/>
      <c r="L396" s="2"/>
      <c r="M396" s="2"/>
      <c r="N396" s="2"/>
      <c r="O396" s="2"/>
      <c r="P396" s="2"/>
      <c r="Q396" s="2"/>
      <c r="R396" s="2"/>
      <c r="S396" s="2"/>
      <c r="T396" s="2"/>
      <c r="U396" s="2"/>
      <c r="V396" s="2"/>
      <c r="W396" s="2"/>
      <c r="X396" s="2"/>
      <c r="Y396" s="2"/>
      <c r="Z396" s="2"/>
    </row>
    <row r="397">
      <c r="A397" s="2"/>
      <c r="B397" s="132"/>
      <c r="C397" s="132"/>
      <c r="D397" s="132"/>
      <c r="E397" s="132"/>
      <c r="F397" s="132"/>
      <c r="G397" s="132"/>
      <c r="H397" s="132"/>
      <c r="I397" s="132"/>
      <c r="J397" s="132"/>
      <c r="K397" s="132"/>
      <c r="L397" s="2"/>
      <c r="M397" s="2"/>
      <c r="N397" s="2"/>
      <c r="O397" s="2"/>
      <c r="P397" s="2"/>
      <c r="Q397" s="2"/>
      <c r="R397" s="2"/>
      <c r="S397" s="2"/>
      <c r="T397" s="2"/>
      <c r="U397" s="2"/>
      <c r="V397" s="2"/>
      <c r="W397" s="2"/>
      <c r="X397" s="2"/>
      <c r="Y397" s="2"/>
      <c r="Z397" s="2"/>
    </row>
    <row r="398">
      <c r="A398" s="2"/>
      <c r="B398" s="132"/>
      <c r="C398" s="132"/>
      <c r="D398" s="132"/>
      <c r="E398" s="132"/>
      <c r="F398" s="132"/>
      <c r="G398" s="132"/>
      <c r="H398" s="132"/>
      <c r="I398" s="132"/>
      <c r="J398" s="132"/>
      <c r="K398" s="132"/>
      <c r="L398" s="2"/>
      <c r="M398" s="2"/>
      <c r="N398" s="2"/>
      <c r="O398" s="2"/>
      <c r="P398" s="2"/>
      <c r="Q398" s="2"/>
      <c r="R398" s="2"/>
      <c r="S398" s="2"/>
      <c r="T398" s="2"/>
      <c r="U398" s="2"/>
      <c r="V398" s="2"/>
      <c r="W398" s="2"/>
      <c r="X398" s="2"/>
      <c r="Y398" s="2"/>
      <c r="Z398" s="2"/>
    </row>
    <row r="399">
      <c r="A399" s="2"/>
      <c r="B399" s="132"/>
      <c r="C399" s="132"/>
      <c r="D399" s="132"/>
      <c r="E399" s="132"/>
      <c r="F399" s="132"/>
      <c r="G399" s="132"/>
      <c r="H399" s="132"/>
      <c r="I399" s="132"/>
      <c r="J399" s="132"/>
      <c r="K399" s="132"/>
      <c r="L399" s="2"/>
      <c r="M399" s="2"/>
      <c r="N399" s="2"/>
      <c r="O399" s="2"/>
      <c r="P399" s="2"/>
      <c r="Q399" s="2"/>
      <c r="R399" s="2"/>
      <c r="S399" s="2"/>
      <c r="T399" s="2"/>
      <c r="U399" s="2"/>
      <c r="V399" s="2"/>
      <c r="W399" s="2"/>
      <c r="X399" s="2"/>
      <c r="Y399" s="2"/>
      <c r="Z399" s="2"/>
    </row>
    <row r="400">
      <c r="A400" s="2"/>
      <c r="B400" s="132"/>
      <c r="C400" s="132"/>
      <c r="D400" s="132"/>
      <c r="E400" s="132"/>
      <c r="F400" s="132"/>
      <c r="G400" s="132"/>
      <c r="H400" s="132"/>
      <c r="I400" s="132"/>
      <c r="J400" s="132"/>
      <c r="K400" s="132"/>
      <c r="L400" s="2"/>
      <c r="M400" s="2"/>
      <c r="N400" s="2"/>
      <c r="O400" s="2"/>
      <c r="P400" s="2"/>
      <c r="Q400" s="2"/>
      <c r="R400" s="2"/>
      <c r="S400" s="2"/>
      <c r="T400" s="2"/>
      <c r="U400" s="2"/>
      <c r="V400" s="2"/>
      <c r="W400" s="2"/>
      <c r="X400" s="2"/>
      <c r="Y400" s="2"/>
      <c r="Z400" s="2"/>
    </row>
    <row r="401">
      <c r="A401" s="2"/>
      <c r="B401" s="132"/>
      <c r="C401" s="132"/>
      <c r="D401" s="132"/>
      <c r="E401" s="132"/>
      <c r="F401" s="132"/>
      <c r="G401" s="132"/>
      <c r="H401" s="132"/>
      <c r="I401" s="132"/>
      <c r="J401" s="132"/>
      <c r="K401" s="132"/>
      <c r="L401" s="2"/>
      <c r="M401" s="2"/>
      <c r="N401" s="2"/>
      <c r="O401" s="2"/>
      <c r="P401" s="2"/>
      <c r="Q401" s="2"/>
      <c r="R401" s="2"/>
      <c r="S401" s="2"/>
      <c r="T401" s="2"/>
      <c r="U401" s="2"/>
      <c r="V401" s="2"/>
      <c r="W401" s="2"/>
      <c r="X401" s="2"/>
      <c r="Y401" s="2"/>
      <c r="Z401" s="2"/>
    </row>
    <row r="402">
      <c r="A402" s="2"/>
      <c r="B402" s="132"/>
      <c r="C402" s="132"/>
      <c r="D402" s="132"/>
      <c r="E402" s="132"/>
      <c r="F402" s="132"/>
      <c r="G402" s="132"/>
      <c r="H402" s="132"/>
      <c r="I402" s="132"/>
      <c r="J402" s="132"/>
      <c r="K402" s="132"/>
      <c r="L402" s="2"/>
      <c r="M402" s="2"/>
      <c r="N402" s="2"/>
      <c r="O402" s="2"/>
      <c r="P402" s="2"/>
      <c r="Q402" s="2"/>
      <c r="R402" s="2"/>
      <c r="S402" s="2"/>
      <c r="T402" s="2"/>
      <c r="U402" s="2"/>
      <c r="V402" s="2"/>
      <c r="W402" s="2"/>
      <c r="X402" s="2"/>
      <c r="Y402" s="2"/>
      <c r="Z402" s="2"/>
    </row>
    <row r="403">
      <c r="A403" s="2"/>
      <c r="B403" s="132"/>
      <c r="C403" s="132"/>
      <c r="D403" s="132"/>
      <c r="E403" s="132"/>
      <c r="F403" s="132"/>
      <c r="G403" s="132"/>
      <c r="H403" s="132"/>
      <c r="I403" s="132"/>
      <c r="J403" s="132"/>
      <c r="K403" s="132"/>
      <c r="L403" s="2"/>
      <c r="M403" s="2"/>
      <c r="N403" s="2"/>
      <c r="O403" s="2"/>
      <c r="P403" s="2"/>
      <c r="Q403" s="2"/>
      <c r="R403" s="2"/>
      <c r="S403" s="2"/>
      <c r="T403" s="2"/>
      <c r="U403" s="2"/>
      <c r="V403" s="2"/>
      <c r="W403" s="2"/>
      <c r="X403" s="2"/>
      <c r="Y403" s="2"/>
      <c r="Z403" s="2"/>
    </row>
    <row r="404">
      <c r="A404" s="2"/>
      <c r="B404" s="132"/>
      <c r="C404" s="132"/>
      <c r="D404" s="132"/>
      <c r="E404" s="132"/>
      <c r="F404" s="132"/>
      <c r="G404" s="132"/>
      <c r="H404" s="132"/>
      <c r="I404" s="132"/>
      <c r="J404" s="132"/>
      <c r="K404" s="132"/>
      <c r="L404" s="2"/>
      <c r="M404" s="2"/>
      <c r="N404" s="2"/>
      <c r="O404" s="2"/>
      <c r="P404" s="2"/>
      <c r="Q404" s="2"/>
      <c r="R404" s="2"/>
      <c r="S404" s="2"/>
      <c r="T404" s="2"/>
      <c r="U404" s="2"/>
      <c r="V404" s="2"/>
      <c r="W404" s="2"/>
      <c r="X404" s="2"/>
      <c r="Y404" s="2"/>
      <c r="Z404" s="2"/>
    </row>
    <row r="405">
      <c r="A405" s="2"/>
      <c r="B405" s="132"/>
      <c r="C405" s="132"/>
      <c r="D405" s="132"/>
      <c r="E405" s="132"/>
      <c r="F405" s="132"/>
      <c r="G405" s="132"/>
      <c r="H405" s="132"/>
      <c r="I405" s="132"/>
      <c r="J405" s="132"/>
      <c r="K405" s="132"/>
      <c r="L405" s="2"/>
      <c r="M405" s="2"/>
      <c r="N405" s="2"/>
      <c r="O405" s="2"/>
      <c r="P405" s="2"/>
      <c r="Q405" s="2"/>
      <c r="R405" s="2"/>
      <c r="S405" s="2"/>
      <c r="T405" s="2"/>
      <c r="U405" s="2"/>
      <c r="V405" s="2"/>
      <c r="W405" s="2"/>
      <c r="X405" s="2"/>
      <c r="Y405" s="2"/>
      <c r="Z405" s="2"/>
    </row>
    <row r="406">
      <c r="A406" s="2"/>
      <c r="B406" s="132"/>
      <c r="C406" s="132"/>
      <c r="D406" s="132"/>
      <c r="E406" s="132"/>
      <c r="F406" s="132"/>
      <c r="G406" s="132"/>
      <c r="H406" s="132"/>
      <c r="I406" s="132"/>
      <c r="J406" s="132"/>
      <c r="K406" s="132"/>
      <c r="L406" s="2"/>
      <c r="M406" s="2"/>
      <c r="N406" s="2"/>
      <c r="O406" s="2"/>
      <c r="P406" s="2"/>
      <c r="Q406" s="2"/>
      <c r="R406" s="2"/>
      <c r="S406" s="2"/>
      <c r="T406" s="2"/>
      <c r="U406" s="2"/>
      <c r="V406" s="2"/>
      <c r="W406" s="2"/>
      <c r="X406" s="2"/>
      <c r="Y406" s="2"/>
      <c r="Z406" s="2"/>
    </row>
    <row r="407">
      <c r="A407" s="2"/>
      <c r="B407" s="132"/>
      <c r="C407" s="132"/>
      <c r="D407" s="132"/>
      <c r="E407" s="132"/>
      <c r="F407" s="132"/>
      <c r="G407" s="132"/>
      <c r="H407" s="132"/>
      <c r="I407" s="132"/>
      <c r="J407" s="132"/>
      <c r="K407" s="132"/>
      <c r="L407" s="2"/>
      <c r="M407" s="2"/>
      <c r="N407" s="2"/>
      <c r="O407" s="2"/>
      <c r="P407" s="2"/>
      <c r="Q407" s="2"/>
      <c r="R407" s="2"/>
      <c r="S407" s="2"/>
      <c r="T407" s="2"/>
      <c r="U407" s="2"/>
      <c r="V407" s="2"/>
      <c r="W407" s="2"/>
      <c r="X407" s="2"/>
      <c r="Y407" s="2"/>
      <c r="Z407" s="2"/>
    </row>
    <row r="408">
      <c r="A408" s="2"/>
      <c r="B408" s="132"/>
      <c r="C408" s="132"/>
      <c r="D408" s="132"/>
      <c r="E408" s="132"/>
      <c r="F408" s="132"/>
      <c r="G408" s="132"/>
      <c r="H408" s="132"/>
      <c r="I408" s="132"/>
      <c r="J408" s="132"/>
      <c r="K408" s="132"/>
      <c r="L408" s="2"/>
      <c r="M408" s="2"/>
      <c r="N408" s="2"/>
      <c r="O408" s="2"/>
      <c r="P408" s="2"/>
      <c r="Q408" s="2"/>
      <c r="R408" s="2"/>
      <c r="S408" s="2"/>
      <c r="T408" s="2"/>
      <c r="U408" s="2"/>
      <c r="V408" s="2"/>
      <c r="W408" s="2"/>
      <c r="X408" s="2"/>
      <c r="Y408" s="2"/>
      <c r="Z408" s="2"/>
    </row>
    <row r="409">
      <c r="A409" s="2"/>
      <c r="B409" s="132"/>
      <c r="C409" s="132"/>
      <c r="D409" s="132"/>
      <c r="E409" s="132"/>
      <c r="F409" s="132"/>
      <c r="G409" s="132"/>
      <c r="H409" s="132"/>
      <c r="I409" s="132"/>
      <c r="J409" s="132"/>
      <c r="K409" s="132"/>
      <c r="L409" s="2"/>
      <c r="M409" s="2"/>
      <c r="N409" s="2"/>
      <c r="O409" s="2"/>
      <c r="P409" s="2"/>
      <c r="Q409" s="2"/>
      <c r="R409" s="2"/>
      <c r="S409" s="2"/>
      <c r="T409" s="2"/>
      <c r="U409" s="2"/>
      <c r="V409" s="2"/>
      <c r="W409" s="2"/>
      <c r="X409" s="2"/>
      <c r="Y409" s="2"/>
      <c r="Z409" s="2"/>
    </row>
    <row r="410">
      <c r="A410" s="2"/>
      <c r="B410" s="132"/>
      <c r="C410" s="132"/>
      <c r="D410" s="132"/>
      <c r="E410" s="132"/>
      <c r="F410" s="132"/>
      <c r="G410" s="132"/>
      <c r="H410" s="132"/>
      <c r="I410" s="132"/>
      <c r="J410" s="132"/>
      <c r="K410" s="132"/>
      <c r="L410" s="2"/>
      <c r="M410" s="2"/>
      <c r="N410" s="2"/>
      <c r="O410" s="2"/>
      <c r="P410" s="2"/>
      <c r="Q410" s="2"/>
      <c r="R410" s="2"/>
      <c r="S410" s="2"/>
      <c r="T410" s="2"/>
      <c r="U410" s="2"/>
      <c r="V410" s="2"/>
      <c r="W410" s="2"/>
      <c r="X410" s="2"/>
      <c r="Y410" s="2"/>
      <c r="Z410" s="2"/>
    </row>
    <row r="411">
      <c r="A411" s="2"/>
      <c r="B411" s="132"/>
      <c r="C411" s="132"/>
      <c r="D411" s="132"/>
      <c r="E411" s="132"/>
      <c r="F411" s="132"/>
      <c r="G411" s="132"/>
      <c r="H411" s="132"/>
      <c r="I411" s="132"/>
      <c r="J411" s="132"/>
      <c r="K411" s="132"/>
      <c r="L411" s="2"/>
      <c r="M411" s="2"/>
      <c r="N411" s="2"/>
      <c r="O411" s="2"/>
      <c r="P411" s="2"/>
      <c r="Q411" s="2"/>
      <c r="R411" s="2"/>
      <c r="S411" s="2"/>
      <c r="T411" s="2"/>
      <c r="U411" s="2"/>
      <c r="V411" s="2"/>
      <c r="W411" s="2"/>
      <c r="X411" s="2"/>
      <c r="Y411" s="2"/>
      <c r="Z411" s="2"/>
    </row>
    <row r="412">
      <c r="A412" s="2"/>
      <c r="B412" s="132"/>
      <c r="C412" s="132"/>
      <c r="D412" s="132"/>
      <c r="E412" s="132"/>
      <c r="F412" s="132"/>
      <c r="G412" s="132"/>
      <c r="H412" s="132"/>
      <c r="I412" s="132"/>
      <c r="J412" s="132"/>
      <c r="K412" s="132"/>
      <c r="L412" s="2"/>
      <c r="M412" s="2"/>
      <c r="N412" s="2"/>
      <c r="O412" s="2"/>
      <c r="P412" s="2"/>
      <c r="Q412" s="2"/>
      <c r="R412" s="2"/>
      <c r="S412" s="2"/>
      <c r="T412" s="2"/>
      <c r="U412" s="2"/>
      <c r="V412" s="2"/>
      <c r="W412" s="2"/>
      <c r="X412" s="2"/>
      <c r="Y412" s="2"/>
      <c r="Z412" s="2"/>
    </row>
    <row r="413">
      <c r="A413" s="2"/>
      <c r="B413" s="132"/>
      <c r="C413" s="132"/>
      <c r="D413" s="132"/>
      <c r="E413" s="132"/>
      <c r="F413" s="132"/>
      <c r="G413" s="132"/>
      <c r="H413" s="132"/>
      <c r="I413" s="132"/>
      <c r="J413" s="132"/>
      <c r="K413" s="132"/>
      <c r="L413" s="2"/>
      <c r="M413" s="2"/>
      <c r="N413" s="2"/>
      <c r="O413" s="2"/>
      <c r="P413" s="2"/>
      <c r="Q413" s="2"/>
      <c r="R413" s="2"/>
      <c r="S413" s="2"/>
      <c r="T413" s="2"/>
      <c r="U413" s="2"/>
      <c r="V413" s="2"/>
      <c r="W413" s="2"/>
      <c r="X413" s="2"/>
      <c r="Y413" s="2"/>
      <c r="Z413" s="2"/>
    </row>
    <row r="414">
      <c r="A414" s="2"/>
      <c r="B414" s="132"/>
      <c r="C414" s="132"/>
      <c r="D414" s="132"/>
      <c r="E414" s="132"/>
      <c r="F414" s="132"/>
      <c r="G414" s="132"/>
      <c r="H414" s="132"/>
      <c r="I414" s="132"/>
      <c r="J414" s="132"/>
      <c r="K414" s="132"/>
      <c r="L414" s="2"/>
      <c r="M414" s="2"/>
      <c r="N414" s="2"/>
      <c r="O414" s="2"/>
      <c r="P414" s="2"/>
      <c r="Q414" s="2"/>
      <c r="R414" s="2"/>
      <c r="S414" s="2"/>
      <c r="T414" s="2"/>
      <c r="U414" s="2"/>
      <c r="V414" s="2"/>
      <c r="W414" s="2"/>
      <c r="X414" s="2"/>
      <c r="Y414" s="2"/>
      <c r="Z414" s="2"/>
    </row>
    <row r="415">
      <c r="A415" s="2"/>
      <c r="B415" s="132"/>
      <c r="C415" s="132"/>
      <c r="D415" s="132"/>
      <c r="E415" s="132"/>
      <c r="F415" s="132"/>
      <c r="G415" s="132"/>
      <c r="H415" s="132"/>
      <c r="I415" s="132"/>
      <c r="J415" s="132"/>
      <c r="K415" s="132"/>
      <c r="L415" s="2"/>
      <c r="M415" s="2"/>
      <c r="N415" s="2"/>
      <c r="O415" s="2"/>
      <c r="P415" s="2"/>
      <c r="Q415" s="2"/>
      <c r="R415" s="2"/>
      <c r="S415" s="2"/>
      <c r="T415" s="2"/>
      <c r="U415" s="2"/>
      <c r="V415" s="2"/>
      <c r="W415" s="2"/>
      <c r="X415" s="2"/>
      <c r="Y415" s="2"/>
      <c r="Z415" s="2"/>
    </row>
    <row r="416">
      <c r="A416" s="2"/>
      <c r="B416" s="132"/>
      <c r="C416" s="132"/>
      <c r="D416" s="132"/>
      <c r="E416" s="132"/>
      <c r="F416" s="132"/>
      <c r="G416" s="132"/>
      <c r="H416" s="132"/>
      <c r="I416" s="132"/>
      <c r="J416" s="132"/>
      <c r="K416" s="132"/>
      <c r="L416" s="2"/>
      <c r="M416" s="2"/>
      <c r="N416" s="2"/>
      <c r="O416" s="2"/>
      <c r="P416" s="2"/>
      <c r="Q416" s="2"/>
      <c r="R416" s="2"/>
      <c r="S416" s="2"/>
      <c r="T416" s="2"/>
      <c r="U416" s="2"/>
      <c r="V416" s="2"/>
      <c r="W416" s="2"/>
      <c r="X416" s="2"/>
      <c r="Y416" s="2"/>
      <c r="Z416" s="2"/>
    </row>
    <row r="417">
      <c r="A417" s="2"/>
      <c r="B417" s="132"/>
      <c r="C417" s="132"/>
      <c r="D417" s="132"/>
      <c r="E417" s="132"/>
      <c r="F417" s="132"/>
      <c r="G417" s="132"/>
      <c r="H417" s="132"/>
      <c r="I417" s="132"/>
      <c r="J417" s="132"/>
      <c r="K417" s="132"/>
      <c r="L417" s="2"/>
      <c r="M417" s="2"/>
      <c r="N417" s="2"/>
      <c r="O417" s="2"/>
      <c r="P417" s="2"/>
      <c r="Q417" s="2"/>
      <c r="R417" s="2"/>
      <c r="S417" s="2"/>
      <c r="T417" s="2"/>
      <c r="U417" s="2"/>
      <c r="V417" s="2"/>
      <c r="W417" s="2"/>
      <c r="X417" s="2"/>
      <c r="Y417" s="2"/>
      <c r="Z417" s="2"/>
    </row>
    <row r="418">
      <c r="A418" s="2"/>
      <c r="B418" s="132"/>
      <c r="C418" s="132"/>
      <c r="D418" s="132"/>
      <c r="E418" s="132"/>
      <c r="F418" s="132"/>
      <c r="G418" s="132"/>
      <c r="H418" s="132"/>
      <c r="I418" s="132"/>
      <c r="J418" s="132"/>
      <c r="K418" s="132"/>
      <c r="L418" s="2"/>
      <c r="M418" s="2"/>
      <c r="N418" s="2"/>
      <c r="O418" s="2"/>
      <c r="P418" s="2"/>
      <c r="Q418" s="2"/>
      <c r="R418" s="2"/>
      <c r="S418" s="2"/>
      <c r="T418" s="2"/>
      <c r="U418" s="2"/>
      <c r="V418" s="2"/>
      <c r="W418" s="2"/>
      <c r="X418" s="2"/>
      <c r="Y418" s="2"/>
      <c r="Z418" s="2"/>
    </row>
    <row r="419">
      <c r="A419" s="2"/>
      <c r="B419" s="132"/>
      <c r="C419" s="132"/>
      <c r="D419" s="132"/>
      <c r="E419" s="132"/>
      <c r="F419" s="132"/>
      <c r="G419" s="132"/>
      <c r="H419" s="132"/>
      <c r="I419" s="132"/>
      <c r="J419" s="132"/>
      <c r="K419" s="132"/>
      <c r="L419" s="2"/>
      <c r="M419" s="2"/>
      <c r="N419" s="2"/>
      <c r="O419" s="2"/>
      <c r="P419" s="2"/>
      <c r="Q419" s="2"/>
      <c r="R419" s="2"/>
      <c r="S419" s="2"/>
      <c r="T419" s="2"/>
      <c r="U419" s="2"/>
      <c r="V419" s="2"/>
      <c r="W419" s="2"/>
      <c r="X419" s="2"/>
      <c r="Y419" s="2"/>
      <c r="Z419" s="2"/>
    </row>
    <row r="420">
      <c r="A420" s="2"/>
      <c r="B420" s="132"/>
      <c r="C420" s="132"/>
      <c r="D420" s="132"/>
      <c r="E420" s="132"/>
      <c r="F420" s="132"/>
      <c r="G420" s="132"/>
      <c r="H420" s="132"/>
      <c r="I420" s="132"/>
      <c r="J420" s="132"/>
      <c r="K420" s="132"/>
      <c r="L420" s="2"/>
      <c r="M420" s="2"/>
      <c r="N420" s="2"/>
      <c r="O420" s="2"/>
      <c r="P420" s="2"/>
      <c r="Q420" s="2"/>
      <c r="R420" s="2"/>
      <c r="S420" s="2"/>
      <c r="T420" s="2"/>
      <c r="U420" s="2"/>
      <c r="V420" s="2"/>
      <c r="W420" s="2"/>
      <c r="X420" s="2"/>
      <c r="Y420" s="2"/>
      <c r="Z420" s="2"/>
    </row>
    <row r="421">
      <c r="A421" s="2"/>
      <c r="B421" s="132"/>
      <c r="C421" s="132"/>
      <c r="D421" s="132"/>
      <c r="E421" s="132"/>
      <c r="F421" s="132"/>
      <c r="G421" s="132"/>
      <c r="H421" s="132"/>
      <c r="I421" s="132"/>
      <c r="J421" s="132"/>
      <c r="K421" s="132"/>
      <c r="L421" s="2"/>
      <c r="M421" s="2"/>
      <c r="N421" s="2"/>
      <c r="O421" s="2"/>
      <c r="P421" s="2"/>
      <c r="Q421" s="2"/>
      <c r="R421" s="2"/>
      <c r="S421" s="2"/>
      <c r="T421" s="2"/>
      <c r="U421" s="2"/>
      <c r="V421" s="2"/>
      <c r="W421" s="2"/>
      <c r="X421" s="2"/>
      <c r="Y421" s="2"/>
      <c r="Z421" s="2"/>
    </row>
    <row r="422">
      <c r="A422" s="2"/>
      <c r="B422" s="132"/>
      <c r="C422" s="132"/>
      <c r="D422" s="132"/>
      <c r="E422" s="132"/>
      <c r="F422" s="132"/>
      <c r="G422" s="132"/>
      <c r="H422" s="132"/>
      <c r="I422" s="132"/>
      <c r="J422" s="132"/>
      <c r="K422" s="132"/>
      <c r="L422" s="2"/>
      <c r="M422" s="2"/>
      <c r="N422" s="2"/>
      <c r="O422" s="2"/>
      <c r="P422" s="2"/>
      <c r="Q422" s="2"/>
      <c r="R422" s="2"/>
      <c r="S422" s="2"/>
      <c r="T422" s="2"/>
      <c r="U422" s="2"/>
      <c r="V422" s="2"/>
      <c r="W422" s="2"/>
      <c r="X422" s="2"/>
      <c r="Y422" s="2"/>
      <c r="Z422" s="2"/>
    </row>
    <row r="423">
      <c r="A423" s="2"/>
      <c r="B423" s="132"/>
      <c r="C423" s="132"/>
      <c r="D423" s="132"/>
      <c r="E423" s="132"/>
      <c r="F423" s="132"/>
      <c r="G423" s="132"/>
      <c r="H423" s="132"/>
      <c r="I423" s="132"/>
      <c r="J423" s="132"/>
      <c r="K423" s="132"/>
      <c r="L423" s="2"/>
      <c r="M423" s="2"/>
      <c r="N423" s="2"/>
      <c r="O423" s="2"/>
      <c r="P423" s="2"/>
      <c r="Q423" s="2"/>
      <c r="R423" s="2"/>
      <c r="S423" s="2"/>
      <c r="T423" s="2"/>
      <c r="U423" s="2"/>
      <c r="V423" s="2"/>
      <c r="W423" s="2"/>
      <c r="X423" s="2"/>
      <c r="Y423" s="2"/>
      <c r="Z423" s="2"/>
    </row>
    <row r="424">
      <c r="A424" s="2"/>
      <c r="B424" s="132"/>
      <c r="C424" s="132"/>
      <c r="D424" s="132"/>
      <c r="E424" s="132"/>
      <c r="F424" s="132"/>
      <c r="G424" s="132"/>
      <c r="H424" s="132"/>
      <c r="I424" s="132"/>
      <c r="J424" s="132"/>
      <c r="K424" s="132"/>
      <c r="L424" s="2"/>
      <c r="M424" s="2"/>
      <c r="N424" s="2"/>
      <c r="O424" s="2"/>
      <c r="P424" s="2"/>
      <c r="Q424" s="2"/>
      <c r="R424" s="2"/>
      <c r="S424" s="2"/>
      <c r="T424" s="2"/>
      <c r="U424" s="2"/>
      <c r="V424" s="2"/>
      <c r="W424" s="2"/>
      <c r="X424" s="2"/>
      <c r="Y424" s="2"/>
      <c r="Z424" s="2"/>
    </row>
    <row r="425">
      <c r="A425" s="2"/>
      <c r="B425" s="132"/>
      <c r="C425" s="132"/>
      <c r="D425" s="132"/>
      <c r="E425" s="132"/>
      <c r="F425" s="132"/>
      <c r="G425" s="132"/>
      <c r="H425" s="132"/>
      <c r="I425" s="132"/>
      <c r="J425" s="132"/>
      <c r="K425" s="132"/>
      <c r="L425" s="2"/>
      <c r="M425" s="2"/>
      <c r="N425" s="2"/>
      <c r="O425" s="2"/>
      <c r="P425" s="2"/>
      <c r="Q425" s="2"/>
      <c r="R425" s="2"/>
      <c r="S425" s="2"/>
      <c r="T425" s="2"/>
      <c r="U425" s="2"/>
      <c r="V425" s="2"/>
      <c r="W425" s="2"/>
      <c r="X425" s="2"/>
      <c r="Y425" s="2"/>
      <c r="Z425" s="2"/>
    </row>
    <row r="426">
      <c r="A426" s="2"/>
      <c r="B426" s="132"/>
      <c r="C426" s="132"/>
      <c r="D426" s="132"/>
      <c r="E426" s="132"/>
      <c r="F426" s="132"/>
      <c r="G426" s="132"/>
      <c r="H426" s="132"/>
      <c r="I426" s="132"/>
      <c r="J426" s="132"/>
      <c r="K426" s="132"/>
      <c r="L426" s="2"/>
      <c r="M426" s="2"/>
      <c r="N426" s="2"/>
      <c r="O426" s="2"/>
      <c r="P426" s="2"/>
      <c r="Q426" s="2"/>
      <c r="R426" s="2"/>
      <c r="S426" s="2"/>
      <c r="T426" s="2"/>
      <c r="U426" s="2"/>
      <c r="V426" s="2"/>
      <c r="W426" s="2"/>
      <c r="X426" s="2"/>
      <c r="Y426" s="2"/>
      <c r="Z426" s="2"/>
    </row>
    <row r="427">
      <c r="A427" s="2"/>
      <c r="B427" s="132"/>
      <c r="C427" s="132"/>
      <c r="D427" s="132"/>
      <c r="E427" s="132"/>
      <c r="F427" s="132"/>
      <c r="G427" s="132"/>
      <c r="H427" s="132"/>
      <c r="I427" s="132"/>
      <c r="J427" s="132"/>
      <c r="K427" s="132"/>
      <c r="L427" s="2"/>
      <c r="M427" s="2"/>
      <c r="N427" s="2"/>
      <c r="O427" s="2"/>
      <c r="P427" s="2"/>
      <c r="Q427" s="2"/>
      <c r="R427" s="2"/>
      <c r="S427" s="2"/>
      <c r="T427" s="2"/>
      <c r="U427" s="2"/>
      <c r="V427" s="2"/>
      <c r="W427" s="2"/>
      <c r="X427" s="2"/>
      <c r="Y427" s="2"/>
      <c r="Z427" s="2"/>
    </row>
    <row r="428">
      <c r="A428" s="2"/>
      <c r="B428" s="132"/>
      <c r="C428" s="132"/>
      <c r="D428" s="132"/>
      <c r="E428" s="132"/>
      <c r="F428" s="132"/>
      <c r="G428" s="132"/>
      <c r="H428" s="132"/>
      <c r="I428" s="132"/>
      <c r="J428" s="132"/>
      <c r="K428" s="132"/>
      <c r="L428" s="2"/>
      <c r="M428" s="2"/>
      <c r="N428" s="2"/>
      <c r="O428" s="2"/>
      <c r="P428" s="2"/>
      <c r="Q428" s="2"/>
      <c r="R428" s="2"/>
      <c r="S428" s="2"/>
      <c r="T428" s="2"/>
      <c r="U428" s="2"/>
      <c r="V428" s="2"/>
      <c r="W428" s="2"/>
      <c r="X428" s="2"/>
      <c r="Y428" s="2"/>
      <c r="Z428" s="2"/>
    </row>
    <row r="429">
      <c r="A429" s="2"/>
      <c r="B429" s="132"/>
      <c r="C429" s="132"/>
      <c r="D429" s="132"/>
      <c r="E429" s="132"/>
      <c r="F429" s="132"/>
      <c r="G429" s="132"/>
      <c r="H429" s="132"/>
      <c r="I429" s="132"/>
      <c r="J429" s="132"/>
      <c r="K429" s="132"/>
      <c r="L429" s="2"/>
      <c r="M429" s="2"/>
      <c r="N429" s="2"/>
      <c r="O429" s="2"/>
      <c r="P429" s="2"/>
      <c r="Q429" s="2"/>
      <c r="R429" s="2"/>
      <c r="S429" s="2"/>
      <c r="T429" s="2"/>
      <c r="U429" s="2"/>
      <c r="V429" s="2"/>
      <c r="W429" s="2"/>
      <c r="X429" s="2"/>
      <c r="Y429" s="2"/>
      <c r="Z429" s="2"/>
    </row>
    <row r="430">
      <c r="A430" s="2"/>
      <c r="B430" s="132"/>
      <c r="C430" s="132"/>
      <c r="D430" s="132"/>
      <c r="E430" s="132"/>
      <c r="F430" s="132"/>
      <c r="G430" s="132"/>
      <c r="H430" s="132"/>
      <c r="I430" s="132"/>
      <c r="J430" s="132"/>
      <c r="K430" s="132"/>
      <c r="L430" s="2"/>
      <c r="M430" s="2"/>
      <c r="N430" s="2"/>
      <c r="O430" s="2"/>
      <c r="P430" s="2"/>
      <c r="Q430" s="2"/>
      <c r="R430" s="2"/>
      <c r="S430" s="2"/>
      <c r="T430" s="2"/>
      <c r="U430" s="2"/>
      <c r="V430" s="2"/>
      <c r="W430" s="2"/>
      <c r="X430" s="2"/>
      <c r="Y430" s="2"/>
      <c r="Z430" s="2"/>
    </row>
    <row r="431">
      <c r="A431" s="2"/>
      <c r="B431" s="132"/>
      <c r="C431" s="132"/>
      <c r="D431" s="132"/>
      <c r="E431" s="132"/>
      <c r="F431" s="132"/>
      <c r="G431" s="132"/>
      <c r="H431" s="132"/>
      <c r="I431" s="132"/>
      <c r="J431" s="132"/>
      <c r="K431" s="132"/>
      <c r="L431" s="2"/>
      <c r="M431" s="2"/>
      <c r="N431" s="2"/>
      <c r="O431" s="2"/>
      <c r="P431" s="2"/>
      <c r="Q431" s="2"/>
      <c r="R431" s="2"/>
      <c r="S431" s="2"/>
      <c r="T431" s="2"/>
      <c r="U431" s="2"/>
      <c r="V431" s="2"/>
      <c r="W431" s="2"/>
      <c r="X431" s="2"/>
      <c r="Y431" s="2"/>
      <c r="Z431" s="2"/>
    </row>
    <row r="432">
      <c r="A432" s="2"/>
      <c r="B432" s="132"/>
      <c r="C432" s="132"/>
      <c r="D432" s="132"/>
      <c r="E432" s="132"/>
      <c r="F432" s="132"/>
      <c r="G432" s="132"/>
      <c r="H432" s="132"/>
      <c r="I432" s="132"/>
      <c r="J432" s="132"/>
      <c r="K432" s="132"/>
      <c r="L432" s="2"/>
      <c r="M432" s="2"/>
      <c r="N432" s="2"/>
      <c r="O432" s="2"/>
      <c r="P432" s="2"/>
      <c r="Q432" s="2"/>
      <c r="R432" s="2"/>
      <c r="S432" s="2"/>
      <c r="T432" s="2"/>
      <c r="U432" s="2"/>
      <c r="V432" s="2"/>
      <c r="W432" s="2"/>
      <c r="X432" s="2"/>
      <c r="Y432" s="2"/>
      <c r="Z432" s="2"/>
    </row>
    <row r="433">
      <c r="A433" s="2"/>
      <c r="B433" s="132"/>
      <c r="C433" s="132"/>
      <c r="D433" s="132"/>
      <c r="E433" s="132"/>
      <c r="F433" s="132"/>
      <c r="G433" s="132"/>
      <c r="H433" s="132"/>
      <c r="I433" s="132"/>
      <c r="J433" s="132"/>
      <c r="K433" s="132"/>
      <c r="L433" s="2"/>
      <c r="M433" s="2"/>
      <c r="N433" s="2"/>
      <c r="O433" s="2"/>
      <c r="P433" s="2"/>
      <c r="Q433" s="2"/>
      <c r="R433" s="2"/>
      <c r="S433" s="2"/>
      <c r="T433" s="2"/>
      <c r="U433" s="2"/>
      <c r="V433" s="2"/>
      <c r="W433" s="2"/>
      <c r="X433" s="2"/>
      <c r="Y433" s="2"/>
      <c r="Z433" s="2"/>
    </row>
    <row r="434">
      <c r="A434" s="2"/>
      <c r="B434" s="132"/>
      <c r="C434" s="132"/>
      <c r="D434" s="132"/>
      <c r="E434" s="132"/>
      <c r="F434" s="132"/>
      <c r="G434" s="132"/>
      <c r="H434" s="132"/>
      <c r="I434" s="132"/>
      <c r="J434" s="132"/>
      <c r="K434" s="132"/>
      <c r="L434" s="2"/>
      <c r="M434" s="2"/>
      <c r="N434" s="2"/>
      <c r="O434" s="2"/>
      <c r="P434" s="2"/>
      <c r="Q434" s="2"/>
      <c r="R434" s="2"/>
      <c r="S434" s="2"/>
      <c r="T434" s="2"/>
      <c r="U434" s="2"/>
      <c r="V434" s="2"/>
      <c r="W434" s="2"/>
      <c r="X434" s="2"/>
      <c r="Y434" s="2"/>
      <c r="Z434" s="2"/>
    </row>
    <row r="435">
      <c r="A435" s="2"/>
      <c r="B435" s="132"/>
      <c r="C435" s="132"/>
      <c r="D435" s="132"/>
      <c r="E435" s="132"/>
      <c r="F435" s="132"/>
      <c r="G435" s="132"/>
      <c r="H435" s="132"/>
      <c r="I435" s="132"/>
      <c r="J435" s="132"/>
      <c r="K435" s="132"/>
      <c r="L435" s="2"/>
      <c r="M435" s="2"/>
      <c r="N435" s="2"/>
      <c r="O435" s="2"/>
      <c r="P435" s="2"/>
      <c r="Q435" s="2"/>
      <c r="R435" s="2"/>
      <c r="S435" s="2"/>
      <c r="T435" s="2"/>
      <c r="U435" s="2"/>
      <c r="V435" s="2"/>
      <c r="W435" s="2"/>
      <c r="X435" s="2"/>
      <c r="Y435" s="2"/>
      <c r="Z435" s="2"/>
    </row>
    <row r="436">
      <c r="A436" s="2"/>
      <c r="B436" s="132"/>
      <c r="C436" s="132"/>
      <c r="D436" s="132"/>
      <c r="E436" s="132"/>
      <c r="F436" s="132"/>
      <c r="G436" s="132"/>
      <c r="H436" s="132"/>
      <c r="I436" s="132"/>
      <c r="J436" s="132"/>
      <c r="K436" s="132"/>
      <c r="L436" s="2"/>
      <c r="M436" s="2"/>
      <c r="N436" s="2"/>
      <c r="O436" s="2"/>
      <c r="P436" s="2"/>
      <c r="Q436" s="2"/>
      <c r="R436" s="2"/>
      <c r="S436" s="2"/>
      <c r="T436" s="2"/>
      <c r="U436" s="2"/>
      <c r="V436" s="2"/>
      <c r="W436" s="2"/>
      <c r="X436" s="2"/>
      <c r="Y436" s="2"/>
      <c r="Z436" s="2"/>
    </row>
    <row r="437">
      <c r="A437" s="2"/>
      <c r="B437" s="132"/>
      <c r="C437" s="132"/>
      <c r="D437" s="132"/>
      <c r="E437" s="132"/>
      <c r="F437" s="132"/>
      <c r="G437" s="132"/>
      <c r="H437" s="132"/>
      <c r="I437" s="132"/>
      <c r="J437" s="132"/>
      <c r="K437" s="132"/>
      <c r="L437" s="2"/>
      <c r="M437" s="2"/>
      <c r="N437" s="2"/>
      <c r="O437" s="2"/>
      <c r="P437" s="2"/>
      <c r="Q437" s="2"/>
      <c r="R437" s="2"/>
      <c r="S437" s="2"/>
      <c r="T437" s="2"/>
      <c r="U437" s="2"/>
      <c r="V437" s="2"/>
      <c r="W437" s="2"/>
      <c r="X437" s="2"/>
      <c r="Y437" s="2"/>
      <c r="Z437" s="2"/>
    </row>
    <row r="438">
      <c r="A438" s="2"/>
      <c r="B438" s="132"/>
      <c r="C438" s="132"/>
      <c r="D438" s="132"/>
      <c r="E438" s="132"/>
      <c r="F438" s="132"/>
      <c r="G438" s="132"/>
      <c r="H438" s="132"/>
      <c r="I438" s="132"/>
      <c r="J438" s="132"/>
      <c r="K438" s="132"/>
      <c r="L438" s="2"/>
      <c r="M438" s="2"/>
      <c r="N438" s="2"/>
      <c r="O438" s="2"/>
      <c r="P438" s="2"/>
      <c r="Q438" s="2"/>
      <c r="R438" s="2"/>
      <c r="S438" s="2"/>
      <c r="T438" s="2"/>
      <c r="U438" s="2"/>
      <c r="V438" s="2"/>
      <c r="W438" s="2"/>
      <c r="X438" s="2"/>
      <c r="Y438" s="2"/>
      <c r="Z438" s="2"/>
    </row>
    <row r="439">
      <c r="A439" s="2"/>
      <c r="B439" s="132"/>
      <c r="C439" s="132"/>
      <c r="D439" s="132"/>
      <c r="E439" s="132"/>
      <c r="F439" s="132"/>
      <c r="G439" s="132"/>
      <c r="H439" s="132"/>
      <c r="I439" s="132"/>
      <c r="J439" s="132"/>
      <c r="K439" s="132"/>
      <c r="L439" s="2"/>
      <c r="M439" s="2"/>
      <c r="N439" s="2"/>
      <c r="O439" s="2"/>
      <c r="P439" s="2"/>
      <c r="Q439" s="2"/>
      <c r="R439" s="2"/>
      <c r="S439" s="2"/>
      <c r="T439" s="2"/>
      <c r="U439" s="2"/>
      <c r="V439" s="2"/>
      <c r="W439" s="2"/>
      <c r="X439" s="2"/>
      <c r="Y439" s="2"/>
      <c r="Z439" s="2"/>
    </row>
    <row r="440">
      <c r="A440" s="2"/>
      <c r="B440" s="132"/>
      <c r="C440" s="132"/>
      <c r="D440" s="132"/>
      <c r="E440" s="132"/>
      <c r="F440" s="132"/>
      <c r="G440" s="132"/>
      <c r="H440" s="132"/>
      <c r="I440" s="132"/>
      <c r="J440" s="132"/>
      <c r="K440" s="132"/>
      <c r="L440" s="2"/>
      <c r="M440" s="2"/>
      <c r="N440" s="2"/>
      <c r="O440" s="2"/>
      <c r="P440" s="2"/>
      <c r="Q440" s="2"/>
      <c r="R440" s="2"/>
      <c r="S440" s="2"/>
      <c r="T440" s="2"/>
      <c r="U440" s="2"/>
      <c r="V440" s="2"/>
      <c r="W440" s="2"/>
      <c r="X440" s="2"/>
      <c r="Y440" s="2"/>
      <c r="Z440" s="2"/>
    </row>
    <row r="441">
      <c r="A441" s="2"/>
      <c r="B441" s="132"/>
      <c r="C441" s="132"/>
      <c r="D441" s="132"/>
      <c r="E441" s="132"/>
      <c r="F441" s="132"/>
      <c r="G441" s="132"/>
      <c r="H441" s="132"/>
      <c r="I441" s="132"/>
      <c r="J441" s="132"/>
      <c r="K441" s="132"/>
      <c r="L441" s="2"/>
      <c r="M441" s="2"/>
      <c r="N441" s="2"/>
      <c r="O441" s="2"/>
      <c r="P441" s="2"/>
      <c r="Q441" s="2"/>
      <c r="R441" s="2"/>
      <c r="S441" s="2"/>
      <c r="T441" s="2"/>
      <c r="U441" s="2"/>
      <c r="V441" s="2"/>
      <c r="W441" s="2"/>
      <c r="X441" s="2"/>
      <c r="Y441" s="2"/>
      <c r="Z441" s="2"/>
    </row>
    <row r="442">
      <c r="A442" s="2"/>
      <c r="B442" s="132"/>
      <c r="C442" s="132"/>
      <c r="D442" s="132"/>
      <c r="E442" s="132"/>
      <c r="F442" s="132"/>
      <c r="G442" s="132"/>
      <c r="H442" s="132"/>
      <c r="I442" s="132"/>
      <c r="J442" s="132"/>
      <c r="K442" s="132"/>
      <c r="L442" s="2"/>
      <c r="M442" s="2"/>
      <c r="N442" s="2"/>
      <c r="O442" s="2"/>
      <c r="P442" s="2"/>
      <c r="Q442" s="2"/>
      <c r="R442" s="2"/>
      <c r="S442" s="2"/>
      <c r="T442" s="2"/>
      <c r="U442" s="2"/>
      <c r="V442" s="2"/>
      <c r="W442" s="2"/>
      <c r="X442" s="2"/>
      <c r="Y442" s="2"/>
      <c r="Z442" s="2"/>
    </row>
    <row r="443">
      <c r="A443" s="2"/>
      <c r="B443" s="132"/>
      <c r="C443" s="132"/>
      <c r="D443" s="132"/>
      <c r="E443" s="132"/>
      <c r="F443" s="132"/>
      <c r="G443" s="132"/>
      <c r="H443" s="132"/>
      <c r="I443" s="132"/>
      <c r="J443" s="132"/>
      <c r="K443" s="132"/>
      <c r="L443" s="2"/>
      <c r="M443" s="2"/>
      <c r="N443" s="2"/>
      <c r="O443" s="2"/>
      <c r="P443" s="2"/>
      <c r="Q443" s="2"/>
      <c r="R443" s="2"/>
      <c r="S443" s="2"/>
      <c r="T443" s="2"/>
      <c r="U443" s="2"/>
      <c r="V443" s="2"/>
      <c r="W443" s="2"/>
      <c r="X443" s="2"/>
      <c r="Y443" s="2"/>
      <c r="Z443" s="2"/>
    </row>
    <row r="444">
      <c r="A444" s="2"/>
      <c r="B444" s="132"/>
      <c r="C444" s="132"/>
      <c r="D444" s="132"/>
      <c r="E444" s="132"/>
      <c r="F444" s="132"/>
      <c r="G444" s="132"/>
      <c r="H444" s="132"/>
      <c r="I444" s="132"/>
      <c r="J444" s="132"/>
      <c r="K444" s="132"/>
      <c r="L444" s="2"/>
      <c r="M444" s="2"/>
      <c r="N444" s="2"/>
      <c r="O444" s="2"/>
      <c r="P444" s="2"/>
      <c r="Q444" s="2"/>
      <c r="R444" s="2"/>
      <c r="S444" s="2"/>
      <c r="T444" s="2"/>
      <c r="U444" s="2"/>
      <c r="V444" s="2"/>
      <c r="W444" s="2"/>
      <c r="X444" s="2"/>
      <c r="Y444" s="2"/>
      <c r="Z444" s="2"/>
    </row>
    <row r="445">
      <c r="A445" s="2"/>
      <c r="B445" s="132"/>
      <c r="C445" s="132"/>
      <c r="D445" s="132"/>
      <c r="E445" s="132"/>
      <c r="F445" s="132"/>
      <c r="G445" s="132"/>
      <c r="H445" s="132"/>
      <c r="I445" s="132"/>
      <c r="J445" s="132"/>
      <c r="K445" s="132"/>
      <c r="L445" s="2"/>
      <c r="M445" s="2"/>
      <c r="N445" s="2"/>
      <c r="O445" s="2"/>
      <c r="P445" s="2"/>
      <c r="Q445" s="2"/>
      <c r="R445" s="2"/>
      <c r="S445" s="2"/>
      <c r="T445" s="2"/>
      <c r="U445" s="2"/>
      <c r="V445" s="2"/>
      <c r="W445" s="2"/>
      <c r="X445" s="2"/>
      <c r="Y445" s="2"/>
      <c r="Z445" s="2"/>
    </row>
    <row r="446">
      <c r="A446" s="2"/>
      <c r="B446" s="132"/>
      <c r="C446" s="132"/>
      <c r="D446" s="132"/>
      <c r="E446" s="132"/>
      <c r="F446" s="132"/>
      <c r="G446" s="132"/>
      <c r="H446" s="132"/>
      <c r="I446" s="132"/>
      <c r="J446" s="132"/>
      <c r="K446" s="132"/>
      <c r="L446" s="2"/>
      <c r="M446" s="2"/>
      <c r="N446" s="2"/>
      <c r="O446" s="2"/>
      <c r="P446" s="2"/>
      <c r="Q446" s="2"/>
      <c r="R446" s="2"/>
      <c r="S446" s="2"/>
      <c r="T446" s="2"/>
      <c r="U446" s="2"/>
      <c r="V446" s="2"/>
      <c r="W446" s="2"/>
      <c r="X446" s="2"/>
      <c r="Y446" s="2"/>
      <c r="Z446" s="2"/>
    </row>
    <row r="447">
      <c r="A447" s="2"/>
      <c r="B447" s="132"/>
      <c r="C447" s="132"/>
      <c r="D447" s="132"/>
      <c r="E447" s="132"/>
      <c r="F447" s="132"/>
      <c r="G447" s="132"/>
      <c r="H447" s="132"/>
      <c r="I447" s="132"/>
      <c r="J447" s="132"/>
      <c r="K447" s="132"/>
      <c r="L447" s="2"/>
      <c r="M447" s="2"/>
      <c r="N447" s="2"/>
      <c r="O447" s="2"/>
      <c r="P447" s="2"/>
      <c r="Q447" s="2"/>
      <c r="R447" s="2"/>
      <c r="S447" s="2"/>
      <c r="T447" s="2"/>
      <c r="U447" s="2"/>
      <c r="V447" s="2"/>
      <c r="W447" s="2"/>
      <c r="X447" s="2"/>
      <c r="Y447" s="2"/>
      <c r="Z447" s="2"/>
    </row>
    <row r="448">
      <c r="A448" s="2"/>
      <c r="B448" s="132"/>
      <c r="C448" s="132"/>
      <c r="D448" s="132"/>
      <c r="E448" s="132"/>
      <c r="F448" s="132"/>
      <c r="G448" s="132"/>
      <c r="H448" s="132"/>
      <c r="I448" s="132"/>
      <c r="J448" s="132"/>
      <c r="K448" s="132"/>
      <c r="L448" s="2"/>
      <c r="M448" s="2"/>
      <c r="N448" s="2"/>
      <c r="O448" s="2"/>
      <c r="P448" s="2"/>
      <c r="Q448" s="2"/>
      <c r="R448" s="2"/>
      <c r="S448" s="2"/>
      <c r="T448" s="2"/>
      <c r="U448" s="2"/>
      <c r="V448" s="2"/>
      <c r="W448" s="2"/>
      <c r="X448" s="2"/>
      <c r="Y448" s="2"/>
      <c r="Z448" s="2"/>
    </row>
    <row r="449">
      <c r="A449" s="2"/>
      <c r="B449" s="132"/>
      <c r="C449" s="132"/>
      <c r="D449" s="132"/>
      <c r="E449" s="132"/>
      <c r="F449" s="132"/>
      <c r="G449" s="132"/>
      <c r="H449" s="132"/>
      <c r="I449" s="132"/>
      <c r="J449" s="132"/>
      <c r="K449" s="132"/>
      <c r="L449" s="2"/>
      <c r="M449" s="2"/>
      <c r="N449" s="2"/>
      <c r="O449" s="2"/>
      <c r="P449" s="2"/>
      <c r="Q449" s="2"/>
      <c r="R449" s="2"/>
      <c r="S449" s="2"/>
      <c r="T449" s="2"/>
      <c r="U449" s="2"/>
      <c r="V449" s="2"/>
      <c r="W449" s="2"/>
      <c r="X449" s="2"/>
      <c r="Y449" s="2"/>
      <c r="Z449" s="2"/>
    </row>
    <row r="450">
      <c r="A450" s="2"/>
      <c r="B450" s="132"/>
      <c r="C450" s="132"/>
      <c r="D450" s="132"/>
      <c r="E450" s="132"/>
      <c r="F450" s="132"/>
      <c r="G450" s="132"/>
      <c r="H450" s="132"/>
      <c r="I450" s="132"/>
      <c r="J450" s="132"/>
      <c r="K450" s="132"/>
      <c r="L450" s="2"/>
      <c r="M450" s="2"/>
      <c r="N450" s="2"/>
      <c r="O450" s="2"/>
      <c r="P450" s="2"/>
      <c r="Q450" s="2"/>
      <c r="R450" s="2"/>
      <c r="S450" s="2"/>
      <c r="T450" s="2"/>
      <c r="U450" s="2"/>
      <c r="V450" s="2"/>
      <c r="W450" s="2"/>
      <c r="X450" s="2"/>
      <c r="Y450" s="2"/>
      <c r="Z450" s="2"/>
    </row>
    <row r="451">
      <c r="A451" s="2"/>
      <c r="B451" s="132"/>
      <c r="C451" s="132"/>
      <c r="D451" s="132"/>
      <c r="E451" s="132"/>
      <c r="F451" s="132"/>
      <c r="G451" s="132"/>
      <c r="H451" s="132"/>
      <c r="I451" s="132"/>
      <c r="J451" s="132"/>
      <c r="K451" s="132"/>
      <c r="L451" s="2"/>
      <c r="M451" s="2"/>
      <c r="N451" s="2"/>
      <c r="O451" s="2"/>
      <c r="P451" s="2"/>
      <c r="Q451" s="2"/>
      <c r="R451" s="2"/>
      <c r="S451" s="2"/>
      <c r="T451" s="2"/>
      <c r="U451" s="2"/>
      <c r="V451" s="2"/>
      <c r="W451" s="2"/>
      <c r="X451" s="2"/>
      <c r="Y451" s="2"/>
      <c r="Z451" s="2"/>
    </row>
    <row r="452">
      <c r="A452" s="2"/>
      <c r="B452" s="132"/>
      <c r="C452" s="132"/>
      <c r="D452" s="132"/>
      <c r="E452" s="132"/>
      <c r="F452" s="132"/>
      <c r="G452" s="132"/>
      <c r="H452" s="132"/>
      <c r="I452" s="132"/>
      <c r="J452" s="132"/>
      <c r="K452" s="132"/>
      <c r="L452" s="2"/>
      <c r="M452" s="2"/>
      <c r="N452" s="2"/>
      <c r="O452" s="2"/>
      <c r="P452" s="2"/>
      <c r="Q452" s="2"/>
      <c r="R452" s="2"/>
      <c r="S452" s="2"/>
      <c r="T452" s="2"/>
      <c r="U452" s="2"/>
      <c r="V452" s="2"/>
      <c r="W452" s="2"/>
      <c r="X452" s="2"/>
      <c r="Y452" s="2"/>
      <c r="Z452" s="2"/>
    </row>
    <row r="453">
      <c r="A453" s="2"/>
      <c r="B453" s="132"/>
      <c r="C453" s="132"/>
      <c r="D453" s="132"/>
      <c r="E453" s="132"/>
      <c r="F453" s="132"/>
      <c r="G453" s="132"/>
      <c r="H453" s="132"/>
      <c r="I453" s="132"/>
      <c r="J453" s="132"/>
      <c r="K453" s="132"/>
      <c r="L453" s="2"/>
      <c r="M453" s="2"/>
      <c r="N453" s="2"/>
      <c r="O453" s="2"/>
      <c r="P453" s="2"/>
      <c r="Q453" s="2"/>
      <c r="R453" s="2"/>
      <c r="S453" s="2"/>
      <c r="T453" s="2"/>
      <c r="U453" s="2"/>
      <c r="V453" s="2"/>
      <c r="W453" s="2"/>
      <c r="X453" s="2"/>
      <c r="Y453" s="2"/>
      <c r="Z453" s="2"/>
    </row>
    <row r="454">
      <c r="A454" s="2"/>
      <c r="B454" s="132"/>
      <c r="C454" s="132"/>
      <c r="D454" s="132"/>
      <c r="E454" s="132"/>
      <c r="F454" s="132"/>
      <c r="G454" s="132"/>
      <c r="H454" s="132"/>
      <c r="I454" s="132"/>
      <c r="J454" s="132"/>
      <c r="K454" s="132"/>
      <c r="L454" s="2"/>
      <c r="M454" s="2"/>
      <c r="N454" s="2"/>
      <c r="O454" s="2"/>
      <c r="P454" s="2"/>
      <c r="Q454" s="2"/>
      <c r="R454" s="2"/>
      <c r="S454" s="2"/>
      <c r="T454" s="2"/>
      <c r="U454" s="2"/>
      <c r="V454" s="2"/>
      <c r="W454" s="2"/>
      <c r="X454" s="2"/>
      <c r="Y454" s="2"/>
      <c r="Z454" s="2"/>
    </row>
    <row r="455">
      <c r="A455" s="2"/>
      <c r="B455" s="132"/>
      <c r="C455" s="132"/>
      <c r="D455" s="132"/>
      <c r="E455" s="132"/>
      <c r="F455" s="132"/>
      <c r="G455" s="132"/>
      <c r="H455" s="132"/>
      <c r="I455" s="132"/>
      <c r="J455" s="132"/>
      <c r="K455" s="132"/>
      <c r="L455" s="2"/>
      <c r="M455" s="2"/>
      <c r="N455" s="2"/>
      <c r="O455" s="2"/>
      <c r="P455" s="2"/>
      <c r="Q455" s="2"/>
      <c r="R455" s="2"/>
      <c r="S455" s="2"/>
      <c r="T455" s="2"/>
      <c r="U455" s="2"/>
      <c r="V455" s="2"/>
      <c r="W455" s="2"/>
      <c r="X455" s="2"/>
      <c r="Y455" s="2"/>
      <c r="Z455" s="2"/>
    </row>
    <row r="456">
      <c r="A456" s="2"/>
      <c r="B456" s="132"/>
      <c r="C456" s="132"/>
      <c r="D456" s="132"/>
      <c r="E456" s="132"/>
      <c r="F456" s="132"/>
      <c r="G456" s="132"/>
      <c r="H456" s="132"/>
      <c r="I456" s="132"/>
      <c r="J456" s="132"/>
      <c r="K456" s="132"/>
      <c r="L456" s="2"/>
      <c r="M456" s="2"/>
      <c r="N456" s="2"/>
      <c r="O456" s="2"/>
      <c r="P456" s="2"/>
      <c r="Q456" s="2"/>
      <c r="R456" s="2"/>
      <c r="S456" s="2"/>
      <c r="T456" s="2"/>
      <c r="U456" s="2"/>
      <c r="V456" s="2"/>
      <c r="W456" s="2"/>
      <c r="X456" s="2"/>
      <c r="Y456" s="2"/>
      <c r="Z456" s="2"/>
    </row>
    <row r="457">
      <c r="A457" s="2"/>
      <c r="B457" s="132"/>
      <c r="C457" s="132"/>
      <c r="D457" s="132"/>
      <c r="E457" s="132"/>
      <c r="F457" s="132"/>
      <c r="G457" s="132"/>
      <c r="H457" s="132"/>
      <c r="I457" s="132"/>
      <c r="J457" s="132"/>
      <c r="K457" s="132"/>
      <c r="L457" s="2"/>
      <c r="M457" s="2"/>
      <c r="N457" s="2"/>
      <c r="O457" s="2"/>
      <c r="P457" s="2"/>
      <c r="Q457" s="2"/>
      <c r="R457" s="2"/>
      <c r="S457" s="2"/>
      <c r="T457" s="2"/>
      <c r="U457" s="2"/>
      <c r="V457" s="2"/>
      <c r="W457" s="2"/>
      <c r="X457" s="2"/>
      <c r="Y457" s="2"/>
      <c r="Z457" s="2"/>
    </row>
    <row r="458">
      <c r="A458" s="2"/>
      <c r="B458" s="132"/>
      <c r="C458" s="132"/>
      <c r="D458" s="132"/>
      <c r="E458" s="132"/>
      <c r="F458" s="132"/>
      <c r="G458" s="132"/>
      <c r="H458" s="132"/>
      <c r="I458" s="132"/>
      <c r="J458" s="132"/>
      <c r="K458" s="132"/>
      <c r="L458" s="2"/>
      <c r="M458" s="2"/>
      <c r="N458" s="2"/>
      <c r="O458" s="2"/>
      <c r="P458" s="2"/>
      <c r="Q458" s="2"/>
      <c r="R458" s="2"/>
      <c r="S458" s="2"/>
      <c r="T458" s="2"/>
      <c r="U458" s="2"/>
      <c r="V458" s="2"/>
      <c r="W458" s="2"/>
      <c r="X458" s="2"/>
      <c r="Y458" s="2"/>
      <c r="Z458" s="2"/>
    </row>
    <row r="459">
      <c r="A459" s="2"/>
      <c r="B459" s="132"/>
      <c r="C459" s="132"/>
      <c r="D459" s="132"/>
      <c r="E459" s="132"/>
      <c r="F459" s="132"/>
      <c r="G459" s="132"/>
      <c r="H459" s="132"/>
      <c r="I459" s="132"/>
      <c r="J459" s="132"/>
      <c r="K459" s="132"/>
      <c r="L459" s="2"/>
      <c r="M459" s="2"/>
      <c r="N459" s="2"/>
      <c r="O459" s="2"/>
      <c r="P459" s="2"/>
      <c r="Q459" s="2"/>
      <c r="R459" s="2"/>
      <c r="S459" s="2"/>
      <c r="T459" s="2"/>
      <c r="U459" s="2"/>
      <c r="V459" s="2"/>
      <c r="W459" s="2"/>
      <c r="X459" s="2"/>
      <c r="Y459" s="2"/>
      <c r="Z459" s="2"/>
    </row>
    <row r="460">
      <c r="A460" s="2"/>
      <c r="B460" s="132"/>
      <c r="C460" s="132"/>
      <c r="D460" s="132"/>
      <c r="E460" s="132"/>
      <c r="F460" s="132"/>
      <c r="G460" s="132"/>
      <c r="H460" s="132"/>
      <c r="I460" s="132"/>
      <c r="J460" s="132"/>
      <c r="K460" s="132"/>
      <c r="L460" s="2"/>
      <c r="M460" s="2"/>
      <c r="N460" s="2"/>
      <c r="O460" s="2"/>
      <c r="P460" s="2"/>
      <c r="Q460" s="2"/>
      <c r="R460" s="2"/>
      <c r="S460" s="2"/>
      <c r="T460" s="2"/>
      <c r="U460" s="2"/>
      <c r="V460" s="2"/>
      <c r="W460" s="2"/>
      <c r="X460" s="2"/>
      <c r="Y460" s="2"/>
      <c r="Z460" s="2"/>
    </row>
    <row r="461">
      <c r="A461" s="2"/>
      <c r="B461" s="132"/>
      <c r="C461" s="132"/>
      <c r="D461" s="132"/>
      <c r="E461" s="132"/>
      <c r="F461" s="132"/>
      <c r="G461" s="132"/>
      <c r="H461" s="132"/>
      <c r="I461" s="132"/>
      <c r="J461" s="132"/>
      <c r="K461" s="132"/>
      <c r="L461" s="2"/>
      <c r="M461" s="2"/>
      <c r="N461" s="2"/>
      <c r="O461" s="2"/>
      <c r="P461" s="2"/>
      <c r="Q461" s="2"/>
      <c r="R461" s="2"/>
      <c r="S461" s="2"/>
      <c r="T461" s="2"/>
      <c r="U461" s="2"/>
      <c r="V461" s="2"/>
      <c r="W461" s="2"/>
      <c r="X461" s="2"/>
      <c r="Y461" s="2"/>
      <c r="Z461" s="2"/>
    </row>
    <row r="462">
      <c r="A462" s="2"/>
      <c r="B462" s="132"/>
      <c r="C462" s="132"/>
      <c r="D462" s="132"/>
      <c r="E462" s="132"/>
      <c r="F462" s="132"/>
      <c r="G462" s="132"/>
      <c r="H462" s="132"/>
      <c r="I462" s="132"/>
      <c r="J462" s="132"/>
      <c r="K462" s="132"/>
      <c r="L462" s="2"/>
      <c r="M462" s="2"/>
      <c r="N462" s="2"/>
      <c r="O462" s="2"/>
      <c r="P462" s="2"/>
      <c r="Q462" s="2"/>
      <c r="R462" s="2"/>
      <c r="S462" s="2"/>
      <c r="T462" s="2"/>
      <c r="U462" s="2"/>
      <c r="V462" s="2"/>
      <c r="W462" s="2"/>
      <c r="X462" s="2"/>
      <c r="Y462" s="2"/>
      <c r="Z462" s="2"/>
    </row>
    <row r="463">
      <c r="A463" s="2"/>
      <c r="B463" s="132"/>
      <c r="C463" s="132"/>
      <c r="D463" s="132"/>
      <c r="E463" s="132"/>
      <c r="F463" s="132"/>
      <c r="G463" s="132"/>
      <c r="H463" s="132"/>
      <c r="I463" s="132"/>
      <c r="J463" s="132"/>
      <c r="K463" s="132"/>
      <c r="L463" s="2"/>
      <c r="M463" s="2"/>
      <c r="N463" s="2"/>
      <c r="O463" s="2"/>
      <c r="P463" s="2"/>
      <c r="Q463" s="2"/>
      <c r="R463" s="2"/>
      <c r="S463" s="2"/>
      <c r="T463" s="2"/>
      <c r="U463" s="2"/>
      <c r="V463" s="2"/>
      <c r="W463" s="2"/>
      <c r="X463" s="2"/>
      <c r="Y463" s="2"/>
      <c r="Z463" s="2"/>
    </row>
    <row r="464">
      <c r="A464" s="2"/>
      <c r="B464" s="132"/>
      <c r="C464" s="132"/>
      <c r="D464" s="132"/>
      <c r="E464" s="132"/>
      <c r="F464" s="132"/>
      <c r="G464" s="132"/>
      <c r="H464" s="132"/>
      <c r="I464" s="132"/>
      <c r="J464" s="132"/>
      <c r="K464" s="132"/>
      <c r="L464" s="2"/>
      <c r="M464" s="2"/>
      <c r="N464" s="2"/>
      <c r="O464" s="2"/>
      <c r="P464" s="2"/>
      <c r="Q464" s="2"/>
      <c r="R464" s="2"/>
      <c r="S464" s="2"/>
      <c r="T464" s="2"/>
      <c r="U464" s="2"/>
      <c r="V464" s="2"/>
      <c r="W464" s="2"/>
      <c r="X464" s="2"/>
      <c r="Y464" s="2"/>
      <c r="Z464" s="2"/>
    </row>
    <row r="465">
      <c r="A465" s="2"/>
      <c r="B465" s="132"/>
      <c r="C465" s="132"/>
      <c r="D465" s="132"/>
      <c r="E465" s="132"/>
      <c r="F465" s="132"/>
      <c r="G465" s="132"/>
      <c r="H465" s="132"/>
      <c r="I465" s="132"/>
      <c r="J465" s="132"/>
      <c r="K465" s="132"/>
      <c r="L465" s="2"/>
      <c r="M465" s="2"/>
      <c r="N465" s="2"/>
      <c r="O465" s="2"/>
      <c r="P465" s="2"/>
      <c r="Q465" s="2"/>
      <c r="R465" s="2"/>
      <c r="S465" s="2"/>
      <c r="T465" s="2"/>
      <c r="U465" s="2"/>
      <c r="V465" s="2"/>
      <c r="W465" s="2"/>
      <c r="X465" s="2"/>
      <c r="Y465" s="2"/>
      <c r="Z465" s="2"/>
    </row>
    <row r="466">
      <c r="A466" s="2"/>
      <c r="B466" s="132"/>
      <c r="C466" s="132"/>
      <c r="D466" s="132"/>
      <c r="E466" s="132"/>
      <c r="F466" s="132"/>
      <c r="G466" s="132"/>
      <c r="H466" s="132"/>
      <c r="I466" s="132"/>
      <c r="J466" s="132"/>
      <c r="K466" s="132"/>
      <c r="L466" s="2"/>
      <c r="M466" s="2"/>
      <c r="N466" s="2"/>
      <c r="O466" s="2"/>
      <c r="P466" s="2"/>
      <c r="Q466" s="2"/>
      <c r="R466" s="2"/>
      <c r="S466" s="2"/>
      <c r="T466" s="2"/>
      <c r="U466" s="2"/>
      <c r="V466" s="2"/>
      <c r="W466" s="2"/>
      <c r="X466" s="2"/>
      <c r="Y466" s="2"/>
      <c r="Z466" s="2"/>
    </row>
    <row r="467">
      <c r="A467" s="2"/>
      <c r="B467" s="132"/>
      <c r="C467" s="132"/>
      <c r="D467" s="132"/>
      <c r="E467" s="132"/>
      <c r="F467" s="132"/>
      <c r="G467" s="132"/>
      <c r="H467" s="132"/>
      <c r="I467" s="132"/>
      <c r="J467" s="132"/>
      <c r="K467" s="132"/>
      <c r="L467" s="2"/>
      <c r="M467" s="2"/>
      <c r="N467" s="2"/>
      <c r="O467" s="2"/>
      <c r="P467" s="2"/>
      <c r="Q467" s="2"/>
      <c r="R467" s="2"/>
      <c r="S467" s="2"/>
      <c r="T467" s="2"/>
      <c r="U467" s="2"/>
      <c r="V467" s="2"/>
      <c r="W467" s="2"/>
      <c r="X467" s="2"/>
      <c r="Y467" s="2"/>
      <c r="Z467" s="2"/>
    </row>
    <row r="468">
      <c r="A468" s="2"/>
      <c r="B468" s="132"/>
      <c r="C468" s="132"/>
      <c r="D468" s="132"/>
      <c r="E468" s="132"/>
      <c r="F468" s="132"/>
      <c r="G468" s="132"/>
      <c r="H468" s="132"/>
      <c r="I468" s="132"/>
      <c r="J468" s="132"/>
      <c r="K468" s="132"/>
      <c r="L468" s="2"/>
      <c r="M468" s="2"/>
      <c r="N468" s="2"/>
      <c r="O468" s="2"/>
      <c r="P468" s="2"/>
      <c r="Q468" s="2"/>
      <c r="R468" s="2"/>
      <c r="S468" s="2"/>
      <c r="T468" s="2"/>
      <c r="U468" s="2"/>
      <c r="V468" s="2"/>
      <c r="W468" s="2"/>
      <c r="X468" s="2"/>
      <c r="Y468" s="2"/>
      <c r="Z468" s="2"/>
    </row>
    <row r="469">
      <c r="A469" s="2"/>
      <c r="B469" s="132"/>
      <c r="C469" s="132"/>
      <c r="D469" s="132"/>
      <c r="E469" s="132"/>
      <c r="F469" s="132"/>
      <c r="G469" s="132"/>
      <c r="H469" s="132"/>
      <c r="I469" s="132"/>
      <c r="J469" s="132"/>
      <c r="K469" s="132"/>
      <c r="L469" s="2"/>
      <c r="M469" s="2"/>
      <c r="N469" s="2"/>
      <c r="O469" s="2"/>
      <c r="P469" s="2"/>
      <c r="Q469" s="2"/>
      <c r="R469" s="2"/>
      <c r="S469" s="2"/>
      <c r="T469" s="2"/>
      <c r="U469" s="2"/>
      <c r="V469" s="2"/>
      <c r="W469" s="2"/>
      <c r="X469" s="2"/>
      <c r="Y469" s="2"/>
      <c r="Z469" s="2"/>
    </row>
    <row r="470">
      <c r="A470" s="2"/>
      <c r="B470" s="132"/>
      <c r="C470" s="132"/>
      <c r="D470" s="132"/>
      <c r="E470" s="132"/>
      <c r="F470" s="132"/>
      <c r="G470" s="132"/>
      <c r="H470" s="132"/>
      <c r="I470" s="132"/>
      <c r="J470" s="132"/>
      <c r="K470" s="132"/>
      <c r="L470" s="2"/>
      <c r="M470" s="2"/>
      <c r="N470" s="2"/>
      <c r="O470" s="2"/>
      <c r="P470" s="2"/>
      <c r="Q470" s="2"/>
      <c r="R470" s="2"/>
      <c r="S470" s="2"/>
      <c r="T470" s="2"/>
      <c r="U470" s="2"/>
      <c r="V470" s="2"/>
      <c r="W470" s="2"/>
      <c r="X470" s="2"/>
      <c r="Y470" s="2"/>
      <c r="Z470" s="2"/>
    </row>
    <row r="471">
      <c r="A471" s="2"/>
      <c r="B471" s="132"/>
      <c r="C471" s="132"/>
      <c r="D471" s="132"/>
      <c r="E471" s="132"/>
      <c r="F471" s="132"/>
      <c r="G471" s="132"/>
      <c r="H471" s="132"/>
      <c r="I471" s="132"/>
      <c r="J471" s="132"/>
      <c r="K471" s="132"/>
      <c r="L471" s="2"/>
      <c r="M471" s="2"/>
      <c r="N471" s="2"/>
      <c r="O471" s="2"/>
      <c r="P471" s="2"/>
      <c r="Q471" s="2"/>
      <c r="R471" s="2"/>
      <c r="S471" s="2"/>
      <c r="T471" s="2"/>
      <c r="U471" s="2"/>
      <c r="V471" s="2"/>
      <c r="W471" s="2"/>
      <c r="X471" s="2"/>
      <c r="Y471" s="2"/>
      <c r="Z471" s="2"/>
    </row>
    <row r="472">
      <c r="A472" s="2"/>
      <c r="B472" s="132"/>
      <c r="C472" s="132"/>
      <c r="D472" s="132"/>
      <c r="E472" s="132"/>
      <c r="F472" s="132"/>
      <c r="G472" s="132"/>
      <c r="H472" s="132"/>
      <c r="I472" s="132"/>
      <c r="J472" s="132"/>
      <c r="K472" s="132"/>
      <c r="L472" s="2"/>
      <c r="M472" s="2"/>
      <c r="N472" s="2"/>
      <c r="O472" s="2"/>
      <c r="P472" s="2"/>
      <c r="Q472" s="2"/>
      <c r="R472" s="2"/>
      <c r="S472" s="2"/>
      <c r="T472" s="2"/>
      <c r="U472" s="2"/>
      <c r="V472" s="2"/>
      <c r="W472" s="2"/>
      <c r="X472" s="2"/>
      <c r="Y472" s="2"/>
      <c r="Z472" s="2"/>
    </row>
    <row r="473">
      <c r="A473" s="2"/>
      <c r="B473" s="132"/>
      <c r="C473" s="132"/>
      <c r="D473" s="132"/>
      <c r="E473" s="132"/>
      <c r="F473" s="132"/>
      <c r="G473" s="132"/>
      <c r="H473" s="132"/>
      <c r="I473" s="132"/>
      <c r="J473" s="132"/>
      <c r="K473" s="132"/>
      <c r="L473" s="2"/>
      <c r="M473" s="2"/>
      <c r="N473" s="2"/>
      <c r="O473" s="2"/>
      <c r="P473" s="2"/>
      <c r="Q473" s="2"/>
      <c r="R473" s="2"/>
      <c r="S473" s="2"/>
      <c r="T473" s="2"/>
      <c r="U473" s="2"/>
      <c r="V473" s="2"/>
      <c r="W473" s="2"/>
      <c r="X473" s="2"/>
      <c r="Y473" s="2"/>
      <c r="Z473" s="2"/>
    </row>
    <row r="474">
      <c r="A474" s="2"/>
      <c r="B474" s="132"/>
      <c r="C474" s="132"/>
      <c r="D474" s="132"/>
      <c r="E474" s="132"/>
      <c r="F474" s="132"/>
      <c r="G474" s="132"/>
      <c r="H474" s="132"/>
      <c r="I474" s="132"/>
      <c r="J474" s="132"/>
      <c r="K474" s="132"/>
      <c r="L474" s="2"/>
      <c r="M474" s="2"/>
      <c r="N474" s="2"/>
      <c r="O474" s="2"/>
      <c r="P474" s="2"/>
      <c r="Q474" s="2"/>
      <c r="R474" s="2"/>
      <c r="S474" s="2"/>
      <c r="T474" s="2"/>
      <c r="U474" s="2"/>
      <c r="V474" s="2"/>
      <c r="W474" s="2"/>
      <c r="X474" s="2"/>
      <c r="Y474" s="2"/>
      <c r="Z474" s="2"/>
    </row>
    <row r="475">
      <c r="A475" s="2"/>
      <c r="B475" s="132"/>
      <c r="C475" s="132"/>
      <c r="D475" s="132"/>
      <c r="E475" s="132"/>
      <c r="F475" s="132"/>
      <c r="G475" s="132"/>
      <c r="H475" s="132"/>
      <c r="I475" s="132"/>
      <c r="J475" s="132"/>
      <c r="K475" s="132"/>
      <c r="L475" s="2"/>
      <c r="M475" s="2"/>
      <c r="N475" s="2"/>
      <c r="O475" s="2"/>
      <c r="P475" s="2"/>
      <c r="Q475" s="2"/>
      <c r="R475" s="2"/>
      <c r="S475" s="2"/>
      <c r="T475" s="2"/>
      <c r="U475" s="2"/>
      <c r="V475" s="2"/>
      <c r="W475" s="2"/>
      <c r="X475" s="2"/>
      <c r="Y475" s="2"/>
      <c r="Z475" s="2"/>
    </row>
    <row r="476">
      <c r="A476" s="2"/>
      <c r="B476" s="132"/>
      <c r="C476" s="132"/>
      <c r="D476" s="132"/>
      <c r="E476" s="132"/>
      <c r="F476" s="132"/>
      <c r="G476" s="132"/>
      <c r="H476" s="132"/>
      <c r="I476" s="132"/>
      <c r="J476" s="132"/>
      <c r="K476" s="132"/>
      <c r="L476" s="2"/>
      <c r="M476" s="2"/>
      <c r="N476" s="2"/>
      <c r="O476" s="2"/>
      <c r="P476" s="2"/>
      <c r="Q476" s="2"/>
      <c r="R476" s="2"/>
      <c r="S476" s="2"/>
      <c r="T476" s="2"/>
      <c r="U476" s="2"/>
      <c r="V476" s="2"/>
      <c r="W476" s="2"/>
      <c r="X476" s="2"/>
      <c r="Y476" s="2"/>
      <c r="Z476" s="2"/>
    </row>
    <row r="477">
      <c r="A477" s="2"/>
      <c r="B477" s="132"/>
      <c r="C477" s="132"/>
      <c r="D477" s="132"/>
      <c r="E477" s="132"/>
      <c r="F477" s="132"/>
      <c r="G477" s="132"/>
      <c r="H477" s="132"/>
      <c r="I477" s="132"/>
      <c r="J477" s="132"/>
      <c r="K477" s="132"/>
      <c r="L477" s="2"/>
      <c r="M477" s="2"/>
      <c r="N477" s="2"/>
      <c r="O477" s="2"/>
      <c r="P477" s="2"/>
      <c r="Q477" s="2"/>
      <c r="R477" s="2"/>
      <c r="S477" s="2"/>
      <c r="T477" s="2"/>
      <c r="U477" s="2"/>
      <c r="V477" s="2"/>
      <c r="W477" s="2"/>
      <c r="X477" s="2"/>
      <c r="Y477" s="2"/>
      <c r="Z477" s="2"/>
    </row>
    <row r="478">
      <c r="A478" s="2"/>
      <c r="B478" s="132"/>
      <c r="C478" s="132"/>
      <c r="D478" s="132"/>
      <c r="E478" s="132"/>
      <c r="F478" s="132"/>
      <c r="G478" s="132"/>
      <c r="H478" s="132"/>
      <c r="I478" s="132"/>
      <c r="J478" s="132"/>
      <c r="K478" s="132"/>
      <c r="L478" s="2"/>
      <c r="M478" s="2"/>
      <c r="N478" s="2"/>
      <c r="O478" s="2"/>
      <c r="P478" s="2"/>
      <c r="Q478" s="2"/>
      <c r="R478" s="2"/>
      <c r="S478" s="2"/>
      <c r="T478" s="2"/>
      <c r="U478" s="2"/>
      <c r="V478" s="2"/>
      <c r="W478" s="2"/>
      <c r="X478" s="2"/>
      <c r="Y478" s="2"/>
      <c r="Z478" s="2"/>
    </row>
    <row r="479">
      <c r="A479" s="2"/>
      <c r="B479" s="132"/>
      <c r="C479" s="132"/>
      <c r="D479" s="132"/>
      <c r="E479" s="132"/>
      <c r="F479" s="132"/>
      <c r="G479" s="132"/>
      <c r="H479" s="132"/>
      <c r="I479" s="132"/>
      <c r="J479" s="132"/>
      <c r="K479" s="132"/>
      <c r="L479" s="2"/>
      <c r="M479" s="2"/>
      <c r="N479" s="2"/>
      <c r="O479" s="2"/>
      <c r="P479" s="2"/>
      <c r="Q479" s="2"/>
      <c r="R479" s="2"/>
      <c r="S479" s="2"/>
      <c r="T479" s="2"/>
      <c r="U479" s="2"/>
      <c r="V479" s="2"/>
      <c r="W479" s="2"/>
      <c r="X479" s="2"/>
      <c r="Y479" s="2"/>
      <c r="Z479" s="2"/>
    </row>
    <row r="480">
      <c r="A480" s="2"/>
      <c r="B480" s="132"/>
      <c r="C480" s="132"/>
      <c r="D480" s="132"/>
      <c r="E480" s="132"/>
      <c r="F480" s="132"/>
      <c r="G480" s="132"/>
      <c r="H480" s="132"/>
      <c r="I480" s="132"/>
      <c r="J480" s="132"/>
      <c r="K480" s="132"/>
      <c r="L480" s="2"/>
      <c r="M480" s="2"/>
      <c r="N480" s="2"/>
      <c r="O480" s="2"/>
      <c r="P480" s="2"/>
      <c r="Q480" s="2"/>
      <c r="R480" s="2"/>
      <c r="S480" s="2"/>
      <c r="T480" s="2"/>
      <c r="U480" s="2"/>
      <c r="V480" s="2"/>
      <c r="W480" s="2"/>
      <c r="X480" s="2"/>
      <c r="Y480" s="2"/>
      <c r="Z480" s="2"/>
    </row>
    <row r="481">
      <c r="A481" s="2"/>
      <c r="B481" s="132"/>
      <c r="C481" s="132"/>
      <c r="D481" s="132"/>
      <c r="E481" s="132"/>
      <c r="F481" s="132"/>
      <c r="G481" s="132"/>
      <c r="H481" s="132"/>
      <c r="I481" s="132"/>
      <c r="J481" s="132"/>
      <c r="K481" s="132"/>
      <c r="L481" s="2"/>
      <c r="M481" s="2"/>
      <c r="N481" s="2"/>
      <c r="O481" s="2"/>
      <c r="P481" s="2"/>
      <c r="Q481" s="2"/>
      <c r="R481" s="2"/>
      <c r="S481" s="2"/>
      <c r="T481" s="2"/>
      <c r="U481" s="2"/>
      <c r="V481" s="2"/>
      <c r="W481" s="2"/>
      <c r="X481" s="2"/>
      <c r="Y481" s="2"/>
      <c r="Z481" s="2"/>
    </row>
    <row r="482">
      <c r="A482" s="2"/>
      <c r="B482" s="132"/>
      <c r="C482" s="132"/>
      <c r="D482" s="132"/>
      <c r="E482" s="132"/>
      <c r="F482" s="132"/>
      <c r="G482" s="132"/>
      <c r="H482" s="132"/>
      <c r="I482" s="132"/>
      <c r="J482" s="132"/>
      <c r="K482" s="132"/>
      <c r="L482" s="2"/>
      <c r="M482" s="2"/>
      <c r="N482" s="2"/>
      <c r="O482" s="2"/>
      <c r="P482" s="2"/>
      <c r="Q482" s="2"/>
      <c r="R482" s="2"/>
      <c r="S482" s="2"/>
      <c r="T482" s="2"/>
      <c r="U482" s="2"/>
      <c r="V482" s="2"/>
      <c r="W482" s="2"/>
      <c r="X482" s="2"/>
      <c r="Y482" s="2"/>
      <c r="Z482" s="2"/>
    </row>
    <row r="483">
      <c r="A483" s="2"/>
      <c r="B483" s="132"/>
      <c r="C483" s="132"/>
      <c r="D483" s="132"/>
      <c r="E483" s="132"/>
      <c r="F483" s="132"/>
      <c r="G483" s="132"/>
      <c r="H483" s="132"/>
      <c r="I483" s="132"/>
      <c r="J483" s="132"/>
      <c r="K483" s="132"/>
      <c r="L483" s="2"/>
      <c r="M483" s="2"/>
      <c r="N483" s="2"/>
      <c r="O483" s="2"/>
      <c r="P483" s="2"/>
      <c r="Q483" s="2"/>
      <c r="R483" s="2"/>
      <c r="S483" s="2"/>
      <c r="T483" s="2"/>
      <c r="U483" s="2"/>
      <c r="V483" s="2"/>
      <c r="W483" s="2"/>
      <c r="X483" s="2"/>
      <c r="Y483" s="2"/>
      <c r="Z483" s="2"/>
    </row>
    <row r="484">
      <c r="A484" s="2"/>
      <c r="B484" s="132"/>
      <c r="C484" s="132"/>
      <c r="D484" s="132"/>
      <c r="E484" s="132"/>
      <c r="F484" s="132"/>
      <c r="G484" s="132"/>
      <c r="H484" s="132"/>
      <c r="I484" s="132"/>
      <c r="J484" s="132"/>
      <c r="K484" s="132"/>
      <c r="L484" s="2"/>
      <c r="M484" s="2"/>
      <c r="N484" s="2"/>
      <c r="O484" s="2"/>
      <c r="P484" s="2"/>
      <c r="Q484" s="2"/>
      <c r="R484" s="2"/>
      <c r="S484" s="2"/>
      <c r="T484" s="2"/>
      <c r="U484" s="2"/>
      <c r="V484" s="2"/>
      <c r="W484" s="2"/>
      <c r="X484" s="2"/>
      <c r="Y484" s="2"/>
      <c r="Z484" s="2"/>
    </row>
    <row r="485">
      <c r="A485" s="2"/>
      <c r="B485" s="132"/>
      <c r="C485" s="132"/>
      <c r="D485" s="132"/>
      <c r="E485" s="132"/>
      <c r="F485" s="132"/>
      <c r="G485" s="132"/>
      <c r="H485" s="132"/>
      <c r="I485" s="132"/>
      <c r="J485" s="132"/>
      <c r="K485" s="132"/>
      <c r="L485" s="2"/>
      <c r="M485" s="2"/>
      <c r="N485" s="2"/>
      <c r="O485" s="2"/>
      <c r="P485" s="2"/>
      <c r="Q485" s="2"/>
      <c r="R485" s="2"/>
      <c r="S485" s="2"/>
      <c r="T485" s="2"/>
      <c r="U485" s="2"/>
      <c r="V485" s="2"/>
      <c r="W485" s="2"/>
      <c r="X485" s="2"/>
      <c r="Y485" s="2"/>
      <c r="Z485" s="2"/>
    </row>
    <row r="486">
      <c r="A486" s="2"/>
      <c r="B486" s="132"/>
      <c r="C486" s="132"/>
      <c r="D486" s="132"/>
      <c r="E486" s="132"/>
      <c r="F486" s="132"/>
      <c r="G486" s="132"/>
      <c r="H486" s="132"/>
      <c r="I486" s="132"/>
      <c r="J486" s="132"/>
      <c r="K486" s="132"/>
      <c r="L486" s="2"/>
      <c r="M486" s="2"/>
      <c r="N486" s="2"/>
      <c r="O486" s="2"/>
      <c r="P486" s="2"/>
      <c r="Q486" s="2"/>
      <c r="R486" s="2"/>
      <c r="S486" s="2"/>
      <c r="T486" s="2"/>
      <c r="U486" s="2"/>
      <c r="V486" s="2"/>
      <c r="W486" s="2"/>
      <c r="X486" s="2"/>
      <c r="Y486" s="2"/>
      <c r="Z486" s="2"/>
    </row>
    <row r="487">
      <c r="A487" s="2"/>
      <c r="B487" s="132"/>
      <c r="C487" s="132"/>
      <c r="D487" s="132"/>
      <c r="E487" s="132"/>
      <c r="F487" s="132"/>
      <c r="G487" s="132"/>
      <c r="H487" s="132"/>
      <c r="I487" s="132"/>
      <c r="J487" s="132"/>
      <c r="K487" s="132"/>
      <c r="L487" s="2"/>
      <c r="M487" s="2"/>
      <c r="N487" s="2"/>
      <c r="O487" s="2"/>
      <c r="P487" s="2"/>
      <c r="Q487" s="2"/>
      <c r="R487" s="2"/>
      <c r="S487" s="2"/>
      <c r="T487" s="2"/>
      <c r="U487" s="2"/>
      <c r="V487" s="2"/>
      <c r="W487" s="2"/>
      <c r="X487" s="2"/>
      <c r="Y487" s="2"/>
      <c r="Z487" s="2"/>
    </row>
    <row r="488">
      <c r="A488" s="2"/>
      <c r="B488" s="132"/>
      <c r="C488" s="132"/>
      <c r="D488" s="132"/>
      <c r="E488" s="132"/>
      <c r="F488" s="132"/>
      <c r="G488" s="132"/>
      <c r="H488" s="132"/>
      <c r="I488" s="132"/>
      <c r="J488" s="132"/>
      <c r="K488" s="132"/>
      <c r="L488" s="2"/>
      <c r="M488" s="2"/>
      <c r="N488" s="2"/>
      <c r="O488" s="2"/>
      <c r="P488" s="2"/>
      <c r="Q488" s="2"/>
      <c r="R488" s="2"/>
      <c r="S488" s="2"/>
      <c r="T488" s="2"/>
      <c r="U488" s="2"/>
      <c r="V488" s="2"/>
      <c r="W488" s="2"/>
      <c r="X488" s="2"/>
      <c r="Y488" s="2"/>
      <c r="Z488" s="2"/>
    </row>
    <row r="489">
      <c r="A489" s="2"/>
      <c r="B489" s="132"/>
      <c r="C489" s="132"/>
      <c r="D489" s="132"/>
      <c r="E489" s="132"/>
      <c r="F489" s="132"/>
      <c r="G489" s="132"/>
      <c r="H489" s="132"/>
      <c r="I489" s="132"/>
      <c r="J489" s="132"/>
      <c r="K489" s="132"/>
      <c r="L489" s="2"/>
      <c r="M489" s="2"/>
      <c r="N489" s="2"/>
      <c r="O489" s="2"/>
      <c r="P489" s="2"/>
      <c r="Q489" s="2"/>
      <c r="R489" s="2"/>
      <c r="S489" s="2"/>
      <c r="T489" s="2"/>
      <c r="U489" s="2"/>
      <c r="V489" s="2"/>
      <c r="W489" s="2"/>
      <c r="X489" s="2"/>
      <c r="Y489" s="2"/>
      <c r="Z489" s="2"/>
    </row>
    <row r="490">
      <c r="A490" s="2"/>
      <c r="B490" s="132"/>
      <c r="C490" s="132"/>
      <c r="D490" s="132"/>
      <c r="E490" s="132"/>
      <c r="F490" s="132"/>
      <c r="G490" s="132"/>
      <c r="H490" s="132"/>
      <c r="I490" s="132"/>
      <c r="J490" s="132"/>
      <c r="K490" s="132"/>
      <c r="L490" s="2"/>
      <c r="M490" s="2"/>
      <c r="N490" s="2"/>
      <c r="O490" s="2"/>
      <c r="P490" s="2"/>
      <c r="Q490" s="2"/>
      <c r="R490" s="2"/>
      <c r="S490" s="2"/>
      <c r="T490" s="2"/>
      <c r="U490" s="2"/>
      <c r="V490" s="2"/>
      <c r="W490" s="2"/>
      <c r="X490" s="2"/>
      <c r="Y490" s="2"/>
      <c r="Z490" s="2"/>
    </row>
    <row r="491">
      <c r="A491" s="2"/>
      <c r="B491" s="132"/>
      <c r="C491" s="132"/>
      <c r="D491" s="132"/>
      <c r="E491" s="132"/>
      <c r="F491" s="132"/>
      <c r="G491" s="132"/>
      <c r="H491" s="132"/>
      <c r="I491" s="132"/>
      <c r="J491" s="132"/>
      <c r="K491" s="132"/>
      <c r="L491" s="2"/>
      <c r="M491" s="2"/>
      <c r="N491" s="2"/>
      <c r="O491" s="2"/>
      <c r="P491" s="2"/>
      <c r="Q491" s="2"/>
      <c r="R491" s="2"/>
      <c r="S491" s="2"/>
      <c r="T491" s="2"/>
      <c r="U491" s="2"/>
      <c r="V491" s="2"/>
      <c r="W491" s="2"/>
      <c r="X491" s="2"/>
      <c r="Y491" s="2"/>
      <c r="Z491" s="2"/>
    </row>
    <row r="492">
      <c r="A492" s="2"/>
      <c r="B492" s="132"/>
      <c r="C492" s="132"/>
      <c r="D492" s="132"/>
      <c r="E492" s="132"/>
      <c r="F492" s="132"/>
      <c r="G492" s="132"/>
      <c r="H492" s="132"/>
      <c r="I492" s="132"/>
      <c r="J492" s="132"/>
      <c r="K492" s="132"/>
      <c r="L492" s="2"/>
      <c r="M492" s="2"/>
      <c r="N492" s="2"/>
      <c r="O492" s="2"/>
      <c r="P492" s="2"/>
      <c r="Q492" s="2"/>
      <c r="R492" s="2"/>
      <c r="S492" s="2"/>
      <c r="T492" s="2"/>
      <c r="U492" s="2"/>
      <c r="V492" s="2"/>
      <c r="W492" s="2"/>
      <c r="X492" s="2"/>
      <c r="Y492" s="2"/>
      <c r="Z492" s="2"/>
    </row>
    <row r="493">
      <c r="A493" s="2"/>
      <c r="B493" s="132"/>
      <c r="C493" s="132"/>
      <c r="D493" s="132"/>
      <c r="E493" s="132"/>
      <c r="F493" s="132"/>
      <c r="G493" s="132"/>
      <c r="H493" s="132"/>
      <c r="I493" s="132"/>
      <c r="J493" s="132"/>
      <c r="K493" s="132"/>
      <c r="L493" s="2"/>
      <c r="M493" s="2"/>
      <c r="N493" s="2"/>
      <c r="O493" s="2"/>
      <c r="P493" s="2"/>
      <c r="Q493" s="2"/>
      <c r="R493" s="2"/>
      <c r="S493" s="2"/>
      <c r="T493" s="2"/>
      <c r="U493" s="2"/>
      <c r="V493" s="2"/>
      <c r="W493" s="2"/>
      <c r="X493" s="2"/>
      <c r="Y493" s="2"/>
      <c r="Z493" s="2"/>
    </row>
    <row r="494">
      <c r="A494" s="2"/>
      <c r="B494" s="132"/>
      <c r="C494" s="132"/>
      <c r="D494" s="132"/>
      <c r="E494" s="132"/>
      <c r="F494" s="132"/>
      <c r="G494" s="132"/>
      <c r="H494" s="132"/>
      <c r="I494" s="132"/>
      <c r="J494" s="132"/>
      <c r="K494" s="132"/>
      <c r="L494" s="2"/>
      <c r="M494" s="2"/>
      <c r="N494" s="2"/>
      <c r="O494" s="2"/>
      <c r="P494" s="2"/>
      <c r="Q494" s="2"/>
      <c r="R494" s="2"/>
      <c r="S494" s="2"/>
      <c r="T494" s="2"/>
      <c r="U494" s="2"/>
      <c r="V494" s="2"/>
      <c r="W494" s="2"/>
      <c r="X494" s="2"/>
      <c r="Y494" s="2"/>
      <c r="Z494" s="2"/>
    </row>
    <row r="495">
      <c r="A495" s="2"/>
      <c r="B495" s="132"/>
      <c r="C495" s="132"/>
      <c r="D495" s="132"/>
      <c r="E495" s="132"/>
      <c r="F495" s="132"/>
      <c r="G495" s="132"/>
      <c r="H495" s="132"/>
      <c r="I495" s="132"/>
      <c r="J495" s="132"/>
      <c r="K495" s="132"/>
      <c r="L495" s="2"/>
      <c r="M495" s="2"/>
      <c r="N495" s="2"/>
      <c r="O495" s="2"/>
      <c r="P495" s="2"/>
      <c r="Q495" s="2"/>
      <c r="R495" s="2"/>
      <c r="S495" s="2"/>
      <c r="T495" s="2"/>
      <c r="U495" s="2"/>
      <c r="V495" s="2"/>
      <c r="W495" s="2"/>
      <c r="X495" s="2"/>
      <c r="Y495" s="2"/>
      <c r="Z495" s="2"/>
    </row>
    <row r="496">
      <c r="A496" s="2"/>
      <c r="B496" s="132"/>
      <c r="C496" s="132"/>
      <c r="D496" s="132"/>
      <c r="E496" s="132"/>
      <c r="F496" s="132"/>
      <c r="G496" s="132"/>
      <c r="H496" s="132"/>
      <c r="I496" s="132"/>
      <c r="J496" s="132"/>
      <c r="K496" s="132"/>
      <c r="L496" s="2"/>
      <c r="M496" s="2"/>
      <c r="N496" s="2"/>
      <c r="O496" s="2"/>
      <c r="P496" s="2"/>
      <c r="Q496" s="2"/>
      <c r="R496" s="2"/>
      <c r="S496" s="2"/>
      <c r="T496" s="2"/>
      <c r="U496" s="2"/>
      <c r="V496" s="2"/>
      <c r="W496" s="2"/>
      <c r="X496" s="2"/>
      <c r="Y496" s="2"/>
      <c r="Z496" s="2"/>
    </row>
    <row r="497">
      <c r="A497" s="2"/>
      <c r="B497" s="132"/>
      <c r="C497" s="132"/>
      <c r="D497" s="132"/>
      <c r="E497" s="132"/>
      <c r="F497" s="132"/>
      <c r="G497" s="132"/>
      <c r="H497" s="132"/>
      <c r="I497" s="132"/>
      <c r="J497" s="132"/>
      <c r="K497" s="132"/>
      <c r="L497" s="2"/>
      <c r="M497" s="2"/>
      <c r="N497" s="2"/>
      <c r="O497" s="2"/>
      <c r="P497" s="2"/>
      <c r="Q497" s="2"/>
      <c r="R497" s="2"/>
      <c r="S497" s="2"/>
      <c r="T497" s="2"/>
      <c r="U497" s="2"/>
      <c r="V497" s="2"/>
      <c r="W497" s="2"/>
      <c r="X497" s="2"/>
      <c r="Y497" s="2"/>
      <c r="Z497" s="2"/>
    </row>
    <row r="498">
      <c r="A498" s="2"/>
      <c r="B498" s="132"/>
      <c r="C498" s="132"/>
      <c r="D498" s="132"/>
      <c r="E498" s="132"/>
      <c r="F498" s="132"/>
      <c r="G498" s="132"/>
      <c r="H498" s="132"/>
      <c r="I498" s="132"/>
      <c r="J498" s="132"/>
      <c r="K498" s="132"/>
      <c r="L498" s="2"/>
      <c r="M498" s="2"/>
      <c r="N498" s="2"/>
      <c r="O498" s="2"/>
      <c r="P498" s="2"/>
      <c r="Q498" s="2"/>
      <c r="R498" s="2"/>
      <c r="S498" s="2"/>
      <c r="T498" s="2"/>
      <c r="U498" s="2"/>
      <c r="V498" s="2"/>
      <c r="W498" s="2"/>
      <c r="X498" s="2"/>
      <c r="Y498" s="2"/>
      <c r="Z498" s="2"/>
    </row>
    <row r="499">
      <c r="A499" s="2"/>
      <c r="B499" s="132"/>
      <c r="C499" s="132"/>
      <c r="D499" s="132"/>
      <c r="E499" s="132"/>
      <c r="F499" s="132"/>
      <c r="G499" s="132"/>
      <c r="H499" s="132"/>
      <c r="I499" s="132"/>
      <c r="J499" s="132"/>
      <c r="K499" s="132"/>
      <c r="L499" s="2"/>
      <c r="M499" s="2"/>
      <c r="N499" s="2"/>
      <c r="O499" s="2"/>
      <c r="P499" s="2"/>
      <c r="Q499" s="2"/>
      <c r="R499" s="2"/>
      <c r="S499" s="2"/>
      <c r="T499" s="2"/>
      <c r="U499" s="2"/>
      <c r="V499" s="2"/>
      <c r="W499" s="2"/>
      <c r="X499" s="2"/>
      <c r="Y499" s="2"/>
      <c r="Z499" s="2"/>
    </row>
    <row r="500">
      <c r="A500" s="2"/>
      <c r="B500" s="132"/>
      <c r="C500" s="132"/>
      <c r="D500" s="132"/>
      <c r="E500" s="132"/>
      <c r="F500" s="132"/>
      <c r="G500" s="132"/>
      <c r="H500" s="132"/>
      <c r="I500" s="132"/>
      <c r="J500" s="132"/>
      <c r="K500" s="132"/>
      <c r="L500" s="2"/>
      <c r="M500" s="2"/>
      <c r="N500" s="2"/>
      <c r="O500" s="2"/>
      <c r="P500" s="2"/>
      <c r="Q500" s="2"/>
      <c r="R500" s="2"/>
      <c r="S500" s="2"/>
      <c r="T500" s="2"/>
      <c r="U500" s="2"/>
      <c r="V500" s="2"/>
      <c r="W500" s="2"/>
      <c r="X500" s="2"/>
      <c r="Y500" s="2"/>
      <c r="Z500" s="2"/>
    </row>
    <row r="501">
      <c r="A501" s="2"/>
      <c r="B501" s="132"/>
      <c r="C501" s="132"/>
      <c r="D501" s="132"/>
      <c r="E501" s="132"/>
      <c r="F501" s="132"/>
      <c r="G501" s="132"/>
      <c r="H501" s="132"/>
      <c r="I501" s="132"/>
      <c r="J501" s="132"/>
      <c r="K501" s="132"/>
      <c r="L501" s="2"/>
      <c r="M501" s="2"/>
      <c r="N501" s="2"/>
      <c r="O501" s="2"/>
      <c r="P501" s="2"/>
      <c r="Q501" s="2"/>
      <c r="R501" s="2"/>
      <c r="S501" s="2"/>
      <c r="T501" s="2"/>
      <c r="U501" s="2"/>
      <c r="V501" s="2"/>
      <c r="W501" s="2"/>
      <c r="X501" s="2"/>
      <c r="Y501" s="2"/>
      <c r="Z501" s="2"/>
    </row>
    <row r="502">
      <c r="A502" s="2"/>
      <c r="B502" s="132"/>
      <c r="C502" s="132"/>
      <c r="D502" s="132"/>
      <c r="E502" s="132"/>
      <c r="F502" s="132"/>
      <c r="G502" s="132"/>
      <c r="H502" s="132"/>
      <c r="I502" s="132"/>
      <c r="J502" s="132"/>
      <c r="K502" s="132"/>
      <c r="L502" s="2"/>
      <c r="M502" s="2"/>
      <c r="N502" s="2"/>
      <c r="O502" s="2"/>
      <c r="P502" s="2"/>
      <c r="Q502" s="2"/>
      <c r="R502" s="2"/>
      <c r="S502" s="2"/>
      <c r="T502" s="2"/>
      <c r="U502" s="2"/>
      <c r="V502" s="2"/>
      <c r="W502" s="2"/>
      <c r="X502" s="2"/>
      <c r="Y502" s="2"/>
      <c r="Z502" s="2"/>
    </row>
    <row r="503">
      <c r="A503" s="2"/>
      <c r="B503" s="132"/>
      <c r="C503" s="132"/>
      <c r="D503" s="132"/>
      <c r="E503" s="132"/>
      <c r="F503" s="132"/>
      <c r="G503" s="132"/>
      <c r="H503" s="132"/>
      <c r="I503" s="132"/>
      <c r="J503" s="132"/>
      <c r="K503" s="132"/>
      <c r="L503" s="2"/>
      <c r="M503" s="2"/>
      <c r="N503" s="2"/>
      <c r="O503" s="2"/>
      <c r="P503" s="2"/>
      <c r="Q503" s="2"/>
      <c r="R503" s="2"/>
      <c r="S503" s="2"/>
      <c r="T503" s="2"/>
      <c r="U503" s="2"/>
      <c r="V503" s="2"/>
      <c r="W503" s="2"/>
      <c r="X503" s="2"/>
      <c r="Y503" s="2"/>
      <c r="Z503" s="2"/>
    </row>
    <row r="504">
      <c r="A504" s="2"/>
      <c r="B504" s="132"/>
      <c r="C504" s="132"/>
      <c r="D504" s="132"/>
      <c r="E504" s="132"/>
      <c r="F504" s="132"/>
      <c r="G504" s="132"/>
      <c r="H504" s="132"/>
      <c r="I504" s="132"/>
      <c r="J504" s="132"/>
      <c r="K504" s="132"/>
      <c r="L504" s="2"/>
      <c r="M504" s="2"/>
      <c r="N504" s="2"/>
      <c r="O504" s="2"/>
      <c r="P504" s="2"/>
      <c r="Q504" s="2"/>
      <c r="R504" s="2"/>
      <c r="S504" s="2"/>
      <c r="T504" s="2"/>
      <c r="U504" s="2"/>
      <c r="V504" s="2"/>
      <c r="W504" s="2"/>
      <c r="X504" s="2"/>
      <c r="Y504" s="2"/>
      <c r="Z504" s="2"/>
    </row>
    <row r="505">
      <c r="A505" s="2"/>
      <c r="B505" s="132"/>
      <c r="C505" s="132"/>
      <c r="D505" s="132"/>
      <c r="E505" s="132"/>
      <c r="F505" s="132"/>
      <c r="G505" s="132"/>
      <c r="H505" s="132"/>
      <c r="I505" s="132"/>
      <c r="J505" s="132"/>
      <c r="K505" s="132"/>
      <c r="L505" s="2"/>
      <c r="M505" s="2"/>
      <c r="N505" s="2"/>
      <c r="O505" s="2"/>
      <c r="P505" s="2"/>
      <c r="Q505" s="2"/>
      <c r="R505" s="2"/>
      <c r="S505" s="2"/>
      <c r="T505" s="2"/>
      <c r="U505" s="2"/>
      <c r="V505" s="2"/>
      <c r="W505" s="2"/>
      <c r="X505" s="2"/>
      <c r="Y505" s="2"/>
      <c r="Z505" s="2"/>
    </row>
    <row r="506">
      <c r="A506" s="2"/>
      <c r="B506" s="132"/>
      <c r="C506" s="132"/>
      <c r="D506" s="132"/>
      <c r="E506" s="132"/>
      <c r="F506" s="132"/>
      <c r="G506" s="132"/>
      <c r="H506" s="132"/>
      <c r="I506" s="132"/>
      <c r="J506" s="132"/>
      <c r="K506" s="132"/>
      <c r="L506" s="2"/>
      <c r="M506" s="2"/>
      <c r="N506" s="2"/>
      <c r="O506" s="2"/>
      <c r="P506" s="2"/>
      <c r="Q506" s="2"/>
      <c r="R506" s="2"/>
      <c r="S506" s="2"/>
      <c r="T506" s="2"/>
      <c r="U506" s="2"/>
      <c r="V506" s="2"/>
      <c r="W506" s="2"/>
      <c r="X506" s="2"/>
      <c r="Y506" s="2"/>
      <c r="Z506" s="2"/>
    </row>
    <row r="507">
      <c r="A507" s="2"/>
      <c r="B507" s="132"/>
      <c r="C507" s="132"/>
      <c r="D507" s="132"/>
      <c r="E507" s="132"/>
      <c r="F507" s="132"/>
      <c r="G507" s="132"/>
      <c r="H507" s="132"/>
      <c r="I507" s="132"/>
      <c r="J507" s="132"/>
      <c r="K507" s="132"/>
      <c r="L507" s="2"/>
      <c r="M507" s="2"/>
      <c r="N507" s="2"/>
      <c r="O507" s="2"/>
      <c r="P507" s="2"/>
      <c r="Q507" s="2"/>
      <c r="R507" s="2"/>
      <c r="S507" s="2"/>
      <c r="T507" s="2"/>
      <c r="U507" s="2"/>
      <c r="V507" s="2"/>
      <c r="W507" s="2"/>
      <c r="X507" s="2"/>
      <c r="Y507" s="2"/>
      <c r="Z507" s="2"/>
    </row>
    <row r="508">
      <c r="A508" s="2"/>
      <c r="B508" s="132"/>
      <c r="C508" s="132"/>
      <c r="D508" s="132"/>
      <c r="E508" s="132"/>
      <c r="F508" s="132"/>
      <c r="G508" s="132"/>
      <c r="H508" s="132"/>
      <c r="I508" s="132"/>
      <c r="J508" s="132"/>
      <c r="K508" s="132"/>
      <c r="L508" s="2"/>
      <c r="M508" s="2"/>
      <c r="N508" s="2"/>
      <c r="O508" s="2"/>
      <c r="P508" s="2"/>
      <c r="Q508" s="2"/>
      <c r="R508" s="2"/>
      <c r="S508" s="2"/>
      <c r="T508" s="2"/>
      <c r="U508" s="2"/>
      <c r="V508" s="2"/>
      <c r="W508" s="2"/>
      <c r="X508" s="2"/>
      <c r="Y508" s="2"/>
      <c r="Z508" s="2"/>
    </row>
    <row r="509">
      <c r="A509" s="2"/>
      <c r="B509" s="132"/>
      <c r="C509" s="132"/>
      <c r="D509" s="132"/>
      <c r="E509" s="132"/>
      <c r="F509" s="132"/>
      <c r="G509" s="132"/>
      <c r="H509" s="132"/>
      <c r="I509" s="132"/>
      <c r="J509" s="132"/>
      <c r="K509" s="132"/>
      <c r="L509" s="2"/>
      <c r="M509" s="2"/>
      <c r="N509" s="2"/>
      <c r="O509" s="2"/>
      <c r="P509" s="2"/>
      <c r="Q509" s="2"/>
      <c r="R509" s="2"/>
      <c r="S509" s="2"/>
      <c r="T509" s="2"/>
      <c r="U509" s="2"/>
      <c r="V509" s="2"/>
      <c r="W509" s="2"/>
      <c r="X509" s="2"/>
      <c r="Y509" s="2"/>
      <c r="Z509" s="2"/>
    </row>
    <row r="510">
      <c r="A510" s="2"/>
      <c r="B510" s="132"/>
      <c r="C510" s="132"/>
      <c r="D510" s="132"/>
      <c r="E510" s="132"/>
      <c r="F510" s="132"/>
      <c r="G510" s="132"/>
      <c r="H510" s="132"/>
      <c r="I510" s="132"/>
      <c r="J510" s="132"/>
      <c r="K510" s="132"/>
      <c r="L510" s="2"/>
      <c r="M510" s="2"/>
      <c r="N510" s="2"/>
      <c r="O510" s="2"/>
      <c r="P510" s="2"/>
      <c r="Q510" s="2"/>
      <c r="R510" s="2"/>
      <c r="S510" s="2"/>
      <c r="T510" s="2"/>
      <c r="U510" s="2"/>
      <c r="V510" s="2"/>
      <c r="W510" s="2"/>
      <c r="X510" s="2"/>
      <c r="Y510" s="2"/>
      <c r="Z510" s="2"/>
    </row>
    <row r="511">
      <c r="A511" s="2"/>
      <c r="B511" s="132"/>
      <c r="C511" s="132"/>
      <c r="D511" s="132"/>
      <c r="E511" s="132"/>
      <c r="F511" s="132"/>
      <c r="G511" s="132"/>
      <c r="H511" s="132"/>
      <c r="I511" s="132"/>
      <c r="J511" s="132"/>
      <c r="K511" s="132"/>
      <c r="L511" s="2"/>
      <c r="M511" s="2"/>
      <c r="N511" s="2"/>
      <c r="O511" s="2"/>
      <c r="P511" s="2"/>
      <c r="Q511" s="2"/>
      <c r="R511" s="2"/>
      <c r="S511" s="2"/>
      <c r="T511" s="2"/>
      <c r="U511" s="2"/>
      <c r="V511" s="2"/>
      <c r="W511" s="2"/>
      <c r="X511" s="2"/>
      <c r="Y511" s="2"/>
      <c r="Z511" s="2"/>
    </row>
    <row r="512">
      <c r="A512" s="2"/>
      <c r="B512" s="132"/>
      <c r="C512" s="132"/>
      <c r="D512" s="132"/>
      <c r="E512" s="132"/>
      <c r="F512" s="132"/>
      <c r="G512" s="132"/>
      <c r="H512" s="132"/>
      <c r="I512" s="132"/>
      <c r="J512" s="132"/>
      <c r="K512" s="132"/>
      <c r="L512" s="2"/>
      <c r="M512" s="2"/>
      <c r="N512" s="2"/>
      <c r="O512" s="2"/>
      <c r="P512" s="2"/>
      <c r="Q512" s="2"/>
      <c r="R512" s="2"/>
      <c r="S512" s="2"/>
      <c r="T512" s="2"/>
      <c r="U512" s="2"/>
      <c r="V512" s="2"/>
      <c r="W512" s="2"/>
      <c r="X512" s="2"/>
      <c r="Y512" s="2"/>
      <c r="Z512" s="2"/>
    </row>
    <row r="513">
      <c r="A513" s="2"/>
      <c r="B513" s="132"/>
      <c r="C513" s="132"/>
      <c r="D513" s="132"/>
      <c r="E513" s="132"/>
      <c r="F513" s="132"/>
      <c r="G513" s="132"/>
      <c r="H513" s="132"/>
      <c r="I513" s="132"/>
      <c r="J513" s="132"/>
      <c r="K513" s="132"/>
      <c r="L513" s="2"/>
      <c r="M513" s="2"/>
      <c r="N513" s="2"/>
      <c r="O513" s="2"/>
      <c r="P513" s="2"/>
      <c r="Q513" s="2"/>
      <c r="R513" s="2"/>
      <c r="S513" s="2"/>
      <c r="T513" s="2"/>
      <c r="U513" s="2"/>
      <c r="V513" s="2"/>
      <c r="W513" s="2"/>
      <c r="X513" s="2"/>
      <c r="Y513" s="2"/>
      <c r="Z513" s="2"/>
    </row>
    <row r="514">
      <c r="A514" s="2"/>
      <c r="B514" s="132"/>
      <c r="C514" s="132"/>
      <c r="D514" s="132"/>
      <c r="E514" s="132"/>
      <c r="F514" s="132"/>
      <c r="G514" s="132"/>
      <c r="H514" s="132"/>
      <c r="I514" s="132"/>
      <c r="J514" s="132"/>
      <c r="K514" s="132"/>
      <c r="L514" s="2"/>
      <c r="M514" s="2"/>
      <c r="N514" s="2"/>
      <c r="O514" s="2"/>
      <c r="P514" s="2"/>
      <c r="Q514" s="2"/>
      <c r="R514" s="2"/>
      <c r="S514" s="2"/>
      <c r="T514" s="2"/>
      <c r="U514" s="2"/>
      <c r="V514" s="2"/>
      <c r="W514" s="2"/>
      <c r="X514" s="2"/>
      <c r="Y514" s="2"/>
      <c r="Z514" s="2"/>
    </row>
    <row r="515">
      <c r="A515" s="2"/>
      <c r="B515" s="132"/>
      <c r="C515" s="132"/>
      <c r="D515" s="132"/>
      <c r="E515" s="132"/>
      <c r="F515" s="132"/>
      <c r="G515" s="132"/>
      <c r="H515" s="132"/>
      <c r="I515" s="132"/>
      <c r="J515" s="132"/>
      <c r="K515" s="132"/>
      <c r="L515" s="2"/>
      <c r="M515" s="2"/>
      <c r="N515" s="2"/>
      <c r="O515" s="2"/>
      <c r="P515" s="2"/>
      <c r="Q515" s="2"/>
      <c r="R515" s="2"/>
      <c r="S515" s="2"/>
      <c r="T515" s="2"/>
      <c r="U515" s="2"/>
      <c r="V515" s="2"/>
      <c r="W515" s="2"/>
      <c r="X515" s="2"/>
      <c r="Y515" s="2"/>
      <c r="Z515" s="2"/>
    </row>
    <row r="516">
      <c r="A516" s="2"/>
      <c r="B516" s="132"/>
      <c r="C516" s="132"/>
      <c r="D516" s="132"/>
      <c r="E516" s="132"/>
      <c r="F516" s="132"/>
      <c r="G516" s="132"/>
      <c r="H516" s="132"/>
      <c r="I516" s="132"/>
      <c r="J516" s="132"/>
      <c r="K516" s="132"/>
      <c r="L516" s="2"/>
      <c r="M516" s="2"/>
      <c r="N516" s="2"/>
      <c r="O516" s="2"/>
      <c r="P516" s="2"/>
      <c r="Q516" s="2"/>
      <c r="R516" s="2"/>
      <c r="S516" s="2"/>
      <c r="T516" s="2"/>
      <c r="U516" s="2"/>
      <c r="V516" s="2"/>
      <c r="W516" s="2"/>
      <c r="X516" s="2"/>
      <c r="Y516" s="2"/>
      <c r="Z516" s="2"/>
    </row>
    <row r="517">
      <c r="A517" s="2"/>
      <c r="B517" s="132"/>
      <c r="C517" s="132"/>
      <c r="D517" s="132"/>
      <c r="E517" s="132"/>
      <c r="F517" s="132"/>
      <c r="G517" s="132"/>
      <c r="H517" s="132"/>
      <c r="I517" s="132"/>
      <c r="J517" s="132"/>
      <c r="K517" s="132"/>
      <c r="L517" s="2"/>
      <c r="M517" s="2"/>
      <c r="N517" s="2"/>
      <c r="O517" s="2"/>
      <c r="P517" s="2"/>
      <c r="Q517" s="2"/>
      <c r="R517" s="2"/>
      <c r="S517" s="2"/>
      <c r="T517" s="2"/>
      <c r="U517" s="2"/>
      <c r="V517" s="2"/>
      <c r="W517" s="2"/>
      <c r="X517" s="2"/>
      <c r="Y517" s="2"/>
      <c r="Z517" s="2"/>
    </row>
    <row r="518">
      <c r="A518" s="2"/>
      <c r="B518" s="132"/>
      <c r="C518" s="132"/>
      <c r="D518" s="132"/>
      <c r="E518" s="132"/>
      <c r="F518" s="132"/>
      <c r="G518" s="132"/>
      <c r="H518" s="132"/>
      <c r="I518" s="132"/>
      <c r="J518" s="132"/>
      <c r="K518" s="132"/>
      <c r="L518" s="2"/>
      <c r="M518" s="2"/>
      <c r="N518" s="2"/>
      <c r="O518" s="2"/>
      <c r="P518" s="2"/>
      <c r="Q518" s="2"/>
      <c r="R518" s="2"/>
      <c r="S518" s="2"/>
      <c r="T518" s="2"/>
      <c r="U518" s="2"/>
      <c r="V518" s="2"/>
      <c r="W518" s="2"/>
      <c r="X518" s="2"/>
      <c r="Y518" s="2"/>
      <c r="Z518" s="2"/>
    </row>
    <row r="519">
      <c r="A519" s="2"/>
      <c r="B519" s="132"/>
      <c r="C519" s="132"/>
      <c r="D519" s="132"/>
      <c r="E519" s="132"/>
      <c r="F519" s="132"/>
      <c r="G519" s="132"/>
      <c r="H519" s="132"/>
      <c r="I519" s="132"/>
      <c r="J519" s="132"/>
      <c r="K519" s="132"/>
      <c r="L519" s="2"/>
      <c r="M519" s="2"/>
      <c r="N519" s="2"/>
      <c r="O519" s="2"/>
      <c r="P519" s="2"/>
      <c r="Q519" s="2"/>
      <c r="R519" s="2"/>
      <c r="S519" s="2"/>
      <c r="T519" s="2"/>
      <c r="U519" s="2"/>
      <c r="V519" s="2"/>
      <c r="W519" s="2"/>
      <c r="X519" s="2"/>
      <c r="Y519" s="2"/>
      <c r="Z519" s="2"/>
    </row>
    <row r="520">
      <c r="A520" s="2"/>
      <c r="B520" s="132"/>
      <c r="C520" s="132"/>
      <c r="D520" s="132"/>
      <c r="E520" s="132"/>
      <c r="F520" s="132"/>
      <c r="G520" s="132"/>
      <c r="H520" s="132"/>
      <c r="I520" s="132"/>
      <c r="J520" s="132"/>
      <c r="K520" s="132"/>
      <c r="L520" s="2"/>
      <c r="M520" s="2"/>
      <c r="N520" s="2"/>
      <c r="O520" s="2"/>
      <c r="P520" s="2"/>
      <c r="Q520" s="2"/>
      <c r="R520" s="2"/>
      <c r="S520" s="2"/>
      <c r="T520" s="2"/>
      <c r="U520" s="2"/>
      <c r="V520" s="2"/>
      <c r="W520" s="2"/>
      <c r="X520" s="2"/>
      <c r="Y520" s="2"/>
      <c r="Z520" s="2"/>
    </row>
    <row r="521">
      <c r="A521" s="2"/>
      <c r="B521" s="132"/>
      <c r="C521" s="132"/>
      <c r="D521" s="132"/>
      <c r="E521" s="132"/>
      <c r="F521" s="132"/>
      <c r="G521" s="132"/>
      <c r="H521" s="132"/>
      <c r="I521" s="132"/>
      <c r="J521" s="132"/>
      <c r="K521" s="132"/>
      <c r="L521" s="2"/>
      <c r="M521" s="2"/>
      <c r="N521" s="2"/>
      <c r="O521" s="2"/>
      <c r="P521" s="2"/>
      <c r="Q521" s="2"/>
      <c r="R521" s="2"/>
      <c r="S521" s="2"/>
      <c r="T521" s="2"/>
      <c r="U521" s="2"/>
      <c r="V521" s="2"/>
      <c r="W521" s="2"/>
      <c r="X521" s="2"/>
      <c r="Y521" s="2"/>
      <c r="Z521" s="2"/>
    </row>
    <row r="522">
      <c r="A522" s="2"/>
      <c r="B522" s="132"/>
      <c r="C522" s="132"/>
      <c r="D522" s="132"/>
      <c r="E522" s="132"/>
      <c r="F522" s="132"/>
      <c r="G522" s="132"/>
      <c r="H522" s="132"/>
      <c r="I522" s="132"/>
      <c r="J522" s="132"/>
      <c r="K522" s="132"/>
      <c r="L522" s="2"/>
      <c r="M522" s="2"/>
      <c r="N522" s="2"/>
      <c r="O522" s="2"/>
      <c r="P522" s="2"/>
      <c r="Q522" s="2"/>
      <c r="R522" s="2"/>
      <c r="S522" s="2"/>
      <c r="T522" s="2"/>
      <c r="U522" s="2"/>
      <c r="V522" s="2"/>
      <c r="W522" s="2"/>
      <c r="X522" s="2"/>
      <c r="Y522" s="2"/>
      <c r="Z522" s="2"/>
    </row>
    <row r="523">
      <c r="A523" s="2"/>
      <c r="B523" s="132"/>
      <c r="C523" s="132"/>
      <c r="D523" s="132"/>
      <c r="E523" s="132"/>
      <c r="F523" s="132"/>
      <c r="G523" s="132"/>
      <c r="H523" s="132"/>
      <c r="I523" s="132"/>
      <c r="J523" s="132"/>
      <c r="K523" s="132"/>
      <c r="L523" s="2"/>
      <c r="M523" s="2"/>
      <c r="N523" s="2"/>
      <c r="O523" s="2"/>
      <c r="P523" s="2"/>
      <c r="Q523" s="2"/>
      <c r="R523" s="2"/>
      <c r="S523" s="2"/>
      <c r="T523" s="2"/>
      <c r="U523" s="2"/>
      <c r="V523" s="2"/>
      <c r="W523" s="2"/>
      <c r="X523" s="2"/>
      <c r="Y523" s="2"/>
      <c r="Z523" s="2"/>
    </row>
    <row r="524">
      <c r="A524" s="2"/>
      <c r="B524" s="132"/>
      <c r="C524" s="132"/>
      <c r="D524" s="132"/>
      <c r="E524" s="132"/>
      <c r="F524" s="132"/>
      <c r="G524" s="132"/>
      <c r="H524" s="132"/>
      <c r="I524" s="132"/>
      <c r="J524" s="132"/>
      <c r="K524" s="132"/>
      <c r="L524" s="2"/>
      <c r="M524" s="2"/>
      <c r="N524" s="2"/>
      <c r="O524" s="2"/>
      <c r="P524" s="2"/>
      <c r="Q524" s="2"/>
      <c r="R524" s="2"/>
      <c r="S524" s="2"/>
      <c r="T524" s="2"/>
      <c r="U524" s="2"/>
      <c r="V524" s="2"/>
      <c r="W524" s="2"/>
      <c r="X524" s="2"/>
      <c r="Y524" s="2"/>
      <c r="Z524" s="2"/>
    </row>
    <row r="525">
      <c r="A525" s="2"/>
      <c r="B525" s="132"/>
      <c r="C525" s="132"/>
      <c r="D525" s="132"/>
      <c r="E525" s="132"/>
      <c r="F525" s="132"/>
      <c r="G525" s="132"/>
      <c r="H525" s="132"/>
      <c r="I525" s="132"/>
      <c r="J525" s="132"/>
      <c r="K525" s="132"/>
      <c r="L525" s="2"/>
      <c r="M525" s="2"/>
      <c r="N525" s="2"/>
      <c r="O525" s="2"/>
      <c r="P525" s="2"/>
      <c r="Q525" s="2"/>
      <c r="R525" s="2"/>
      <c r="S525" s="2"/>
      <c r="T525" s="2"/>
      <c r="U525" s="2"/>
      <c r="V525" s="2"/>
      <c r="W525" s="2"/>
      <c r="X525" s="2"/>
      <c r="Y525" s="2"/>
      <c r="Z525" s="2"/>
    </row>
    <row r="526">
      <c r="A526" s="2"/>
      <c r="B526" s="132"/>
      <c r="C526" s="132"/>
      <c r="D526" s="132"/>
      <c r="E526" s="132"/>
      <c r="F526" s="132"/>
      <c r="G526" s="132"/>
      <c r="H526" s="132"/>
      <c r="I526" s="132"/>
      <c r="J526" s="132"/>
      <c r="K526" s="132"/>
      <c r="L526" s="2"/>
      <c r="M526" s="2"/>
      <c r="N526" s="2"/>
      <c r="O526" s="2"/>
      <c r="P526" s="2"/>
      <c r="Q526" s="2"/>
      <c r="R526" s="2"/>
      <c r="S526" s="2"/>
      <c r="T526" s="2"/>
      <c r="U526" s="2"/>
      <c r="V526" s="2"/>
      <c r="W526" s="2"/>
      <c r="X526" s="2"/>
      <c r="Y526" s="2"/>
      <c r="Z526" s="2"/>
    </row>
    <row r="527">
      <c r="A527" s="2"/>
      <c r="B527" s="132"/>
      <c r="C527" s="132"/>
      <c r="D527" s="132"/>
      <c r="E527" s="132"/>
      <c r="F527" s="132"/>
      <c r="G527" s="132"/>
      <c r="H527" s="132"/>
      <c r="I527" s="132"/>
      <c r="J527" s="132"/>
      <c r="K527" s="132"/>
      <c r="L527" s="2"/>
      <c r="M527" s="2"/>
      <c r="N527" s="2"/>
      <c r="O527" s="2"/>
      <c r="P527" s="2"/>
      <c r="Q527" s="2"/>
      <c r="R527" s="2"/>
      <c r="S527" s="2"/>
      <c r="T527" s="2"/>
      <c r="U527" s="2"/>
      <c r="V527" s="2"/>
      <c r="W527" s="2"/>
      <c r="X527" s="2"/>
      <c r="Y527" s="2"/>
      <c r="Z527" s="2"/>
    </row>
    <row r="528">
      <c r="A528" s="2"/>
      <c r="B528" s="132"/>
      <c r="C528" s="132"/>
      <c r="D528" s="132"/>
      <c r="E528" s="132"/>
      <c r="F528" s="132"/>
      <c r="G528" s="132"/>
      <c r="H528" s="132"/>
      <c r="I528" s="132"/>
      <c r="J528" s="132"/>
      <c r="K528" s="132"/>
      <c r="L528" s="2"/>
      <c r="M528" s="2"/>
      <c r="N528" s="2"/>
      <c r="O528" s="2"/>
      <c r="P528" s="2"/>
      <c r="Q528" s="2"/>
      <c r="R528" s="2"/>
      <c r="S528" s="2"/>
      <c r="T528" s="2"/>
      <c r="U528" s="2"/>
      <c r="V528" s="2"/>
      <c r="W528" s="2"/>
      <c r="X528" s="2"/>
      <c r="Y528" s="2"/>
      <c r="Z528" s="2"/>
    </row>
    <row r="529">
      <c r="A529" s="2"/>
      <c r="B529" s="132"/>
      <c r="C529" s="132"/>
      <c r="D529" s="132"/>
      <c r="E529" s="132"/>
      <c r="F529" s="132"/>
      <c r="G529" s="132"/>
      <c r="H529" s="132"/>
      <c r="I529" s="132"/>
      <c r="J529" s="132"/>
      <c r="K529" s="132"/>
      <c r="L529" s="2"/>
      <c r="M529" s="2"/>
      <c r="N529" s="2"/>
      <c r="O529" s="2"/>
      <c r="P529" s="2"/>
      <c r="Q529" s="2"/>
      <c r="R529" s="2"/>
      <c r="S529" s="2"/>
      <c r="T529" s="2"/>
      <c r="U529" s="2"/>
      <c r="V529" s="2"/>
      <c r="W529" s="2"/>
      <c r="X529" s="2"/>
      <c r="Y529" s="2"/>
      <c r="Z529" s="2"/>
    </row>
    <row r="530">
      <c r="A530" s="2"/>
      <c r="B530" s="132"/>
      <c r="C530" s="132"/>
      <c r="D530" s="132"/>
      <c r="E530" s="132"/>
      <c r="F530" s="132"/>
      <c r="G530" s="132"/>
      <c r="H530" s="132"/>
      <c r="I530" s="132"/>
      <c r="J530" s="132"/>
      <c r="K530" s="132"/>
      <c r="L530" s="2"/>
      <c r="M530" s="2"/>
      <c r="N530" s="2"/>
      <c r="O530" s="2"/>
      <c r="P530" s="2"/>
      <c r="Q530" s="2"/>
      <c r="R530" s="2"/>
      <c r="S530" s="2"/>
      <c r="T530" s="2"/>
      <c r="U530" s="2"/>
      <c r="V530" s="2"/>
      <c r="W530" s="2"/>
      <c r="X530" s="2"/>
      <c r="Y530" s="2"/>
      <c r="Z530" s="2"/>
    </row>
    <row r="531">
      <c r="A531" s="2"/>
      <c r="B531" s="132"/>
      <c r="C531" s="132"/>
      <c r="D531" s="132"/>
      <c r="E531" s="132"/>
      <c r="F531" s="132"/>
      <c r="G531" s="132"/>
      <c r="H531" s="132"/>
      <c r="I531" s="132"/>
      <c r="J531" s="132"/>
      <c r="K531" s="132"/>
      <c r="L531" s="2"/>
      <c r="M531" s="2"/>
      <c r="N531" s="2"/>
      <c r="O531" s="2"/>
      <c r="P531" s="2"/>
      <c r="Q531" s="2"/>
      <c r="R531" s="2"/>
      <c r="S531" s="2"/>
      <c r="T531" s="2"/>
      <c r="U531" s="2"/>
      <c r="V531" s="2"/>
      <c r="W531" s="2"/>
      <c r="X531" s="2"/>
      <c r="Y531" s="2"/>
      <c r="Z531" s="2"/>
    </row>
    <row r="532">
      <c r="A532" s="2"/>
      <c r="B532" s="132"/>
      <c r="C532" s="132"/>
      <c r="D532" s="132"/>
      <c r="E532" s="132"/>
      <c r="F532" s="132"/>
      <c r="G532" s="132"/>
      <c r="H532" s="132"/>
      <c r="I532" s="132"/>
      <c r="J532" s="132"/>
      <c r="K532" s="132"/>
      <c r="L532" s="2"/>
      <c r="M532" s="2"/>
      <c r="N532" s="2"/>
      <c r="O532" s="2"/>
      <c r="P532" s="2"/>
      <c r="Q532" s="2"/>
      <c r="R532" s="2"/>
      <c r="S532" s="2"/>
      <c r="T532" s="2"/>
      <c r="U532" s="2"/>
      <c r="V532" s="2"/>
      <c r="W532" s="2"/>
      <c r="X532" s="2"/>
      <c r="Y532" s="2"/>
      <c r="Z532" s="2"/>
    </row>
    <row r="533">
      <c r="A533" s="2"/>
      <c r="B533" s="132"/>
      <c r="C533" s="132"/>
      <c r="D533" s="132"/>
      <c r="E533" s="132"/>
      <c r="F533" s="132"/>
      <c r="G533" s="132"/>
      <c r="H533" s="132"/>
      <c r="I533" s="132"/>
      <c r="J533" s="132"/>
      <c r="K533" s="132"/>
      <c r="L533" s="2"/>
      <c r="M533" s="2"/>
      <c r="N533" s="2"/>
      <c r="O533" s="2"/>
      <c r="P533" s="2"/>
      <c r="Q533" s="2"/>
      <c r="R533" s="2"/>
      <c r="S533" s="2"/>
      <c r="T533" s="2"/>
      <c r="U533" s="2"/>
      <c r="V533" s="2"/>
      <c r="W533" s="2"/>
      <c r="X533" s="2"/>
      <c r="Y533" s="2"/>
      <c r="Z533" s="2"/>
    </row>
    <row r="534">
      <c r="A534" s="2"/>
      <c r="B534" s="132"/>
      <c r="C534" s="132"/>
      <c r="D534" s="132"/>
      <c r="E534" s="132"/>
      <c r="F534" s="132"/>
      <c r="G534" s="132"/>
      <c r="H534" s="132"/>
      <c r="I534" s="132"/>
      <c r="J534" s="132"/>
      <c r="K534" s="132"/>
      <c r="L534" s="2"/>
      <c r="M534" s="2"/>
      <c r="N534" s="2"/>
      <c r="O534" s="2"/>
      <c r="P534" s="2"/>
      <c r="Q534" s="2"/>
      <c r="R534" s="2"/>
      <c r="S534" s="2"/>
      <c r="T534" s="2"/>
      <c r="U534" s="2"/>
      <c r="V534" s="2"/>
      <c r="W534" s="2"/>
      <c r="X534" s="2"/>
      <c r="Y534" s="2"/>
      <c r="Z534" s="2"/>
    </row>
    <row r="535">
      <c r="A535" s="2"/>
      <c r="B535" s="132"/>
      <c r="C535" s="132"/>
      <c r="D535" s="132"/>
      <c r="E535" s="132"/>
      <c r="F535" s="132"/>
      <c r="G535" s="132"/>
      <c r="H535" s="132"/>
      <c r="I535" s="132"/>
      <c r="J535" s="132"/>
      <c r="K535" s="132"/>
      <c r="L535" s="2"/>
      <c r="M535" s="2"/>
      <c r="N535" s="2"/>
      <c r="O535" s="2"/>
      <c r="P535" s="2"/>
      <c r="Q535" s="2"/>
      <c r="R535" s="2"/>
      <c r="S535" s="2"/>
      <c r="T535" s="2"/>
      <c r="U535" s="2"/>
      <c r="V535" s="2"/>
      <c r="W535" s="2"/>
      <c r="X535" s="2"/>
      <c r="Y535" s="2"/>
      <c r="Z535" s="2"/>
    </row>
    <row r="536">
      <c r="A536" s="2"/>
      <c r="B536" s="132"/>
      <c r="C536" s="132"/>
      <c r="D536" s="132"/>
      <c r="E536" s="132"/>
      <c r="F536" s="132"/>
      <c r="G536" s="132"/>
      <c r="H536" s="132"/>
      <c r="I536" s="132"/>
      <c r="J536" s="132"/>
      <c r="K536" s="132"/>
      <c r="L536" s="2"/>
      <c r="M536" s="2"/>
      <c r="N536" s="2"/>
      <c r="O536" s="2"/>
      <c r="P536" s="2"/>
      <c r="Q536" s="2"/>
      <c r="R536" s="2"/>
      <c r="S536" s="2"/>
      <c r="T536" s="2"/>
      <c r="U536" s="2"/>
      <c r="V536" s="2"/>
      <c r="W536" s="2"/>
      <c r="X536" s="2"/>
      <c r="Y536" s="2"/>
      <c r="Z536" s="2"/>
    </row>
    <row r="537">
      <c r="A537" s="2"/>
      <c r="B537" s="132"/>
      <c r="C537" s="132"/>
      <c r="D537" s="132"/>
      <c r="E537" s="132"/>
      <c r="F537" s="132"/>
      <c r="G537" s="132"/>
      <c r="H537" s="132"/>
      <c r="I537" s="132"/>
      <c r="J537" s="132"/>
      <c r="K537" s="132"/>
      <c r="L537" s="2"/>
      <c r="M537" s="2"/>
      <c r="N537" s="2"/>
      <c r="O537" s="2"/>
      <c r="P537" s="2"/>
      <c r="Q537" s="2"/>
      <c r="R537" s="2"/>
      <c r="S537" s="2"/>
      <c r="T537" s="2"/>
      <c r="U537" s="2"/>
      <c r="V537" s="2"/>
      <c r="W537" s="2"/>
      <c r="X537" s="2"/>
      <c r="Y537" s="2"/>
      <c r="Z537" s="2"/>
    </row>
    <row r="538">
      <c r="A538" s="2"/>
      <c r="B538" s="132"/>
      <c r="C538" s="132"/>
      <c r="D538" s="132"/>
      <c r="E538" s="132"/>
      <c r="F538" s="132"/>
      <c r="G538" s="132"/>
      <c r="H538" s="132"/>
      <c r="I538" s="132"/>
      <c r="J538" s="132"/>
      <c r="K538" s="132"/>
      <c r="L538" s="2"/>
      <c r="M538" s="2"/>
      <c r="N538" s="2"/>
      <c r="O538" s="2"/>
      <c r="P538" s="2"/>
      <c r="Q538" s="2"/>
      <c r="R538" s="2"/>
      <c r="S538" s="2"/>
      <c r="T538" s="2"/>
      <c r="U538" s="2"/>
      <c r="V538" s="2"/>
      <c r="W538" s="2"/>
      <c r="X538" s="2"/>
      <c r="Y538" s="2"/>
      <c r="Z538" s="2"/>
    </row>
    <row r="539">
      <c r="A539" s="2"/>
      <c r="B539" s="132"/>
      <c r="C539" s="132"/>
      <c r="D539" s="132"/>
      <c r="E539" s="132"/>
      <c r="F539" s="132"/>
      <c r="G539" s="132"/>
      <c r="H539" s="132"/>
      <c r="I539" s="132"/>
      <c r="J539" s="132"/>
      <c r="K539" s="132"/>
      <c r="L539" s="2"/>
      <c r="M539" s="2"/>
      <c r="N539" s="2"/>
      <c r="O539" s="2"/>
      <c r="P539" s="2"/>
      <c r="Q539" s="2"/>
      <c r="R539" s="2"/>
      <c r="S539" s="2"/>
      <c r="T539" s="2"/>
      <c r="U539" s="2"/>
      <c r="V539" s="2"/>
      <c r="W539" s="2"/>
      <c r="X539" s="2"/>
      <c r="Y539" s="2"/>
      <c r="Z539" s="2"/>
    </row>
    <row r="540">
      <c r="A540" s="2"/>
      <c r="B540" s="132"/>
      <c r="C540" s="132"/>
      <c r="D540" s="132"/>
      <c r="E540" s="132"/>
      <c r="F540" s="132"/>
      <c r="G540" s="132"/>
      <c r="H540" s="132"/>
      <c r="I540" s="132"/>
      <c r="J540" s="132"/>
      <c r="K540" s="132"/>
      <c r="L540" s="2"/>
      <c r="M540" s="2"/>
      <c r="N540" s="2"/>
      <c r="O540" s="2"/>
      <c r="P540" s="2"/>
      <c r="Q540" s="2"/>
      <c r="R540" s="2"/>
      <c r="S540" s="2"/>
      <c r="T540" s="2"/>
      <c r="U540" s="2"/>
      <c r="V540" s="2"/>
      <c r="W540" s="2"/>
      <c r="X540" s="2"/>
      <c r="Y540" s="2"/>
      <c r="Z540" s="2"/>
    </row>
    <row r="541">
      <c r="A541" s="2"/>
      <c r="B541" s="132"/>
      <c r="C541" s="132"/>
      <c r="D541" s="132"/>
      <c r="E541" s="132"/>
      <c r="F541" s="132"/>
      <c r="G541" s="132"/>
      <c r="H541" s="132"/>
      <c r="I541" s="132"/>
      <c r="J541" s="132"/>
      <c r="K541" s="132"/>
      <c r="L541" s="2"/>
      <c r="M541" s="2"/>
      <c r="N541" s="2"/>
      <c r="O541" s="2"/>
      <c r="P541" s="2"/>
      <c r="Q541" s="2"/>
      <c r="R541" s="2"/>
      <c r="S541" s="2"/>
      <c r="T541" s="2"/>
      <c r="U541" s="2"/>
      <c r="V541" s="2"/>
      <c r="W541" s="2"/>
      <c r="X541" s="2"/>
      <c r="Y541" s="2"/>
      <c r="Z541" s="2"/>
    </row>
    <row r="542">
      <c r="A542" s="2"/>
      <c r="B542" s="132"/>
      <c r="C542" s="132"/>
      <c r="D542" s="132"/>
      <c r="E542" s="132"/>
      <c r="F542" s="132"/>
      <c r="G542" s="132"/>
      <c r="H542" s="132"/>
      <c r="I542" s="132"/>
      <c r="J542" s="132"/>
      <c r="K542" s="132"/>
      <c r="L542" s="2"/>
      <c r="M542" s="2"/>
      <c r="N542" s="2"/>
      <c r="O542" s="2"/>
      <c r="P542" s="2"/>
      <c r="Q542" s="2"/>
      <c r="R542" s="2"/>
      <c r="S542" s="2"/>
      <c r="T542" s="2"/>
      <c r="U542" s="2"/>
      <c r="V542" s="2"/>
      <c r="W542" s="2"/>
      <c r="X542" s="2"/>
      <c r="Y542" s="2"/>
      <c r="Z542" s="2"/>
    </row>
    <row r="543">
      <c r="A543" s="2"/>
      <c r="B543" s="132"/>
      <c r="C543" s="132"/>
      <c r="D543" s="132"/>
      <c r="E543" s="132"/>
      <c r="F543" s="132"/>
      <c r="G543" s="132"/>
      <c r="H543" s="132"/>
      <c r="I543" s="132"/>
      <c r="J543" s="132"/>
      <c r="K543" s="132"/>
      <c r="L543" s="2"/>
      <c r="M543" s="2"/>
      <c r="N543" s="2"/>
      <c r="O543" s="2"/>
      <c r="P543" s="2"/>
      <c r="Q543" s="2"/>
      <c r="R543" s="2"/>
      <c r="S543" s="2"/>
      <c r="T543" s="2"/>
      <c r="U543" s="2"/>
      <c r="V543" s="2"/>
      <c r="W543" s="2"/>
      <c r="X543" s="2"/>
      <c r="Y543" s="2"/>
      <c r="Z543" s="2"/>
    </row>
    <row r="544">
      <c r="A544" s="2"/>
      <c r="B544" s="132"/>
      <c r="C544" s="132"/>
      <c r="D544" s="132"/>
      <c r="E544" s="132"/>
      <c r="F544" s="132"/>
      <c r="G544" s="132"/>
      <c r="H544" s="132"/>
      <c r="I544" s="132"/>
      <c r="J544" s="132"/>
      <c r="K544" s="132"/>
      <c r="L544" s="2"/>
      <c r="M544" s="2"/>
      <c r="N544" s="2"/>
      <c r="O544" s="2"/>
      <c r="P544" s="2"/>
      <c r="Q544" s="2"/>
      <c r="R544" s="2"/>
      <c r="S544" s="2"/>
      <c r="T544" s="2"/>
      <c r="U544" s="2"/>
      <c r="V544" s="2"/>
      <c r="W544" s="2"/>
      <c r="X544" s="2"/>
      <c r="Y544" s="2"/>
      <c r="Z544" s="2"/>
    </row>
    <row r="545">
      <c r="A545" s="2"/>
      <c r="B545" s="132"/>
      <c r="C545" s="132"/>
      <c r="D545" s="132"/>
      <c r="E545" s="132"/>
      <c r="F545" s="132"/>
      <c r="G545" s="132"/>
      <c r="H545" s="132"/>
      <c r="I545" s="132"/>
      <c r="J545" s="132"/>
      <c r="K545" s="132"/>
      <c r="L545" s="2"/>
      <c r="M545" s="2"/>
      <c r="N545" s="2"/>
      <c r="O545" s="2"/>
      <c r="P545" s="2"/>
      <c r="Q545" s="2"/>
      <c r="R545" s="2"/>
      <c r="S545" s="2"/>
      <c r="T545" s="2"/>
      <c r="U545" s="2"/>
      <c r="V545" s="2"/>
      <c r="W545" s="2"/>
      <c r="X545" s="2"/>
      <c r="Y545" s="2"/>
      <c r="Z545" s="2"/>
    </row>
    <row r="546">
      <c r="A546" s="2"/>
      <c r="B546" s="132"/>
      <c r="C546" s="132"/>
      <c r="D546" s="132"/>
      <c r="E546" s="132"/>
      <c r="F546" s="132"/>
      <c r="G546" s="132"/>
      <c r="H546" s="132"/>
      <c r="I546" s="132"/>
      <c r="J546" s="132"/>
      <c r="K546" s="132"/>
      <c r="L546" s="2"/>
      <c r="M546" s="2"/>
      <c r="N546" s="2"/>
      <c r="O546" s="2"/>
      <c r="P546" s="2"/>
      <c r="Q546" s="2"/>
      <c r="R546" s="2"/>
      <c r="S546" s="2"/>
      <c r="T546" s="2"/>
      <c r="U546" s="2"/>
      <c r="V546" s="2"/>
      <c r="W546" s="2"/>
      <c r="X546" s="2"/>
      <c r="Y546" s="2"/>
      <c r="Z546" s="2"/>
    </row>
    <row r="547">
      <c r="A547" s="2"/>
      <c r="B547" s="132"/>
      <c r="C547" s="132"/>
      <c r="D547" s="132"/>
      <c r="E547" s="132"/>
      <c r="F547" s="132"/>
      <c r="G547" s="132"/>
      <c r="H547" s="132"/>
      <c r="I547" s="132"/>
      <c r="J547" s="132"/>
      <c r="K547" s="132"/>
      <c r="L547" s="2"/>
      <c r="M547" s="2"/>
      <c r="N547" s="2"/>
      <c r="O547" s="2"/>
      <c r="P547" s="2"/>
      <c r="Q547" s="2"/>
      <c r="R547" s="2"/>
      <c r="S547" s="2"/>
      <c r="T547" s="2"/>
      <c r="U547" s="2"/>
      <c r="V547" s="2"/>
      <c r="W547" s="2"/>
      <c r="X547" s="2"/>
      <c r="Y547" s="2"/>
      <c r="Z547" s="2"/>
    </row>
    <row r="548">
      <c r="A548" s="2"/>
      <c r="B548" s="132"/>
      <c r="C548" s="132"/>
      <c r="D548" s="132"/>
      <c r="E548" s="132"/>
      <c r="F548" s="132"/>
      <c r="G548" s="132"/>
      <c r="H548" s="132"/>
      <c r="I548" s="132"/>
      <c r="J548" s="132"/>
      <c r="K548" s="132"/>
      <c r="L548" s="2"/>
      <c r="M548" s="2"/>
      <c r="N548" s="2"/>
      <c r="O548" s="2"/>
      <c r="P548" s="2"/>
      <c r="Q548" s="2"/>
      <c r="R548" s="2"/>
      <c r="S548" s="2"/>
      <c r="T548" s="2"/>
      <c r="U548" s="2"/>
      <c r="V548" s="2"/>
      <c r="W548" s="2"/>
      <c r="X548" s="2"/>
      <c r="Y548" s="2"/>
      <c r="Z548" s="2"/>
    </row>
    <row r="549">
      <c r="A549" s="2"/>
      <c r="B549" s="132"/>
      <c r="C549" s="132"/>
      <c r="D549" s="132"/>
      <c r="E549" s="132"/>
      <c r="F549" s="132"/>
      <c r="G549" s="132"/>
      <c r="H549" s="132"/>
      <c r="I549" s="132"/>
      <c r="J549" s="132"/>
      <c r="K549" s="132"/>
      <c r="L549" s="2"/>
      <c r="M549" s="2"/>
      <c r="N549" s="2"/>
      <c r="O549" s="2"/>
      <c r="P549" s="2"/>
      <c r="Q549" s="2"/>
      <c r="R549" s="2"/>
      <c r="S549" s="2"/>
      <c r="T549" s="2"/>
      <c r="U549" s="2"/>
      <c r="V549" s="2"/>
      <c r="W549" s="2"/>
      <c r="X549" s="2"/>
      <c r="Y549" s="2"/>
      <c r="Z549" s="2"/>
    </row>
    <row r="550">
      <c r="A550" s="2"/>
      <c r="B550" s="132"/>
      <c r="C550" s="132"/>
      <c r="D550" s="132"/>
      <c r="E550" s="132"/>
      <c r="F550" s="132"/>
      <c r="G550" s="132"/>
      <c r="H550" s="132"/>
      <c r="I550" s="132"/>
      <c r="J550" s="132"/>
      <c r="K550" s="132"/>
      <c r="L550" s="2"/>
      <c r="M550" s="2"/>
      <c r="N550" s="2"/>
      <c r="O550" s="2"/>
      <c r="P550" s="2"/>
      <c r="Q550" s="2"/>
      <c r="R550" s="2"/>
      <c r="S550" s="2"/>
      <c r="T550" s="2"/>
      <c r="U550" s="2"/>
      <c r="V550" s="2"/>
      <c r="W550" s="2"/>
      <c r="X550" s="2"/>
      <c r="Y550" s="2"/>
      <c r="Z550" s="2"/>
    </row>
    <row r="551">
      <c r="A551" s="2"/>
      <c r="B551" s="132"/>
      <c r="C551" s="132"/>
      <c r="D551" s="132"/>
      <c r="E551" s="132"/>
      <c r="F551" s="132"/>
      <c r="G551" s="132"/>
      <c r="H551" s="132"/>
      <c r="I551" s="132"/>
      <c r="J551" s="132"/>
      <c r="K551" s="132"/>
      <c r="L551" s="2"/>
      <c r="M551" s="2"/>
      <c r="N551" s="2"/>
      <c r="O551" s="2"/>
      <c r="P551" s="2"/>
      <c r="Q551" s="2"/>
      <c r="R551" s="2"/>
      <c r="S551" s="2"/>
      <c r="T551" s="2"/>
      <c r="U551" s="2"/>
      <c r="V551" s="2"/>
      <c r="W551" s="2"/>
      <c r="X551" s="2"/>
      <c r="Y551" s="2"/>
      <c r="Z551" s="2"/>
    </row>
    <row r="552">
      <c r="A552" s="2"/>
      <c r="B552" s="132"/>
      <c r="C552" s="132"/>
      <c r="D552" s="132"/>
      <c r="E552" s="132"/>
      <c r="F552" s="132"/>
      <c r="G552" s="132"/>
      <c r="H552" s="132"/>
      <c r="I552" s="132"/>
      <c r="J552" s="132"/>
      <c r="K552" s="132"/>
      <c r="L552" s="2"/>
      <c r="M552" s="2"/>
      <c r="N552" s="2"/>
      <c r="O552" s="2"/>
      <c r="P552" s="2"/>
      <c r="Q552" s="2"/>
      <c r="R552" s="2"/>
      <c r="S552" s="2"/>
      <c r="T552" s="2"/>
      <c r="U552" s="2"/>
      <c r="V552" s="2"/>
      <c r="W552" s="2"/>
      <c r="X552" s="2"/>
      <c r="Y552" s="2"/>
      <c r="Z552" s="2"/>
    </row>
    <row r="553">
      <c r="A553" s="2"/>
      <c r="B553" s="132"/>
      <c r="C553" s="132"/>
      <c r="D553" s="132"/>
      <c r="E553" s="132"/>
      <c r="F553" s="132"/>
      <c r="G553" s="132"/>
      <c r="H553" s="132"/>
      <c r="I553" s="132"/>
      <c r="J553" s="132"/>
      <c r="K553" s="132"/>
      <c r="L553" s="2"/>
      <c r="M553" s="2"/>
      <c r="N553" s="2"/>
      <c r="O553" s="2"/>
      <c r="P553" s="2"/>
      <c r="Q553" s="2"/>
      <c r="R553" s="2"/>
      <c r="S553" s="2"/>
      <c r="T553" s="2"/>
      <c r="U553" s="2"/>
      <c r="V553" s="2"/>
      <c r="W553" s="2"/>
      <c r="X553" s="2"/>
      <c r="Y553" s="2"/>
      <c r="Z553" s="2"/>
    </row>
    <row r="554">
      <c r="A554" s="2"/>
      <c r="B554" s="132"/>
      <c r="C554" s="132"/>
      <c r="D554" s="132"/>
      <c r="E554" s="132"/>
      <c r="F554" s="132"/>
      <c r="G554" s="132"/>
      <c r="H554" s="132"/>
      <c r="I554" s="132"/>
      <c r="J554" s="132"/>
      <c r="K554" s="132"/>
      <c r="L554" s="2"/>
      <c r="M554" s="2"/>
      <c r="N554" s="2"/>
      <c r="O554" s="2"/>
      <c r="P554" s="2"/>
      <c r="Q554" s="2"/>
      <c r="R554" s="2"/>
      <c r="S554" s="2"/>
      <c r="T554" s="2"/>
      <c r="U554" s="2"/>
      <c r="V554" s="2"/>
      <c r="W554" s="2"/>
      <c r="X554" s="2"/>
      <c r="Y554" s="2"/>
      <c r="Z554" s="2"/>
    </row>
    <row r="555">
      <c r="A555" s="2"/>
      <c r="B555" s="132"/>
      <c r="C555" s="132"/>
      <c r="D555" s="132"/>
      <c r="E555" s="132"/>
      <c r="F555" s="132"/>
      <c r="G555" s="132"/>
      <c r="H555" s="132"/>
      <c r="I555" s="132"/>
      <c r="J555" s="132"/>
      <c r="K555" s="132"/>
      <c r="L555" s="2"/>
      <c r="M555" s="2"/>
      <c r="N555" s="2"/>
      <c r="O555" s="2"/>
      <c r="P555" s="2"/>
      <c r="Q555" s="2"/>
      <c r="R555" s="2"/>
      <c r="S555" s="2"/>
      <c r="T555" s="2"/>
      <c r="U555" s="2"/>
      <c r="V555" s="2"/>
      <c r="W555" s="2"/>
      <c r="X555" s="2"/>
      <c r="Y555" s="2"/>
      <c r="Z555" s="2"/>
    </row>
    <row r="556">
      <c r="A556" s="2"/>
      <c r="B556" s="132"/>
      <c r="C556" s="132"/>
      <c r="D556" s="132"/>
      <c r="E556" s="132"/>
      <c r="F556" s="132"/>
      <c r="G556" s="132"/>
      <c r="H556" s="132"/>
      <c r="I556" s="132"/>
      <c r="J556" s="132"/>
      <c r="K556" s="132"/>
      <c r="L556" s="2"/>
      <c r="M556" s="2"/>
      <c r="N556" s="2"/>
      <c r="O556" s="2"/>
      <c r="P556" s="2"/>
      <c r="Q556" s="2"/>
      <c r="R556" s="2"/>
      <c r="S556" s="2"/>
      <c r="T556" s="2"/>
      <c r="U556" s="2"/>
      <c r="V556" s="2"/>
      <c r="W556" s="2"/>
      <c r="X556" s="2"/>
      <c r="Y556" s="2"/>
      <c r="Z556" s="2"/>
    </row>
    <row r="557">
      <c r="A557" s="2"/>
      <c r="B557" s="132"/>
      <c r="C557" s="132"/>
      <c r="D557" s="132"/>
      <c r="E557" s="132"/>
      <c r="F557" s="132"/>
      <c r="G557" s="132"/>
      <c r="H557" s="132"/>
      <c r="I557" s="132"/>
      <c r="J557" s="132"/>
      <c r="K557" s="132"/>
      <c r="L557" s="2"/>
      <c r="M557" s="2"/>
      <c r="N557" s="2"/>
      <c r="O557" s="2"/>
      <c r="P557" s="2"/>
      <c r="Q557" s="2"/>
      <c r="R557" s="2"/>
      <c r="S557" s="2"/>
      <c r="T557" s="2"/>
      <c r="U557" s="2"/>
      <c r="V557" s="2"/>
      <c r="W557" s="2"/>
      <c r="X557" s="2"/>
      <c r="Y557" s="2"/>
      <c r="Z557" s="2"/>
    </row>
    <row r="558">
      <c r="A558" s="2"/>
      <c r="B558" s="132"/>
      <c r="C558" s="132"/>
      <c r="D558" s="132"/>
      <c r="E558" s="132"/>
      <c r="F558" s="132"/>
      <c r="G558" s="132"/>
      <c r="H558" s="132"/>
      <c r="I558" s="132"/>
      <c r="J558" s="132"/>
      <c r="K558" s="132"/>
      <c r="L558" s="2"/>
      <c r="M558" s="2"/>
      <c r="N558" s="2"/>
      <c r="O558" s="2"/>
      <c r="P558" s="2"/>
      <c r="Q558" s="2"/>
      <c r="R558" s="2"/>
      <c r="S558" s="2"/>
      <c r="T558" s="2"/>
      <c r="U558" s="2"/>
      <c r="V558" s="2"/>
      <c r="W558" s="2"/>
      <c r="X558" s="2"/>
      <c r="Y558" s="2"/>
      <c r="Z558" s="2"/>
    </row>
    <row r="559">
      <c r="A559" s="2"/>
      <c r="B559" s="132"/>
      <c r="C559" s="132"/>
      <c r="D559" s="132"/>
      <c r="E559" s="132"/>
      <c r="F559" s="132"/>
      <c r="G559" s="132"/>
      <c r="H559" s="132"/>
      <c r="I559" s="132"/>
      <c r="J559" s="132"/>
      <c r="K559" s="132"/>
      <c r="L559" s="2"/>
      <c r="M559" s="2"/>
      <c r="N559" s="2"/>
      <c r="O559" s="2"/>
      <c r="P559" s="2"/>
      <c r="Q559" s="2"/>
      <c r="R559" s="2"/>
      <c r="S559" s="2"/>
      <c r="T559" s="2"/>
      <c r="U559" s="2"/>
      <c r="V559" s="2"/>
      <c r="W559" s="2"/>
      <c r="X559" s="2"/>
      <c r="Y559" s="2"/>
      <c r="Z559" s="2"/>
    </row>
    <row r="560">
      <c r="A560" s="2"/>
      <c r="B560" s="132"/>
      <c r="C560" s="132"/>
      <c r="D560" s="132"/>
      <c r="E560" s="132"/>
      <c r="F560" s="132"/>
      <c r="G560" s="132"/>
      <c r="H560" s="132"/>
      <c r="I560" s="132"/>
      <c r="J560" s="132"/>
      <c r="K560" s="132"/>
      <c r="L560" s="2"/>
      <c r="M560" s="2"/>
      <c r="N560" s="2"/>
      <c r="O560" s="2"/>
      <c r="P560" s="2"/>
      <c r="Q560" s="2"/>
      <c r="R560" s="2"/>
      <c r="S560" s="2"/>
      <c r="T560" s="2"/>
      <c r="U560" s="2"/>
      <c r="V560" s="2"/>
      <c r="W560" s="2"/>
      <c r="X560" s="2"/>
      <c r="Y560" s="2"/>
      <c r="Z560" s="2"/>
    </row>
    <row r="561">
      <c r="A561" s="2"/>
      <c r="B561" s="132"/>
      <c r="C561" s="132"/>
      <c r="D561" s="132"/>
      <c r="E561" s="132"/>
      <c r="F561" s="132"/>
      <c r="G561" s="132"/>
      <c r="H561" s="132"/>
      <c r="I561" s="132"/>
      <c r="J561" s="132"/>
      <c r="K561" s="132"/>
      <c r="L561" s="2"/>
      <c r="M561" s="2"/>
      <c r="N561" s="2"/>
      <c r="O561" s="2"/>
      <c r="P561" s="2"/>
      <c r="Q561" s="2"/>
      <c r="R561" s="2"/>
      <c r="S561" s="2"/>
      <c r="T561" s="2"/>
      <c r="U561" s="2"/>
      <c r="V561" s="2"/>
      <c r="W561" s="2"/>
      <c r="X561" s="2"/>
      <c r="Y561" s="2"/>
      <c r="Z561" s="2"/>
    </row>
    <row r="562">
      <c r="A562" s="2"/>
      <c r="B562" s="132"/>
      <c r="C562" s="132"/>
      <c r="D562" s="132"/>
      <c r="E562" s="132"/>
      <c r="F562" s="132"/>
      <c r="G562" s="132"/>
      <c r="H562" s="132"/>
      <c r="I562" s="132"/>
      <c r="J562" s="132"/>
      <c r="K562" s="132"/>
      <c r="L562" s="2"/>
      <c r="M562" s="2"/>
      <c r="N562" s="2"/>
      <c r="O562" s="2"/>
      <c r="P562" s="2"/>
      <c r="Q562" s="2"/>
      <c r="R562" s="2"/>
      <c r="S562" s="2"/>
      <c r="T562" s="2"/>
      <c r="U562" s="2"/>
      <c r="V562" s="2"/>
      <c r="W562" s="2"/>
      <c r="X562" s="2"/>
      <c r="Y562" s="2"/>
      <c r="Z562" s="2"/>
    </row>
    <row r="563">
      <c r="A563" s="2"/>
      <c r="B563" s="132"/>
      <c r="C563" s="132"/>
      <c r="D563" s="132"/>
      <c r="E563" s="132"/>
      <c r="F563" s="132"/>
      <c r="G563" s="132"/>
      <c r="H563" s="132"/>
      <c r="I563" s="132"/>
      <c r="J563" s="132"/>
      <c r="K563" s="132"/>
      <c r="L563" s="2"/>
      <c r="M563" s="2"/>
      <c r="N563" s="2"/>
      <c r="O563" s="2"/>
      <c r="P563" s="2"/>
      <c r="Q563" s="2"/>
      <c r="R563" s="2"/>
      <c r="S563" s="2"/>
      <c r="T563" s="2"/>
      <c r="U563" s="2"/>
      <c r="V563" s="2"/>
      <c r="W563" s="2"/>
      <c r="X563" s="2"/>
      <c r="Y563" s="2"/>
      <c r="Z563" s="2"/>
    </row>
    <row r="564">
      <c r="A564" s="2"/>
      <c r="B564" s="132"/>
      <c r="C564" s="132"/>
      <c r="D564" s="132"/>
      <c r="E564" s="132"/>
      <c r="F564" s="132"/>
      <c r="G564" s="132"/>
      <c r="H564" s="132"/>
      <c r="I564" s="132"/>
      <c r="J564" s="132"/>
      <c r="K564" s="132"/>
      <c r="L564" s="2"/>
      <c r="M564" s="2"/>
      <c r="N564" s="2"/>
      <c r="O564" s="2"/>
      <c r="P564" s="2"/>
      <c r="Q564" s="2"/>
      <c r="R564" s="2"/>
      <c r="S564" s="2"/>
      <c r="T564" s="2"/>
      <c r="U564" s="2"/>
      <c r="V564" s="2"/>
      <c r="W564" s="2"/>
      <c r="X564" s="2"/>
      <c r="Y564" s="2"/>
      <c r="Z564" s="2"/>
    </row>
    <row r="565">
      <c r="A565" s="2"/>
      <c r="B565" s="132"/>
      <c r="C565" s="132"/>
      <c r="D565" s="132"/>
      <c r="E565" s="132"/>
      <c r="F565" s="132"/>
      <c r="G565" s="132"/>
      <c r="H565" s="132"/>
      <c r="I565" s="132"/>
      <c r="J565" s="132"/>
      <c r="K565" s="132"/>
      <c r="L565" s="2"/>
      <c r="M565" s="2"/>
      <c r="N565" s="2"/>
      <c r="O565" s="2"/>
      <c r="P565" s="2"/>
      <c r="Q565" s="2"/>
      <c r="R565" s="2"/>
      <c r="S565" s="2"/>
      <c r="T565" s="2"/>
      <c r="U565" s="2"/>
      <c r="V565" s="2"/>
      <c r="W565" s="2"/>
      <c r="X565" s="2"/>
      <c r="Y565" s="2"/>
      <c r="Z565" s="2"/>
    </row>
    <row r="566">
      <c r="A566" s="2"/>
      <c r="B566" s="132"/>
      <c r="C566" s="132"/>
      <c r="D566" s="132"/>
      <c r="E566" s="132"/>
      <c r="F566" s="132"/>
      <c r="G566" s="132"/>
      <c r="H566" s="132"/>
      <c r="I566" s="132"/>
      <c r="J566" s="132"/>
      <c r="K566" s="132"/>
      <c r="L566" s="2"/>
      <c r="M566" s="2"/>
      <c r="N566" s="2"/>
      <c r="O566" s="2"/>
      <c r="P566" s="2"/>
      <c r="Q566" s="2"/>
      <c r="R566" s="2"/>
      <c r="S566" s="2"/>
      <c r="T566" s="2"/>
      <c r="U566" s="2"/>
      <c r="V566" s="2"/>
      <c r="W566" s="2"/>
      <c r="X566" s="2"/>
      <c r="Y566" s="2"/>
      <c r="Z566" s="2"/>
    </row>
    <row r="567">
      <c r="A567" s="2"/>
      <c r="B567" s="132"/>
      <c r="C567" s="132"/>
      <c r="D567" s="132"/>
      <c r="E567" s="132"/>
      <c r="F567" s="132"/>
      <c r="G567" s="132"/>
      <c r="H567" s="132"/>
      <c r="I567" s="132"/>
      <c r="J567" s="132"/>
      <c r="K567" s="132"/>
      <c r="L567" s="2"/>
      <c r="M567" s="2"/>
      <c r="N567" s="2"/>
      <c r="O567" s="2"/>
      <c r="P567" s="2"/>
      <c r="Q567" s="2"/>
      <c r="R567" s="2"/>
      <c r="S567" s="2"/>
      <c r="T567" s="2"/>
      <c r="U567" s="2"/>
      <c r="V567" s="2"/>
      <c r="W567" s="2"/>
      <c r="X567" s="2"/>
      <c r="Y567" s="2"/>
      <c r="Z567" s="2"/>
    </row>
    <row r="568">
      <c r="A568" s="2"/>
      <c r="B568" s="132"/>
      <c r="C568" s="132"/>
      <c r="D568" s="132"/>
      <c r="E568" s="132"/>
      <c r="F568" s="132"/>
      <c r="G568" s="132"/>
      <c r="H568" s="132"/>
      <c r="I568" s="132"/>
      <c r="J568" s="132"/>
      <c r="K568" s="132"/>
      <c r="L568" s="2"/>
      <c r="M568" s="2"/>
      <c r="N568" s="2"/>
      <c r="O568" s="2"/>
      <c r="P568" s="2"/>
      <c r="Q568" s="2"/>
      <c r="R568" s="2"/>
      <c r="S568" s="2"/>
      <c r="T568" s="2"/>
      <c r="U568" s="2"/>
      <c r="V568" s="2"/>
      <c r="W568" s="2"/>
      <c r="X568" s="2"/>
      <c r="Y568" s="2"/>
      <c r="Z568" s="2"/>
    </row>
    <row r="569">
      <c r="A569" s="2"/>
      <c r="B569" s="132"/>
      <c r="C569" s="132"/>
      <c r="D569" s="132"/>
      <c r="E569" s="132"/>
      <c r="F569" s="132"/>
      <c r="G569" s="132"/>
      <c r="H569" s="132"/>
      <c r="I569" s="132"/>
      <c r="J569" s="132"/>
      <c r="K569" s="132"/>
      <c r="L569" s="2"/>
      <c r="M569" s="2"/>
      <c r="N569" s="2"/>
      <c r="O569" s="2"/>
      <c r="P569" s="2"/>
      <c r="Q569" s="2"/>
      <c r="R569" s="2"/>
      <c r="S569" s="2"/>
      <c r="T569" s="2"/>
      <c r="U569" s="2"/>
      <c r="V569" s="2"/>
      <c r="W569" s="2"/>
      <c r="X569" s="2"/>
      <c r="Y569" s="2"/>
      <c r="Z569" s="2"/>
    </row>
    <row r="570">
      <c r="A570" s="2"/>
      <c r="B570" s="132"/>
      <c r="C570" s="132"/>
      <c r="D570" s="132"/>
      <c r="E570" s="132"/>
      <c r="F570" s="132"/>
      <c r="G570" s="132"/>
      <c r="H570" s="132"/>
      <c r="I570" s="132"/>
      <c r="J570" s="132"/>
      <c r="K570" s="132"/>
      <c r="L570" s="2"/>
      <c r="M570" s="2"/>
      <c r="N570" s="2"/>
      <c r="O570" s="2"/>
      <c r="P570" s="2"/>
      <c r="Q570" s="2"/>
      <c r="R570" s="2"/>
      <c r="S570" s="2"/>
      <c r="T570" s="2"/>
      <c r="U570" s="2"/>
      <c r="V570" s="2"/>
      <c r="W570" s="2"/>
      <c r="X570" s="2"/>
      <c r="Y570" s="2"/>
      <c r="Z570" s="2"/>
    </row>
    <row r="571">
      <c r="A571" s="2"/>
      <c r="B571" s="132"/>
      <c r="C571" s="132"/>
      <c r="D571" s="132"/>
      <c r="E571" s="132"/>
      <c r="F571" s="132"/>
      <c r="G571" s="132"/>
      <c r="H571" s="132"/>
      <c r="I571" s="132"/>
      <c r="J571" s="132"/>
      <c r="K571" s="132"/>
      <c r="L571" s="2"/>
      <c r="M571" s="2"/>
      <c r="N571" s="2"/>
      <c r="O571" s="2"/>
      <c r="P571" s="2"/>
      <c r="Q571" s="2"/>
      <c r="R571" s="2"/>
      <c r="S571" s="2"/>
      <c r="T571" s="2"/>
      <c r="U571" s="2"/>
      <c r="V571" s="2"/>
      <c r="W571" s="2"/>
      <c r="X571" s="2"/>
      <c r="Y571" s="2"/>
      <c r="Z571" s="2"/>
    </row>
    <row r="572">
      <c r="A572" s="2"/>
      <c r="B572" s="132"/>
      <c r="C572" s="132"/>
      <c r="D572" s="132"/>
      <c r="E572" s="132"/>
      <c r="F572" s="132"/>
      <c r="G572" s="132"/>
      <c r="H572" s="132"/>
      <c r="I572" s="132"/>
      <c r="J572" s="132"/>
      <c r="K572" s="132"/>
      <c r="L572" s="2"/>
      <c r="M572" s="2"/>
      <c r="N572" s="2"/>
      <c r="O572" s="2"/>
      <c r="P572" s="2"/>
      <c r="Q572" s="2"/>
      <c r="R572" s="2"/>
      <c r="S572" s="2"/>
      <c r="T572" s="2"/>
      <c r="U572" s="2"/>
      <c r="V572" s="2"/>
      <c r="W572" s="2"/>
      <c r="X572" s="2"/>
      <c r="Y572" s="2"/>
      <c r="Z572" s="2"/>
    </row>
    <row r="573">
      <c r="A573" s="2"/>
      <c r="B573" s="132"/>
      <c r="C573" s="132"/>
      <c r="D573" s="132"/>
      <c r="E573" s="132"/>
      <c r="F573" s="132"/>
      <c r="G573" s="132"/>
      <c r="H573" s="132"/>
      <c r="I573" s="132"/>
      <c r="J573" s="132"/>
      <c r="K573" s="132"/>
      <c r="L573" s="2"/>
      <c r="M573" s="2"/>
      <c r="N573" s="2"/>
      <c r="O573" s="2"/>
      <c r="P573" s="2"/>
      <c r="Q573" s="2"/>
      <c r="R573" s="2"/>
      <c r="S573" s="2"/>
      <c r="T573" s="2"/>
      <c r="U573" s="2"/>
      <c r="V573" s="2"/>
      <c r="W573" s="2"/>
      <c r="X573" s="2"/>
      <c r="Y573" s="2"/>
      <c r="Z573" s="2"/>
    </row>
    <row r="574">
      <c r="A574" s="2"/>
      <c r="B574" s="132"/>
      <c r="C574" s="132"/>
      <c r="D574" s="132"/>
      <c r="E574" s="132"/>
      <c r="F574" s="132"/>
      <c r="G574" s="132"/>
      <c r="H574" s="132"/>
      <c r="I574" s="132"/>
      <c r="J574" s="132"/>
      <c r="K574" s="132"/>
      <c r="L574" s="2"/>
      <c r="M574" s="2"/>
      <c r="N574" s="2"/>
      <c r="O574" s="2"/>
      <c r="P574" s="2"/>
      <c r="Q574" s="2"/>
      <c r="R574" s="2"/>
      <c r="S574" s="2"/>
      <c r="T574" s="2"/>
      <c r="U574" s="2"/>
      <c r="V574" s="2"/>
      <c r="W574" s="2"/>
      <c r="X574" s="2"/>
      <c r="Y574" s="2"/>
      <c r="Z574" s="2"/>
    </row>
    <row r="575">
      <c r="A575" s="2"/>
      <c r="B575" s="132"/>
      <c r="C575" s="132"/>
      <c r="D575" s="132"/>
      <c r="E575" s="132"/>
      <c r="F575" s="132"/>
      <c r="G575" s="132"/>
      <c r="H575" s="132"/>
      <c r="I575" s="132"/>
      <c r="J575" s="132"/>
      <c r="K575" s="132"/>
      <c r="L575" s="2"/>
      <c r="M575" s="2"/>
      <c r="N575" s="2"/>
      <c r="O575" s="2"/>
      <c r="P575" s="2"/>
      <c r="Q575" s="2"/>
      <c r="R575" s="2"/>
      <c r="S575" s="2"/>
      <c r="T575" s="2"/>
      <c r="U575" s="2"/>
      <c r="V575" s="2"/>
      <c r="W575" s="2"/>
      <c r="X575" s="2"/>
      <c r="Y575" s="2"/>
      <c r="Z575" s="2"/>
    </row>
    <row r="576">
      <c r="A576" s="2"/>
      <c r="B576" s="132"/>
      <c r="C576" s="132"/>
      <c r="D576" s="132"/>
      <c r="E576" s="132"/>
      <c r="F576" s="132"/>
      <c r="G576" s="132"/>
      <c r="H576" s="132"/>
      <c r="I576" s="132"/>
      <c r="J576" s="132"/>
      <c r="K576" s="132"/>
      <c r="L576" s="2"/>
      <c r="M576" s="2"/>
      <c r="N576" s="2"/>
      <c r="O576" s="2"/>
      <c r="P576" s="2"/>
      <c r="Q576" s="2"/>
      <c r="R576" s="2"/>
      <c r="S576" s="2"/>
      <c r="T576" s="2"/>
      <c r="U576" s="2"/>
      <c r="V576" s="2"/>
      <c r="W576" s="2"/>
      <c r="X576" s="2"/>
      <c r="Y576" s="2"/>
      <c r="Z576" s="2"/>
    </row>
    <row r="577">
      <c r="A577" s="2"/>
      <c r="B577" s="132"/>
      <c r="C577" s="132"/>
      <c r="D577" s="132"/>
      <c r="E577" s="132"/>
      <c r="F577" s="132"/>
      <c r="G577" s="132"/>
      <c r="H577" s="132"/>
      <c r="I577" s="132"/>
      <c r="J577" s="132"/>
      <c r="K577" s="132"/>
      <c r="L577" s="2"/>
      <c r="M577" s="2"/>
      <c r="N577" s="2"/>
      <c r="O577" s="2"/>
      <c r="P577" s="2"/>
      <c r="Q577" s="2"/>
      <c r="R577" s="2"/>
      <c r="S577" s="2"/>
      <c r="T577" s="2"/>
      <c r="U577" s="2"/>
      <c r="V577" s="2"/>
      <c r="W577" s="2"/>
      <c r="X577" s="2"/>
      <c r="Y577" s="2"/>
      <c r="Z577" s="2"/>
    </row>
    <row r="578">
      <c r="A578" s="2"/>
      <c r="B578" s="132"/>
      <c r="C578" s="132"/>
      <c r="D578" s="132"/>
      <c r="E578" s="132"/>
      <c r="F578" s="132"/>
      <c r="G578" s="132"/>
      <c r="H578" s="132"/>
      <c r="I578" s="132"/>
      <c r="J578" s="132"/>
      <c r="K578" s="132"/>
      <c r="L578" s="2"/>
      <c r="M578" s="2"/>
      <c r="N578" s="2"/>
      <c r="O578" s="2"/>
      <c r="P578" s="2"/>
      <c r="Q578" s="2"/>
      <c r="R578" s="2"/>
      <c r="S578" s="2"/>
      <c r="T578" s="2"/>
      <c r="U578" s="2"/>
      <c r="V578" s="2"/>
      <c r="W578" s="2"/>
      <c r="X578" s="2"/>
      <c r="Y578" s="2"/>
      <c r="Z578" s="2"/>
    </row>
    <row r="579">
      <c r="A579" s="2"/>
      <c r="B579" s="132"/>
      <c r="C579" s="132"/>
      <c r="D579" s="132"/>
      <c r="E579" s="132"/>
      <c r="F579" s="132"/>
      <c r="G579" s="132"/>
      <c r="H579" s="132"/>
      <c r="I579" s="132"/>
      <c r="J579" s="132"/>
      <c r="K579" s="132"/>
      <c r="L579" s="2"/>
      <c r="M579" s="2"/>
      <c r="N579" s="2"/>
      <c r="O579" s="2"/>
      <c r="P579" s="2"/>
      <c r="Q579" s="2"/>
      <c r="R579" s="2"/>
      <c r="S579" s="2"/>
      <c r="T579" s="2"/>
      <c r="U579" s="2"/>
      <c r="V579" s="2"/>
      <c r="W579" s="2"/>
      <c r="X579" s="2"/>
      <c r="Y579" s="2"/>
      <c r="Z579" s="2"/>
    </row>
    <row r="580">
      <c r="A580" s="2"/>
      <c r="B580" s="132"/>
      <c r="C580" s="132"/>
      <c r="D580" s="132"/>
      <c r="E580" s="132"/>
      <c r="F580" s="132"/>
      <c r="G580" s="132"/>
      <c r="H580" s="132"/>
      <c r="I580" s="132"/>
      <c r="J580" s="132"/>
      <c r="K580" s="132"/>
      <c r="L580" s="2"/>
      <c r="M580" s="2"/>
      <c r="N580" s="2"/>
      <c r="O580" s="2"/>
      <c r="P580" s="2"/>
      <c r="Q580" s="2"/>
      <c r="R580" s="2"/>
      <c r="S580" s="2"/>
      <c r="T580" s="2"/>
      <c r="U580" s="2"/>
      <c r="V580" s="2"/>
      <c r="W580" s="2"/>
      <c r="X580" s="2"/>
      <c r="Y580" s="2"/>
      <c r="Z580" s="2"/>
    </row>
    <row r="581">
      <c r="A581" s="2"/>
      <c r="B581" s="132"/>
      <c r="C581" s="132"/>
      <c r="D581" s="132"/>
      <c r="E581" s="132"/>
      <c r="F581" s="132"/>
      <c r="G581" s="132"/>
      <c r="H581" s="132"/>
      <c r="I581" s="132"/>
      <c r="J581" s="132"/>
      <c r="K581" s="132"/>
      <c r="L581" s="2"/>
      <c r="M581" s="2"/>
      <c r="N581" s="2"/>
      <c r="O581" s="2"/>
      <c r="P581" s="2"/>
      <c r="Q581" s="2"/>
      <c r="R581" s="2"/>
      <c r="S581" s="2"/>
      <c r="T581" s="2"/>
      <c r="U581" s="2"/>
      <c r="V581" s="2"/>
      <c r="W581" s="2"/>
      <c r="X581" s="2"/>
      <c r="Y581" s="2"/>
      <c r="Z581" s="2"/>
    </row>
    <row r="582">
      <c r="A582" s="2"/>
      <c r="B582" s="132"/>
      <c r="C582" s="132"/>
      <c r="D582" s="132"/>
      <c r="E582" s="132"/>
      <c r="F582" s="132"/>
      <c r="G582" s="132"/>
      <c r="H582" s="132"/>
      <c r="I582" s="132"/>
      <c r="J582" s="132"/>
      <c r="K582" s="132"/>
      <c r="L582" s="2"/>
      <c r="M582" s="2"/>
      <c r="N582" s="2"/>
      <c r="O582" s="2"/>
      <c r="P582" s="2"/>
      <c r="Q582" s="2"/>
      <c r="R582" s="2"/>
      <c r="S582" s="2"/>
      <c r="T582" s="2"/>
      <c r="U582" s="2"/>
      <c r="V582" s="2"/>
      <c r="W582" s="2"/>
      <c r="X582" s="2"/>
      <c r="Y582" s="2"/>
      <c r="Z582" s="2"/>
    </row>
    <row r="583">
      <c r="A583" s="2"/>
      <c r="B583" s="132"/>
      <c r="C583" s="132"/>
      <c r="D583" s="132"/>
      <c r="E583" s="132"/>
      <c r="F583" s="132"/>
      <c r="G583" s="132"/>
      <c r="H583" s="132"/>
      <c r="I583" s="132"/>
      <c r="J583" s="132"/>
      <c r="K583" s="132"/>
      <c r="L583" s="2"/>
      <c r="M583" s="2"/>
      <c r="N583" s="2"/>
      <c r="O583" s="2"/>
      <c r="P583" s="2"/>
      <c r="Q583" s="2"/>
      <c r="R583" s="2"/>
      <c r="S583" s="2"/>
      <c r="T583" s="2"/>
      <c r="U583" s="2"/>
      <c r="V583" s="2"/>
      <c r="W583" s="2"/>
      <c r="X583" s="2"/>
      <c r="Y583" s="2"/>
      <c r="Z583" s="2"/>
    </row>
    <row r="584">
      <c r="A584" s="2"/>
      <c r="B584" s="132"/>
      <c r="C584" s="132"/>
      <c r="D584" s="132"/>
      <c r="E584" s="132"/>
      <c r="F584" s="132"/>
      <c r="G584" s="132"/>
      <c r="H584" s="132"/>
      <c r="I584" s="132"/>
      <c r="J584" s="132"/>
      <c r="K584" s="132"/>
      <c r="L584" s="2"/>
      <c r="M584" s="2"/>
      <c r="N584" s="2"/>
      <c r="O584" s="2"/>
      <c r="P584" s="2"/>
      <c r="Q584" s="2"/>
      <c r="R584" s="2"/>
      <c r="S584" s="2"/>
      <c r="T584" s="2"/>
      <c r="U584" s="2"/>
      <c r="V584" s="2"/>
      <c r="W584" s="2"/>
      <c r="X584" s="2"/>
      <c r="Y584" s="2"/>
      <c r="Z584" s="2"/>
    </row>
    <row r="585">
      <c r="A585" s="2"/>
      <c r="B585" s="132"/>
      <c r="C585" s="132"/>
      <c r="D585" s="132"/>
      <c r="E585" s="132"/>
      <c r="F585" s="132"/>
      <c r="G585" s="132"/>
      <c r="H585" s="132"/>
      <c r="I585" s="132"/>
      <c r="J585" s="132"/>
      <c r="K585" s="132"/>
      <c r="L585" s="2"/>
      <c r="M585" s="2"/>
      <c r="N585" s="2"/>
      <c r="O585" s="2"/>
      <c r="P585" s="2"/>
      <c r="Q585" s="2"/>
      <c r="R585" s="2"/>
      <c r="S585" s="2"/>
      <c r="T585" s="2"/>
      <c r="U585" s="2"/>
      <c r="V585" s="2"/>
      <c r="W585" s="2"/>
      <c r="X585" s="2"/>
      <c r="Y585" s="2"/>
      <c r="Z585" s="2"/>
    </row>
    <row r="586">
      <c r="A586" s="2"/>
      <c r="B586" s="132"/>
      <c r="C586" s="132"/>
      <c r="D586" s="132"/>
      <c r="E586" s="132"/>
      <c r="F586" s="132"/>
      <c r="G586" s="132"/>
      <c r="H586" s="132"/>
      <c r="I586" s="132"/>
      <c r="J586" s="132"/>
      <c r="K586" s="132"/>
      <c r="L586" s="2"/>
      <c r="M586" s="2"/>
      <c r="N586" s="2"/>
      <c r="O586" s="2"/>
      <c r="P586" s="2"/>
      <c r="Q586" s="2"/>
      <c r="R586" s="2"/>
      <c r="S586" s="2"/>
      <c r="T586" s="2"/>
      <c r="U586" s="2"/>
      <c r="V586" s="2"/>
      <c r="W586" s="2"/>
      <c r="X586" s="2"/>
      <c r="Y586" s="2"/>
      <c r="Z586" s="2"/>
    </row>
    <row r="587">
      <c r="A587" s="2"/>
      <c r="B587" s="132"/>
      <c r="C587" s="132"/>
      <c r="D587" s="132"/>
      <c r="E587" s="132"/>
      <c r="F587" s="132"/>
      <c r="G587" s="132"/>
      <c r="H587" s="132"/>
      <c r="I587" s="132"/>
      <c r="J587" s="132"/>
      <c r="K587" s="132"/>
      <c r="L587" s="2"/>
      <c r="M587" s="2"/>
      <c r="N587" s="2"/>
      <c r="O587" s="2"/>
      <c r="P587" s="2"/>
      <c r="Q587" s="2"/>
      <c r="R587" s="2"/>
      <c r="S587" s="2"/>
      <c r="T587" s="2"/>
      <c r="U587" s="2"/>
      <c r="V587" s="2"/>
      <c r="W587" s="2"/>
      <c r="X587" s="2"/>
      <c r="Y587" s="2"/>
      <c r="Z587" s="2"/>
    </row>
    <row r="588">
      <c r="A588" s="2"/>
      <c r="B588" s="132"/>
      <c r="C588" s="132"/>
      <c r="D588" s="132"/>
      <c r="E588" s="132"/>
      <c r="F588" s="132"/>
      <c r="G588" s="132"/>
      <c r="H588" s="132"/>
      <c r="I588" s="132"/>
      <c r="J588" s="132"/>
      <c r="K588" s="132"/>
      <c r="L588" s="2"/>
      <c r="M588" s="2"/>
      <c r="N588" s="2"/>
      <c r="O588" s="2"/>
      <c r="P588" s="2"/>
      <c r="Q588" s="2"/>
      <c r="R588" s="2"/>
      <c r="S588" s="2"/>
      <c r="T588" s="2"/>
      <c r="U588" s="2"/>
      <c r="V588" s="2"/>
      <c r="W588" s="2"/>
      <c r="X588" s="2"/>
      <c r="Y588" s="2"/>
      <c r="Z588" s="2"/>
    </row>
    <row r="589">
      <c r="A589" s="2"/>
      <c r="B589" s="132"/>
      <c r="C589" s="132"/>
      <c r="D589" s="132"/>
      <c r="E589" s="132"/>
      <c r="F589" s="132"/>
      <c r="G589" s="132"/>
      <c r="H589" s="132"/>
      <c r="I589" s="132"/>
      <c r="J589" s="132"/>
      <c r="K589" s="132"/>
      <c r="L589" s="2"/>
      <c r="M589" s="2"/>
      <c r="N589" s="2"/>
      <c r="O589" s="2"/>
      <c r="P589" s="2"/>
      <c r="Q589" s="2"/>
      <c r="R589" s="2"/>
      <c r="S589" s="2"/>
      <c r="T589" s="2"/>
      <c r="U589" s="2"/>
      <c r="V589" s="2"/>
      <c r="W589" s="2"/>
      <c r="X589" s="2"/>
      <c r="Y589" s="2"/>
      <c r="Z589" s="2"/>
    </row>
    <row r="590">
      <c r="A590" s="2"/>
      <c r="B590" s="132"/>
      <c r="C590" s="132"/>
      <c r="D590" s="132"/>
      <c r="E590" s="132"/>
      <c r="F590" s="132"/>
      <c r="G590" s="132"/>
      <c r="H590" s="132"/>
      <c r="I590" s="132"/>
      <c r="J590" s="132"/>
      <c r="K590" s="132"/>
      <c r="L590" s="2"/>
      <c r="M590" s="2"/>
      <c r="N590" s="2"/>
      <c r="O590" s="2"/>
      <c r="P590" s="2"/>
      <c r="Q590" s="2"/>
      <c r="R590" s="2"/>
      <c r="S590" s="2"/>
      <c r="T590" s="2"/>
      <c r="U590" s="2"/>
      <c r="V590" s="2"/>
      <c r="W590" s="2"/>
      <c r="X590" s="2"/>
      <c r="Y590" s="2"/>
      <c r="Z590" s="2"/>
    </row>
    <row r="591">
      <c r="A591" s="2"/>
      <c r="B591" s="132"/>
      <c r="C591" s="132"/>
      <c r="D591" s="132"/>
      <c r="E591" s="132"/>
      <c r="F591" s="132"/>
      <c r="G591" s="132"/>
      <c r="H591" s="132"/>
      <c r="I591" s="132"/>
      <c r="J591" s="132"/>
      <c r="K591" s="132"/>
      <c r="L591" s="2"/>
      <c r="M591" s="2"/>
      <c r="N591" s="2"/>
      <c r="O591" s="2"/>
      <c r="P591" s="2"/>
      <c r="Q591" s="2"/>
      <c r="R591" s="2"/>
      <c r="S591" s="2"/>
      <c r="T591" s="2"/>
      <c r="U591" s="2"/>
      <c r="V591" s="2"/>
      <c r="W591" s="2"/>
      <c r="X591" s="2"/>
      <c r="Y591" s="2"/>
      <c r="Z591" s="2"/>
    </row>
    <row r="592">
      <c r="A592" s="2"/>
      <c r="B592" s="132"/>
      <c r="C592" s="132"/>
      <c r="D592" s="132"/>
      <c r="E592" s="132"/>
      <c r="F592" s="132"/>
      <c r="G592" s="132"/>
      <c r="H592" s="132"/>
      <c r="I592" s="132"/>
      <c r="J592" s="132"/>
      <c r="K592" s="132"/>
      <c r="L592" s="2"/>
      <c r="M592" s="2"/>
      <c r="N592" s="2"/>
      <c r="O592" s="2"/>
      <c r="P592" s="2"/>
      <c r="Q592" s="2"/>
      <c r="R592" s="2"/>
      <c r="S592" s="2"/>
      <c r="T592" s="2"/>
      <c r="U592" s="2"/>
      <c r="V592" s="2"/>
      <c r="W592" s="2"/>
      <c r="X592" s="2"/>
      <c r="Y592" s="2"/>
      <c r="Z592" s="2"/>
    </row>
    <row r="593">
      <c r="A593" s="2"/>
      <c r="B593" s="132"/>
      <c r="C593" s="132"/>
      <c r="D593" s="132"/>
      <c r="E593" s="132"/>
      <c r="F593" s="132"/>
      <c r="G593" s="132"/>
      <c r="H593" s="132"/>
      <c r="I593" s="132"/>
      <c r="J593" s="132"/>
      <c r="K593" s="132"/>
      <c r="L593" s="2"/>
      <c r="M593" s="2"/>
      <c r="N593" s="2"/>
      <c r="O593" s="2"/>
      <c r="P593" s="2"/>
      <c r="Q593" s="2"/>
      <c r="R593" s="2"/>
      <c r="S593" s="2"/>
      <c r="T593" s="2"/>
      <c r="U593" s="2"/>
      <c r="V593" s="2"/>
      <c r="W593" s="2"/>
      <c r="X593" s="2"/>
      <c r="Y593" s="2"/>
      <c r="Z593" s="2"/>
    </row>
    <row r="594">
      <c r="A594" s="2"/>
      <c r="B594" s="132"/>
      <c r="C594" s="132"/>
      <c r="D594" s="132"/>
      <c r="E594" s="132"/>
      <c r="F594" s="132"/>
      <c r="G594" s="132"/>
      <c r="H594" s="132"/>
      <c r="I594" s="132"/>
      <c r="J594" s="132"/>
      <c r="K594" s="132"/>
      <c r="L594" s="2"/>
      <c r="M594" s="2"/>
      <c r="N594" s="2"/>
      <c r="O594" s="2"/>
      <c r="P594" s="2"/>
      <c r="Q594" s="2"/>
      <c r="R594" s="2"/>
      <c r="S594" s="2"/>
      <c r="T594" s="2"/>
      <c r="U594" s="2"/>
      <c r="V594" s="2"/>
      <c r="W594" s="2"/>
      <c r="X594" s="2"/>
      <c r="Y594" s="2"/>
      <c r="Z594" s="2"/>
    </row>
    <row r="595">
      <c r="A595" s="2"/>
      <c r="B595" s="132"/>
      <c r="C595" s="132"/>
      <c r="D595" s="132"/>
      <c r="E595" s="132"/>
      <c r="F595" s="132"/>
      <c r="G595" s="132"/>
      <c r="H595" s="132"/>
      <c r="I595" s="132"/>
      <c r="J595" s="132"/>
      <c r="K595" s="132"/>
      <c r="L595" s="2"/>
      <c r="M595" s="2"/>
      <c r="N595" s="2"/>
      <c r="O595" s="2"/>
      <c r="P595" s="2"/>
      <c r="Q595" s="2"/>
      <c r="R595" s="2"/>
      <c r="S595" s="2"/>
      <c r="T595" s="2"/>
      <c r="U595" s="2"/>
      <c r="V595" s="2"/>
      <c r="W595" s="2"/>
      <c r="X595" s="2"/>
      <c r="Y595" s="2"/>
      <c r="Z595" s="2"/>
    </row>
    <row r="596">
      <c r="A596" s="2"/>
      <c r="B596" s="132"/>
      <c r="C596" s="132"/>
      <c r="D596" s="132"/>
      <c r="E596" s="132"/>
      <c r="F596" s="132"/>
      <c r="G596" s="132"/>
      <c r="H596" s="132"/>
      <c r="I596" s="132"/>
      <c r="J596" s="132"/>
      <c r="K596" s="132"/>
      <c r="L596" s="2"/>
      <c r="M596" s="2"/>
      <c r="N596" s="2"/>
      <c r="O596" s="2"/>
      <c r="P596" s="2"/>
      <c r="Q596" s="2"/>
      <c r="R596" s="2"/>
      <c r="S596" s="2"/>
      <c r="T596" s="2"/>
      <c r="U596" s="2"/>
      <c r="V596" s="2"/>
      <c r="W596" s="2"/>
      <c r="X596" s="2"/>
      <c r="Y596" s="2"/>
      <c r="Z596" s="2"/>
    </row>
    <row r="597">
      <c r="A597" s="2"/>
      <c r="B597" s="132"/>
      <c r="C597" s="132"/>
      <c r="D597" s="132"/>
      <c r="E597" s="132"/>
      <c r="F597" s="132"/>
      <c r="G597" s="132"/>
      <c r="H597" s="132"/>
      <c r="I597" s="132"/>
      <c r="J597" s="132"/>
      <c r="K597" s="132"/>
      <c r="L597" s="2"/>
      <c r="M597" s="2"/>
      <c r="N597" s="2"/>
      <c r="O597" s="2"/>
      <c r="P597" s="2"/>
      <c r="Q597" s="2"/>
      <c r="R597" s="2"/>
      <c r="S597" s="2"/>
      <c r="T597" s="2"/>
      <c r="U597" s="2"/>
      <c r="V597" s="2"/>
      <c r="W597" s="2"/>
      <c r="X597" s="2"/>
      <c r="Y597" s="2"/>
      <c r="Z597" s="2"/>
    </row>
    <row r="598">
      <c r="A598" s="2"/>
      <c r="B598" s="132"/>
      <c r="C598" s="132"/>
      <c r="D598" s="132"/>
      <c r="E598" s="132"/>
      <c r="F598" s="132"/>
      <c r="G598" s="132"/>
      <c r="H598" s="132"/>
      <c r="I598" s="132"/>
      <c r="J598" s="132"/>
      <c r="K598" s="132"/>
      <c r="L598" s="2"/>
      <c r="M598" s="2"/>
      <c r="N598" s="2"/>
      <c r="O598" s="2"/>
      <c r="P598" s="2"/>
      <c r="Q598" s="2"/>
      <c r="R598" s="2"/>
      <c r="S598" s="2"/>
      <c r="T598" s="2"/>
      <c r="U598" s="2"/>
      <c r="V598" s="2"/>
      <c r="W598" s="2"/>
      <c r="X598" s="2"/>
      <c r="Y598" s="2"/>
      <c r="Z598" s="2"/>
    </row>
    <row r="599">
      <c r="A599" s="2"/>
      <c r="B599" s="132"/>
      <c r="C599" s="132"/>
      <c r="D599" s="132"/>
      <c r="E599" s="132"/>
      <c r="F599" s="132"/>
      <c r="G599" s="132"/>
      <c r="H599" s="132"/>
      <c r="I599" s="132"/>
      <c r="J599" s="132"/>
      <c r="K599" s="132"/>
      <c r="L599" s="2"/>
      <c r="M599" s="2"/>
      <c r="N599" s="2"/>
      <c r="O599" s="2"/>
      <c r="P599" s="2"/>
      <c r="Q599" s="2"/>
      <c r="R599" s="2"/>
      <c r="S599" s="2"/>
      <c r="T599" s="2"/>
      <c r="U599" s="2"/>
      <c r="V599" s="2"/>
      <c r="W599" s="2"/>
      <c r="X599" s="2"/>
      <c r="Y599" s="2"/>
      <c r="Z599" s="2"/>
    </row>
    <row r="600">
      <c r="A600" s="2"/>
      <c r="B600" s="132"/>
      <c r="C600" s="132"/>
      <c r="D600" s="132"/>
      <c r="E600" s="132"/>
      <c r="F600" s="132"/>
      <c r="G600" s="132"/>
      <c r="H600" s="132"/>
      <c r="I600" s="132"/>
      <c r="J600" s="132"/>
      <c r="K600" s="132"/>
      <c r="L600" s="2"/>
      <c r="M600" s="2"/>
      <c r="N600" s="2"/>
      <c r="O600" s="2"/>
      <c r="P600" s="2"/>
      <c r="Q600" s="2"/>
      <c r="R600" s="2"/>
      <c r="S600" s="2"/>
      <c r="T600" s="2"/>
      <c r="U600" s="2"/>
      <c r="V600" s="2"/>
      <c r="W600" s="2"/>
      <c r="X600" s="2"/>
      <c r="Y600" s="2"/>
      <c r="Z600" s="2"/>
    </row>
    <row r="601">
      <c r="A601" s="2"/>
      <c r="B601" s="132"/>
      <c r="C601" s="132"/>
      <c r="D601" s="132"/>
      <c r="E601" s="132"/>
      <c r="F601" s="132"/>
      <c r="G601" s="132"/>
      <c r="H601" s="132"/>
      <c r="I601" s="132"/>
      <c r="J601" s="132"/>
      <c r="K601" s="132"/>
      <c r="L601" s="2"/>
      <c r="M601" s="2"/>
      <c r="N601" s="2"/>
      <c r="O601" s="2"/>
      <c r="P601" s="2"/>
      <c r="Q601" s="2"/>
      <c r="R601" s="2"/>
      <c r="S601" s="2"/>
      <c r="T601" s="2"/>
      <c r="U601" s="2"/>
      <c r="V601" s="2"/>
      <c r="W601" s="2"/>
      <c r="X601" s="2"/>
      <c r="Y601" s="2"/>
      <c r="Z601" s="2"/>
    </row>
    <row r="602">
      <c r="A602" s="2"/>
      <c r="B602" s="132"/>
      <c r="C602" s="132"/>
      <c r="D602" s="132"/>
      <c r="E602" s="132"/>
      <c r="F602" s="132"/>
      <c r="G602" s="132"/>
      <c r="H602" s="132"/>
      <c r="I602" s="132"/>
      <c r="J602" s="132"/>
      <c r="K602" s="132"/>
      <c r="L602" s="2"/>
      <c r="M602" s="2"/>
      <c r="N602" s="2"/>
      <c r="O602" s="2"/>
      <c r="P602" s="2"/>
      <c r="Q602" s="2"/>
      <c r="R602" s="2"/>
      <c r="S602" s="2"/>
      <c r="T602" s="2"/>
      <c r="U602" s="2"/>
      <c r="V602" s="2"/>
      <c r="W602" s="2"/>
      <c r="X602" s="2"/>
      <c r="Y602" s="2"/>
      <c r="Z602" s="2"/>
    </row>
    <row r="603">
      <c r="A603" s="2"/>
      <c r="B603" s="132"/>
      <c r="C603" s="132"/>
      <c r="D603" s="132"/>
      <c r="E603" s="132"/>
      <c r="F603" s="132"/>
      <c r="G603" s="132"/>
      <c r="H603" s="132"/>
      <c r="I603" s="132"/>
      <c r="J603" s="132"/>
      <c r="K603" s="132"/>
      <c r="L603" s="2"/>
      <c r="M603" s="2"/>
      <c r="N603" s="2"/>
      <c r="O603" s="2"/>
      <c r="P603" s="2"/>
      <c r="Q603" s="2"/>
      <c r="R603" s="2"/>
      <c r="S603" s="2"/>
      <c r="T603" s="2"/>
      <c r="U603" s="2"/>
      <c r="V603" s="2"/>
      <c r="W603" s="2"/>
      <c r="X603" s="2"/>
      <c r="Y603" s="2"/>
      <c r="Z603" s="2"/>
    </row>
    <row r="604">
      <c r="A604" s="2"/>
      <c r="B604" s="132"/>
      <c r="C604" s="132"/>
      <c r="D604" s="132"/>
      <c r="E604" s="132"/>
      <c r="F604" s="132"/>
      <c r="G604" s="132"/>
      <c r="H604" s="132"/>
      <c r="I604" s="132"/>
      <c r="J604" s="132"/>
      <c r="K604" s="132"/>
      <c r="L604" s="2"/>
      <c r="M604" s="2"/>
      <c r="N604" s="2"/>
      <c r="O604" s="2"/>
      <c r="P604" s="2"/>
      <c r="Q604" s="2"/>
      <c r="R604" s="2"/>
      <c r="S604" s="2"/>
      <c r="T604" s="2"/>
      <c r="U604" s="2"/>
      <c r="V604" s="2"/>
      <c r="W604" s="2"/>
      <c r="X604" s="2"/>
      <c r="Y604" s="2"/>
      <c r="Z604" s="2"/>
    </row>
    <row r="605">
      <c r="A605" s="2"/>
      <c r="B605" s="132"/>
      <c r="C605" s="132"/>
      <c r="D605" s="132"/>
      <c r="E605" s="132"/>
      <c r="F605" s="132"/>
      <c r="G605" s="132"/>
      <c r="H605" s="132"/>
      <c r="I605" s="132"/>
      <c r="J605" s="132"/>
      <c r="K605" s="132"/>
      <c r="L605" s="2"/>
      <c r="M605" s="2"/>
      <c r="N605" s="2"/>
      <c r="O605" s="2"/>
      <c r="P605" s="2"/>
      <c r="Q605" s="2"/>
      <c r="R605" s="2"/>
      <c r="S605" s="2"/>
      <c r="T605" s="2"/>
      <c r="U605" s="2"/>
      <c r="V605" s="2"/>
      <c r="W605" s="2"/>
      <c r="X605" s="2"/>
      <c r="Y605" s="2"/>
      <c r="Z605" s="2"/>
    </row>
    <row r="606">
      <c r="A606" s="2"/>
      <c r="B606" s="132"/>
      <c r="C606" s="132"/>
      <c r="D606" s="132"/>
      <c r="E606" s="132"/>
      <c r="F606" s="132"/>
      <c r="G606" s="132"/>
      <c r="H606" s="132"/>
      <c r="I606" s="132"/>
      <c r="J606" s="132"/>
      <c r="K606" s="132"/>
      <c r="L606" s="2"/>
      <c r="M606" s="2"/>
      <c r="N606" s="2"/>
      <c r="O606" s="2"/>
      <c r="P606" s="2"/>
      <c r="Q606" s="2"/>
      <c r="R606" s="2"/>
      <c r="S606" s="2"/>
      <c r="T606" s="2"/>
      <c r="U606" s="2"/>
      <c r="V606" s="2"/>
      <c r="W606" s="2"/>
      <c r="X606" s="2"/>
      <c r="Y606" s="2"/>
      <c r="Z606" s="2"/>
    </row>
    <row r="607">
      <c r="A607" s="2"/>
      <c r="B607" s="132"/>
      <c r="C607" s="132"/>
      <c r="D607" s="132"/>
      <c r="E607" s="132"/>
      <c r="F607" s="132"/>
      <c r="G607" s="132"/>
      <c r="H607" s="132"/>
      <c r="I607" s="132"/>
      <c r="J607" s="132"/>
      <c r="K607" s="132"/>
      <c r="L607" s="2"/>
      <c r="M607" s="2"/>
      <c r="N607" s="2"/>
      <c r="O607" s="2"/>
      <c r="P607" s="2"/>
      <c r="Q607" s="2"/>
      <c r="R607" s="2"/>
      <c r="S607" s="2"/>
      <c r="T607" s="2"/>
      <c r="U607" s="2"/>
      <c r="V607" s="2"/>
      <c r="W607" s="2"/>
      <c r="X607" s="2"/>
      <c r="Y607" s="2"/>
      <c r="Z607" s="2"/>
    </row>
    <row r="608">
      <c r="A608" s="2"/>
      <c r="B608" s="132"/>
      <c r="C608" s="132"/>
      <c r="D608" s="132"/>
      <c r="E608" s="132"/>
      <c r="F608" s="132"/>
      <c r="G608" s="132"/>
      <c r="H608" s="132"/>
      <c r="I608" s="132"/>
      <c r="J608" s="132"/>
      <c r="K608" s="132"/>
      <c r="L608" s="2"/>
      <c r="M608" s="2"/>
      <c r="N608" s="2"/>
      <c r="O608" s="2"/>
      <c r="P608" s="2"/>
      <c r="Q608" s="2"/>
      <c r="R608" s="2"/>
      <c r="S608" s="2"/>
      <c r="T608" s="2"/>
      <c r="U608" s="2"/>
      <c r="V608" s="2"/>
      <c r="W608" s="2"/>
      <c r="X608" s="2"/>
      <c r="Y608" s="2"/>
      <c r="Z608" s="2"/>
    </row>
    <row r="609">
      <c r="A609" s="2"/>
      <c r="B609" s="132"/>
      <c r="C609" s="132"/>
      <c r="D609" s="132"/>
      <c r="E609" s="132"/>
      <c r="F609" s="132"/>
      <c r="G609" s="132"/>
      <c r="H609" s="132"/>
      <c r="I609" s="132"/>
      <c r="J609" s="132"/>
      <c r="K609" s="132"/>
      <c r="L609" s="2"/>
      <c r="M609" s="2"/>
      <c r="N609" s="2"/>
      <c r="O609" s="2"/>
      <c r="P609" s="2"/>
      <c r="Q609" s="2"/>
      <c r="R609" s="2"/>
      <c r="S609" s="2"/>
      <c r="T609" s="2"/>
      <c r="U609" s="2"/>
      <c r="V609" s="2"/>
      <c r="W609" s="2"/>
      <c r="X609" s="2"/>
      <c r="Y609" s="2"/>
      <c r="Z609" s="2"/>
    </row>
    <row r="610">
      <c r="A610" s="2"/>
      <c r="B610" s="132"/>
      <c r="C610" s="132"/>
      <c r="D610" s="132"/>
      <c r="E610" s="132"/>
      <c r="F610" s="132"/>
      <c r="G610" s="132"/>
      <c r="H610" s="132"/>
      <c r="I610" s="132"/>
      <c r="J610" s="132"/>
      <c r="K610" s="132"/>
      <c r="L610" s="2"/>
      <c r="M610" s="2"/>
      <c r="N610" s="2"/>
      <c r="O610" s="2"/>
      <c r="P610" s="2"/>
      <c r="Q610" s="2"/>
      <c r="R610" s="2"/>
      <c r="S610" s="2"/>
      <c r="T610" s="2"/>
      <c r="U610" s="2"/>
      <c r="V610" s="2"/>
      <c r="W610" s="2"/>
      <c r="X610" s="2"/>
      <c r="Y610" s="2"/>
      <c r="Z610" s="2"/>
    </row>
    <row r="611">
      <c r="A611" s="2"/>
      <c r="B611" s="132"/>
      <c r="C611" s="132"/>
      <c r="D611" s="132"/>
      <c r="E611" s="132"/>
      <c r="F611" s="132"/>
      <c r="G611" s="132"/>
      <c r="H611" s="132"/>
      <c r="I611" s="132"/>
      <c r="J611" s="132"/>
      <c r="K611" s="132"/>
      <c r="L611" s="2"/>
      <c r="M611" s="2"/>
      <c r="N611" s="2"/>
      <c r="O611" s="2"/>
      <c r="P611" s="2"/>
      <c r="Q611" s="2"/>
      <c r="R611" s="2"/>
      <c r="S611" s="2"/>
      <c r="T611" s="2"/>
      <c r="U611" s="2"/>
      <c r="V611" s="2"/>
      <c r="W611" s="2"/>
      <c r="X611" s="2"/>
      <c r="Y611" s="2"/>
      <c r="Z611" s="2"/>
    </row>
    <row r="612">
      <c r="A612" s="2"/>
      <c r="B612" s="132"/>
      <c r="C612" s="132"/>
      <c r="D612" s="132"/>
      <c r="E612" s="132"/>
      <c r="F612" s="132"/>
      <c r="G612" s="132"/>
      <c r="H612" s="132"/>
      <c r="I612" s="132"/>
      <c r="J612" s="132"/>
      <c r="K612" s="132"/>
      <c r="L612" s="2"/>
      <c r="M612" s="2"/>
      <c r="N612" s="2"/>
      <c r="O612" s="2"/>
      <c r="P612" s="2"/>
      <c r="Q612" s="2"/>
      <c r="R612" s="2"/>
      <c r="S612" s="2"/>
      <c r="T612" s="2"/>
      <c r="U612" s="2"/>
      <c r="V612" s="2"/>
      <c r="W612" s="2"/>
      <c r="X612" s="2"/>
      <c r="Y612" s="2"/>
      <c r="Z612" s="2"/>
    </row>
    <row r="613">
      <c r="A613" s="2"/>
      <c r="B613" s="132"/>
      <c r="C613" s="132"/>
      <c r="D613" s="132"/>
      <c r="E613" s="132"/>
      <c r="F613" s="132"/>
      <c r="G613" s="132"/>
      <c r="H613" s="132"/>
      <c r="I613" s="132"/>
      <c r="J613" s="132"/>
      <c r="K613" s="132"/>
      <c r="L613" s="2"/>
      <c r="M613" s="2"/>
      <c r="N613" s="2"/>
      <c r="O613" s="2"/>
      <c r="P613" s="2"/>
      <c r="Q613" s="2"/>
      <c r="R613" s="2"/>
      <c r="S613" s="2"/>
      <c r="T613" s="2"/>
      <c r="U613" s="2"/>
      <c r="V613" s="2"/>
      <c r="W613" s="2"/>
      <c r="X613" s="2"/>
      <c r="Y613" s="2"/>
      <c r="Z613" s="2"/>
    </row>
    <row r="614">
      <c r="A614" s="2"/>
      <c r="B614" s="132"/>
      <c r="C614" s="132"/>
      <c r="D614" s="132"/>
      <c r="E614" s="132"/>
      <c r="F614" s="132"/>
      <c r="G614" s="132"/>
      <c r="H614" s="132"/>
      <c r="I614" s="132"/>
      <c r="J614" s="132"/>
      <c r="K614" s="132"/>
      <c r="L614" s="2"/>
      <c r="M614" s="2"/>
      <c r="N614" s="2"/>
      <c r="O614" s="2"/>
      <c r="P614" s="2"/>
      <c r="Q614" s="2"/>
      <c r="R614" s="2"/>
      <c r="S614" s="2"/>
      <c r="T614" s="2"/>
      <c r="U614" s="2"/>
      <c r="V614" s="2"/>
      <c r="W614" s="2"/>
      <c r="X614" s="2"/>
      <c r="Y614" s="2"/>
      <c r="Z614" s="2"/>
    </row>
    <row r="615">
      <c r="A615" s="2"/>
      <c r="B615" s="132"/>
      <c r="C615" s="132"/>
      <c r="D615" s="132"/>
      <c r="E615" s="132"/>
      <c r="F615" s="132"/>
      <c r="G615" s="132"/>
      <c r="H615" s="132"/>
      <c r="I615" s="132"/>
      <c r="J615" s="132"/>
      <c r="K615" s="132"/>
      <c r="L615" s="2"/>
      <c r="M615" s="2"/>
      <c r="N615" s="2"/>
      <c r="O615" s="2"/>
      <c r="P615" s="2"/>
      <c r="Q615" s="2"/>
      <c r="R615" s="2"/>
      <c r="S615" s="2"/>
      <c r="T615" s="2"/>
      <c r="U615" s="2"/>
      <c r="V615" s="2"/>
      <c r="W615" s="2"/>
      <c r="X615" s="2"/>
      <c r="Y615" s="2"/>
      <c r="Z615" s="2"/>
    </row>
    <row r="616">
      <c r="A616" s="2"/>
      <c r="B616" s="132"/>
      <c r="C616" s="132"/>
      <c r="D616" s="132"/>
      <c r="E616" s="132"/>
      <c r="F616" s="132"/>
      <c r="G616" s="132"/>
      <c r="H616" s="132"/>
      <c r="I616" s="132"/>
      <c r="J616" s="132"/>
      <c r="K616" s="132"/>
      <c r="L616" s="2"/>
      <c r="M616" s="2"/>
      <c r="N616" s="2"/>
      <c r="O616" s="2"/>
      <c r="P616" s="2"/>
      <c r="Q616" s="2"/>
      <c r="R616" s="2"/>
      <c r="S616" s="2"/>
      <c r="T616" s="2"/>
      <c r="U616" s="2"/>
      <c r="V616" s="2"/>
      <c r="W616" s="2"/>
      <c r="X616" s="2"/>
      <c r="Y616" s="2"/>
      <c r="Z616" s="2"/>
    </row>
    <row r="617">
      <c r="A617" s="2"/>
      <c r="B617" s="132"/>
      <c r="C617" s="132"/>
      <c r="D617" s="132"/>
      <c r="E617" s="132"/>
      <c r="F617" s="132"/>
      <c r="G617" s="132"/>
      <c r="H617" s="132"/>
      <c r="I617" s="132"/>
      <c r="J617" s="132"/>
      <c r="K617" s="132"/>
      <c r="L617" s="2"/>
      <c r="M617" s="2"/>
      <c r="N617" s="2"/>
      <c r="O617" s="2"/>
      <c r="P617" s="2"/>
      <c r="Q617" s="2"/>
      <c r="R617" s="2"/>
      <c r="S617" s="2"/>
      <c r="T617" s="2"/>
      <c r="U617" s="2"/>
      <c r="V617" s="2"/>
      <c r="W617" s="2"/>
      <c r="X617" s="2"/>
      <c r="Y617" s="2"/>
      <c r="Z617" s="2"/>
    </row>
    <row r="618">
      <c r="A618" s="2"/>
      <c r="B618" s="132"/>
      <c r="C618" s="132"/>
      <c r="D618" s="132"/>
      <c r="E618" s="132"/>
      <c r="F618" s="132"/>
      <c r="G618" s="132"/>
      <c r="H618" s="132"/>
      <c r="I618" s="132"/>
      <c r="J618" s="132"/>
      <c r="K618" s="132"/>
      <c r="L618" s="2"/>
      <c r="M618" s="2"/>
      <c r="N618" s="2"/>
      <c r="O618" s="2"/>
      <c r="P618" s="2"/>
      <c r="Q618" s="2"/>
      <c r="R618" s="2"/>
      <c r="S618" s="2"/>
      <c r="T618" s="2"/>
      <c r="U618" s="2"/>
      <c r="V618" s="2"/>
      <c r="W618" s="2"/>
      <c r="X618" s="2"/>
      <c r="Y618" s="2"/>
      <c r="Z618" s="2"/>
    </row>
    <row r="619">
      <c r="A619" s="2"/>
      <c r="B619" s="132"/>
      <c r="C619" s="132"/>
      <c r="D619" s="132"/>
      <c r="E619" s="132"/>
      <c r="F619" s="132"/>
      <c r="G619" s="132"/>
      <c r="H619" s="132"/>
      <c r="I619" s="132"/>
      <c r="J619" s="132"/>
      <c r="K619" s="132"/>
      <c r="L619" s="2"/>
      <c r="M619" s="2"/>
      <c r="N619" s="2"/>
      <c r="O619" s="2"/>
      <c r="P619" s="2"/>
      <c r="Q619" s="2"/>
      <c r="R619" s="2"/>
      <c r="S619" s="2"/>
      <c r="T619" s="2"/>
      <c r="U619" s="2"/>
      <c r="V619" s="2"/>
      <c r="W619" s="2"/>
      <c r="X619" s="2"/>
      <c r="Y619" s="2"/>
      <c r="Z619" s="2"/>
    </row>
    <row r="620">
      <c r="A620" s="2"/>
      <c r="B620" s="132"/>
      <c r="C620" s="132"/>
      <c r="D620" s="132"/>
      <c r="E620" s="132"/>
      <c r="F620" s="132"/>
      <c r="G620" s="132"/>
      <c r="H620" s="132"/>
      <c r="I620" s="132"/>
      <c r="J620" s="132"/>
      <c r="K620" s="132"/>
      <c r="L620" s="2"/>
      <c r="M620" s="2"/>
      <c r="N620" s="2"/>
      <c r="O620" s="2"/>
      <c r="P620" s="2"/>
      <c r="Q620" s="2"/>
      <c r="R620" s="2"/>
      <c r="S620" s="2"/>
      <c r="T620" s="2"/>
      <c r="U620" s="2"/>
      <c r="V620" s="2"/>
      <c r="W620" s="2"/>
      <c r="X620" s="2"/>
      <c r="Y620" s="2"/>
      <c r="Z620" s="2"/>
    </row>
    <row r="621">
      <c r="A621" s="2"/>
      <c r="B621" s="132"/>
      <c r="C621" s="132"/>
      <c r="D621" s="132"/>
      <c r="E621" s="132"/>
      <c r="F621" s="132"/>
      <c r="G621" s="132"/>
      <c r="H621" s="132"/>
      <c r="I621" s="132"/>
      <c r="J621" s="132"/>
      <c r="K621" s="132"/>
      <c r="L621" s="2"/>
      <c r="M621" s="2"/>
      <c r="N621" s="2"/>
      <c r="O621" s="2"/>
      <c r="P621" s="2"/>
      <c r="Q621" s="2"/>
      <c r="R621" s="2"/>
      <c r="S621" s="2"/>
      <c r="T621" s="2"/>
      <c r="U621" s="2"/>
      <c r="V621" s="2"/>
      <c r="W621" s="2"/>
      <c r="X621" s="2"/>
      <c r="Y621" s="2"/>
      <c r="Z621" s="2"/>
    </row>
    <row r="622">
      <c r="A622" s="2"/>
      <c r="B622" s="132"/>
      <c r="C622" s="132"/>
      <c r="D622" s="132"/>
      <c r="E622" s="132"/>
      <c r="F622" s="132"/>
      <c r="G622" s="132"/>
      <c r="H622" s="132"/>
      <c r="I622" s="132"/>
      <c r="J622" s="132"/>
      <c r="K622" s="132"/>
      <c r="L622" s="2"/>
      <c r="M622" s="2"/>
      <c r="N622" s="2"/>
      <c r="O622" s="2"/>
      <c r="P622" s="2"/>
      <c r="Q622" s="2"/>
      <c r="R622" s="2"/>
      <c r="S622" s="2"/>
      <c r="T622" s="2"/>
      <c r="U622" s="2"/>
      <c r="V622" s="2"/>
      <c r="W622" s="2"/>
      <c r="X622" s="2"/>
      <c r="Y622" s="2"/>
      <c r="Z622" s="2"/>
    </row>
    <row r="623">
      <c r="A623" s="2"/>
      <c r="B623" s="132"/>
      <c r="C623" s="132"/>
      <c r="D623" s="132"/>
      <c r="E623" s="132"/>
      <c r="F623" s="132"/>
      <c r="G623" s="132"/>
      <c r="H623" s="132"/>
      <c r="I623" s="132"/>
      <c r="J623" s="132"/>
      <c r="K623" s="132"/>
      <c r="L623" s="2"/>
      <c r="M623" s="2"/>
      <c r="N623" s="2"/>
      <c r="O623" s="2"/>
      <c r="P623" s="2"/>
      <c r="Q623" s="2"/>
      <c r="R623" s="2"/>
      <c r="S623" s="2"/>
      <c r="T623" s="2"/>
      <c r="U623" s="2"/>
      <c r="V623" s="2"/>
      <c r="W623" s="2"/>
      <c r="X623" s="2"/>
      <c r="Y623" s="2"/>
      <c r="Z623" s="2"/>
    </row>
    <row r="624">
      <c r="A624" s="2"/>
      <c r="B624" s="132"/>
      <c r="C624" s="132"/>
      <c r="D624" s="132"/>
      <c r="E624" s="132"/>
      <c r="F624" s="132"/>
      <c r="G624" s="132"/>
      <c r="H624" s="132"/>
      <c r="I624" s="132"/>
      <c r="J624" s="132"/>
      <c r="K624" s="132"/>
      <c r="L624" s="2"/>
      <c r="M624" s="2"/>
      <c r="N624" s="2"/>
      <c r="O624" s="2"/>
      <c r="P624" s="2"/>
      <c r="Q624" s="2"/>
      <c r="R624" s="2"/>
      <c r="S624" s="2"/>
      <c r="T624" s="2"/>
      <c r="U624" s="2"/>
      <c r="V624" s="2"/>
      <c r="W624" s="2"/>
      <c r="X624" s="2"/>
      <c r="Y624" s="2"/>
      <c r="Z624" s="2"/>
    </row>
    <row r="625">
      <c r="A625" s="2"/>
      <c r="B625" s="132"/>
      <c r="C625" s="132"/>
      <c r="D625" s="132"/>
      <c r="E625" s="132"/>
      <c r="F625" s="132"/>
      <c r="G625" s="132"/>
      <c r="H625" s="132"/>
      <c r="I625" s="132"/>
      <c r="J625" s="132"/>
      <c r="K625" s="132"/>
      <c r="L625" s="2"/>
      <c r="M625" s="2"/>
      <c r="N625" s="2"/>
      <c r="O625" s="2"/>
      <c r="P625" s="2"/>
      <c r="Q625" s="2"/>
      <c r="R625" s="2"/>
      <c r="S625" s="2"/>
      <c r="T625" s="2"/>
      <c r="U625" s="2"/>
      <c r="V625" s="2"/>
      <c r="W625" s="2"/>
      <c r="X625" s="2"/>
      <c r="Y625" s="2"/>
      <c r="Z625" s="2"/>
    </row>
    <row r="626">
      <c r="A626" s="2"/>
      <c r="B626" s="132"/>
      <c r="C626" s="132"/>
      <c r="D626" s="132"/>
      <c r="E626" s="132"/>
      <c r="F626" s="132"/>
      <c r="G626" s="132"/>
      <c r="H626" s="132"/>
      <c r="I626" s="132"/>
      <c r="J626" s="132"/>
      <c r="K626" s="132"/>
      <c r="L626" s="2"/>
      <c r="M626" s="2"/>
      <c r="N626" s="2"/>
      <c r="O626" s="2"/>
      <c r="P626" s="2"/>
      <c r="Q626" s="2"/>
      <c r="R626" s="2"/>
      <c r="S626" s="2"/>
      <c r="T626" s="2"/>
      <c r="U626" s="2"/>
      <c r="V626" s="2"/>
      <c r="W626" s="2"/>
      <c r="X626" s="2"/>
      <c r="Y626" s="2"/>
      <c r="Z626" s="2"/>
    </row>
    <row r="627">
      <c r="A627" s="2"/>
      <c r="B627" s="132"/>
      <c r="C627" s="132"/>
      <c r="D627" s="132"/>
      <c r="E627" s="132"/>
      <c r="F627" s="132"/>
      <c r="G627" s="132"/>
      <c r="H627" s="132"/>
      <c r="I627" s="132"/>
      <c r="J627" s="132"/>
      <c r="K627" s="132"/>
      <c r="L627" s="2"/>
      <c r="M627" s="2"/>
      <c r="N627" s="2"/>
      <c r="O627" s="2"/>
      <c r="P627" s="2"/>
      <c r="Q627" s="2"/>
      <c r="R627" s="2"/>
      <c r="S627" s="2"/>
      <c r="T627" s="2"/>
      <c r="U627" s="2"/>
      <c r="V627" s="2"/>
      <c r="W627" s="2"/>
      <c r="X627" s="2"/>
      <c r="Y627" s="2"/>
      <c r="Z627" s="2"/>
    </row>
    <row r="628">
      <c r="A628" s="2"/>
      <c r="B628" s="132"/>
      <c r="C628" s="132"/>
      <c r="D628" s="132"/>
      <c r="E628" s="132"/>
      <c r="F628" s="132"/>
      <c r="G628" s="132"/>
      <c r="H628" s="132"/>
      <c r="I628" s="132"/>
      <c r="J628" s="132"/>
      <c r="K628" s="132"/>
      <c r="L628" s="2"/>
      <c r="M628" s="2"/>
      <c r="N628" s="2"/>
      <c r="O628" s="2"/>
      <c r="P628" s="2"/>
      <c r="Q628" s="2"/>
      <c r="R628" s="2"/>
      <c r="S628" s="2"/>
      <c r="T628" s="2"/>
      <c r="U628" s="2"/>
      <c r="V628" s="2"/>
      <c r="W628" s="2"/>
      <c r="X628" s="2"/>
      <c r="Y628" s="2"/>
      <c r="Z628" s="2"/>
    </row>
    <row r="629">
      <c r="A629" s="2"/>
      <c r="B629" s="132"/>
      <c r="C629" s="132"/>
      <c r="D629" s="132"/>
      <c r="E629" s="132"/>
      <c r="F629" s="132"/>
      <c r="G629" s="132"/>
      <c r="H629" s="132"/>
      <c r="I629" s="132"/>
      <c r="J629" s="132"/>
      <c r="K629" s="132"/>
      <c r="L629" s="2"/>
      <c r="M629" s="2"/>
      <c r="N629" s="2"/>
      <c r="O629" s="2"/>
      <c r="P629" s="2"/>
      <c r="Q629" s="2"/>
      <c r="R629" s="2"/>
      <c r="S629" s="2"/>
      <c r="T629" s="2"/>
      <c r="U629" s="2"/>
      <c r="V629" s="2"/>
      <c r="W629" s="2"/>
      <c r="X629" s="2"/>
      <c r="Y629" s="2"/>
      <c r="Z629" s="2"/>
    </row>
    <row r="630">
      <c r="A630" s="2"/>
      <c r="B630" s="132"/>
      <c r="C630" s="132"/>
      <c r="D630" s="132"/>
      <c r="E630" s="132"/>
      <c r="F630" s="132"/>
      <c r="G630" s="132"/>
      <c r="H630" s="132"/>
      <c r="I630" s="132"/>
      <c r="J630" s="132"/>
      <c r="K630" s="132"/>
      <c r="L630" s="2"/>
      <c r="M630" s="2"/>
      <c r="N630" s="2"/>
      <c r="O630" s="2"/>
      <c r="P630" s="2"/>
      <c r="Q630" s="2"/>
      <c r="R630" s="2"/>
      <c r="S630" s="2"/>
      <c r="T630" s="2"/>
      <c r="U630" s="2"/>
      <c r="V630" s="2"/>
      <c r="W630" s="2"/>
      <c r="X630" s="2"/>
      <c r="Y630" s="2"/>
      <c r="Z630" s="2"/>
    </row>
    <row r="631">
      <c r="A631" s="2"/>
      <c r="B631" s="132"/>
      <c r="C631" s="132"/>
      <c r="D631" s="132"/>
      <c r="E631" s="132"/>
      <c r="F631" s="132"/>
      <c r="G631" s="132"/>
      <c r="H631" s="132"/>
      <c r="I631" s="132"/>
      <c r="J631" s="132"/>
      <c r="K631" s="132"/>
      <c r="L631" s="2"/>
      <c r="M631" s="2"/>
      <c r="N631" s="2"/>
      <c r="O631" s="2"/>
      <c r="P631" s="2"/>
      <c r="Q631" s="2"/>
      <c r="R631" s="2"/>
      <c r="S631" s="2"/>
      <c r="T631" s="2"/>
      <c r="U631" s="2"/>
      <c r="V631" s="2"/>
      <c r="W631" s="2"/>
      <c r="X631" s="2"/>
      <c r="Y631" s="2"/>
      <c r="Z631" s="2"/>
    </row>
    <row r="632">
      <c r="A632" s="2"/>
      <c r="B632" s="132"/>
      <c r="C632" s="132"/>
      <c r="D632" s="132"/>
      <c r="E632" s="132"/>
      <c r="F632" s="132"/>
      <c r="G632" s="132"/>
      <c r="H632" s="132"/>
      <c r="I632" s="132"/>
      <c r="J632" s="132"/>
      <c r="K632" s="132"/>
      <c r="L632" s="2"/>
      <c r="M632" s="2"/>
      <c r="N632" s="2"/>
      <c r="O632" s="2"/>
      <c r="P632" s="2"/>
      <c r="Q632" s="2"/>
      <c r="R632" s="2"/>
      <c r="S632" s="2"/>
      <c r="T632" s="2"/>
      <c r="U632" s="2"/>
      <c r="V632" s="2"/>
      <c r="W632" s="2"/>
      <c r="X632" s="2"/>
      <c r="Y632" s="2"/>
      <c r="Z632" s="2"/>
    </row>
    <row r="633">
      <c r="A633" s="2"/>
      <c r="B633" s="132"/>
      <c r="C633" s="132"/>
      <c r="D633" s="132"/>
      <c r="E633" s="132"/>
      <c r="F633" s="132"/>
      <c r="G633" s="132"/>
      <c r="H633" s="132"/>
      <c r="I633" s="132"/>
      <c r="J633" s="132"/>
      <c r="K633" s="132"/>
      <c r="L633" s="2"/>
      <c r="M633" s="2"/>
      <c r="N633" s="2"/>
      <c r="O633" s="2"/>
      <c r="P633" s="2"/>
      <c r="Q633" s="2"/>
      <c r="R633" s="2"/>
      <c r="S633" s="2"/>
      <c r="T633" s="2"/>
      <c r="U633" s="2"/>
      <c r="V633" s="2"/>
      <c r="W633" s="2"/>
      <c r="X633" s="2"/>
      <c r="Y633" s="2"/>
      <c r="Z633" s="2"/>
    </row>
    <row r="634">
      <c r="A634" s="2"/>
      <c r="B634" s="132"/>
      <c r="C634" s="132"/>
      <c r="D634" s="132"/>
      <c r="E634" s="132"/>
      <c r="F634" s="132"/>
      <c r="G634" s="132"/>
      <c r="H634" s="132"/>
      <c r="I634" s="132"/>
      <c r="J634" s="132"/>
      <c r="K634" s="132"/>
      <c r="L634" s="2"/>
      <c r="M634" s="2"/>
      <c r="N634" s="2"/>
      <c r="O634" s="2"/>
      <c r="P634" s="2"/>
      <c r="Q634" s="2"/>
      <c r="R634" s="2"/>
      <c r="S634" s="2"/>
      <c r="T634" s="2"/>
      <c r="U634" s="2"/>
      <c r="V634" s="2"/>
      <c r="W634" s="2"/>
      <c r="X634" s="2"/>
      <c r="Y634" s="2"/>
      <c r="Z634" s="2"/>
    </row>
    <row r="635">
      <c r="A635" s="2"/>
      <c r="B635" s="132"/>
      <c r="C635" s="132"/>
      <c r="D635" s="132"/>
      <c r="E635" s="132"/>
      <c r="F635" s="132"/>
      <c r="G635" s="132"/>
      <c r="H635" s="132"/>
      <c r="I635" s="132"/>
      <c r="J635" s="132"/>
      <c r="K635" s="132"/>
      <c r="L635" s="2"/>
      <c r="M635" s="2"/>
      <c r="N635" s="2"/>
      <c r="O635" s="2"/>
      <c r="P635" s="2"/>
      <c r="Q635" s="2"/>
      <c r="R635" s="2"/>
      <c r="S635" s="2"/>
      <c r="T635" s="2"/>
      <c r="U635" s="2"/>
      <c r="V635" s="2"/>
      <c r="W635" s="2"/>
      <c r="X635" s="2"/>
      <c r="Y635" s="2"/>
      <c r="Z635" s="2"/>
    </row>
    <row r="636">
      <c r="A636" s="2"/>
      <c r="B636" s="132"/>
      <c r="C636" s="132"/>
      <c r="D636" s="132"/>
      <c r="E636" s="132"/>
      <c r="F636" s="132"/>
      <c r="G636" s="132"/>
      <c r="H636" s="132"/>
      <c r="I636" s="132"/>
      <c r="J636" s="132"/>
      <c r="K636" s="132"/>
      <c r="L636" s="2"/>
      <c r="M636" s="2"/>
      <c r="N636" s="2"/>
      <c r="O636" s="2"/>
      <c r="P636" s="2"/>
      <c r="Q636" s="2"/>
      <c r="R636" s="2"/>
      <c r="S636" s="2"/>
      <c r="T636" s="2"/>
      <c r="U636" s="2"/>
      <c r="V636" s="2"/>
      <c r="W636" s="2"/>
      <c r="X636" s="2"/>
      <c r="Y636" s="2"/>
      <c r="Z636" s="2"/>
    </row>
    <row r="637">
      <c r="A637" s="2"/>
      <c r="B637" s="132"/>
      <c r="C637" s="132"/>
      <c r="D637" s="132"/>
      <c r="E637" s="132"/>
      <c r="F637" s="132"/>
      <c r="G637" s="132"/>
      <c r="H637" s="132"/>
      <c r="I637" s="132"/>
      <c r="J637" s="132"/>
      <c r="K637" s="132"/>
      <c r="L637" s="2"/>
      <c r="M637" s="2"/>
      <c r="N637" s="2"/>
      <c r="O637" s="2"/>
      <c r="P637" s="2"/>
      <c r="Q637" s="2"/>
      <c r="R637" s="2"/>
      <c r="S637" s="2"/>
      <c r="T637" s="2"/>
      <c r="U637" s="2"/>
      <c r="V637" s="2"/>
      <c r="W637" s="2"/>
      <c r="X637" s="2"/>
      <c r="Y637" s="2"/>
      <c r="Z637" s="2"/>
    </row>
    <row r="638">
      <c r="A638" s="2"/>
      <c r="B638" s="132"/>
      <c r="C638" s="132"/>
      <c r="D638" s="132"/>
      <c r="E638" s="132"/>
      <c r="F638" s="132"/>
      <c r="G638" s="132"/>
      <c r="H638" s="132"/>
      <c r="I638" s="132"/>
      <c r="J638" s="132"/>
      <c r="K638" s="132"/>
      <c r="L638" s="2"/>
      <c r="M638" s="2"/>
      <c r="N638" s="2"/>
      <c r="O638" s="2"/>
      <c r="P638" s="2"/>
      <c r="Q638" s="2"/>
      <c r="R638" s="2"/>
      <c r="S638" s="2"/>
      <c r="T638" s="2"/>
      <c r="U638" s="2"/>
      <c r="V638" s="2"/>
      <c r="W638" s="2"/>
      <c r="X638" s="2"/>
      <c r="Y638" s="2"/>
      <c r="Z638" s="2"/>
    </row>
    <row r="639">
      <c r="A639" s="2"/>
      <c r="B639" s="132"/>
      <c r="C639" s="132"/>
      <c r="D639" s="132"/>
      <c r="E639" s="132"/>
      <c r="F639" s="132"/>
      <c r="G639" s="132"/>
      <c r="H639" s="132"/>
      <c r="I639" s="132"/>
      <c r="J639" s="132"/>
      <c r="K639" s="132"/>
      <c r="L639" s="2"/>
      <c r="M639" s="2"/>
      <c r="N639" s="2"/>
      <c r="O639" s="2"/>
      <c r="P639" s="2"/>
      <c r="Q639" s="2"/>
      <c r="R639" s="2"/>
      <c r="S639" s="2"/>
      <c r="T639" s="2"/>
      <c r="U639" s="2"/>
      <c r="V639" s="2"/>
      <c r="W639" s="2"/>
      <c r="X639" s="2"/>
      <c r="Y639" s="2"/>
      <c r="Z639" s="2"/>
    </row>
    <row r="640">
      <c r="A640" s="2"/>
      <c r="B640" s="132"/>
      <c r="C640" s="132"/>
      <c r="D640" s="132"/>
      <c r="E640" s="132"/>
      <c r="F640" s="132"/>
      <c r="G640" s="132"/>
      <c r="H640" s="132"/>
      <c r="I640" s="132"/>
      <c r="J640" s="132"/>
      <c r="K640" s="132"/>
      <c r="L640" s="2"/>
      <c r="M640" s="2"/>
      <c r="N640" s="2"/>
      <c r="O640" s="2"/>
      <c r="P640" s="2"/>
      <c r="Q640" s="2"/>
      <c r="R640" s="2"/>
      <c r="S640" s="2"/>
      <c r="T640" s="2"/>
      <c r="U640" s="2"/>
      <c r="V640" s="2"/>
      <c r="W640" s="2"/>
      <c r="X640" s="2"/>
      <c r="Y640" s="2"/>
      <c r="Z640" s="2"/>
    </row>
    <row r="641">
      <c r="A641" s="2"/>
      <c r="B641" s="132"/>
      <c r="C641" s="132"/>
      <c r="D641" s="132"/>
      <c r="E641" s="132"/>
      <c r="F641" s="132"/>
      <c r="G641" s="132"/>
      <c r="H641" s="132"/>
      <c r="I641" s="132"/>
      <c r="J641" s="132"/>
      <c r="K641" s="132"/>
      <c r="L641" s="2"/>
      <c r="M641" s="2"/>
      <c r="N641" s="2"/>
      <c r="O641" s="2"/>
      <c r="P641" s="2"/>
      <c r="Q641" s="2"/>
      <c r="R641" s="2"/>
      <c r="S641" s="2"/>
      <c r="T641" s="2"/>
      <c r="U641" s="2"/>
      <c r="V641" s="2"/>
      <c r="W641" s="2"/>
      <c r="X641" s="2"/>
      <c r="Y641" s="2"/>
      <c r="Z641" s="2"/>
    </row>
    <row r="642">
      <c r="A642" s="2"/>
      <c r="B642" s="132"/>
      <c r="C642" s="132"/>
      <c r="D642" s="132"/>
      <c r="E642" s="132"/>
      <c r="F642" s="132"/>
      <c r="G642" s="132"/>
      <c r="H642" s="132"/>
      <c r="I642" s="132"/>
      <c r="J642" s="132"/>
      <c r="K642" s="132"/>
      <c r="L642" s="2"/>
      <c r="M642" s="2"/>
      <c r="N642" s="2"/>
      <c r="O642" s="2"/>
      <c r="P642" s="2"/>
      <c r="Q642" s="2"/>
      <c r="R642" s="2"/>
      <c r="S642" s="2"/>
      <c r="T642" s="2"/>
      <c r="U642" s="2"/>
      <c r="V642" s="2"/>
      <c r="W642" s="2"/>
      <c r="X642" s="2"/>
      <c r="Y642" s="2"/>
      <c r="Z642" s="2"/>
    </row>
    <row r="643">
      <c r="A643" s="2"/>
      <c r="B643" s="132"/>
      <c r="C643" s="132"/>
      <c r="D643" s="132"/>
      <c r="E643" s="132"/>
      <c r="F643" s="132"/>
      <c r="G643" s="132"/>
      <c r="H643" s="132"/>
      <c r="I643" s="132"/>
      <c r="J643" s="132"/>
      <c r="K643" s="132"/>
      <c r="L643" s="2"/>
      <c r="M643" s="2"/>
      <c r="N643" s="2"/>
      <c r="O643" s="2"/>
      <c r="P643" s="2"/>
      <c r="Q643" s="2"/>
      <c r="R643" s="2"/>
      <c r="S643" s="2"/>
      <c r="T643" s="2"/>
      <c r="U643" s="2"/>
      <c r="V643" s="2"/>
      <c r="W643" s="2"/>
      <c r="X643" s="2"/>
      <c r="Y643" s="2"/>
      <c r="Z643" s="2"/>
    </row>
    <row r="644">
      <c r="A644" s="2"/>
      <c r="B644" s="132"/>
      <c r="C644" s="132"/>
      <c r="D644" s="132"/>
      <c r="E644" s="132"/>
      <c r="F644" s="132"/>
      <c r="G644" s="132"/>
      <c r="H644" s="132"/>
      <c r="I644" s="132"/>
      <c r="J644" s="132"/>
      <c r="K644" s="132"/>
      <c r="L644" s="2"/>
      <c r="M644" s="2"/>
      <c r="N644" s="2"/>
      <c r="O644" s="2"/>
      <c r="P644" s="2"/>
      <c r="Q644" s="2"/>
      <c r="R644" s="2"/>
      <c r="S644" s="2"/>
      <c r="T644" s="2"/>
      <c r="U644" s="2"/>
      <c r="V644" s="2"/>
      <c r="W644" s="2"/>
      <c r="X644" s="2"/>
      <c r="Y644" s="2"/>
      <c r="Z644" s="2"/>
    </row>
    <row r="645">
      <c r="A645" s="2"/>
      <c r="B645" s="132"/>
      <c r="C645" s="132"/>
      <c r="D645" s="132"/>
      <c r="E645" s="132"/>
      <c r="F645" s="132"/>
      <c r="G645" s="132"/>
      <c r="H645" s="132"/>
      <c r="I645" s="132"/>
      <c r="J645" s="132"/>
      <c r="K645" s="132"/>
      <c r="L645" s="2"/>
      <c r="M645" s="2"/>
      <c r="N645" s="2"/>
      <c r="O645" s="2"/>
      <c r="P645" s="2"/>
      <c r="Q645" s="2"/>
      <c r="R645" s="2"/>
      <c r="S645" s="2"/>
      <c r="T645" s="2"/>
      <c r="U645" s="2"/>
      <c r="V645" s="2"/>
      <c r="W645" s="2"/>
      <c r="X645" s="2"/>
      <c r="Y645" s="2"/>
      <c r="Z645" s="2"/>
    </row>
    <row r="646">
      <c r="A646" s="2"/>
      <c r="B646" s="132"/>
      <c r="C646" s="132"/>
      <c r="D646" s="132"/>
      <c r="E646" s="132"/>
      <c r="F646" s="132"/>
      <c r="G646" s="132"/>
      <c r="H646" s="132"/>
      <c r="I646" s="132"/>
      <c r="J646" s="132"/>
      <c r="K646" s="132"/>
      <c r="L646" s="2"/>
      <c r="M646" s="2"/>
      <c r="N646" s="2"/>
      <c r="O646" s="2"/>
      <c r="P646" s="2"/>
      <c r="Q646" s="2"/>
      <c r="R646" s="2"/>
      <c r="S646" s="2"/>
      <c r="T646" s="2"/>
      <c r="U646" s="2"/>
      <c r="V646" s="2"/>
      <c r="W646" s="2"/>
      <c r="X646" s="2"/>
      <c r="Y646" s="2"/>
      <c r="Z646" s="2"/>
    </row>
    <row r="647">
      <c r="A647" s="2"/>
      <c r="B647" s="132"/>
      <c r="C647" s="132"/>
      <c r="D647" s="132"/>
      <c r="E647" s="132"/>
      <c r="F647" s="132"/>
      <c r="G647" s="132"/>
      <c r="H647" s="132"/>
      <c r="I647" s="132"/>
      <c r="J647" s="132"/>
      <c r="K647" s="132"/>
      <c r="L647" s="2"/>
      <c r="M647" s="2"/>
      <c r="N647" s="2"/>
      <c r="O647" s="2"/>
      <c r="P647" s="2"/>
      <c r="Q647" s="2"/>
      <c r="R647" s="2"/>
      <c r="S647" s="2"/>
      <c r="T647" s="2"/>
      <c r="U647" s="2"/>
      <c r="V647" s="2"/>
      <c r="W647" s="2"/>
      <c r="X647" s="2"/>
      <c r="Y647" s="2"/>
      <c r="Z647" s="2"/>
    </row>
    <row r="648">
      <c r="A648" s="2"/>
      <c r="B648" s="132"/>
      <c r="C648" s="132"/>
      <c r="D648" s="132"/>
      <c r="E648" s="132"/>
      <c r="F648" s="132"/>
      <c r="G648" s="132"/>
      <c r="H648" s="132"/>
      <c r="I648" s="132"/>
      <c r="J648" s="132"/>
      <c r="K648" s="132"/>
      <c r="L648" s="2"/>
      <c r="M648" s="2"/>
      <c r="N648" s="2"/>
      <c r="O648" s="2"/>
      <c r="P648" s="2"/>
      <c r="Q648" s="2"/>
      <c r="R648" s="2"/>
      <c r="S648" s="2"/>
      <c r="T648" s="2"/>
      <c r="U648" s="2"/>
      <c r="V648" s="2"/>
      <c r="W648" s="2"/>
      <c r="X648" s="2"/>
      <c r="Y648" s="2"/>
      <c r="Z648" s="2"/>
    </row>
    <row r="649">
      <c r="A649" s="2"/>
      <c r="B649" s="132"/>
      <c r="C649" s="132"/>
      <c r="D649" s="132"/>
      <c r="E649" s="132"/>
      <c r="F649" s="132"/>
      <c r="G649" s="132"/>
      <c r="H649" s="132"/>
      <c r="I649" s="132"/>
      <c r="J649" s="132"/>
      <c r="K649" s="132"/>
      <c r="L649" s="2"/>
      <c r="M649" s="2"/>
      <c r="N649" s="2"/>
      <c r="O649" s="2"/>
      <c r="P649" s="2"/>
      <c r="Q649" s="2"/>
      <c r="R649" s="2"/>
      <c r="S649" s="2"/>
      <c r="T649" s="2"/>
      <c r="U649" s="2"/>
      <c r="V649" s="2"/>
      <c r="W649" s="2"/>
      <c r="X649" s="2"/>
      <c r="Y649" s="2"/>
      <c r="Z649" s="2"/>
    </row>
    <row r="650">
      <c r="A650" s="2"/>
      <c r="B650" s="132"/>
      <c r="C650" s="132"/>
      <c r="D650" s="132"/>
      <c r="E650" s="132"/>
      <c r="F650" s="132"/>
      <c r="G650" s="132"/>
      <c r="H650" s="132"/>
      <c r="I650" s="132"/>
      <c r="J650" s="132"/>
      <c r="K650" s="132"/>
      <c r="L650" s="2"/>
      <c r="M650" s="2"/>
      <c r="N650" s="2"/>
      <c r="O650" s="2"/>
      <c r="P650" s="2"/>
      <c r="Q650" s="2"/>
      <c r="R650" s="2"/>
      <c r="S650" s="2"/>
      <c r="T650" s="2"/>
      <c r="U650" s="2"/>
      <c r="V650" s="2"/>
      <c r="W650" s="2"/>
      <c r="X650" s="2"/>
      <c r="Y650" s="2"/>
      <c r="Z650" s="2"/>
    </row>
    <row r="651">
      <c r="A651" s="2"/>
      <c r="B651" s="132"/>
      <c r="C651" s="132"/>
      <c r="D651" s="132"/>
      <c r="E651" s="132"/>
      <c r="F651" s="132"/>
      <c r="G651" s="132"/>
      <c r="H651" s="132"/>
      <c r="I651" s="132"/>
      <c r="J651" s="132"/>
      <c r="K651" s="132"/>
      <c r="L651" s="2"/>
      <c r="M651" s="2"/>
      <c r="N651" s="2"/>
      <c r="O651" s="2"/>
      <c r="P651" s="2"/>
      <c r="Q651" s="2"/>
      <c r="R651" s="2"/>
      <c r="S651" s="2"/>
      <c r="T651" s="2"/>
      <c r="U651" s="2"/>
      <c r="V651" s="2"/>
      <c r="W651" s="2"/>
      <c r="X651" s="2"/>
      <c r="Y651" s="2"/>
      <c r="Z651" s="2"/>
    </row>
    <row r="652">
      <c r="A652" s="2"/>
      <c r="B652" s="132"/>
      <c r="C652" s="132"/>
      <c r="D652" s="132"/>
      <c r="E652" s="132"/>
      <c r="F652" s="132"/>
      <c r="G652" s="132"/>
      <c r="H652" s="132"/>
      <c r="I652" s="132"/>
      <c r="J652" s="132"/>
      <c r="K652" s="132"/>
      <c r="L652" s="2"/>
      <c r="M652" s="2"/>
      <c r="N652" s="2"/>
      <c r="O652" s="2"/>
      <c r="P652" s="2"/>
      <c r="Q652" s="2"/>
      <c r="R652" s="2"/>
      <c r="S652" s="2"/>
      <c r="T652" s="2"/>
      <c r="U652" s="2"/>
      <c r="V652" s="2"/>
      <c r="W652" s="2"/>
      <c r="X652" s="2"/>
      <c r="Y652" s="2"/>
      <c r="Z652" s="2"/>
    </row>
    <row r="653">
      <c r="A653" s="2"/>
      <c r="B653" s="132"/>
      <c r="C653" s="132"/>
      <c r="D653" s="132"/>
      <c r="E653" s="132"/>
      <c r="F653" s="132"/>
      <c r="G653" s="132"/>
      <c r="H653" s="132"/>
      <c r="I653" s="132"/>
      <c r="J653" s="132"/>
      <c r="K653" s="132"/>
      <c r="L653" s="2"/>
      <c r="M653" s="2"/>
      <c r="N653" s="2"/>
      <c r="O653" s="2"/>
      <c r="P653" s="2"/>
      <c r="Q653" s="2"/>
      <c r="R653" s="2"/>
      <c r="S653" s="2"/>
      <c r="T653" s="2"/>
      <c r="U653" s="2"/>
      <c r="V653" s="2"/>
      <c r="W653" s="2"/>
      <c r="X653" s="2"/>
      <c r="Y653" s="2"/>
      <c r="Z653" s="2"/>
    </row>
    <row r="654">
      <c r="A654" s="2"/>
      <c r="B654" s="132"/>
      <c r="C654" s="132"/>
      <c r="D654" s="132"/>
      <c r="E654" s="132"/>
      <c r="F654" s="132"/>
      <c r="G654" s="132"/>
      <c r="H654" s="132"/>
      <c r="I654" s="132"/>
      <c r="J654" s="132"/>
      <c r="K654" s="132"/>
      <c r="L654" s="2"/>
      <c r="M654" s="2"/>
      <c r="N654" s="2"/>
      <c r="O654" s="2"/>
      <c r="P654" s="2"/>
      <c r="Q654" s="2"/>
      <c r="R654" s="2"/>
      <c r="S654" s="2"/>
      <c r="T654" s="2"/>
      <c r="U654" s="2"/>
      <c r="V654" s="2"/>
      <c r="W654" s="2"/>
      <c r="X654" s="2"/>
      <c r="Y654" s="2"/>
      <c r="Z654" s="2"/>
    </row>
    <row r="655">
      <c r="A655" s="2"/>
      <c r="B655" s="132"/>
      <c r="C655" s="132"/>
      <c r="D655" s="132"/>
      <c r="E655" s="132"/>
      <c r="F655" s="132"/>
      <c r="G655" s="132"/>
      <c r="H655" s="132"/>
      <c r="I655" s="132"/>
      <c r="J655" s="132"/>
      <c r="K655" s="132"/>
      <c r="L655" s="2"/>
      <c r="M655" s="2"/>
      <c r="N655" s="2"/>
      <c r="O655" s="2"/>
      <c r="P655" s="2"/>
      <c r="Q655" s="2"/>
      <c r="R655" s="2"/>
      <c r="S655" s="2"/>
      <c r="T655" s="2"/>
      <c r="U655" s="2"/>
      <c r="V655" s="2"/>
      <c r="W655" s="2"/>
      <c r="X655" s="2"/>
      <c r="Y655" s="2"/>
      <c r="Z655" s="2"/>
    </row>
    <row r="656">
      <c r="A656" s="2"/>
      <c r="B656" s="132"/>
      <c r="C656" s="132"/>
      <c r="D656" s="132"/>
      <c r="E656" s="132"/>
      <c r="F656" s="132"/>
      <c r="G656" s="132"/>
      <c r="H656" s="132"/>
      <c r="I656" s="132"/>
      <c r="J656" s="132"/>
      <c r="K656" s="132"/>
      <c r="L656" s="2"/>
      <c r="M656" s="2"/>
      <c r="N656" s="2"/>
      <c r="O656" s="2"/>
      <c r="P656" s="2"/>
      <c r="Q656" s="2"/>
      <c r="R656" s="2"/>
      <c r="S656" s="2"/>
      <c r="T656" s="2"/>
      <c r="U656" s="2"/>
      <c r="V656" s="2"/>
      <c r="W656" s="2"/>
      <c r="X656" s="2"/>
      <c r="Y656" s="2"/>
      <c r="Z656" s="2"/>
    </row>
    <row r="657">
      <c r="A657" s="2"/>
      <c r="B657" s="132"/>
      <c r="C657" s="132"/>
      <c r="D657" s="132"/>
      <c r="E657" s="132"/>
      <c r="F657" s="132"/>
      <c r="G657" s="132"/>
      <c r="H657" s="132"/>
      <c r="I657" s="132"/>
      <c r="J657" s="132"/>
      <c r="K657" s="132"/>
      <c r="L657" s="2"/>
      <c r="M657" s="2"/>
      <c r="N657" s="2"/>
      <c r="O657" s="2"/>
      <c r="P657" s="2"/>
      <c r="Q657" s="2"/>
      <c r="R657" s="2"/>
      <c r="S657" s="2"/>
      <c r="T657" s="2"/>
      <c r="U657" s="2"/>
      <c r="V657" s="2"/>
      <c r="W657" s="2"/>
      <c r="X657" s="2"/>
      <c r="Y657" s="2"/>
      <c r="Z657" s="2"/>
    </row>
    <row r="658">
      <c r="A658" s="2"/>
      <c r="B658" s="132"/>
      <c r="C658" s="132"/>
      <c r="D658" s="132"/>
      <c r="E658" s="132"/>
      <c r="F658" s="132"/>
      <c r="G658" s="132"/>
      <c r="H658" s="132"/>
      <c r="I658" s="132"/>
      <c r="J658" s="132"/>
      <c r="K658" s="132"/>
      <c r="L658" s="2"/>
      <c r="M658" s="2"/>
      <c r="N658" s="2"/>
      <c r="O658" s="2"/>
      <c r="P658" s="2"/>
      <c r="Q658" s="2"/>
      <c r="R658" s="2"/>
      <c r="S658" s="2"/>
      <c r="T658" s="2"/>
      <c r="U658" s="2"/>
      <c r="V658" s="2"/>
      <c r="W658" s="2"/>
      <c r="X658" s="2"/>
      <c r="Y658" s="2"/>
      <c r="Z658" s="2"/>
    </row>
    <row r="659">
      <c r="A659" s="2"/>
      <c r="B659" s="132"/>
      <c r="C659" s="132"/>
      <c r="D659" s="132"/>
      <c r="E659" s="132"/>
      <c r="F659" s="132"/>
      <c r="G659" s="132"/>
      <c r="H659" s="132"/>
      <c r="I659" s="132"/>
      <c r="J659" s="132"/>
      <c r="K659" s="132"/>
      <c r="L659" s="2"/>
      <c r="M659" s="2"/>
      <c r="N659" s="2"/>
      <c r="O659" s="2"/>
      <c r="P659" s="2"/>
      <c r="Q659" s="2"/>
      <c r="R659" s="2"/>
      <c r="S659" s="2"/>
      <c r="T659" s="2"/>
      <c r="U659" s="2"/>
      <c r="V659" s="2"/>
      <c r="W659" s="2"/>
      <c r="X659" s="2"/>
      <c r="Y659" s="2"/>
      <c r="Z659" s="2"/>
    </row>
    <row r="660">
      <c r="A660" s="2"/>
      <c r="B660" s="132"/>
      <c r="C660" s="132"/>
      <c r="D660" s="132"/>
      <c r="E660" s="132"/>
      <c r="F660" s="132"/>
      <c r="G660" s="132"/>
      <c r="H660" s="132"/>
      <c r="I660" s="132"/>
      <c r="J660" s="132"/>
      <c r="K660" s="132"/>
      <c r="L660" s="2"/>
      <c r="M660" s="2"/>
      <c r="N660" s="2"/>
      <c r="O660" s="2"/>
      <c r="P660" s="2"/>
      <c r="Q660" s="2"/>
      <c r="R660" s="2"/>
      <c r="S660" s="2"/>
      <c r="T660" s="2"/>
      <c r="U660" s="2"/>
      <c r="V660" s="2"/>
      <c r="W660" s="2"/>
      <c r="X660" s="2"/>
      <c r="Y660" s="2"/>
      <c r="Z660" s="2"/>
    </row>
    <row r="661">
      <c r="A661" s="2"/>
      <c r="B661" s="132"/>
      <c r="C661" s="132"/>
      <c r="D661" s="132"/>
      <c r="E661" s="132"/>
      <c r="F661" s="132"/>
      <c r="G661" s="132"/>
      <c r="H661" s="132"/>
      <c r="I661" s="132"/>
      <c r="J661" s="132"/>
      <c r="K661" s="132"/>
      <c r="L661" s="2"/>
      <c r="M661" s="2"/>
      <c r="N661" s="2"/>
      <c r="O661" s="2"/>
      <c r="P661" s="2"/>
      <c r="Q661" s="2"/>
      <c r="R661" s="2"/>
      <c r="S661" s="2"/>
      <c r="T661" s="2"/>
      <c r="U661" s="2"/>
      <c r="V661" s="2"/>
      <c r="W661" s="2"/>
      <c r="X661" s="2"/>
      <c r="Y661" s="2"/>
      <c r="Z661" s="2"/>
    </row>
    <row r="662">
      <c r="A662" s="2"/>
      <c r="B662" s="132"/>
      <c r="C662" s="132"/>
      <c r="D662" s="132"/>
      <c r="E662" s="132"/>
      <c r="F662" s="132"/>
      <c r="G662" s="132"/>
      <c r="H662" s="132"/>
      <c r="I662" s="132"/>
      <c r="J662" s="132"/>
      <c r="K662" s="132"/>
      <c r="L662" s="2"/>
      <c r="M662" s="2"/>
      <c r="N662" s="2"/>
      <c r="O662" s="2"/>
      <c r="P662" s="2"/>
      <c r="Q662" s="2"/>
      <c r="R662" s="2"/>
      <c r="S662" s="2"/>
      <c r="T662" s="2"/>
      <c r="U662" s="2"/>
      <c r="V662" s="2"/>
      <c r="W662" s="2"/>
      <c r="X662" s="2"/>
      <c r="Y662" s="2"/>
      <c r="Z662" s="2"/>
    </row>
    <row r="663">
      <c r="A663" s="2"/>
      <c r="B663" s="132"/>
      <c r="C663" s="132"/>
      <c r="D663" s="132"/>
      <c r="E663" s="132"/>
      <c r="F663" s="132"/>
      <c r="G663" s="132"/>
      <c r="H663" s="132"/>
      <c r="I663" s="132"/>
      <c r="J663" s="132"/>
      <c r="K663" s="132"/>
      <c r="L663" s="2"/>
      <c r="M663" s="2"/>
      <c r="N663" s="2"/>
      <c r="O663" s="2"/>
      <c r="P663" s="2"/>
      <c r="Q663" s="2"/>
      <c r="R663" s="2"/>
      <c r="S663" s="2"/>
      <c r="T663" s="2"/>
      <c r="U663" s="2"/>
      <c r="V663" s="2"/>
      <c r="W663" s="2"/>
      <c r="X663" s="2"/>
      <c r="Y663" s="2"/>
      <c r="Z663" s="2"/>
    </row>
    <row r="664">
      <c r="A664" s="2"/>
      <c r="B664" s="132"/>
      <c r="C664" s="132"/>
      <c r="D664" s="132"/>
      <c r="E664" s="132"/>
      <c r="F664" s="132"/>
      <c r="G664" s="132"/>
      <c r="H664" s="132"/>
      <c r="I664" s="132"/>
      <c r="J664" s="132"/>
      <c r="K664" s="132"/>
      <c r="L664" s="2"/>
      <c r="M664" s="2"/>
      <c r="N664" s="2"/>
      <c r="O664" s="2"/>
      <c r="P664" s="2"/>
      <c r="Q664" s="2"/>
      <c r="R664" s="2"/>
      <c r="S664" s="2"/>
      <c r="T664" s="2"/>
      <c r="U664" s="2"/>
      <c r="V664" s="2"/>
      <c r="W664" s="2"/>
      <c r="X664" s="2"/>
      <c r="Y664" s="2"/>
      <c r="Z664" s="2"/>
    </row>
    <row r="665">
      <c r="A665" s="2"/>
      <c r="B665" s="132"/>
      <c r="C665" s="132"/>
      <c r="D665" s="132"/>
      <c r="E665" s="132"/>
      <c r="F665" s="132"/>
      <c r="G665" s="132"/>
      <c r="H665" s="132"/>
      <c r="I665" s="132"/>
      <c r="J665" s="132"/>
      <c r="K665" s="132"/>
      <c r="L665" s="2"/>
      <c r="M665" s="2"/>
      <c r="N665" s="2"/>
      <c r="O665" s="2"/>
      <c r="P665" s="2"/>
      <c r="Q665" s="2"/>
      <c r="R665" s="2"/>
      <c r="S665" s="2"/>
      <c r="T665" s="2"/>
      <c r="U665" s="2"/>
      <c r="V665" s="2"/>
      <c r="W665" s="2"/>
      <c r="X665" s="2"/>
      <c r="Y665" s="2"/>
      <c r="Z665" s="2"/>
    </row>
    <row r="666">
      <c r="A666" s="2"/>
      <c r="B666" s="132"/>
      <c r="C666" s="132"/>
      <c r="D666" s="132"/>
      <c r="E666" s="132"/>
      <c r="F666" s="132"/>
      <c r="G666" s="132"/>
      <c r="H666" s="132"/>
      <c r="I666" s="132"/>
      <c r="J666" s="132"/>
      <c r="K666" s="132"/>
      <c r="L666" s="2"/>
      <c r="M666" s="2"/>
      <c r="N666" s="2"/>
      <c r="O666" s="2"/>
      <c r="P666" s="2"/>
      <c r="Q666" s="2"/>
      <c r="R666" s="2"/>
      <c r="S666" s="2"/>
      <c r="T666" s="2"/>
      <c r="U666" s="2"/>
      <c r="V666" s="2"/>
      <c r="W666" s="2"/>
      <c r="X666" s="2"/>
      <c r="Y666" s="2"/>
      <c r="Z666" s="2"/>
    </row>
    <row r="667">
      <c r="A667" s="2"/>
      <c r="B667" s="132"/>
      <c r="C667" s="132"/>
      <c r="D667" s="132"/>
      <c r="E667" s="132"/>
      <c r="F667" s="132"/>
      <c r="G667" s="132"/>
      <c r="H667" s="132"/>
      <c r="I667" s="132"/>
      <c r="J667" s="132"/>
      <c r="K667" s="132"/>
      <c r="L667" s="2"/>
      <c r="M667" s="2"/>
      <c r="N667" s="2"/>
      <c r="O667" s="2"/>
      <c r="P667" s="2"/>
      <c r="Q667" s="2"/>
      <c r="R667" s="2"/>
      <c r="S667" s="2"/>
      <c r="T667" s="2"/>
      <c r="U667" s="2"/>
      <c r="V667" s="2"/>
      <c r="W667" s="2"/>
      <c r="X667" s="2"/>
      <c r="Y667" s="2"/>
      <c r="Z667" s="2"/>
    </row>
    <row r="668">
      <c r="A668" s="2"/>
      <c r="B668" s="132"/>
      <c r="C668" s="132"/>
      <c r="D668" s="132"/>
      <c r="E668" s="132"/>
      <c r="F668" s="132"/>
      <c r="G668" s="132"/>
      <c r="H668" s="132"/>
      <c r="I668" s="132"/>
      <c r="J668" s="132"/>
      <c r="K668" s="132"/>
      <c r="L668" s="2"/>
      <c r="M668" s="2"/>
      <c r="N668" s="2"/>
      <c r="O668" s="2"/>
      <c r="P668" s="2"/>
      <c r="Q668" s="2"/>
      <c r="R668" s="2"/>
      <c r="S668" s="2"/>
      <c r="T668" s="2"/>
      <c r="U668" s="2"/>
      <c r="V668" s="2"/>
      <c r="W668" s="2"/>
      <c r="X668" s="2"/>
      <c r="Y668" s="2"/>
      <c r="Z668" s="2"/>
    </row>
    <row r="669">
      <c r="A669" s="2"/>
      <c r="B669" s="132"/>
      <c r="C669" s="132"/>
      <c r="D669" s="132"/>
      <c r="E669" s="132"/>
      <c r="F669" s="132"/>
      <c r="G669" s="132"/>
      <c r="H669" s="132"/>
      <c r="I669" s="132"/>
      <c r="J669" s="132"/>
      <c r="K669" s="132"/>
      <c r="L669" s="2"/>
      <c r="M669" s="2"/>
      <c r="N669" s="2"/>
      <c r="O669" s="2"/>
      <c r="P669" s="2"/>
      <c r="Q669" s="2"/>
      <c r="R669" s="2"/>
      <c r="S669" s="2"/>
      <c r="T669" s="2"/>
      <c r="U669" s="2"/>
      <c r="V669" s="2"/>
      <c r="W669" s="2"/>
      <c r="X669" s="2"/>
      <c r="Y669" s="2"/>
      <c r="Z669" s="2"/>
    </row>
    <row r="670">
      <c r="A670" s="2"/>
      <c r="B670" s="132"/>
      <c r="C670" s="132"/>
      <c r="D670" s="132"/>
      <c r="E670" s="132"/>
      <c r="F670" s="132"/>
      <c r="G670" s="132"/>
      <c r="H670" s="132"/>
      <c r="I670" s="132"/>
      <c r="J670" s="132"/>
      <c r="K670" s="132"/>
      <c r="L670" s="2"/>
      <c r="M670" s="2"/>
      <c r="N670" s="2"/>
      <c r="O670" s="2"/>
      <c r="P670" s="2"/>
      <c r="Q670" s="2"/>
      <c r="R670" s="2"/>
      <c r="S670" s="2"/>
      <c r="T670" s="2"/>
      <c r="U670" s="2"/>
      <c r="V670" s="2"/>
      <c r="W670" s="2"/>
      <c r="X670" s="2"/>
      <c r="Y670" s="2"/>
      <c r="Z670" s="2"/>
    </row>
    <row r="671">
      <c r="A671" s="2"/>
      <c r="B671" s="132"/>
      <c r="C671" s="132"/>
      <c r="D671" s="132"/>
      <c r="E671" s="132"/>
      <c r="F671" s="132"/>
      <c r="G671" s="132"/>
      <c r="H671" s="132"/>
      <c r="I671" s="132"/>
      <c r="J671" s="132"/>
      <c r="K671" s="132"/>
      <c r="L671" s="2"/>
      <c r="M671" s="2"/>
      <c r="N671" s="2"/>
      <c r="O671" s="2"/>
      <c r="P671" s="2"/>
      <c r="Q671" s="2"/>
      <c r="R671" s="2"/>
      <c r="S671" s="2"/>
      <c r="T671" s="2"/>
      <c r="U671" s="2"/>
      <c r="V671" s="2"/>
      <c r="W671" s="2"/>
      <c r="X671" s="2"/>
      <c r="Y671" s="2"/>
      <c r="Z671" s="2"/>
    </row>
    <row r="672">
      <c r="A672" s="2"/>
      <c r="B672" s="132"/>
      <c r="C672" s="132"/>
      <c r="D672" s="132"/>
      <c r="E672" s="132"/>
      <c r="F672" s="132"/>
      <c r="G672" s="132"/>
      <c r="H672" s="132"/>
      <c r="I672" s="132"/>
      <c r="J672" s="132"/>
      <c r="K672" s="132"/>
      <c r="L672" s="2"/>
      <c r="M672" s="2"/>
      <c r="N672" s="2"/>
      <c r="O672" s="2"/>
      <c r="P672" s="2"/>
      <c r="Q672" s="2"/>
      <c r="R672" s="2"/>
      <c r="S672" s="2"/>
      <c r="T672" s="2"/>
      <c r="U672" s="2"/>
      <c r="V672" s="2"/>
      <c r="W672" s="2"/>
      <c r="X672" s="2"/>
      <c r="Y672" s="2"/>
      <c r="Z672" s="2"/>
    </row>
    <row r="673">
      <c r="A673" s="2"/>
      <c r="B673" s="132"/>
      <c r="C673" s="132"/>
      <c r="D673" s="132"/>
      <c r="E673" s="132"/>
      <c r="F673" s="132"/>
      <c r="G673" s="132"/>
      <c r="H673" s="132"/>
      <c r="I673" s="132"/>
      <c r="J673" s="132"/>
      <c r="K673" s="132"/>
      <c r="L673" s="2"/>
      <c r="M673" s="2"/>
      <c r="N673" s="2"/>
      <c r="O673" s="2"/>
      <c r="P673" s="2"/>
      <c r="Q673" s="2"/>
      <c r="R673" s="2"/>
      <c r="S673" s="2"/>
      <c r="T673" s="2"/>
      <c r="U673" s="2"/>
      <c r="V673" s="2"/>
      <c r="W673" s="2"/>
      <c r="X673" s="2"/>
      <c r="Y673" s="2"/>
      <c r="Z673" s="2"/>
    </row>
    <row r="674">
      <c r="A674" s="2"/>
      <c r="B674" s="132"/>
      <c r="C674" s="132"/>
      <c r="D674" s="132"/>
      <c r="E674" s="132"/>
      <c r="F674" s="132"/>
      <c r="G674" s="132"/>
      <c r="H674" s="132"/>
      <c r="I674" s="132"/>
      <c r="J674" s="132"/>
      <c r="K674" s="132"/>
      <c r="L674" s="2"/>
      <c r="M674" s="2"/>
      <c r="N674" s="2"/>
      <c r="O674" s="2"/>
      <c r="P674" s="2"/>
      <c r="Q674" s="2"/>
      <c r="R674" s="2"/>
      <c r="S674" s="2"/>
      <c r="T674" s="2"/>
      <c r="U674" s="2"/>
      <c r="V674" s="2"/>
      <c r="W674" s="2"/>
      <c r="X674" s="2"/>
      <c r="Y674" s="2"/>
      <c r="Z674" s="2"/>
    </row>
    <row r="675">
      <c r="A675" s="2"/>
      <c r="B675" s="132"/>
      <c r="C675" s="132"/>
      <c r="D675" s="132"/>
      <c r="E675" s="132"/>
      <c r="F675" s="132"/>
      <c r="G675" s="132"/>
      <c r="H675" s="132"/>
      <c r="I675" s="132"/>
      <c r="J675" s="132"/>
      <c r="K675" s="132"/>
      <c r="L675" s="2"/>
      <c r="M675" s="2"/>
      <c r="N675" s="2"/>
      <c r="O675" s="2"/>
      <c r="P675" s="2"/>
      <c r="Q675" s="2"/>
      <c r="R675" s="2"/>
      <c r="S675" s="2"/>
      <c r="T675" s="2"/>
      <c r="U675" s="2"/>
      <c r="V675" s="2"/>
      <c r="W675" s="2"/>
      <c r="X675" s="2"/>
      <c r="Y675" s="2"/>
      <c r="Z675" s="2"/>
    </row>
    <row r="676">
      <c r="A676" s="2"/>
      <c r="B676" s="132"/>
      <c r="C676" s="132"/>
      <c r="D676" s="132"/>
      <c r="E676" s="132"/>
      <c r="F676" s="132"/>
      <c r="G676" s="132"/>
      <c r="H676" s="132"/>
      <c r="I676" s="132"/>
      <c r="J676" s="132"/>
      <c r="K676" s="132"/>
      <c r="L676" s="2"/>
      <c r="M676" s="2"/>
      <c r="N676" s="2"/>
      <c r="O676" s="2"/>
      <c r="P676" s="2"/>
      <c r="Q676" s="2"/>
      <c r="R676" s="2"/>
      <c r="S676" s="2"/>
      <c r="T676" s="2"/>
      <c r="U676" s="2"/>
      <c r="V676" s="2"/>
      <c r="W676" s="2"/>
      <c r="X676" s="2"/>
      <c r="Y676" s="2"/>
      <c r="Z676" s="2"/>
    </row>
    <row r="677">
      <c r="A677" s="2"/>
      <c r="B677" s="132"/>
      <c r="C677" s="132"/>
      <c r="D677" s="132"/>
      <c r="E677" s="132"/>
      <c r="F677" s="132"/>
      <c r="G677" s="132"/>
      <c r="H677" s="132"/>
      <c r="I677" s="132"/>
      <c r="J677" s="132"/>
      <c r="K677" s="132"/>
      <c r="L677" s="2"/>
      <c r="M677" s="2"/>
      <c r="N677" s="2"/>
      <c r="O677" s="2"/>
      <c r="P677" s="2"/>
      <c r="Q677" s="2"/>
      <c r="R677" s="2"/>
      <c r="S677" s="2"/>
      <c r="T677" s="2"/>
      <c r="U677" s="2"/>
      <c r="V677" s="2"/>
      <c r="W677" s="2"/>
      <c r="X677" s="2"/>
      <c r="Y677" s="2"/>
      <c r="Z677" s="2"/>
    </row>
    <row r="678">
      <c r="A678" s="2"/>
      <c r="B678" s="132"/>
      <c r="C678" s="132"/>
      <c r="D678" s="132"/>
      <c r="E678" s="132"/>
      <c r="F678" s="132"/>
      <c r="G678" s="132"/>
      <c r="H678" s="132"/>
      <c r="I678" s="132"/>
      <c r="J678" s="132"/>
      <c r="K678" s="132"/>
      <c r="L678" s="2"/>
      <c r="M678" s="2"/>
      <c r="N678" s="2"/>
      <c r="O678" s="2"/>
      <c r="P678" s="2"/>
      <c r="Q678" s="2"/>
      <c r="R678" s="2"/>
      <c r="S678" s="2"/>
      <c r="T678" s="2"/>
      <c r="U678" s="2"/>
      <c r="V678" s="2"/>
      <c r="W678" s="2"/>
      <c r="X678" s="2"/>
      <c r="Y678" s="2"/>
      <c r="Z678" s="2"/>
    </row>
    <row r="679">
      <c r="A679" s="2"/>
      <c r="B679" s="132"/>
      <c r="C679" s="132"/>
      <c r="D679" s="132"/>
      <c r="E679" s="132"/>
      <c r="F679" s="132"/>
      <c r="G679" s="132"/>
      <c r="H679" s="132"/>
      <c r="I679" s="132"/>
      <c r="J679" s="132"/>
      <c r="K679" s="132"/>
      <c r="L679" s="2"/>
      <c r="M679" s="2"/>
      <c r="N679" s="2"/>
      <c r="O679" s="2"/>
      <c r="P679" s="2"/>
      <c r="Q679" s="2"/>
      <c r="R679" s="2"/>
      <c r="S679" s="2"/>
      <c r="T679" s="2"/>
      <c r="U679" s="2"/>
      <c r="V679" s="2"/>
      <c r="W679" s="2"/>
      <c r="X679" s="2"/>
      <c r="Y679" s="2"/>
      <c r="Z679" s="2"/>
    </row>
    <row r="680">
      <c r="A680" s="2"/>
      <c r="B680" s="132"/>
      <c r="C680" s="132"/>
      <c r="D680" s="132"/>
      <c r="E680" s="132"/>
      <c r="F680" s="132"/>
      <c r="G680" s="132"/>
      <c r="H680" s="132"/>
      <c r="I680" s="132"/>
      <c r="J680" s="132"/>
      <c r="K680" s="132"/>
      <c r="L680" s="2"/>
      <c r="M680" s="2"/>
      <c r="N680" s="2"/>
      <c r="O680" s="2"/>
      <c r="P680" s="2"/>
      <c r="Q680" s="2"/>
      <c r="R680" s="2"/>
      <c r="S680" s="2"/>
      <c r="T680" s="2"/>
      <c r="U680" s="2"/>
      <c r="V680" s="2"/>
      <c r="W680" s="2"/>
      <c r="X680" s="2"/>
      <c r="Y680" s="2"/>
      <c r="Z680" s="2"/>
    </row>
    <row r="681">
      <c r="A681" s="2"/>
      <c r="B681" s="132"/>
      <c r="C681" s="132"/>
      <c r="D681" s="132"/>
      <c r="E681" s="132"/>
      <c r="F681" s="132"/>
      <c r="G681" s="132"/>
      <c r="H681" s="132"/>
      <c r="I681" s="132"/>
      <c r="J681" s="132"/>
      <c r="K681" s="132"/>
      <c r="L681" s="2"/>
      <c r="M681" s="2"/>
      <c r="N681" s="2"/>
      <c r="O681" s="2"/>
      <c r="P681" s="2"/>
      <c r="Q681" s="2"/>
      <c r="R681" s="2"/>
      <c r="S681" s="2"/>
      <c r="T681" s="2"/>
      <c r="U681" s="2"/>
      <c r="V681" s="2"/>
      <c r="W681" s="2"/>
      <c r="X681" s="2"/>
      <c r="Y681" s="2"/>
      <c r="Z681" s="2"/>
    </row>
    <row r="682">
      <c r="A682" s="2"/>
      <c r="B682" s="132"/>
      <c r="C682" s="132"/>
      <c r="D682" s="132"/>
      <c r="E682" s="132"/>
      <c r="F682" s="132"/>
      <c r="G682" s="132"/>
      <c r="H682" s="132"/>
      <c r="I682" s="132"/>
      <c r="J682" s="132"/>
      <c r="K682" s="132"/>
      <c r="L682" s="2"/>
      <c r="M682" s="2"/>
      <c r="N682" s="2"/>
      <c r="O682" s="2"/>
      <c r="P682" s="2"/>
      <c r="Q682" s="2"/>
      <c r="R682" s="2"/>
      <c r="S682" s="2"/>
      <c r="T682" s="2"/>
      <c r="U682" s="2"/>
      <c r="V682" s="2"/>
      <c r="W682" s="2"/>
      <c r="X682" s="2"/>
      <c r="Y682" s="2"/>
      <c r="Z682" s="2"/>
    </row>
    <row r="683">
      <c r="A683" s="2"/>
      <c r="B683" s="132"/>
      <c r="C683" s="132"/>
      <c r="D683" s="132"/>
      <c r="E683" s="132"/>
      <c r="F683" s="132"/>
      <c r="G683" s="132"/>
      <c r="H683" s="132"/>
      <c r="I683" s="132"/>
      <c r="J683" s="132"/>
      <c r="K683" s="132"/>
      <c r="L683" s="2"/>
      <c r="M683" s="2"/>
      <c r="N683" s="2"/>
      <c r="O683" s="2"/>
      <c r="P683" s="2"/>
      <c r="Q683" s="2"/>
      <c r="R683" s="2"/>
      <c r="S683" s="2"/>
      <c r="T683" s="2"/>
      <c r="U683" s="2"/>
      <c r="V683" s="2"/>
      <c r="W683" s="2"/>
      <c r="X683" s="2"/>
      <c r="Y683" s="2"/>
      <c r="Z683" s="2"/>
    </row>
    <row r="684">
      <c r="A684" s="2"/>
      <c r="B684" s="132"/>
      <c r="C684" s="132"/>
      <c r="D684" s="132"/>
      <c r="E684" s="132"/>
      <c r="F684" s="132"/>
      <c r="G684" s="132"/>
      <c r="H684" s="132"/>
      <c r="I684" s="132"/>
      <c r="J684" s="132"/>
      <c r="K684" s="132"/>
      <c r="L684" s="2"/>
      <c r="M684" s="2"/>
      <c r="N684" s="2"/>
      <c r="O684" s="2"/>
      <c r="P684" s="2"/>
      <c r="Q684" s="2"/>
      <c r="R684" s="2"/>
      <c r="S684" s="2"/>
      <c r="T684" s="2"/>
      <c r="U684" s="2"/>
      <c r="V684" s="2"/>
      <c r="W684" s="2"/>
      <c r="X684" s="2"/>
      <c r="Y684" s="2"/>
      <c r="Z684" s="2"/>
    </row>
    <row r="685">
      <c r="A685" s="2"/>
      <c r="B685" s="132"/>
      <c r="C685" s="132"/>
      <c r="D685" s="132"/>
      <c r="E685" s="132"/>
      <c r="F685" s="132"/>
      <c r="G685" s="132"/>
      <c r="H685" s="132"/>
      <c r="I685" s="132"/>
      <c r="J685" s="132"/>
      <c r="K685" s="132"/>
      <c r="L685" s="2"/>
      <c r="M685" s="2"/>
      <c r="N685" s="2"/>
      <c r="O685" s="2"/>
      <c r="P685" s="2"/>
      <c r="Q685" s="2"/>
      <c r="R685" s="2"/>
      <c r="S685" s="2"/>
      <c r="T685" s="2"/>
      <c r="U685" s="2"/>
      <c r="V685" s="2"/>
      <c r="W685" s="2"/>
      <c r="X685" s="2"/>
      <c r="Y685" s="2"/>
      <c r="Z685" s="2"/>
    </row>
    <row r="686">
      <c r="A686" s="2"/>
      <c r="B686" s="132"/>
      <c r="C686" s="132"/>
      <c r="D686" s="132"/>
      <c r="E686" s="132"/>
      <c r="F686" s="132"/>
      <c r="G686" s="132"/>
      <c r="H686" s="132"/>
      <c r="I686" s="132"/>
      <c r="J686" s="132"/>
      <c r="K686" s="132"/>
      <c r="L686" s="2"/>
      <c r="M686" s="2"/>
      <c r="N686" s="2"/>
      <c r="O686" s="2"/>
      <c r="P686" s="2"/>
      <c r="Q686" s="2"/>
      <c r="R686" s="2"/>
      <c r="S686" s="2"/>
      <c r="T686" s="2"/>
      <c r="U686" s="2"/>
      <c r="V686" s="2"/>
      <c r="W686" s="2"/>
      <c r="X686" s="2"/>
      <c r="Y686" s="2"/>
      <c r="Z686" s="2"/>
    </row>
    <row r="687">
      <c r="A687" s="2"/>
      <c r="B687" s="132"/>
      <c r="C687" s="132"/>
      <c r="D687" s="132"/>
      <c r="E687" s="132"/>
      <c r="F687" s="132"/>
      <c r="G687" s="132"/>
      <c r="H687" s="132"/>
      <c r="I687" s="132"/>
      <c r="J687" s="132"/>
      <c r="K687" s="132"/>
      <c r="L687" s="2"/>
      <c r="M687" s="2"/>
      <c r="N687" s="2"/>
      <c r="O687" s="2"/>
      <c r="P687" s="2"/>
      <c r="Q687" s="2"/>
      <c r="R687" s="2"/>
      <c r="S687" s="2"/>
      <c r="T687" s="2"/>
      <c r="U687" s="2"/>
      <c r="V687" s="2"/>
      <c r="W687" s="2"/>
      <c r="X687" s="2"/>
      <c r="Y687" s="2"/>
      <c r="Z687" s="2"/>
    </row>
    <row r="688">
      <c r="A688" s="2"/>
      <c r="B688" s="132"/>
      <c r="C688" s="132"/>
      <c r="D688" s="132"/>
      <c r="E688" s="132"/>
      <c r="F688" s="132"/>
      <c r="G688" s="132"/>
      <c r="H688" s="132"/>
      <c r="I688" s="132"/>
      <c r="J688" s="132"/>
      <c r="K688" s="132"/>
      <c r="L688" s="2"/>
      <c r="M688" s="2"/>
      <c r="N688" s="2"/>
      <c r="O688" s="2"/>
      <c r="P688" s="2"/>
      <c r="Q688" s="2"/>
      <c r="R688" s="2"/>
      <c r="S688" s="2"/>
      <c r="T688" s="2"/>
      <c r="U688" s="2"/>
      <c r="V688" s="2"/>
      <c r="W688" s="2"/>
      <c r="X688" s="2"/>
      <c r="Y688" s="2"/>
      <c r="Z688" s="2"/>
    </row>
    <row r="689">
      <c r="A689" s="2"/>
      <c r="B689" s="132"/>
      <c r="C689" s="132"/>
      <c r="D689" s="132"/>
      <c r="E689" s="132"/>
      <c r="F689" s="132"/>
      <c r="G689" s="132"/>
      <c r="H689" s="132"/>
      <c r="I689" s="132"/>
      <c r="J689" s="132"/>
      <c r="K689" s="132"/>
      <c r="L689" s="2"/>
      <c r="M689" s="2"/>
      <c r="N689" s="2"/>
      <c r="O689" s="2"/>
      <c r="P689" s="2"/>
      <c r="Q689" s="2"/>
      <c r="R689" s="2"/>
      <c r="S689" s="2"/>
      <c r="T689" s="2"/>
      <c r="U689" s="2"/>
      <c r="V689" s="2"/>
      <c r="W689" s="2"/>
      <c r="X689" s="2"/>
      <c r="Y689" s="2"/>
      <c r="Z689" s="2"/>
    </row>
    <row r="690">
      <c r="A690" s="2"/>
      <c r="B690" s="132"/>
      <c r="C690" s="132"/>
      <c r="D690" s="132"/>
      <c r="E690" s="132"/>
      <c r="F690" s="132"/>
      <c r="G690" s="132"/>
      <c r="H690" s="132"/>
      <c r="I690" s="132"/>
      <c r="J690" s="132"/>
      <c r="K690" s="132"/>
      <c r="L690" s="2"/>
      <c r="M690" s="2"/>
      <c r="N690" s="2"/>
      <c r="O690" s="2"/>
      <c r="P690" s="2"/>
      <c r="Q690" s="2"/>
      <c r="R690" s="2"/>
      <c r="S690" s="2"/>
      <c r="T690" s="2"/>
      <c r="U690" s="2"/>
      <c r="V690" s="2"/>
      <c r="W690" s="2"/>
      <c r="X690" s="2"/>
      <c r="Y690" s="2"/>
      <c r="Z690" s="2"/>
    </row>
    <row r="691">
      <c r="A691" s="2"/>
      <c r="B691" s="132"/>
      <c r="C691" s="132"/>
      <c r="D691" s="132"/>
      <c r="E691" s="132"/>
      <c r="F691" s="132"/>
      <c r="G691" s="132"/>
      <c r="H691" s="132"/>
      <c r="I691" s="132"/>
      <c r="J691" s="132"/>
      <c r="K691" s="132"/>
      <c r="L691" s="2"/>
      <c r="M691" s="2"/>
      <c r="N691" s="2"/>
      <c r="O691" s="2"/>
      <c r="P691" s="2"/>
      <c r="Q691" s="2"/>
      <c r="R691" s="2"/>
      <c r="S691" s="2"/>
      <c r="T691" s="2"/>
      <c r="U691" s="2"/>
      <c r="V691" s="2"/>
      <c r="W691" s="2"/>
      <c r="X691" s="2"/>
      <c r="Y691" s="2"/>
      <c r="Z691" s="2"/>
    </row>
    <row r="692">
      <c r="A692" s="2"/>
      <c r="B692" s="132"/>
      <c r="C692" s="132"/>
      <c r="D692" s="132"/>
      <c r="E692" s="132"/>
      <c r="F692" s="132"/>
      <c r="G692" s="132"/>
      <c r="H692" s="132"/>
      <c r="I692" s="132"/>
      <c r="J692" s="132"/>
      <c r="K692" s="132"/>
      <c r="L692" s="2"/>
      <c r="M692" s="2"/>
      <c r="N692" s="2"/>
      <c r="O692" s="2"/>
      <c r="P692" s="2"/>
      <c r="Q692" s="2"/>
      <c r="R692" s="2"/>
      <c r="S692" s="2"/>
      <c r="T692" s="2"/>
      <c r="U692" s="2"/>
      <c r="V692" s="2"/>
      <c r="W692" s="2"/>
      <c r="X692" s="2"/>
      <c r="Y692" s="2"/>
      <c r="Z692" s="2"/>
    </row>
    <row r="693">
      <c r="A693" s="2"/>
      <c r="B693" s="132"/>
      <c r="C693" s="132"/>
      <c r="D693" s="132"/>
      <c r="E693" s="132"/>
      <c r="F693" s="132"/>
      <c r="G693" s="132"/>
      <c r="H693" s="132"/>
      <c r="I693" s="132"/>
      <c r="J693" s="132"/>
      <c r="K693" s="132"/>
      <c r="L693" s="2"/>
      <c r="M693" s="2"/>
      <c r="N693" s="2"/>
      <c r="O693" s="2"/>
      <c r="P693" s="2"/>
      <c r="Q693" s="2"/>
      <c r="R693" s="2"/>
      <c r="S693" s="2"/>
      <c r="T693" s="2"/>
      <c r="U693" s="2"/>
      <c r="V693" s="2"/>
      <c r="W693" s="2"/>
      <c r="X693" s="2"/>
      <c r="Y693" s="2"/>
      <c r="Z693" s="2"/>
    </row>
    <row r="694">
      <c r="A694" s="2"/>
      <c r="B694" s="132"/>
      <c r="C694" s="132"/>
      <c r="D694" s="132"/>
      <c r="E694" s="132"/>
      <c r="F694" s="132"/>
      <c r="G694" s="132"/>
      <c r="H694" s="132"/>
      <c r="I694" s="132"/>
      <c r="J694" s="132"/>
      <c r="K694" s="132"/>
      <c r="L694" s="2"/>
      <c r="M694" s="2"/>
      <c r="N694" s="2"/>
      <c r="O694" s="2"/>
      <c r="P694" s="2"/>
      <c r="Q694" s="2"/>
      <c r="R694" s="2"/>
      <c r="S694" s="2"/>
      <c r="T694" s="2"/>
      <c r="U694" s="2"/>
      <c r="V694" s="2"/>
      <c r="W694" s="2"/>
      <c r="X694" s="2"/>
      <c r="Y694" s="2"/>
      <c r="Z694" s="2"/>
    </row>
    <row r="695">
      <c r="A695" s="2"/>
      <c r="B695" s="132"/>
      <c r="C695" s="132"/>
      <c r="D695" s="132"/>
      <c r="E695" s="132"/>
      <c r="F695" s="132"/>
      <c r="G695" s="132"/>
      <c r="H695" s="132"/>
      <c r="I695" s="132"/>
      <c r="J695" s="132"/>
      <c r="K695" s="132"/>
      <c r="L695" s="2"/>
      <c r="M695" s="2"/>
      <c r="N695" s="2"/>
      <c r="O695" s="2"/>
      <c r="P695" s="2"/>
      <c r="Q695" s="2"/>
      <c r="R695" s="2"/>
      <c r="S695" s="2"/>
      <c r="T695" s="2"/>
      <c r="U695" s="2"/>
      <c r="V695" s="2"/>
      <c r="W695" s="2"/>
      <c r="X695" s="2"/>
      <c r="Y695" s="2"/>
      <c r="Z695" s="2"/>
    </row>
    <row r="696">
      <c r="A696" s="2"/>
      <c r="B696" s="132"/>
      <c r="C696" s="132"/>
      <c r="D696" s="132"/>
      <c r="E696" s="132"/>
      <c r="F696" s="132"/>
      <c r="G696" s="132"/>
      <c r="H696" s="132"/>
      <c r="I696" s="132"/>
      <c r="J696" s="132"/>
      <c r="K696" s="132"/>
      <c r="L696" s="2"/>
      <c r="M696" s="2"/>
      <c r="N696" s="2"/>
      <c r="O696" s="2"/>
      <c r="P696" s="2"/>
      <c r="Q696" s="2"/>
      <c r="R696" s="2"/>
      <c r="S696" s="2"/>
      <c r="T696" s="2"/>
      <c r="U696" s="2"/>
      <c r="V696" s="2"/>
      <c r="W696" s="2"/>
      <c r="X696" s="2"/>
      <c r="Y696" s="2"/>
      <c r="Z696" s="2"/>
    </row>
    <row r="697">
      <c r="A697" s="2"/>
      <c r="B697" s="132"/>
      <c r="C697" s="132"/>
      <c r="D697" s="132"/>
      <c r="E697" s="132"/>
      <c r="F697" s="132"/>
      <c r="G697" s="132"/>
      <c r="H697" s="132"/>
      <c r="I697" s="132"/>
      <c r="J697" s="132"/>
      <c r="K697" s="132"/>
      <c r="L697" s="2"/>
      <c r="M697" s="2"/>
      <c r="N697" s="2"/>
      <c r="O697" s="2"/>
      <c r="P697" s="2"/>
      <c r="Q697" s="2"/>
      <c r="R697" s="2"/>
      <c r="S697" s="2"/>
      <c r="T697" s="2"/>
      <c r="U697" s="2"/>
      <c r="V697" s="2"/>
      <c r="W697" s="2"/>
      <c r="X697" s="2"/>
      <c r="Y697" s="2"/>
      <c r="Z697" s="2"/>
    </row>
    <row r="698">
      <c r="A698" s="2"/>
      <c r="B698" s="132"/>
      <c r="C698" s="132"/>
      <c r="D698" s="132"/>
      <c r="E698" s="132"/>
      <c r="F698" s="132"/>
      <c r="G698" s="132"/>
      <c r="H698" s="132"/>
      <c r="I698" s="132"/>
      <c r="J698" s="132"/>
      <c r="K698" s="132"/>
      <c r="L698" s="2"/>
      <c r="M698" s="2"/>
      <c r="N698" s="2"/>
      <c r="O698" s="2"/>
      <c r="P698" s="2"/>
      <c r="Q698" s="2"/>
      <c r="R698" s="2"/>
      <c r="S698" s="2"/>
      <c r="T698" s="2"/>
      <c r="U698" s="2"/>
      <c r="V698" s="2"/>
      <c r="W698" s="2"/>
      <c r="X698" s="2"/>
      <c r="Y698" s="2"/>
      <c r="Z698" s="2"/>
    </row>
    <row r="699">
      <c r="A699" s="2"/>
      <c r="B699" s="132"/>
      <c r="C699" s="132"/>
      <c r="D699" s="132"/>
      <c r="E699" s="132"/>
      <c r="F699" s="132"/>
      <c r="G699" s="132"/>
      <c r="H699" s="132"/>
      <c r="I699" s="132"/>
      <c r="J699" s="132"/>
      <c r="K699" s="132"/>
      <c r="L699" s="2"/>
      <c r="M699" s="2"/>
      <c r="N699" s="2"/>
      <c r="O699" s="2"/>
      <c r="P699" s="2"/>
      <c r="Q699" s="2"/>
      <c r="R699" s="2"/>
      <c r="S699" s="2"/>
      <c r="T699" s="2"/>
      <c r="U699" s="2"/>
      <c r="V699" s="2"/>
      <c r="W699" s="2"/>
      <c r="X699" s="2"/>
      <c r="Y699" s="2"/>
      <c r="Z699" s="2"/>
    </row>
    <row r="700">
      <c r="A700" s="2"/>
      <c r="B700" s="132"/>
      <c r="C700" s="132"/>
      <c r="D700" s="132"/>
      <c r="E700" s="132"/>
      <c r="F700" s="132"/>
      <c r="G700" s="132"/>
      <c r="H700" s="132"/>
      <c r="I700" s="132"/>
      <c r="J700" s="132"/>
      <c r="K700" s="132"/>
      <c r="L700" s="2"/>
      <c r="M700" s="2"/>
      <c r="N700" s="2"/>
      <c r="O700" s="2"/>
      <c r="P700" s="2"/>
      <c r="Q700" s="2"/>
      <c r="R700" s="2"/>
      <c r="S700" s="2"/>
      <c r="T700" s="2"/>
      <c r="U700" s="2"/>
      <c r="V700" s="2"/>
      <c r="W700" s="2"/>
      <c r="X700" s="2"/>
      <c r="Y700" s="2"/>
      <c r="Z700" s="2"/>
    </row>
    <row r="701">
      <c r="A701" s="2"/>
      <c r="B701" s="132"/>
      <c r="C701" s="132"/>
      <c r="D701" s="132"/>
      <c r="E701" s="132"/>
      <c r="F701" s="132"/>
      <c r="G701" s="132"/>
      <c r="H701" s="132"/>
      <c r="I701" s="132"/>
      <c r="J701" s="132"/>
      <c r="K701" s="132"/>
      <c r="L701" s="2"/>
      <c r="M701" s="2"/>
      <c r="N701" s="2"/>
      <c r="O701" s="2"/>
      <c r="P701" s="2"/>
      <c r="Q701" s="2"/>
      <c r="R701" s="2"/>
      <c r="S701" s="2"/>
      <c r="T701" s="2"/>
      <c r="U701" s="2"/>
      <c r="V701" s="2"/>
      <c r="W701" s="2"/>
      <c r="X701" s="2"/>
      <c r="Y701" s="2"/>
      <c r="Z701" s="2"/>
    </row>
    <row r="702">
      <c r="A702" s="2"/>
      <c r="B702" s="132"/>
      <c r="C702" s="132"/>
      <c r="D702" s="132"/>
      <c r="E702" s="132"/>
      <c r="F702" s="132"/>
      <c r="G702" s="132"/>
      <c r="H702" s="132"/>
      <c r="I702" s="132"/>
      <c r="J702" s="132"/>
      <c r="K702" s="132"/>
      <c r="L702" s="2"/>
      <c r="M702" s="2"/>
      <c r="N702" s="2"/>
      <c r="O702" s="2"/>
      <c r="P702" s="2"/>
      <c r="Q702" s="2"/>
      <c r="R702" s="2"/>
      <c r="S702" s="2"/>
      <c r="T702" s="2"/>
      <c r="U702" s="2"/>
      <c r="V702" s="2"/>
      <c r="W702" s="2"/>
      <c r="X702" s="2"/>
      <c r="Y702" s="2"/>
      <c r="Z702" s="2"/>
    </row>
    <row r="703">
      <c r="A703" s="2"/>
      <c r="B703" s="132"/>
      <c r="C703" s="132"/>
      <c r="D703" s="132"/>
      <c r="E703" s="132"/>
      <c r="F703" s="132"/>
      <c r="G703" s="132"/>
      <c r="H703" s="132"/>
      <c r="I703" s="132"/>
      <c r="J703" s="132"/>
      <c r="K703" s="132"/>
      <c r="L703" s="2"/>
      <c r="M703" s="2"/>
      <c r="N703" s="2"/>
      <c r="O703" s="2"/>
      <c r="P703" s="2"/>
      <c r="Q703" s="2"/>
      <c r="R703" s="2"/>
      <c r="S703" s="2"/>
      <c r="T703" s="2"/>
      <c r="U703" s="2"/>
      <c r="V703" s="2"/>
      <c r="W703" s="2"/>
      <c r="X703" s="2"/>
      <c r="Y703" s="2"/>
      <c r="Z703" s="2"/>
    </row>
    <row r="704">
      <c r="A704" s="2"/>
      <c r="B704" s="132"/>
      <c r="C704" s="132"/>
      <c r="D704" s="132"/>
      <c r="E704" s="132"/>
      <c r="F704" s="132"/>
      <c r="G704" s="132"/>
      <c r="H704" s="132"/>
      <c r="I704" s="132"/>
      <c r="J704" s="132"/>
      <c r="K704" s="132"/>
      <c r="L704" s="2"/>
      <c r="M704" s="2"/>
      <c r="N704" s="2"/>
      <c r="O704" s="2"/>
      <c r="P704" s="2"/>
      <c r="Q704" s="2"/>
      <c r="R704" s="2"/>
      <c r="S704" s="2"/>
      <c r="T704" s="2"/>
      <c r="U704" s="2"/>
      <c r="V704" s="2"/>
      <c r="W704" s="2"/>
      <c r="X704" s="2"/>
      <c r="Y704" s="2"/>
      <c r="Z704" s="2"/>
    </row>
    <row r="705">
      <c r="A705" s="2"/>
      <c r="B705" s="132"/>
      <c r="C705" s="132"/>
      <c r="D705" s="132"/>
      <c r="E705" s="132"/>
      <c r="F705" s="132"/>
      <c r="G705" s="132"/>
      <c r="H705" s="132"/>
      <c r="I705" s="132"/>
      <c r="J705" s="132"/>
      <c r="K705" s="132"/>
      <c r="L705" s="2"/>
      <c r="M705" s="2"/>
      <c r="N705" s="2"/>
      <c r="O705" s="2"/>
      <c r="P705" s="2"/>
      <c r="Q705" s="2"/>
      <c r="R705" s="2"/>
      <c r="S705" s="2"/>
      <c r="T705" s="2"/>
      <c r="U705" s="2"/>
      <c r="V705" s="2"/>
      <c r="W705" s="2"/>
      <c r="X705" s="2"/>
      <c r="Y705" s="2"/>
      <c r="Z705" s="2"/>
    </row>
    <row r="706">
      <c r="A706" s="2"/>
      <c r="B706" s="132"/>
      <c r="C706" s="132"/>
      <c r="D706" s="132"/>
      <c r="E706" s="132"/>
      <c r="F706" s="132"/>
      <c r="G706" s="132"/>
      <c r="H706" s="132"/>
      <c r="I706" s="132"/>
      <c r="J706" s="132"/>
      <c r="K706" s="132"/>
      <c r="L706" s="2"/>
      <c r="M706" s="2"/>
      <c r="N706" s="2"/>
      <c r="O706" s="2"/>
      <c r="P706" s="2"/>
      <c r="Q706" s="2"/>
      <c r="R706" s="2"/>
      <c r="S706" s="2"/>
      <c r="T706" s="2"/>
      <c r="U706" s="2"/>
      <c r="V706" s="2"/>
      <c r="W706" s="2"/>
      <c r="X706" s="2"/>
      <c r="Y706" s="2"/>
      <c r="Z706" s="2"/>
    </row>
    <row r="707">
      <c r="A707" s="2"/>
      <c r="B707" s="132"/>
      <c r="C707" s="132"/>
      <c r="D707" s="132"/>
      <c r="E707" s="132"/>
      <c r="F707" s="132"/>
      <c r="G707" s="132"/>
      <c r="H707" s="132"/>
      <c r="I707" s="132"/>
      <c r="J707" s="132"/>
      <c r="K707" s="132"/>
      <c r="L707" s="2"/>
      <c r="M707" s="2"/>
      <c r="N707" s="2"/>
      <c r="O707" s="2"/>
      <c r="P707" s="2"/>
      <c r="Q707" s="2"/>
      <c r="R707" s="2"/>
      <c r="S707" s="2"/>
      <c r="T707" s="2"/>
      <c r="U707" s="2"/>
      <c r="V707" s="2"/>
      <c r="W707" s="2"/>
      <c r="X707" s="2"/>
      <c r="Y707" s="2"/>
      <c r="Z707" s="2"/>
    </row>
    <row r="708">
      <c r="A708" s="2"/>
      <c r="B708" s="132"/>
      <c r="C708" s="132"/>
      <c r="D708" s="132"/>
      <c r="E708" s="132"/>
      <c r="F708" s="132"/>
      <c r="G708" s="132"/>
      <c r="H708" s="132"/>
      <c r="I708" s="132"/>
      <c r="J708" s="132"/>
      <c r="K708" s="132"/>
      <c r="L708" s="2"/>
      <c r="M708" s="2"/>
      <c r="N708" s="2"/>
      <c r="O708" s="2"/>
      <c r="P708" s="2"/>
      <c r="Q708" s="2"/>
      <c r="R708" s="2"/>
      <c r="S708" s="2"/>
      <c r="T708" s="2"/>
      <c r="U708" s="2"/>
      <c r="V708" s="2"/>
      <c r="W708" s="2"/>
      <c r="X708" s="2"/>
      <c r="Y708" s="2"/>
      <c r="Z708" s="2"/>
    </row>
    <row r="709">
      <c r="A709" s="2"/>
      <c r="B709" s="132"/>
      <c r="C709" s="132"/>
      <c r="D709" s="132"/>
      <c r="E709" s="132"/>
      <c r="F709" s="132"/>
      <c r="G709" s="132"/>
      <c r="H709" s="132"/>
      <c r="I709" s="132"/>
      <c r="J709" s="132"/>
      <c r="K709" s="132"/>
      <c r="L709" s="2"/>
      <c r="M709" s="2"/>
      <c r="N709" s="2"/>
      <c r="O709" s="2"/>
      <c r="P709" s="2"/>
      <c r="Q709" s="2"/>
      <c r="R709" s="2"/>
      <c r="S709" s="2"/>
      <c r="T709" s="2"/>
      <c r="U709" s="2"/>
      <c r="V709" s="2"/>
      <c r="W709" s="2"/>
      <c r="X709" s="2"/>
      <c r="Y709" s="2"/>
      <c r="Z709" s="2"/>
    </row>
    <row r="710">
      <c r="A710" s="2"/>
      <c r="B710" s="132"/>
      <c r="C710" s="132"/>
      <c r="D710" s="132"/>
      <c r="E710" s="132"/>
      <c r="F710" s="132"/>
      <c r="G710" s="132"/>
      <c r="H710" s="132"/>
      <c r="I710" s="132"/>
      <c r="J710" s="132"/>
      <c r="K710" s="132"/>
      <c r="L710" s="2"/>
      <c r="M710" s="2"/>
      <c r="N710" s="2"/>
      <c r="O710" s="2"/>
      <c r="P710" s="2"/>
      <c r="Q710" s="2"/>
      <c r="R710" s="2"/>
      <c r="S710" s="2"/>
      <c r="T710" s="2"/>
      <c r="U710" s="2"/>
      <c r="V710" s="2"/>
      <c r="W710" s="2"/>
      <c r="X710" s="2"/>
      <c r="Y710" s="2"/>
      <c r="Z710" s="2"/>
    </row>
    <row r="711">
      <c r="A711" s="2"/>
      <c r="B711" s="132"/>
      <c r="C711" s="132"/>
      <c r="D711" s="132"/>
      <c r="E711" s="132"/>
      <c r="F711" s="132"/>
      <c r="G711" s="132"/>
      <c r="H711" s="132"/>
      <c r="I711" s="132"/>
      <c r="J711" s="132"/>
      <c r="K711" s="132"/>
      <c r="L711" s="2"/>
      <c r="M711" s="2"/>
      <c r="N711" s="2"/>
      <c r="O711" s="2"/>
      <c r="P711" s="2"/>
      <c r="Q711" s="2"/>
      <c r="R711" s="2"/>
      <c r="S711" s="2"/>
      <c r="T711" s="2"/>
      <c r="U711" s="2"/>
      <c r="V711" s="2"/>
      <c r="W711" s="2"/>
      <c r="X711" s="2"/>
      <c r="Y711" s="2"/>
      <c r="Z711" s="2"/>
    </row>
    <row r="712">
      <c r="A712" s="2"/>
      <c r="B712" s="132"/>
      <c r="C712" s="132"/>
      <c r="D712" s="132"/>
      <c r="E712" s="132"/>
      <c r="F712" s="132"/>
      <c r="G712" s="132"/>
      <c r="H712" s="132"/>
      <c r="I712" s="132"/>
      <c r="J712" s="132"/>
      <c r="K712" s="132"/>
      <c r="L712" s="2"/>
      <c r="M712" s="2"/>
      <c r="N712" s="2"/>
      <c r="O712" s="2"/>
      <c r="P712" s="2"/>
      <c r="Q712" s="2"/>
      <c r="R712" s="2"/>
      <c r="S712" s="2"/>
      <c r="T712" s="2"/>
      <c r="U712" s="2"/>
      <c r="V712" s="2"/>
      <c r="W712" s="2"/>
      <c r="X712" s="2"/>
      <c r="Y712" s="2"/>
      <c r="Z712" s="2"/>
    </row>
    <row r="713">
      <c r="A713" s="2"/>
      <c r="B713" s="132"/>
      <c r="C713" s="132"/>
      <c r="D713" s="132"/>
      <c r="E713" s="132"/>
      <c r="F713" s="132"/>
      <c r="G713" s="132"/>
      <c r="H713" s="132"/>
      <c r="I713" s="132"/>
      <c r="J713" s="132"/>
      <c r="K713" s="132"/>
      <c r="L713" s="2"/>
      <c r="M713" s="2"/>
      <c r="N713" s="2"/>
      <c r="O713" s="2"/>
      <c r="P713" s="2"/>
      <c r="Q713" s="2"/>
      <c r="R713" s="2"/>
      <c r="S713" s="2"/>
      <c r="T713" s="2"/>
      <c r="U713" s="2"/>
      <c r="V713" s="2"/>
      <c r="W713" s="2"/>
      <c r="X713" s="2"/>
      <c r="Y713" s="2"/>
      <c r="Z713" s="2"/>
    </row>
    <row r="714">
      <c r="A714" s="2"/>
      <c r="B714" s="132"/>
      <c r="C714" s="132"/>
      <c r="D714" s="132"/>
      <c r="E714" s="132"/>
      <c r="F714" s="132"/>
      <c r="G714" s="132"/>
      <c r="H714" s="132"/>
      <c r="I714" s="132"/>
      <c r="J714" s="132"/>
      <c r="K714" s="132"/>
      <c r="L714" s="2"/>
      <c r="M714" s="2"/>
      <c r="N714" s="2"/>
      <c r="O714" s="2"/>
      <c r="P714" s="2"/>
      <c r="Q714" s="2"/>
      <c r="R714" s="2"/>
      <c r="S714" s="2"/>
      <c r="T714" s="2"/>
      <c r="U714" s="2"/>
      <c r="V714" s="2"/>
      <c r="W714" s="2"/>
      <c r="X714" s="2"/>
      <c r="Y714" s="2"/>
      <c r="Z714" s="2"/>
    </row>
    <row r="715">
      <c r="A715" s="2"/>
      <c r="B715" s="132"/>
      <c r="C715" s="132"/>
      <c r="D715" s="132"/>
      <c r="E715" s="132"/>
      <c r="F715" s="132"/>
      <c r="G715" s="132"/>
      <c r="H715" s="132"/>
      <c r="I715" s="132"/>
      <c r="J715" s="132"/>
      <c r="K715" s="132"/>
      <c r="L715" s="2"/>
      <c r="M715" s="2"/>
      <c r="N715" s="2"/>
      <c r="O715" s="2"/>
      <c r="P715" s="2"/>
      <c r="Q715" s="2"/>
      <c r="R715" s="2"/>
      <c r="S715" s="2"/>
      <c r="T715" s="2"/>
      <c r="U715" s="2"/>
      <c r="V715" s="2"/>
      <c r="W715" s="2"/>
      <c r="X715" s="2"/>
      <c r="Y715" s="2"/>
      <c r="Z715" s="2"/>
    </row>
    <row r="716">
      <c r="A716" s="2"/>
      <c r="B716" s="132"/>
      <c r="C716" s="132"/>
      <c r="D716" s="132"/>
      <c r="E716" s="132"/>
      <c r="F716" s="132"/>
      <c r="G716" s="132"/>
      <c r="H716" s="132"/>
      <c r="I716" s="132"/>
      <c r="J716" s="132"/>
      <c r="K716" s="132"/>
      <c r="L716" s="2"/>
      <c r="M716" s="2"/>
      <c r="N716" s="2"/>
      <c r="O716" s="2"/>
      <c r="P716" s="2"/>
      <c r="Q716" s="2"/>
      <c r="R716" s="2"/>
      <c r="S716" s="2"/>
      <c r="T716" s="2"/>
      <c r="U716" s="2"/>
      <c r="V716" s="2"/>
      <c r="W716" s="2"/>
      <c r="X716" s="2"/>
      <c r="Y716" s="2"/>
      <c r="Z716" s="2"/>
    </row>
    <row r="717">
      <c r="A717" s="2"/>
      <c r="B717" s="132"/>
      <c r="C717" s="132"/>
      <c r="D717" s="132"/>
      <c r="E717" s="132"/>
      <c r="F717" s="132"/>
      <c r="G717" s="132"/>
      <c r="H717" s="132"/>
      <c r="I717" s="132"/>
      <c r="J717" s="132"/>
      <c r="K717" s="132"/>
      <c r="L717" s="2"/>
      <c r="M717" s="2"/>
      <c r="N717" s="2"/>
      <c r="O717" s="2"/>
      <c r="P717" s="2"/>
      <c r="Q717" s="2"/>
      <c r="R717" s="2"/>
      <c r="S717" s="2"/>
      <c r="T717" s="2"/>
      <c r="U717" s="2"/>
      <c r="V717" s="2"/>
      <c r="W717" s="2"/>
      <c r="X717" s="2"/>
      <c r="Y717" s="2"/>
      <c r="Z717" s="2"/>
    </row>
    <row r="718">
      <c r="A718" s="2"/>
      <c r="B718" s="132"/>
      <c r="C718" s="132"/>
      <c r="D718" s="132"/>
      <c r="E718" s="132"/>
      <c r="F718" s="132"/>
      <c r="G718" s="132"/>
      <c r="H718" s="132"/>
      <c r="I718" s="132"/>
      <c r="J718" s="132"/>
      <c r="K718" s="132"/>
      <c r="L718" s="2"/>
      <c r="M718" s="2"/>
      <c r="N718" s="2"/>
      <c r="O718" s="2"/>
      <c r="P718" s="2"/>
      <c r="Q718" s="2"/>
      <c r="R718" s="2"/>
      <c r="S718" s="2"/>
      <c r="T718" s="2"/>
      <c r="U718" s="2"/>
      <c r="V718" s="2"/>
      <c r="W718" s="2"/>
      <c r="X718" s="2"/>
      <c r="Y718" s="2"/>
      <c r="Z718" s="2"/>
    </row>
    <row r="719">
      <c r="A719" s="2"/>
      <c r="B719" s="132"/>
      <c r="C719" s="132"/>
      <c r="D719" s="132"/>
      <c r="E719" s="132"/>
      <c r="F719" s="132"/>
      <c r="G719" s="132"/>
      <c r="H719" s="132"/>
      <c r="I719" s="132"/>
      <c r="J719" s="132"/>
      <c r="K719" s="132"/>
      <c r="L719" s="2"/>
      <c r="M719" s="2"/>
      <c r="N719" s="2"/>
      <c r="O719" s="2"/>
      <c r="P719" s="2"/>
      <c r="Q719" s="2"/>
      <c r="R719" s="2"/>
      <c r="S719" s="2"/>
      <c r="T719" s="2"/>
      <c r="U719" s="2"/>
      <c r="V719" s="2"/>
      <c r="W719" s="2"/>
      <c r="X719" s="2"/>
      <c r="Y719" s="2"/>
      <c r="Z719" s="2"/>
    </row>
    <row r="720">
      <c r="A720" s="2"/>
      <c r="B720" s="132"/>
      <c r="C720" s="132"/>
      <c r="D720" s="132"/>
      <c r="E720" s="132"/>
      <c r="F720" s="132"/>
      <c r="G720" s="132"/>
      <c r="H720" s="132"/>
      <c r="I720" s="132"/>
      <c r="J720" s="132"/>
      <c r="K720" s="132"/>
      <c r="L720" s="2"/>
      <c r="M720" s="2"/>
      <c r="N720" s="2"/>
      <c r="O720" s="2"/>
      <c r="P720" s="2"/>
      <c r="Q720" s="2"/>
      <c r="R720" s="2"/>
      <c r="S720" s="2"/>
      <c r="T720" s="2"/>
      <c r="U720" s="2"/>
      <c r="V720" s="2"/>
      <c r="W720" s="2"/>
      <c r="X720" s="2"/>
      <c r="Y720" s="2"/>
      <c r="Z720" s="2"/>
    </row>
    <row r="721">
      <c r="A721" s="2"/>
      <c r="B721" s="132"/>
      <c r="C721" s="132"/>
      <c r="D721" s="132"/>
      <c r="E721" s="132"/>
      <c r="F721" s="132"/>
      <c r="G721" s="132"/>
      <c r="H721" s="132"/>
      <c r="I721" s="132"/>
      <c r="J721" s="132"/>
      <c r="K721" s="132"/>
      <c r="L721" s="2"/>
      <c r="M721" s="2"/>
      <c r="N721" s="2"/>
      <c r="O721" s="2"/>
      <c r="P721" s="2"/>
      <c r="Q721" s="2"/>
      <c r="R721" s="2"/>
      <c r="S721" s="2"/>
      <c r="T721" s="2"/>
      <c r="U721" s="2"/>
      <c r="V721" s="2"/>
      <c r="W721" s="2"/>
      <c r="X721" s="2"/>
      <c r="Y721" s="2"/>
      <c r="Z721" s="2"/>
    </row>
    <row r="722">
      <c r="A722" s="2"/>
      <c r="B722" s="132"/>
      <c r="C722" s="132"/>
      <c r="D722" s="132"/>
      <c r="E722" s="132"/>
      <c r="F722" s="132"/>
      <c r="G722" s="132"/>
      <c r="H722" s="132"/>
      <c r="I722" s="132"/>
      <c r="J722" s="132"/>
      <c r="K722" s="132"/>
      <c r="L722" s="2"/>
      <c r="M722" s="2"/>
      <c r="N722" s="2"/>
      <c r="O722" s="2"/>
      <c r="P722" s="2"/>
      <c r="Q722" s="2"/>
      <c r="R722" s="2"/>
      <c r="S722" s="2"/>
      <c r="T722" s="2"/>
      <c r="U722" s="2"/>
      <c r="V722" s="2"/>
      <c r="W722" s="2"/>
      <c r="X722" s="2"/>
      <c r="Y722" s="2"/>
      <c r="Z722" s="2"/>
    </row>
    <row r="723">
      <c r="A723" s="2"/>
      <c r="B723" s="132"/>
      <c r="C723" s="132"/>
      <c r="D723" s="132"/>
      <c r="E723" s="132"/>
      <c r="F723" s="132"/>
      <c r="G723" s="132"/>
      <c r="H723" s="132"/>
      <c r="I723" s="132"/>
      <c r="J723" s="132"/>
      <c r="K723" s="132"/>
      <c r="L723" s="2"/>
      <c r="M723" s="2"/>
      <c r="N723" s="2"/>
      <c r="O723" s="2"/>
      <c r="P723" s="2"/>
      <c r="Q723" s="2"/>
      <c r="R723" s="2"/>
      <c r="S723" s="2"/>
      <c r="T723" s="2"/>
      <c r="U723" s="2"/>
      <c r="V723" s="2"/>
      <c r="W723" s="2"/>
      <c r="X723" s="2"/>
      <c r="Y723" s="2"/>
      <c r="Z723" s="2"/>
    </row>
    <row r="724">
      <c r="A724" s="2"/>
      <c r="B724" s="132"/>
      <c r="C724" s="132"/>
      <c r="D724" s="132"/>
      <c r="E724" s="132"/>
      <c r="F724" s="132"/>
      <c r="G724" s="132"/>
      <c r="H724" s="132"/>
      <c r="I724" s="132"/>
      <c r="J724" s="132"/>
      <c r="K724" s="132"/>
      <c r="L724" s="2"/>
      <c r="M724" s="2"/>
      <c r="N724" s="2"/>
      <c r="O724" s="2"/>
      <c r="P724" s="2"/>
      <c r="Q724" s="2"/>
      <c r="R724" s="2"/>
      <c r="S724" s="2"/>
      <c r="T724" s="2"/>
      <c r="U724" s="2"/>
      <c r="V724" s="2"/>
      <c r="W724" s="2"/>
      <c r="X724" s="2"/>
      <c r="Y724" s="2"/>
      <c r="Z724" s="2"/>
    </row>
    <row r="725">
      <c r="A725" s="2"/>
      <c r="B725" s="132"/>
      <c r="C725" s="132"/>
      <c r="D725" s="132"/>
      <c r="E725" s="132"/>
      <c r="F725" s="132"/>
      <c r="G725" s="132"/>
      <c r="H725" s="132"/>
      <c r="I725" s="132"/>
      <c r="J725" s="132"/>
      <c r="K725" s="132"/>
      <c r="L725" s="2"/>
      <c r="M725" s="2"/>
      <c r="N725" s="2"/>
      <c r="O725" s="2"/>
      <c r="P725" s="2"/>
      <c r="Q725" s="2"/>
      <c r="R725" s="2"/>
      <c r="S725" s="2"/>
      <c r="T725" s="2"/>
      <c r="U725" s="2"/>
      <c r="V725" s="2"/>
      <c r="W725" s="2"/>
      <c r="X725" s="2"/>
      <c r="Y725" s="2"/>
      <c r="Z725" s="2"/>
    </row>
    <row r="726">
      <c r="A726" s="2"/>
      <c r="B726" s="132"/>
      <c r="C726" s="132"/>
      <c r="D726" s="132"/>
      <c r="E726" s="132"/>
      <c r="F726" s="132"/>
      <c r="G726" s="132"/>
      <c r="H726" s="132"/>
      <c r="I726" s="132"/>
      <c r="J726" s="132"/>
      <c r="K726" s="132"/>
      <c r="L726" s="2"/>
      <c r="M726" s="2"/>
      <c r="N726" s="2"/>
      <c r="O726" s="2"/>
      <c r="P726" s="2"/>
      <c r="Q726" s="2"/>
      <c r="R726" s="2"/>
      <c r="S726" s="2"/>
      <c r="T726" s="2"/>
      <c r="U726" s="2"/>
      <c r="V726" s="2"/>
      <c r="W726" s="2"/>
      <c r="X726" s="2"/>
      <c r="Y726" s="2"/>
      <c r="Z726" s="2"/>
    </row>
    <row r="727">
      <c r="A727" s="2"/>
      <c r="B727" s="132"/>
      <c r="C727" s="132"/>
      <c r="D727" s="132"/>
      <c r="E727" s="132"/>
      <c r="F727" s="132"/>
      <c r="G727" s="132"/>
      <c r="H727" s="132"/>
      <c r="I727" s="132"/>
      <c r="J727" s="132"/>
      <c r="K727" s="132"/>
      <c r="L727" s="2"/>
      <c r="M727" s="2"/>
      <c r="N727" s="2"/>
      <c r="O727" s="2"/>
      <c r="P727" s="2"/>
      <c r="Q727" s="2"/>
      <c r="R727" s="2"/>
      <c r="S727" s="2"/>
      <c r="T727" s="2"/>
      <c r="U727" s="2"/>
      <c r="V727" s="2"/>
      <c r="W727" s="2"/>
      <c r="X727" s="2"/>
      <c r="Y727" s="2"/>
      <c r="Z727" s="2"/>
    </row>
    <row r="728">
      <c r="A728" s="2"/>
      <c r="B728" s="132"/>
      <c r="C728" s="132"/>
      <c r="D728" s="132"/>
      <c r="E728" s="132"/>
      <c r="F728" s="132"/>
      <c r="G728" s="132"/>
      <c r="H728" s="132"/>
      <c r="I728" s="132"/>
      <c r="J728" s="132"/>
      <c r="K728" s="132"/>
      <c r="L728" s="2"/>
      <c r="M728" s="2"/>
      <c r="N728" s="2"/>
      <c r="O728" s="2"/>
      <c r="P728" s="2"/>
      <c r="Q728" s="2"/>
      <c r="R728" s="2"/>
      <c r="S728" s="2"/>
      <c r="T728" s="2"/>
      <c r="U728" s="2"/>
      <c r="V728" s="2"/>
      <c r="W728" s="2"/>
      <c r="X728" s="2"/>
      <c r="Y728" s="2"/>
      <c r="Z728" s="2"/>
    </row>
    <row r="729">
      <c r="A729" s="2"/>
      <c r="B729" s="132"/>
      <c r="C729" s="132"/>
      <c r="D729" s="132"/>
      <c r="E729" s="132"/>
      <c r="F729" s="132"/>
      <c r="G729" s="132"/>
      <c r="H729" s="132"/>
      <c r="I729" s="132"/>
      <c r="J729" s="132"/>
      <c r="K729" s="132"/>
      <c r="L729" s="2"/>
      <c r="M729" s="2"/>
      <c r="N729" s="2"/>
      <c r="O729" s="2"/>
      <c r="P729" s="2"/>
      <c r="Q729" s="2"/>
      <c r="R729" s="2"/>
      <c r="S729" s="2"/>
      <c r="T729" s="2"/>
      <c r="U729" s="2"/>
      <c r="V729" s="2"/>
      <c r="W729" s="2"/>
      <c r="X729" s="2"/>
      <c r="Y729" s="2"/>
      <c r="Z729" s="2"/>
    </row>
    <row r="730">
      <c r="A730" s="2"/>
      <c r="B730" s="132"/>
      <c r="C730" s="132"/>
      <c r="D730" s="132"/>
      <c r="E730" s="132"/>
      <c r="F730" s="132"/>
      <c r="G730" s="132"/>
      <c r="H730" s="132"/>
      <c r="I730" s="132"/>
      <c r="J730" s="132"/>
      <c r="K730" s="132"/>
      <c r="L730" s="2"/>
      <c r="M730" s="2"/>
      <c r="N730" s="2"/>
      <c r="O730" s="2"/>
      <c r="P730" s="2"/>
      <c r="Q730" s="2"/>
      <c r="R730" s="2"/>
      <c r="S730" s="2"/>
      <c r="T730" s="2"/>
      <c r="U730" s="2"/>
      <c r="V730" s="2"/>
      <c r="W730" s="2"/>
      <c r="X730" s="2"/>
      <c r="Y730" s="2"/>
      <c r="Z730" s="2"/>
    </row>
    <row r="731">
      <c r="A731" s="2"/>
      <c r="B731" s="132"/>
      <c r="C731" s="132"/>
      <c r="D731" s="132"/>
      <c r="E731" s="132"/>
      <c r="F731" s="132"/>
      <c r="G731" s="132"/>
      <c r="H731" s="132"/>
      <c r="I731" s="132"/>
      <c r="J731" s="132"/>
      <c r="K731" s="132"/>
      <c r="L731" s="2"/>
      <c r="M731" s="2"/>
      <c r="N731" s="2"/>
      <c r="O731" s="2"/>
      <c r="P731" s="2"/>
      <c r="Q731" s="2"/>
      <c r="R731" s="2"/>
      <c r="S731" s="2"/>
      <c r="T731" s="2"/>
      <c r="U731" s="2"/>
      <c r="V731" s="2"/>
      <c r="W731" s="2"/>
      <c r="X731" s="2"/>
      <c r="Y731" s="2"/>
      <c r="Z731" s="2"/>
    </row>
    <row r="732">
      <c r="A732" s="2"/>
      <c r="B732" s="132"/>
      <c r="C732" s="132"/>
      <c r="D732" s="132"/>
      <c r="E732" s="132"/>
      <c r="F732" s="132"/>
      <c r="G732" s="132"/>
      <c r="H732" s="132"/>
      <c r="I732" s="132"/>
      <c r="J732" s="132"/>
      <c r="K732" s="132"/>
      <c r="L732" s="2"/>
      <c r="M732" s="2"/>
      <c r="N732" s="2"/>
      <c r="O732" s="2"/>
      <c r="P732" s="2"/>
      <c r="Q732" s="2"/>
      <c r="R732" s="2"/>
      <c r="S732" s="2"/>
      <c r="T732" s="2"/>
      <c r="U732" s="2"/>
      <c r="V732" s="2"/>
      <c r="W732" s="2"/>
      <c r="X732" s="2"/>
      <c r="Y732" s="2"/>
      <c r="Z732" s="2"/>
    </row>
    <row r="733">
      <c r="A733" s="2"/>
      <c r="B733" s="132"/>
      <c r="C733" s="132"/>
      <c r="D733" s="132"/>
      <c r="E733" s="132"/>
      <c r="F733" s="132"/>
      <c r="G733" s="132"/>
      <c r="H733" s="132"/>
      <c r="I733" s="132"/>
      <c r="J733" s="132"/>
      <c r="K733" s="132"/>
      <c r="L733" s="2"/>
      <c r="M733" s="2"/>
      <c r="N733" s="2"/>
      <c r="O733" s="2"/>
      <c r="P733" s="2"/>
      <c r="Q733" s="2"/>
      <c r="R733" s="2"/>
      <c r="S733" s="2"/>
      <c r="T733" s="2"/>
      <c r="U733" s="2"/>
      <c r="V733" s="2"/>
      <c r="W733" s="2"/>
      <c r="X733" s="2"/>
      <c r="Y733" s="2"/>
      <c r="Z733" s="2"/>
    </row>
    <row r="734">
      <c r="A734" s="2"/>
      <c r="B734" s="132"/>
      <c r="C734" s="132"/>
      <c r="D734" s="132"/>
      <c r="E734" s="132"/>
      <c r="F734" s="132"/>
      <c r="G734" s="132"/>
      <c r="H734" s="132"/>
      <c r="I734" s="132"/>
      <c r="J734" s="132"/>
      <c r="K734" s="132"/>
      <c r="L734" s="2"/>
      <c r="M734" s="2"/>
      <c r="N734" s="2"/>
      <c r="O734" s="2"/>
      <c r="P734" s="2"/>
      <c r="Q734" s="2"/>
      <c r="R734" s="2"/>
      <c r="S734" s="2"/>
      <c r="T734" s="2"/>
      <c r="U734" s="2"/>
      <c r="V734" s="2"/>
      <c r="W734" s="2"/>
      <c r="X734" s="2"/>
      <c r="Y734" s="2"/>
      <c r="Z734" s="2"/>
    </row>
    <row r="735">
      <c r="A735" s="2"/>
      <c r="B735" s="132"/>
      <c r="C735" s="132"/>
      <c r="D735" s="132"/>
      <c r="E735" s="132"/>
      <c r="F735" s="132"/>
      <c r="G735" s="132"/>
      <c r="H735" s="132"/>
      <c r="I735" s="132"/>
      <c r="J735" s="132"/>
      <c r="K735" s="132"/>
      <c r="L735" s="2"/>
      <c r="M735" s="2"/>
      <c r="N735" s="2"/>
      <c r="O735" s="2"/>
      <c r="P735" s="2"/>
      <c r="Q735" s="2"/>
      <c r="R735" s="2"/>
      <c r="S735" s="2"/>
      <c r="T735" s="2"/>
      <c r="U735" s="2"/>
      <c r="V735" s="2"/>
      <c r="W735" s="2"/>
      <c r="X735" s="2"/>
      <c r="Y735" s="2"/>
      <c r="Z735" s="2"/>
    </row>
    <row r="736">
      <c r="A736" s="2"/>
      <c r="B736" s="132"/>
      <c r="C736" s="132"/>
      <c r="D736" s="132"/>
      <c r="E736" s="132"/>
      <c r="F736" s="132"/>
      <c r="G736" s="132"/>
      <c r="H736" s="132"/>
      <c r="I736" s="132"/>
      <c r="J736" s="132"/>
      <c r="K736" s="132"/>
      <c r="L736" s="2"/>
      <c r="M736" s="2"/>
      <c r="N736" s="2"/>
      <c r="O736" s="2"/>
      <c r="P736" s="2"/>
      <c r="Q736" s="2"/>
      <c r="R736" s="2"/>
      <c r="S736" s="2"/>
      <c r="T736" s="2"/>
      <c r="U736" s="2"/>
      <c r="V736" s="2"/>
      <c r="W736" s="2"/>
      <c r="X736" s="2"/>
      <c r="Y736" s="2"/>
      <c r="Z736" s="2"/>
    </row>
    <row r="737">
      <c r="A737" s="2"/>
      <c r="B737" s="132"/>
      <c r="C737" s="132"/>
      <c r="D737" s="132"/>
      <c r="E737" s="132"/>
      <c r="F737" s="132"/>
      <c r="G737" s="132"/>
      <c r="H737" s="132"/>
      <c r="I737" s="132"/>
      <c r="J737" s="132"/>
      <c r="K737" s="132"/>
      <c r="L737" s="2"/>
      <c r="M737" s="2"/>
      <c r="N737" s="2"/>
      <c r="O737" s="2"/>
      <c r="P737" s="2"/>
      <c r="Q737" s="2"/>
      <c r="R737" s="2"/>
      <c r="S737" s="2"/>
      <c r="T737" s="2"/>
      <c r="U737" s="2"/>
      <c r="V737" s="2"/>
      <c r="W737" s="2"/>
      <c r="X737" s="2"/>
      <c r="Y737" s="2"/>
      <c r="Z737" s="2"/>
    </row>
    <row r="738">
      <c r="A738" s="2"/>
      <c r="B738" s="132"/>
      <c r="C738" s="132"/>
      <c r="D738" s="132"/>
      <c r="E738" s="132"/>
      <c r="F738" s="132"/>
      <c r="G738" s="132"/>
      <c r="H738" s="132"/>
      <c r="I738" s="132"/>
      <c r="J738" s="132"/>
      <c r="K738" s="132"/>
      <c r="L738" s="2"/>
      <c r="M738" s="2"/>
      <c r="N738" s="2"/>
      <c r="O738" s="2"/>
      <c r="P738" s="2"/>
      <c r="Q738" s="2"/>
      <c r="R738" s="2"/>
      <c r="S738" s="2"/>
      <c r="T738" s="2"/>
      <c r="U738" s="2"/>
      <c r="V738" s="2"/>
      <c r="W738" s="2"/>
      <c r="X738" s="2"/>
      <c r="Y738" s="2"/>
      <c r="Z738" s="2"/>
    </row>
    <row r="739">
      <c r="A739" s="2"/>
      <c r="B739" s="132"/>
      <c r="C739" s="132"/>
      <c r="D739" s="132"/>
      <c r="E739" s="132"/>
      <c r="F739" s="132"/>
      <c r="G739" s="132"/>
      <c r="H739" s="132"/>
      <c r="I739" s="132"/>
      <c r="J739" s="132"/>
      <c r="K739" s="132"/>
      <c r="L739" s="2"/>
      <c r="M739" s="2"/>
      <c r="N739" s="2"/>
      <c r="O739" s="2"/>
      <c r="P739" s="2"/>
      <c r="Q739" s="2"/>
      <c r="R739" s="2"/>
      <c r="S739" s="2"/>
      <c r="T739" s="2"/>
      <c r="U739" s="2"/>
      <c r="V739" s="2"/>
      <c r="W739" s="2"/>
      <c r="X739" s="2"/>
      <c r="Y739" s="2"/>
      <c r="Z739" s="2"/>
    </row>
    <row r="740">
      <c r="A740" s="2"/>
      <c r="B740" s="132"/>
      <c r="C740" s="132"/>
      <c r="D740" s="132"/>
      <c r="E740" s="132"/>
      <c r="F740" s="132"/>
      <c r="G740" s="132"/>
      <c r="H740" s="132"/>
      <c r="I740" s="132"/>
      <c r="J740" s="132"/>
      <c r="K740" s="132"/>
      <c r="L740" s="2"/>
      <c r="M740" s="2"/>
      <c r="N740" s="2"/>
      <c r="O740" s="2"/>
      <c r="P740" s="2"/>
      <c r="Q740" s="2"/>
      <c r="R740" s="2"/>
      <c r="S740" s="2"/>
      <c r="T740" s="2"/>
      <c r="U740" s="2"/>
      <c r="V740" s="2"/>
      <c r="W740" s="2"/>
      <c r="X740" s="2"/>
      <c r="Y740" s="2"/>
      <c r="Z740" s="2"/>
    </row>
    <row r="741">
      <c r="A741" s="2"/>
      <c r="B741" s="132"/>
      <c r="C741" s="132"/>
      <c r="D741" s="132"/>
      <c r="E741" s="132"/>
      <c r="F741" s="132"/>
      <c r="G741" s="132"/>
      <c r="H741" s="132"/>
      <c r="I741" s="132"/>
      <c r="J741" s="132"/>
      <c r="K741" s="132"/>
      <c r="L741" s="2"/>
      <c r="M741" s="2"/>
      <c r="N741" s="2"/>
      <c r="O741" s="2"/>
      <c r="P741" s="2"/>
      <c r="Q741" s="2"/>
      <c r="R741" s="2"/>
      <c r="S741" s="2"/>
      <c r="T741" s="2"/>
      <c r="U741" s="2"/>
      <c r="V741" s="2"/>
      <c r="W741" s="2"/>
      <c r="X741" s="2"/>
      <c r="Y741" s="2"/>
      <c r="Z741" s="2"/>
    </row>
    <row r="742">
      <c r="A742" s="2"/>
      <c r="B742" s="132"/>
      <c r="C742" s="132"/>
      <c r="D742" s="132"/>
      <c r="E742" s="132"/>
      <c r="F742" s="132"/>
      <c r="G742" s="132"/>
      <c r="H742" s="132"/>
      <c r="I742" s="132"/>
      <c r="J742" s="132"/>
      <c r="K742" s="132"/>
      <c r="L742" s="2"/>
      <c r="M742" s="2"/>
      <c r="N742" s="2"/>
      <c r="O742" s="2"/>
      <c r="P742" s="2"/>
      <c r="Q742" s="2"/>
      <c r="R742" s="2"/>
      <c r="S742" s="2"/>
      <c r="T742" s="2"/>
      <c r="U742" s="2"/>
      <c r="V742" s="2"/>
      <c r="W742" s="2"/>
      <c r="X742" s="2"/>
      <c r="Y742" s="2"/>
      <c r="Z742" s="2"/>
    </row>
    <row r="743">
      <c r="A743" s="2"/>
      <c r="B743" s="132"/>
      <c r="C743" s="132"/>
      <c r="D743" s="132"/>
      <c r="E743" s="132"/>
      <c r="F743" s="132"/>
      <c r="G743" s="132"/>
      <c r="H743" s="132"/>
      <c r="I743" s="132"/>
      <c r="J743" s="132"/>
      <c r="K743" s="132"/>
      <c r="L743" s="2"/>
      <c r="M743" s="2"/>
      <c r="N743" s="2"/>
      <c r="O743" s="2"/>
      <c r="P743" s="2"/>
      <c r="Q743" s="2"/>
      <c r="R743" s="2"/>
      <c r="S743" s="2"/>
      <c r="T743" s="2"/>
      <c r="U743" s="2"/>
      <c r="V743" s="2"/>
      <c r="W743" s="2"/>
      <c r="X743" s="2"/>
      <c r="Y743" s="2"/>
      <c r="Z743" s="2"/>
    </row>
    <row r="744">
      <c r="A744" s="2"/>
      <c r="B744" s="132"/>
      <c r="C744" s="132"/>
      <c r="D744" s="132"/>
      <c r="E744" s="132"/>
      <c r="F744" s="132"/>
      <c r="G744" s="132"/>
      <c r="H744" s="132"/>
      <c r="I744" s="132"/>
      <c r="J744" s="132"/>
      <c r="K744" s="132"/>
      <c r="L744" s="2"/>
      <c r="M744" s="2"/>
      <c r="N744" s="2"/>
      <c r="O744" s="2"/>
      <c r="P744" s="2"/>
      <c r="Q744" s="2"/>
      <c r="R744" s="2"/>
      <c r="S744" s="2"/>
      <c r="T744" s="2"/>
      <c r="U744" s="2"/>
      <c r="V744" s="2"/>
      <c r="W744" s="2"/>
      <c r="X744" s="2"/>
      <c r="Y744" s="2"/>
      <c r="Z744" s="2"/>
    </row>
    <row r="745">
      <c r="A745" s="2"/>
      <c r="B745" s="132"/>
      <c r="C745" s="132"/>
      <c r="D745" s="132"/>
      <c r="E745" s="132"/>
      <c r="F745" s="132"/>
      <c r="G745" s="132"/>
      <c r="H745" s="132"/>
      <c r="I745" s="132"/>
      <c r="J745" s="132"/>
      <c r="K745" s="132"/>
      <c r="L745" s="2"/>
      <c r="M745" s="2"/>
      <c r="N745" s="2"/>
      <c r="O745" s="2"/>
      <c r="P745" s="2"/>
      <c r="Q745" s="2"/>
      <c r="R745" s="2"/>
      <c r="S745" s="2"/>
      <c r="T745" s="2"/>
      <c r="U745" s="2"/>
      <c r="V745" s="2"/>
      <c r="W745" s="2"/>
      <c r="X745" s="2"/>
      <c r="Y745" s="2"/>
      <c r="Z745" s="2"/>
    </row>
    <row r="746">
      <c r="A746" s="2"/>
      <c r="B746" s="132"/>
      <c r="C746" s="132"/>
      <c r="D746" s="132"/>
      <c r="E746" s="132"/>
      <c r="F746" s="132"/>
      <c r="G746" s="132"/>
      <c r="H746" s="132"/>
      <c r="I746" s="132"/>
      <c r="J746" s="132"/>
      <c r="K746" s="132"/>
      <c r="L746" s="2"/>
      <c r="M746" s="2"/>
      <c r="N746" s="2"/>
      <c r="O746" s="2"/>
      <c r="P746" s="2"/>
      <c r="Q746" s="2"/>
      <c r="R746" s="2"/>
      <c r="S746" s="2"/>
      <c r="T746" s="2"/>
      <c r="U746" s="2"/>
      <c r="V746" s="2"/>
      <c r="W746" s="2"/>
      <c r="X746" s="2"/>
      <c r="Y746" s="2"/>
      <c r="Z746" s="2"/>
    </row>
    <row r="747">
      <c r="A747" s="2"/>
      <c r="B747" s="132"/>
      <c r="C747" s="132"/>
      <c r="D747" s="132"/>
      <c r="E747" s="132"/>
      <c r="F747" s="132"/>
      <c r="G747" s="132"/>
      <c r="H747" s="132"/>
      <c r="I747" s="132"/>
      <c r="J747" s="132"/>
      <c r="K747" s="132"/>
      <c r="L747" s="2"/>
      <c r="M747" s="2"/>
      <c r="N747" s="2"/>
      <c r="O747" s="2"/>
      <c r="P747" s="2"/>
      <c r="Q747" s="2"/>
      <c r="R747" s="2"/>
      <c r="S747" s="2"/>
      <c r="T747" s="2"/>
      <c r="U747" s="2"/>
      <c r="V747" s="2"/>
      <c r="W747" s="2"/>
      <c r="X747" s="2"/>
      <c r="Y747" s="2"/>
      <c r="Z747" s="2"/>
    </row>
    <row r="748">
      <c r="A748" s="2"/>
      <c r="B748" s="132"/>
      <c r="C748" s="132"/>
      <c r="D748" s="132"/>
      <c r="E748" s="132"/>
      <c r="F748" s="132"/>
      <c r="G748" s="132"/>
      <c r="H748" s="132"/>
      <c r="I748" s="132"/>
      <c r="J748" s="132"/>
      <c r="K748" s="132"/>
      <c r="L748" s="2"/>
      <c r="M748" s="2"/>
      <c r="N748" s="2"/>
      <c r="O748" s="2"/>
      <c r="P748" s="2"/>
      <c r="Q748" s="2"/>
      <c r="R748" s="2"/>
      <c r="S748" s="2"/>
      <c r="T748" s="2"/>
      <c r="U748" s="2"/>
      <c r="V748" s="2"/>
      <c r="W748" s="2"/>
      <c r="X748" s="2"/>
      <c r="Y748" s="2"/>
      <c r="Z748" s="2"/>
    </row>
    <row r="749">
      <c r="A749" s="2"/>
      <c r="B749" s="132"/>
      <c r="C749" s="132"/>
      <c r="D749" s="132"/>
      <c r="E749" s="132"/>
      <c r="F749" s="132"/>
      <c r="G749" s="132"/>
      <c r="H749" s="132"/>
      <c r="I749" s="132"/>
      <c r="J749" s="132"/>
      <c r="K749" s="132"/>
      <c r="L749" s="2"/>
      <c r="M749" s="2"/>
      <c r="N749" s="2"/>
      <c r="O749" s="2"/>
      <c r="P749" s="2"/>
      <c r="Q749" s="2"/>
      <c r="R749" s="2"/>
      <c r="S749" s="2"/>
      <c r="T749" s="2"/>
      <c r="U749" s="2"/>
      <c r="V749" s="2"/>
      <c r="W749" s="2"/>
      <c r="X749" s="2"/>
      <c r="Y749" s="2"/>
      <c r="Z749" s="2"/>
    </row>
    <row r="750">
      <c r="A750" s="2"/>
      <c r="B750" s="132"/>
      <c r="C750" s="132"/>
      <c r="D750" s="132"/>
      <c r="E750" s="132"/>
      <c r="F750" s="132"/>
      <c r="G750" s="132"/>
      <c r="H750" s="132"/>
      <c r="I750" s="132"/>
      <c r="J750" s="132"/>
      <c r="K750" s="132"/>
      <c r="L750" s="2"/>
      <c r="M750" s="2"/>
      <c r="N750" s="2"/>
      <c r="O750" s="2"/>
      <c r="P750" s="2"/>
      <c r="Q750" s="2"/>
      <c r="R750" s="2"/>
      <c r="S750" s="2"/>
      <c r="T750" s="2"/>
      <c r="U750" s="2"/>
      <c r="V750" s="2"/>
      <c r="W750" s="2"/>
      <c r="X750" s="2"/>
      <c r="Y750" s="2"/>
      <c r="Z750" s="2"/>
    </row>
    <row r="751">
      <c r="A751" s="2"/>
      <c r="B751" s="132"/>
      <c r="C751" s="132"/>
      <c r="D751" s="132"/>
      <c r="E751" s="132"/>
      <c r="F751" s="132"/>
      <c r="G751" s="132"/>
      <c r="H751" s="132"/>
      <c r="I751" s="132"/>
      <c r="J751" s="132"/>
      <c r="K751" s="132"/>
      <c r="L751" s="2"/>
      <c r="M751" s="2"/>
      <c r="N751" s="2"/>
      <c r="O751" s="2"/>
      <c r="P751" s="2"/>
      <c r="Q751" s="2"/>
      <c r="R751" s="2"/>
      <c r="S751" s="2"/>
      <c r="T751" s="2"/>
      <c r="U751" s="2"/>
      <c r="V751" s="2"/>
      <c r="W751" s="2"/>
      <c r="X751" s="2"/>
      <c r="Y751" s="2"/>
      <c r="Z751" s="2"/>
    </row>
    <row r="752">
      <c r="A752" s="2"/>
      <c r="B752" s="132"/>
      <c r="C752" s="132"/>
      <c r="D752" s="132"/>
      <c r="E752" s="132"/>
      <c r="F752" s="132"/>
      <c r="G752" s="132"/>
      <c r="H752" s="132"/>
      <c r="I752" s="132"/>
      <c r="J752" s="132"/>
      <c r="K752" s="132"/>
      <c r="L752" s="2"/>
      <c r="M752" s="2"/>
      <c r="N752" s="2"/>
      <c r="O752" s="2"/>
      <c r="P752" s="2"/>
      <c r="Q752" s="2"/>
      <c r="R752" s="2"/>
      <c r="S752" s="2"/>
      <c r="T752" s="2"/>
      <c r="U752" s="2"/>
      <c r="V752" s="2"/>
      <c r="W752" s="2"/>
      <c r="X752" s="2"/>
      <c r="Y752" s="2"/>
      <c r="Z752" s="2"/>
    </row>
    <row r="753">
      <c r="A753" s="2"/>
      <c r="B753" s="132"/>
      <c r="C753" s="132"/>
      <c r="D753" s="132"/>
      <c r="E753" s="132"/>
      <c r="F753" s="132"/>
      <c r="G753" s="132"/>
      <c r="H753" s="132"/>
      <c r="I753" s="132"/>
      <c r="J753" s="132"/>
      <c r="K753" s="132"/>
      <c r="L753" s="2"/>
      <c r="M753" s="2"/>
      <c r="N753" s="2"/>
      <c r="O753" s="2"/>
      <c r="P753" s="2"/>
      <c r="Q753" s="2"/>
      <c r="R753" s="2"/>
      <c r="S753" s="2"/>
      <c r="T753" s="2"/>
      <c r="U753" s="2"/>
      <c r="V753" s="2"/>
      <c r="W753" s="2"/>
      <c r="X753" s="2"/>
      <c r="Y753" s="2"/>
      <c r="Z753" s="2"/>
    </row>
    <row r="754">
      <c r="A754" s="2"/>
      <c r="B754" s="132"/>
      <c r="C754" s="132"/>
      <c r="D754" s="132"/>
      <c r="E754" s="132"/>
      <c r="F754" s="132"/>
      <c r="G754" s="132"/>
      <c r="H754" s="132"/>
      <c r="I754" s="132"/>
      <c r="J754" s="132"/>
      <c r="K754" s="132"/>
      <c r="L754" s="2"/>
      <c r="M754" s="2"/>
      <c r="N754" s="2"/>
      <c r="O754" s="2"/>
      <c r="P754" s="2"/>
      <c r="Q754" s="2"/>
      <c r="R754" s="2"/>
      <c r="S754" s="2"/>
      <c r="T754" s="2"/>
      <c r="U754" s="2"/>
      <c r="V754" s="2"/>
      <c r="W754" s="2"/>
      <c r="X754" s="2"/>
      <c r="Y754" s="2"/>
      <c r="Z754" s="2"/>
    </row>
    <row r="755">
      <c r="A755" s="2"/>
      <c r="B755" s="132"/>
      <c r="C755" s="132"/>
      <c r="D755" s="132"/>
      <c r="E755" s="132"/>
      <c r="F755" s="132"/>
      <c r="G755" s="132"/>
      <c r="H755" s="132"/>
      <c r="I755" s="132"/>
      <c r="J755" s="132"/>
      <c r="K755" s="132"/>
      <c r="L755" s="2"/>
      <c r="M755" s="2"/>
      <c r="N755" s="2"/>
      <c r="O755" s="2"/>
      <c r="P755" s="2"/>
      <c r="Q755" s="2"/>
      <c r="R755" s="2"/>
      <c r="S755" s="2"/>
      <c r="T755" s="2"/>
      <c r="U755" s="2"/>
      <c r="V755" s="2"/>
      <c r="W755" s="2"/>
      <c r="X755" s="2"/>
      <c r="Y755" s="2"/>
      <c r="Z755" s="2"/>
    </row>
    <row r="756">
      <c r="A756" s="2"/>
      <c r="B756" s="132"/>
      <c r="C756" s="132"/>
      <c r="D756" s="132"/>
      <c r="E756" s="132"/>
      <c r="F756" s="132"/>
      <c r="G756" s="132"/>
      <c r="H756" s="132"/>
      <c r="I756" s="132"/>
      <c r="J756" s="132"/>
      <c r="K756" s="132"/>
      <c r="L756" s="2"/>
      <c r="M756" s="2"/>
      <c r="N756" s="2"/>
      <c r="O756" s="2"/>
      <c r="P756" s="2"/>
      <c r="Q756" s="2"/>
      <c r="R756" s="2"/>
      <c r="S756" s="2"/>
      <c r="T756" s="2"/>
      <c r="U756" s="2"/>
      <c r="V756" s="2"/>
      <c r="W756" s="2"/>
      <c r="X756" s="2"/>
      <c r="Y756" s="2"/>
      <c r="Z756" s="2"/>
    </row>
    <row r="757">
      <c r="A757" s="2"/>
      <c r="B757" s="132"/>
      <c r="C757" s="132"/>
      <c r="D757" s="132"/>
      <c r="E757" s="132"/>
      <c r="F757" s="132"/>
      <c r="G757" s="132"/>
      <c r="H757" s="132"/>
      <c r="I757" s="132"/>
      <c r="J757" s="132"/>
      <c r="K757" s="132"/>
      <c r="L757" s="2"/>
      <c r="M757" s="2"/>
      <c r="N757" s="2"/>
      <c r="O757" s="2"/>
      <c r="P757" s="2"/>
      <c r="Q757" s="2"/>
      <c r="R757" s="2"/>
      <c r="S757" s="2"/>
      <c r="T757" s="2"/>
      <c r="U757" s="2"/>
      <c r="V757" s="2"/>
      <c r="W757" s="2"/>
      <c r="X757" s="2"/>
      <c r="Y757" s="2"/>
      <c r="Z757" s="2"/>
    </row>
    <row r="758">
      <c r="A758" s="2"/>
      <c r="B758" s="132"/>
      <c r="C758" s="132"/>
      <c r="D758" s="132"/>
      <c r="E758" s="132"/>
      <c r="F758" s="132"/>
      <c r="G758" s="132"/>
      <c r="H758" s="132"/>
      <c r="I758" s="132"/>
      <c r="J758" s="132"/>
      <c r="K758" s="132"/>
      <c r="L758" s="2"/>
      <c r="M758" s="2"/>
      <c r="N758" s="2"/>
      <c r="O758" s="2"/>
      <c r="P758" s="2"/>
      <c r="Q758" s="2"/>
      <c r="R758" s="2"/>
      <c r="S758" s="2"/>
      <c r="T758" s="2"/>
      <c r="U758" s="2"/>
      <c r="V758" s="2"/>
      <c r="W758" s="2"/>
      <c r="X758" s="2"/>
      <c r="Y758" s="2"/>
      <c r="Z758" s="2"/>
    </row>
    <row r="759">
      <c r="A759" s="2"/>
      <c r="B759" s="132"/>
      <c r="C759" s="132"/>
      <c r="D759" s="132"/>
      <c r="E759" s="132"/>
      <c r="F759" s="132"/>
      <c r="G759" s="132"/>
      <c r="H759" s="132"/>
      <c r="I759" s="132"/>
      <c r="J759" s="132"/>
      <c r="K759" s="132"/>
      <c r="L759" s="2"/>
      <c r="M759" s="2"/>
      <c r="N759" s="2"/>
      <c r="O759" s="2"/>
      <c r="P759" s="2"/>
      <c r="Q759" s="2"/>
      <c r="R759" s="2"/>
      <c r="S759" s="2"/>
      <c r="T759" s="2"/>
      <c r="U759" s="2"/>
      <c r="V759" s="2"/>
      <c r="W759" s="2"/>
      <c r="X759" s="2"/>
      <c r="Y759" s="2"/>
      <c r="Z759" s="2"/>
    </row>
    <row r="760">
      <c r="A760" s="2"/>
      <c r="B760" s="132"/>
      <c r="C760" s="132"/>
      <c r="D760" s="132"/>
      <c r="E760" s="132"/>
      <c r="F760" s="132"/>
      <c r="G760" s="132"/>
      <c r="H760" s="132"/>
      <c r="I760" s="132"/>
      <c r="J760" s="132"/>
      <c r="K760" s="132"/>
      <c r="L760" s="2"/>
      <c r="M760" s="2"/>
      <c r="N760" s="2"/>
      <c r="O760" s="2"/>
      <c r="P760" s="2"/>
      <c r="Q760" s="2"/>
      <c r="R760" s="2"/>
      <c r="S760" s="2"/>
      <c r="T760" s="2"/>
      <c r="U760" s="2"/>
      <c r="V760" s="2"/>
      <c r="W760" s="2"/>
      <c r="X760" s="2"/>
      <c r="Y760" s="2"/>
      <c r="Z760" s="2"/>
    </row>
    <row r="761">
      <c r="A761" s="2"/>
      <c r="B761" s="132"/>
      <c r="C761" s="132"/>
      <c r="D761" s="132"/>
      <c r="E761" s="132"/>
      <c r="F761" s="132"/>
      <c r="G761" s="132"/>
      <c r="H761" s="132"/>
      <c r="I761" s="132"/>
      <c r="J761" s="132"/>
      <c r="K761" s="132"/>
      <c r="L761" s="2"/>
      <c r="M761" s="2"/>
      <c r="N761" s="2"/>
      <c r="O761" s="2"/>
      <c r="P761" s="2"/>
      <c r="Q761" s="2"/>
      <c r="R761" s="2"/>
      <c r="S761" s="2"/>
      <c r="T761" s="2"/>
      <c r="U761" s="2"/>
      <c r="V761" s="2"/>
      <c r="W761" s="2"/>
      <c r="X761" s="2"/>
      <c r="Y761" s="2"/>
      <c r="Z761" s="2"/>
    </row>
    <row r="762">
      <c r="A762" s="2"/>
      <c r="B762" s="132"/>
      <c r="C762" s="132"/>
      <c r="D762" s="132"/>
      <c r="E762" s="132"/>
      <c r="F762" s="132"/>
      <c r="G762" s="132"/>
      <c r="H762" s="132"/>
      <c r="I762" s="132"/>
      <c r="J762" s="132"/>
      <c r="K762" s="132"/>
      <c r="L762" s="2"/>
      <c r="M762" s="2"/>
      <c r="N762" s="2"/>
      <c r="O762" s="2"/>
      <c r="P762" s="2"/>
      <c r="Q762" s="2"/>
      <c r="R762" s="2"/>
      <c r="S762" s="2"/>
      <c r="T762" s="2"/>
      <c r="U762" s="2"/>
      <c r="V762" s="2"/>
      <c r="W762" s="2"/>
      <c r="X762" s="2"/>
      <c r="Y762" s="2"/>
      <c r="Z762" s="2"/>
    </row>
    <row r="763">
      <c r="A763" s="2"/>
      <c r="B763" s="132"/>
      <c r="C763" s="132"/>
      <c r="D763" s="132"/>
      <c r="E763" s="132"/>
      <c r="F763" s="132"/>
      <c r="G763" s="132"/>
      <c r="H763" s="132"/>
      <c r="I763" s="132"/>
      <c r="J763" s="132"/>
      <c r="K763" s="132"/>
      <c r="L763" s="2"/>
      <c r="M763" s="2"/>
      <c r="N763" s="2"/>
      <c r="O763" s="2"/>
      <c r="P763" s="2"/>
      <c r="Q763" s="2"/>
      <c r="R763" s="2"/>
      <c r="S763" s="2"/>
      <c r="T763" s="2"/>
      <c r="U763" s="2"/>
      <c r="V763" s="2"/>
      <c r="W763" s="2"/>
      <c r="X763" s="2"/>
      <c r="Y763" s="2"/>
      <c r="Z763" s="2"/>
    </row>
    <row r="764">
      <c r="A764" s="2"/>
      <c r="B764" s="132"/>
      <c r="C764" s="132"/>
      <c r="D764" s="132"/>
      <c r="E764" s="132"/>
      <c r="F764" s="132"/>
      <c r="G764" s="132"/>
      <c r="H764" s="132"/>
      <c r="I764" s="132"/>
      <c r="J764" s="132"/>
      <c r="K764" s="132"/>
      <c r="L764" s="2"/>
      <c r="M764" s="2"/>
      <c r="N764" s="2"/>
      <c r="O764" s="2"/>
      <c r="P764" s="2"/>
      <c r="Q764" s="2"/>
      <c r="R764" s="2"/>
      <c r="S764" s="2"/>
      <c r="T764" s="2"/>
      <c r="U764" s="2"/>
      <c r="V764" s="2"/>
      <c r="W764" s="2"/>
      <c r="X764" s="2"/>
      <c r="Y764" s="2"/>
      <c r="Z764" s="2"/>
    </row>
    <row r="765">
      <c r="A765" s="2"/>
      <c r="B765" s="132"/>
      <c r="C765" s="132"/>
      <c r="D765" s="132"/>
      <c r="E765" s="132"/>
      <c r="F765" s="132"/>
      <c r="G765" s="132"/>
      <c r="H765" s="132"/>
      <c r="I765" s="132"/>
      <c r="J765" s="132"/>
      <c r="K765" s="132"/>
      <c r="L765" s="2"/>
      <c r="M765" s="2"/>
      <c r="N765" s="2"/>
      <c r="O765" s="2"/>
      <c r="P765" s="2"/>
      <c r="Q765" s="2"/>
      <c r="R765" s="2"/>
      <c r="S765" s="2"/>
      <c r="T765" s="2"/>
      <c r="U765" s="2"/>
      <c r="V765" s="2"/>
      <c r="W765" s="2"/>
      <c r="X765" s="2"/>
      <c r="Y765" s="2"/>
      <c r="Z765" s="2"/>
    </row>
    <row r="766">
      <c r="A766" s="2"/>
      <c r="B766" s="132"/>
      <c r="C766" s="132"/>
      <c r="D766" s="132"/>
      <c r="E766" s="132"/>
      <c r="F766" s="132"/>
      <c r="G766" s="132"/>
      <c r="H766" s="132"/>
      <c r="I766" s="132"/>
      <c r="J766" s="132"/>
      <c r="K766" s="132"/>
      <c r="L766" s="2"/>
      <c r="M766" s="2"/>
      <c r="N766" s="2"/>
      <c r="O766" s="2"/>
      <c r="P766" s="2"/>
      <c r="Q766" s="2"/>
      <c r="R766" s="2"/>
      <c r="S766" s="2"/>
      <c r="T766" s="2"/>
      <c r="U766" s="2"/>
      <c r="V766" s="2"/>
      <c r="W766" s="2"/>
      <c r="X766" s="2"/>
      <c r="Y766" s="2"/>
      <c r="Z766" s="2"/>
    </row>
    <row r="767">
      <c r="A767" s="2"/>
      <c r="B767" s="132"/>
      <c r="C767" s="132"/>
      <c r="D767" s="132"/>
      <c r="E767" s="132"/>
      <c r="F767" s="132"/>
      <c r="G767" s="132"/>
      <c r="H767" s="132"/>
      <c r="I767" s="132"/>
      <c r="J767" s="132"/>
      <c r="K767" s="132"/>
      <c r="L767" s="2"/>
      <c r="M767" s="2"/>
      <c r="N767" s="2"/>
      <c r="O767" s="2"/>
      <c r="P767" s="2"/>
      <c r="Q767" s="2"/>
      <c r="R767" s="2"/>
      <c r="S767" s="2"/>
      <c r="T767" s="2"/>
      <c r="U767" s="2"/>
      <c r="V767" s="2"/>
      <c r="W767" s="2"/>
      <c r="X767" s="2"/>
      <c r="Y767" s="2"/>
      <c r="Z767" s="2"/>
    </row>
    <row r="768">
      <c r="A768" s="2"/>
      <c r="B768" s="132"/>
      <c r="C768" s="132"/>
      <c r="D768" s="132"/>
      <c r="E768" s="132"/>
      <c r="F768" s="132"/>
      <c r="G768" s="132"/>
      <c r="H768" s="132"/>
      <c r="I768" s="132"/>
      <c r="J768" s="132"/>
      <c r="K768" s="132"/>
      <c r="L768" s="2"/>
      <c r="M768" s="2"/>
      <c r="N768" s="2"/>
      <c r="O768" s="2"/>
      <c r="P768" s="2"/>
      <c r="Q768" s="2"/>
      <c r="R768" s="2"/>
      <c r="S768" s="2"/>
      <c r="T768" s="2"/>
      <c r="U768" s="2"/>
      <c r="V768" s="2"/>
      <c r="W768" s="2"/>
      <c r="X768" s="2"/>
      <c r="Y768" s="2"/>
      <c r="Z768" s="2"/>
    </row>
    <row r="769">
      <c r="A769" s="2"/>
      <c r="B769" s="132"/>
      <c r="C769" s="132"/>
      <c r="D769" s="132"/>
      <c r="E769" s="132"/>
      <c r="F769" s="132"/>
      <c r="G769" s="132"/>
      <c r="H769" s="132"/>
      <c r="I769" s="132"/>
      <c r="J769" s="132"/>
      <c r="K769" s="132"/>
      <c r="L769" s="2"/>
      <c r="M769" s="2"/>
      <c r="N769" s="2"/>
      <c r="O769" s="2"/>
      <c r="P769" s="2"/>
      <c r="Q769" s="2"/>
      <c r="R769" s="2"/>
      <c r="S769" s="2"/>
      <c r="T769" s="2"/>
      <c r="U769" s="2"/>
      <c r="V769" s="2"/>
      <c r="W769" s="2"/>
      <c r="X769" s="2"/>
      <c r="Y769" s="2"/>
      <c r="Z769" s="2"/>
    </row>
    <row r="770">
      <c r="A770" s="2"/>
      <c r="B770" s="132"/>
      <c r="C770" s="132"/>
      <c r="D770" s="132"/>
      <c r="E770" s="132"/>
      <c r="F770" s="132"/>
      <c r="G770" s="132"/>
      <c r="H770" s="132"/>
      <c r="I770" s="132"/>
      <c r="J770" s="132"/>
      <c r="K770" s="132"/>
      <c r="L770" s="2"/>
      <c r="M770" s="2"/>
      <c r="N770" s="2"/>
      <c r="O770" s="2"/>
      <c r="P770" s="2"/>
      <c r="Q770" s="2"/>
      <c r="R770" s="2"/>
      <c r="S770" s="2"/>
      <c r="T770" s="2"/>
      <c r="U770" s="2"/>
      <c r="V770" s="2"/>
      <c r="W770" s="2"/>
      <c r="X770" s="2"/>
      <c r="Y770" s="2"/>
      <c r="Z770" s="2"/>
    </row>
    <row r="771">
      <c r="A771" s="2"/>
      <c r="B771" s="132"/>
      <c r="C771" s="132"/>
      <c r="D771" s="132"/>
      <c r="E771" s="132"/>
      <c r="F771" s="132"/>
      <c r="G771" s="132"/>
      <c r="H771" s="132"/>
      <c r="I771" s="132"/>
      <c r="J771" s="132"/>
      <c r="K771" s="132"/>
      <c r="L771" s="2"/>
      <c r="M771" s="2"/>
      <c r="N771" s="2"/>
      <c r="O771" s="2"/>
      <c r="P771" s="2"/>
      <c r="Q771" s="2"/>
      <c r="R771" s="2"/>
      <c r="S771" s="2"/>
      <c r="T771" s="2"/>
      <c r="U771" s="2"/>
      <c r="V771" s="2"/>
      <c r="W771" s="2"/>
      <c r="X771" s="2"/>
      <c r="Y771" s="2"/>
      <c r="Z771" s="2"/>
    </row>
    <row r="772">
      <c r="A772" s="2"/>
      <c r="B772" s="132"/>
      <c r="C772" s="132"/>
      <c r="D772" s="132"/>
      <c r="E772" s="132"/>
      <c r="F772" s="132"/>
      <c r="G772" s="132"/>
      <c r="H772" s="132"/>
      <c r="I772" s="132"/>
      <c r="J772" s="132"/>
      <c r="K772" s="132"/>
      <c r="L772" s="2"/>
      <c r="M772" s="2"/>
      <c r="N772" s="2"/>
      <c r="O772" s="2"/>
      <c r="P772" s="2"/>
      <c r="Q772" s="2"/>
      <c r="R772" s="2"/>
      <c r="S772" s="2"/>
      <c r="T772" s="2"/>
      <c r="U772" s="2"/>
      <c r="V772" s="2"/>
      <c r="W772" s="2"/>
      <c r="X772" s="2"/>
      <c r="Y772" s="2"/>
      <c r="Z772" s="2"/>
    </row>
    <row r="773">
      <c r="A773" s="2"/>
      <c r="B773" s="132"/>
      <c r="C773" s="132"/>
      <c r="D773" s="132"/>
      <c r="E773" s="132"/>
      <c r="F773" s="132"/>
      <c r="G773" s="132"/>
      <c r="H773" s="132"/>
      <c r="I773" s="132"/>
      <c r="J773" s="132"/>
      <c r="K773" s="132"/>
      <c r="L773" s="2"/>
      <c r="M773" s="2"/>
      <c r="N773" s="2"/>
      <c r="O773" s="2"/>
      <c r="P773" s="2"/>
      <c r="Q773" s="2"/>
      <c r="R773" s="2"/>
      <c r="S773" s="2"/>
      <c r="T773" s="2"/>
      <c r="U773" s="2"/>
      <c r="V773" s="2"/>
      <c r="W773" s="2"/>
      <c r="X773" s="2"/>
      <c r="Y773" s="2"/>
      <c r="Z773" s="2"/>
    </row>
    <row r="774">
      <c r="A774" s="2"/>
      <c r="B774" s="132"/>
      <c r="C774" s="132"/>
      <c r="D774" s="132"/>
      <c r="E774" s="132"/>
      <c r="F774" s="132"/>
      <c r="G774" s="132"/>
      <c r="H774" s="132"/>
      <c r="I774" s="132"/>
      <c r="J774" s="132"/>
      <c r="K774" s="132"/>
      <c r="L774" s="2"/>
      <c r="M774" s="2"/>
      <c r="N774" s="2"/>
      <c r="O774" s="2"/>
      <c r="P774" s="2"/>
      <c r="Q774" s="2"/>
      <c r="R774" s="2"/>
      <c r="S774" s="2"/>
      <c r="T774" s="2"/>
      <c r="U774" s="2"/>
      <c r="V774" s="2"/>
      <c r="W774" s="2"/>
      <c r="X774" s="2"/>
      <c r="Y774" s="2"/>
      <c r="Z774" s="2"/>
    </row>
    <row r="775">
      <c r="A775" s="2"/>
      <c r="B775" s="132"/>
      <c r="C775" s="132"/>
      <c r="D775" s="132"/>
      <c r="E775" s="132"/>
      <c r="F775" s="132"/>
      <c r="G775" s="132"/>
      <c r="H775" s="132"/>
      <c r="I775" s="132"/>
      <c r="J775" s="132"/>
      <c r="K775" s="132"/>
      <c r="L775" s="2"/>
      <c r="M775" s="2"/>
      <c r="N775" s="2"/>
      <c r="O775" s="2"/>
      <c r="P775" s="2"/>
      <c r="Q775" s="2"/>
      <c r="R775" s="2"/>
      <c r="S775" s="2"/>
      <c r="T775" s="2"/>
      <c r="U775" s="2"/>
      <c r="V775" s="2"/>
      <c r="W775" s="2"/>
      <c r="X775" s="2"/>
      <c r="Y775" s="2"/>
      <c r="Z775" s="2"/>
    </row>
    <row r="776">
      <c r="A776" s="2"/>
      <c r="B776" s="132"/>
      <c r="C776" s="132"/>
      <c r="D776" s="132"/>
      <c r="E776" s="132"/>
      <c r="F776" s="132"/>
      <c r="G776" s="132"/>
      <c r="H776" s="132"/>
      <c r="I776" s="132"/>
      <c r="J776" s="132"/>
      <c r="K776" s="132"/>
      <c r="L776" s="2"/>
      <c r="M776" s="2"/>
      <c r="N776" s="2"/>
      <c r="O776" s="2"/>
      <c r="P776" s="2"/>
      <c r="Q776" s="2"/>
      <c r="R776" s="2"/>
      <c r="S776" s="2"/>
      <c r="T776" s="2"/>
      <c r="U776" s="2"/>
      <c r="V776" s="2"/>
      <c r="W776" s="2"/>
      <c r="X776" s="2"/>
      <c r="Y776" s="2"/>
      <c r="Z776" s="2"/>
    </row>
    <row r="777">
      <c r="A777" s="2"/>
      <c r="B777" s="132"/>
      <c r="C777" s="132"/>
      <c r="D777" s="132"/>
      <c r="E777" s="132"/>
      <c r="F777" s="132"/>
      <c r="G777" s="132"/>
      <c r="H777" s="132"/>
      <c r="I777" s="132"/>
      <c r="J777" s="132"/>
      <c r="K777" s="132"/>
      <c r="L777" s="2"/>
      <c r="M777" s="2"/>
      <c r="N777" s="2"/>
      <c r="O777" s="2"/>
      <c r="P777" s="2"/>
      <c r="Q777" s="2"/>
      <c r="R777" s="2"/>
      <c r="S777" s="2"/>
      <c r="T777" s="2"/>
      <c r="U777" s="2"/>
      <c r="V777" s="2"/>
      <c r="W777" s="2"/>
      <c r="X777" s="2"/>
      <c r="Y777" s="2"/>
      <c r="Z777" s="2"/>
    </row>
    <row r="778">
      <c r="A778" s="2"/>
      <c r="B778" s="132"/>
      <c r="C778" s="132"/>
      <c r="D778" s="132"/>
      <c r="E778" s="132"/>
      <c r="F778" s="132"/>
      <c r="G778" s="132"/>
      <c r="H778" s="132"/>
      <c r="I778" s="132"/>
      <c r="J778" s="132"/>
      <c r="K778" s="132"/>
      <c r="L778" s="2"/>
      <c r="M778" s="2"/>
      <c r="N778" s="2"/>
      <c r="O778" s="2"/>
      <c r="P778" s="2"/>
      <c r="Q778" s="2"/>
      <c r="R778" s="2"/>
      <c r="S778" s="2"/>
      <c r="T778" s="2"/>
      <c r="U778" s="2"/>
      <c r="V778" s="2"/>
      <c r="W778" s="2"/>
      <c r="X778" s="2"/>
      <c r="Y778" s="2"/>
      <c r="Z778" s="2"/>
    </row>
    <row r="779">
      <c r="A779" s="2"/>
      <c r="B779" s="132"/>
      <c r="C779" s="132"/>
      <c r="D779" s="132"/>
      <c r="E779" s="132"/>
      <c r="F779" s="132"/>
      <c r="G779" s="132"/>
      <c r="H779" s="132"/>
      <c r="I779" s="132"/>
      <c r="J779" s="132"/>
      <c r="K779" s="132"/>
      <c r="L779" s="2"/>
      <c r="M779" s="2"/>
      <c r="N779" s="2"/>
      <c r="O779" s="2"/>
      <c r="P779" s="2"/>
      <c r="Q779" s="2"/>
      <c r="R779" s="2"/>
      <c r="S779" s="2"/>
      <c r="T779" s="2"/>
      <c r="U779" s="2"/>
      <c r="V779" s="2"/>
      <c r="W779" s="2"/>
      <c r="X779" s="2"/>
      <c r="Y779" s="2"/>
      <c r="Z779" s="2"/>
    </row>
    <row r="780">
      <c r="A780" s="2"/>
      <c r="B780" s="132"/>
      <c r="C780" s="132"/>
      <c r="D780" s="132"/>
      <c r="E780" s="132"/>
      <c r="F780" s="132"/>
      <c r="G780" s="132"/>
      <c r="H780" s="132"/>
      <c r="I780" s="132"/>
      <c r="J780" s="132"/>
      <c r="K780" s="132"/>
      <c r="L780" s="2"/>
      <c r="M780" s="2"/>
      <c r="N780" s="2"/>
      <c r="O780" s="2"/>
      <c r="P780" s="2"/>
      <c r="Q780" s="2"/>
      <c r="R780" s="2"/>
      <c r="S780" s="2"/>
      <c r="T780" s="2"/>
      <c r="U780" s="2"/>
      <c r="V780" s="2"/>
      <c r="W780" s="2"/>
      <c r="X780" s="2"/>
      <c r="Y780" s="2"/>
      <c r="Z780" s="2"/>
    </row>
    <row r="781">
      <c r="A781" s="2"/>
      <c r="B781" s="132"/>
      <c r="C781" s="132"/>
      <c r="D781" s="132"/>
      <c r="E781" s="132"/>
      <c r="F781" s="132"/>
      <c r="G781" s="132"/>
      <c r="H781" s="132"/>
      <c r="I781" s="132"/>
      <c r="J781" s="132"/>
      <c r="K781" s="132"/>
      <c r="L781" s="2"/>
      <c r="M781" s="2"/>
      <c r="N781" s="2"/>
      <c r="O781" s="2"/>
      <c r="P781" s="2"/>
      <c r="Q781" s="2"/>
      <c r="R781" s="2"/>
      <c r="S781" s="2"/>
      <c r="T781" s="2"/>
      <c r="U781" s="2"/>
      <c r="V781" s="2"/>
      <c r="W781" s="2"/>
      <c r="X781" s="2"/>
      <c r="Y781" s="2"/>
      <c r="Z781" s="2"/>
    </row>
    <row r="782">
      <c r="A782" s="2"/>
      <c r="B782" s="132"/>
      <c r="C782" s="132"/>
      <c r="D782" s="132"/>
      <c r="E782" s="132"/>
      <c r="F782" s="132"/>
      <c r="G782" s="132"/>
      <c r="H782" s="132"/>
      <c r="I782" s="132"/>
      <c r="J782" s="132"/>
      <c r="K782" s="132"/>
      <c r="L782" s="2"/>
      <c r="M782" s="2"/>
      <c r="N782" s="2"/>
      <c r="O782" s="2"/>
      <c r="P782" s="2"/>
      <c r="Q782" s="2"/>
      <c r="R782" s="2"/>
      <c r="S782" s="2"/>
      <c r="T782" s="2"/>
      <c r="U782" s="2"/>
      <c r="V782" s="2"/>
      <c r="W782" s="2"/>
      <c r="X782" s="2"/>
      <c r="Y782" s="2"/>
      <c r="Z782" s="2"/>
    </row>
    <row r="783">
      <c r="A783" s="2"/>
      <c r="B783" s="132"/>
      <c r="C783" s="132"/>
      <c r="D783" s="132"/>
      <c r="E783" s="132"/>
      <c r="F783" s="132"/>
      <c r="G783" s="132"/>
      <c r="H783" s="132"/>
      <c r="I783" s="132"/>
      <c r="J783" s="132"/>
      <c r="K783" s="132"/>
      <c r="L783" s="2"/>
      <c r="M783" s="2"/>
      <c r="N783" s="2"/>
      <c r="O783" s="2"/>
      <c r="P783" s="2"/>
      <c r="Q783" s="2"/>
      <c r="R783" s="2"/>
      <c r="S783" s="2"/>
      <c r="T783" s="2"/>
      <c r="U783" s="2"/>
      <c r="V783" s="2"/>
      <c r="W783" s="2"/>
      <c r="X783" s="2"/>
      <c r="Y783" s="2"/>
      <c r="Z783" s="2"/>
    </row>
    <row r="784">
      <c r="A784" s="2"/>
      <c r="B784" s="132"/>
      <c r="C784" s="132"/>
      <c r="D784" s="132"/>
      <c r="E784" s="132"/>
      <c r="F784" s="132"/>
      <c r="G784" s="132"/>
      <c r="H784" s="132"/>
      <c r="I784" s="132"/>
      <c r="J784" s="132"/>
      <c r="K784" s="132"/>
      <c r="L784" s="2"/>
      <c r="M784" s="2"/>
      <c r="N784" s="2"/>
      <c r="O784" s="2"/>
      <c r="P784" s="2"/>
      <c r="Q784" s="2"/>
      <c r="R784" s="2"/>
      <c r="S784" s="2"/>
      <c r="T784" s="2"/>
      <c r="U784" s="2"/>
      <c r="V784" s="2"/>
      <c r="W784" s="2"/>
      <c r="X784" s="2"/>
      <c r="Y784" s="2"/>
      <c r="Z784" s="2"/>
    </row>
    <row r="785">
      <c r="A785" s="2"/>
      <c r="B785" s="132"/>
      <c r="C785" s="132"/>
      <c r="D785" s="132"/>
      <c r="E785" s="132"/>
      <c r="F785" s="132"/>
      <c r="G785" s="132"/>
      <c r="H785" s="132"/>
      <c r="I785" s="132"/>
      <c r="J785" s="132"/>
      <c r="K785" s="132"/>
      <c r="L785" s="2"/>
      <c r="M785" s="2"/>
      <c r="N785" s="2"/>
      <c r="O785" s="2"/>
      <c r="P785" s="2"/>
      <c r="Q785" s="2"/>
      <c r="R785" s="2"/>
      <c r="S785" s="2"/>
      <c r="T785" s="2"/>
      <c r="U785" s="2"/>
      <c r="V785" s="2"/>
      <c r="W785" s="2"/>
      <c r="X785" s="2"/>
      <c r="Y785" s="2"/>
      <c r="Z785" s="2"/>
    </row>
    <row r="786">
      <c r="A786" s="2"/>
      <c r="B786" s="132"/>
      <c r="C786" s="132"/>
      <c r="D786" s="132"/>
      <c r="E786" s="132"/>
      <c r="F786" s="132"/>
      <c r="G786" s="132"/>
      <c r="H786" s="132"/>
      <c r="I786" s="132"/>
      <c r="J786" s="132"/>
      <c r="K786" s="132"/>
      <c r="L786" s="2"/>
      <c r="M786" s="2"/>
      <c r="N786" s="2"/>
      <c r="O786" s="2"/>
      <c r="P786" s="2"/>
      <c r="Q786" s="2"/>
      <c r="R786" s="2"/>
      <c r="S786" s="2"/>
      <c r="T786" s="2"/>
      <c r="U786" s="2"/>
      <c r="V786" s="2"/>
      <c r="W786" s="2"/>
      <c r="X786" s="2"/>
      <c r="Y786" s="2"/>
      <c r="Z786" s="2"/>
    </row>
    <row r="787">
      <c r="A787" s="2"/>
      <c r="B787" s="132"/>
      <c r="C787" s="132"/>
      <c r="D787" s="132"/>
      <c r="E787" s="132"/>
      <c r="F787" s="132"/>
      <c r="G787" s="132"/>
      <c r="H787" s="132"/>
      <c r="I787" s="132"/>
      <c r="J787" s="132"/>
      <c r="K787" s="132"/>
      <c r="L787" s="2"/>
      <c r="M787" s="2"/>
      <c r="N787" s="2"/>
      <c r="O787" s="2"/>
      <c r="P787" s="2"/>
      <c r="Q787" s="2"/>
      <c r="R787" s="2"/>
      <c r="S787" s="2"/>
      <c r="T787" s="2"/>
      <c r="U787" s="2"/>
      <c r="V787" s="2"/>
      <c r="W787" s="2"/>
      <c r="X787" s="2"/>
      <c r="Y787" s="2"/>
      <c r="Z787" s="2"/>
    </row>
    <row r="788">
      <c r="A788" s="2"/>
      <c r="B788" s="132"/>
      <c r="C788" s="132"/>
      <c r="D788" s="132"/>
      <c r="E788" s="132"/>
      <c r="F788" s="132"/>
      <c r="G788" s="132"/>
      <c r="H788" s="132"/>
      <c r="I788" s="132"/>
      <c r="J788" s="132"/>
      <c r="K788" s="132"/>
      <c r="L788" s="2"/>
      <c r="M788" s="2"/>
      <c r="N788" s="2"/>
      <c r="O788" s="2"/>
      <c r="P788" s="2"/>
      <c r="Q788" s="2"/>
      <c r="R788" s="2"/>
      <c r="S788" s="2"/>
      <c r="T788" s="2"/>
      <c r="U788" s="2"/>
      <c r="V788" s="2"/>
      <c r="W788" s="2"/>
      <c r="X788" s="2"/>
      <c r="Y788" s="2"/>
      <c r="Z788" s="2"/>
    </row>
    <row r="789">
      <c r="A789" s="2"/>
      <c r="B789" s="132"/>
      <c r="C789" s="132"/>
      <c r="D789" s="132"/>
      <c r="E789" s="132"/>
      <c r="F789" s="132"/>
      <c r="G789" s="132"/>
      <c r="H789" s="132"/>
      <c r="I789" s="132"/>
      <c r="J789" s="132"/>
      <c r="K789" s="132"/>
      <c r="L789" s="2"/>
      <c r="M789" s="2"/>
      <c r="N789" s="2"/>
      <c r="O789" s="2"/>
      <c r="P789" s="2"/>
      <c r="Q789" s="2"/>
      <c r="R789" s="2"/>
      <c r="S789" s="2"/>
      <c r="T789" s="2"/>
      <c r="U789" s="2"/>
      <c r="V789" s="2"/>
      <c r="W789" s="2"/>
      <c r="X789" s="2"/>
      <c r="Y789" s="2"/>
      <c r="Z789" s="2"/>
    </row>
    <row r="790">
      <c r="A790" s="2"/>
      <c r="B790" s="132"/>
      <c r="C790" s="132"/>
      <c r="D790" s="132"/>
      <c r="E790" s="132"/>
      <c r="F790" s="132"/>
      <c r="G790" s="132"/>
      <c r="H790" s="132"/>
      <c r="I790" s="132"/>
      <c r="J790" s="132"/>
      <c r="K790" s="132"/>
      <c r="L790" s="2"/>
      <c r="M790" s="2"/>
      <c r="N790" s="2"/>
      <c r="O790" s="2"/>
      <c r="P790" s="2"/>
      <c r="Q790" s="2"/>
      <c r="R790" s="2"/>
      <c r="S790" s="2"/>
      <c r="T790" s="2"/>
      <c r="U790" s="2"/>
      <c r="V790" s="2"/>
      <c r="W790" s="2"/>
      <c r="X790" s="2"/>
      <c r="Y790" s="2"/>
      <c r="Z790" s="2"/>
    </row>
    <row r="791">
      <c r="A791" s="2"/>
      <c r="B791" s="132"/>
      <c r="C791" s="132"/>
      <c r="D791" s="132"/>
      <c r="E791" s="132"/>
      <c r="F791" s="132"/>
      <c r="G791" s="132"/>
      <c r="H791" s="132"/>
      <c r="I791" s="132"/>
      <c r="J791" s="132"/>
      <c r="K791" s="132"/>
      <c r="L791" s="2"/>
      <c r="M791" s="2"/>
      <c r="N791" s="2"/>
      <c r="O791" s="2"/>
      <c r="P791" s="2"/>
      <c r="Q791" s="2"/>
      <c r="R791" s="2"/>
      <c r="S791" s="2"/>
      <c r="T791" s="2"/>
      <c r="U791" s="2"/>
      <c r="V791" s="2"/>
      <c r="W791" s="2"/>
      <c r="X791" s="2"/>
      <c r="Y791" s="2"/>
      <c r="Z791" s="2"/>
    </row>
    <row r="792">
      <c r="A792" s="2"/>
      <c r="B792" s="132"/>
      <c r="C792" s="132"/>
      <c r="D792" s="132"/>
      <c r="E792" s="132"/>
      <c r="F792" s="132"/>
      <c r="G792" s="132"/>
      <c r="H792" s="132"/>
      <c r="I792" s="132"/>
      <c r="J792" s="132"/>
      <c r="K792" s="132"/>
      <c r="L792" s="2"/>
      <c r="M792" s="2"/>
      <c r="N792" s="2"/>
      <c r="O792" s="2"/>
      <c r="P792" s="2"/>
      <c r="Q792" s="2"/>
      <c r="R792" s="2"/>
      <c r="S792" s="2"/>
      <c r="T792" s="2"/>
      <c r="U792" s="2"/>
      <c r="V792" s="2"/>
      <c r="W792" s="2"/>
      <c r="X792" s="2"/>
      <c r="Y792" s="2"/>
      <c r="Z792" s="2"/>
    </row>
    <row r="793">
      <c r="A793" s="2"/>
      <c r="B793" s="132"/>
      <c r="C793" s="132"/>
      <c r="D793" s="132"/>
      <c r="E793" s="132"/>
      <c r="F793" s="132"/>
      <c r="G793" s="132"/>
      <c r="H793" s="132"/>
      <c r="I793" s="132"/>
      <c r="J793" s="132"/>
      <c r="K793" s="132"/>
      <c r="L793" s="2"/>
      <c r="M793" s="2"/>
      <c r="N793" s="2"/>
      <c r="O793" s="2"/>
      <c r="P793" s="2"/>
      <c r="Q793" s="2"/>
      <c r="R793" s="2"/>
      <c r="S793" s="2"/>
      <c r="T793" s="2"/>
      <c r="U793" s="2"/>
      <c r="V793" s="2"/>
      <c r="W793" s="2"/>
      <c r="X793" s="2"/>
      <c r="Y793" s="2"/>
      <c r="Z793" s="2"/>
    </row>
    <row r="794">
      <c r="A794" s="2"/>
      <c r="B794" s="132"/>
      <c r="C794" s="132"/>
      <c r="D794" s="132"/>
      <c r="E794" s="132"/>
      <c r="F794" s="132"/>
      <c r="G794" s="132"/>
      <c r="H794" s="132"/>
      <c r="I794" s="132"/>
      <c r="J794" s="132"/>
      <c r="K794" s="132"/>
      <c r="L794" s="2"/>
      <c r="M794" s="2"/>
      <c r="N794" s="2"/>
      <c r="O794" s="2"/>
      <c r="P794" s="2"/>
      <c r="Q794" s="2"/>
      <c r="R794" s="2"/>
      <c r="S794" s="2"/>
      <c r="T794" s="2"/>
      <c r="U794" s="2"/>
      <c r="V794" s="2"/>
      <c r="W794" s="2"/>
      <c r="X794" s="2"/>
      <c r="Y794" s="2"/>
      <c r="Z794" s="2"/>
    </row>
    <row r="795">
      <c r="A795" s="2"/>
      <c r="B795" s="132"/>
      <c r="C795" s="132"/>
      <c r="D795" s="132"/>
      <c r="E795" s="132"/>
      <c r="F795" s="132"/>
      <c r="G795" s="132"/>
      <c r="H795" s="132"/>
      <c r="I795" s="132"/>
      <c r="J795" s="132"/>
      <c r="K795" s="132"/>
      <c r="L795" s="2"/>
      <c r="M795" s="2"/>
      <c r="N795" s="2"/>
      <c r="O795" s="2"/>
      <c r="P795" s="2"/>
      <c r="Q795" s="2"/>
      <c r="R795" s="2"/>
      <c r="S795" s="2"/>
      <c r="T795" s="2"/>
      <c r="U795" s="2"/>
      <c r="V795" s="2"/>
      <c r="W795" s="2"/>
      <c r="X795" s="2"/>
      <c r="Y795" s="2"/>
      <c r="Z795" s="2"/>
    </row>
    <row r="796">
      <c r="A796" s="2"/>
      <c r="B796" s="132"/>
      <c r="C796" s="132"/>
      <c r="D796" s="132"/>
      <c r="E796" s="132"/>
      <c r="F796" s="132"/>
      <c r="G796" s="132"/>
      <c r="H796" s="132"/>
      <c r="I796" s="132"/>
      <c r="J796" s="132"/>
      <c r="K796" s="132"/>
      <c r="L796" s="2"/>
      <c r="M796" s="2"/>
      <c r="N796" s="2"/>
      <c r="O796" s="2"/>
      <c r="P796" s="2"/>
      <c r="Q796" s="2"/>
      <c r="R796" s="2"/>
      <c r="S796" s="2"/>
      <c r="T796" s="2"/>
      <c r="U796" s="2"/>
      <c r="V796" s="2"/>
      <c r="W796" s="2"/>
      <c r="X796" s="2"/>
      <c r="Y796" s="2"/>
      <c r="Z796" s="2"/>
    </row>
    <row r="797">
      <c r="A797" s="2"/>
      <c r="B797" s="132"/>
      <c r="C797" s="132"/>
      <c r="D797" s="132"/>
      <c r="E797" s="132"/>
      <c r="F797" s="132"/>
      <c r="G797" s="132"/>
      <c r="H797" s="132"/>
      <c r="I797" s="132"/>
      <c r="J797" s="132"/>
      <c r="K797" s="132"/>
      <c r="L797" s="2"/>
      <c r="M797" s="2"/>
      <c r="N797" s="2"/>
      <c r="O797" s="2"/>
      <c r="P797" s="2"/>
      <c r="Q797" s="2"/>
      <c r="R797" s="2"/>
      <c r="S797" s="2"/>
      <c r="T797" s="2"/>
      <c r="U797" s="2"/>
      <c r="V797" s="2"/>
      <c r="W797" s="2"/>
      <c r="X797" s="2"/>
      <c r="Y797" s="2"/>
      <c r="Z797" s="2"/>
    </row>
    <row r="798">
      <c r="A798" s="2"/>
      <c r="B798" s="132"/>
      <c r="C798" s="132"/>
      <c r="D798" s="132"/>
      <c r="E798" s="132"/>
      <c r="F798" s="132"/>
      <c r="G798" s="132"/>
      <c r="H798" s="132"/>
      <c r="I798" s="132"/>
      <c r="J798" s="132"/>
      <c r="K798" s="132"/>
      <c r="L798" s="2"/>
      <c r="M798" s="2"/>
      <c r="N798" s="2"/>
      <c r="O798" s="2"/>
      <c r="P798" s="2"/>
      <c r="Q798" s="2"/>
      <c r="R798" s="2"/>
      <c r="S798" s="2"/>
      <c r="T798" s="2"/>
      <c r="U798" s="2"/>
      <c r="V798" s="2"/>
      <c r="W798" s="2"/>
      <c r="X798" s="2"/>
      <c r="Y798" s="2"/>
      <c r="Z798" s="2"/>
    </row>
    <row r="799">
      <c r="A799" s="2"/>
      <c r="B799" s="132"/>
      <c r="C799" s="132"/>
      <c r="D799" s="132"/>
      <c r="E799" s="132"/>
      <c r="F799" s="132"/>
      <c r="G799" s="132"/>
      <c r="H799" s="132"/>
      <c r="I799" s="132"/>
      <c r="J799" s="132"/>
      <c r="K799" s="132"/>
      <c r="L799" s="2"/>
      <c r="M799" s="2"/>
      <c r="N799" s="2"/>
      <c r="O799" s="2"/>
      <c r="P799" s="2"/>
      <c r="Q799" s="2"/>
      <c r="R799" s="2"/>
      <c r="S799" s="2"/>
      <c r="T799" s="2"/>
      <c r="U799" s="2"/>
      <c r="V799" s="2"/>
      <c r="W799" s="2"/>
      <c r="X799" s="2"/>
      <c r="Y799" s="2"/>
      <c r="Z799" s="2"/>
    </row>
    <row r="800">
      <c r="A800" s="2"/>
      <c r="B800" s="132"/>
      <c r="C800" s="132"/>
      <c r="D800" s="132"/>
      <c r="E800" s="132"/>
      <c r="F800" s="132"/>
      <c r="G800" s="132"/>
      <c r="H800" s="132"/>
      <c r="I800" s="132"/>
      <c r="J800" s="132"/>
      <c r="K800" s="132"/>
      <c r="L800" s="2"/>
      <c r="M800" s="2"/>
      <c r="N800" s="2"/>
      <c r="O800" s="2"/>
      <c r="P800" s="2"/>
      <c r="Q800" s="2"/>
      <c r="R800" s="2"/>
      <c r="S800" s="2"/>
      <c r="T800" s="2"/>
      <c r="U800" s="2"/>
      <c r="V800" s="2"/>
      <c r="W800" s="2"/>
      <c r="X800" s="2"/>
      <c r="Y800" s="2"/>
      <c r="Z800" s="2"/>
    </row>
    <row r="801">
      <c r="A801" s="2"/>
      <c r="B801" s="132"/>
      <c r="C801" s="132"/>
      <c r="D801" s="132"/>
      <c r="E801" s="132"/>
      <c r="F801" s="132"/>
      <c r="G801" s="132"/>
      <c r="H801" s="132"/>
      <c r="I801" s="132"/>
      <c r="J801" s="132"/>
      <c r="K801" s="132"/>
      <c r="L801" s="2"/>
      <c r="M801" s="2"/>
      <c r="N801" s="2"/>
      <c r="O801" s="2"/>
      <c r="P801" s="2"/>
      <c r="Q801" s="2"/>
      <c r="R801" s="2"/>
      <c r="S801" s="2"/>
      <c r="T801" s="2"/>
      <c r="U801" s="2"/>
      <c r="V801" s="2"/>
      <c r="W801" s="2"/>
      <c r="X801" s="2"/>
      <c r="Y801" s="2"/>
      <c r="Z801" s="2"/>
    </row>
    <row r="802">
      <c r="A802" s="2"/>
      <c r="B802" s="132"/>
      <c r="C802" s="132"/>
      <c r="D802" s="132"/>
      <c r="E802" s="132"/>
      <c r="F802" s="132"/>
      <c r="G802" s="132"/>
      <c r="H802" s="132"/>
      <c r="I802" s="132"/>
      <c r="J802" s="132"/>
      <c r="K802" s="132"/>
      <c r="L802" s="2"/>
      <c r="M802" s="2"/>
      <c r="N802" s="2"/>
      <c r="O802" s="2"/>
      <c r="P802" s="2"/>
      <c r="Q802" s="2"/>
      <c r="R802" s="2"/>
      <c r="S802" s="2"/>
      <c r="T802" s="2"/>
      <c r="U802" s="2"/>
      <c r="V802" s="2"/>
      <c r="W802" s="2"/>
      <c r="X802" s="2"/>
      <c r="Y802" s="2"/>
      <c r="Z802" s="2"/>
    </row>
    <row r="803">
      <c r="A803" s="2"/>
      <c r="B803" s="132"/>
      <c r="C803" s="132"/>
      <c r="D803" s="132"/>
      <c r="E803" s="132"/>
      <c r="F803" s="132"/>
      <c r="G803" s="132"/>
      <c r="H803" s="132"/>
      <c r="I803" s="132"/>
      <c r="J803" s="132"/>
      <c r="K803" s="132"/>
      <c r="L803" s="2"/>
      <c r="M803" s="2"/>
      <c r="N803" s="2"/>
      <c r="O803" s="2"/>
      <c r="P803" s="2"/>
      <c r="Q803" s="2"/>
      <c r="R803" s="2"/>
      <c r="S803" s="2"/>
      <c r="T803" s="2"/>
      <c r="U803" s="2"/>
      <c r="V803" s="2"/>
      <c r="W803" s="2"/>
      <c r="X803" s="2"/>
      <c r="Y803" s="2"/>
      <c r="Z803" s="2"/>
    </row>
    <row r="804">
      <c r="A804" s="2"/>
      <c r="B804" s="132"/>
      <c r="C804" s="132"/>
      <c r="D804" s="132"/>
      <c r="E804" s="132"/>
      <c r="F804" s="132"/>
      <c r="G804" s="132"/>
      <c r="H804" s="132"/>
      <c r="I804" s="132"/>
      <c r="J804" s="132"/>
      <c r="K804" s="132"/>
      <c r="L804" s="2"/>
      <c r="M804" s="2"/>
      <c r="N804" s="2"/>
      <c r="O804" s="2"/>
      <c r="P804" s="2"/>
      <c r="Q804" s="2"/>
      <c r="R804" s="2"/>
      <c r="S804" s="2"/>
      <c r="T804" s="2"/>
      <c r="U804" s="2"/>
      <c r="V804" s="2"/>
      <c r="W804" s="2"/>
      <c r="X804" s="2"/>
      <c r="Y804" s="2"/>
      <c r="Z804" s="2"/>
    </row>
    <row r="805">
      <c r="A805" s="2"/>
      <c r="B805" s="132"/>
      <c r="C805" s="132"/>
      <c r="D805" s="132"/>
      <c r="E805" s="132"/>
      <c r="F805" s="132"/>
      <c r="G805" s="132"/>
      <c r="H805" s="132"/>
      <c r="I805" s="132"/>
      <c r="J805" s="132"/>
      <c r="K805" s="132"/>
      <c r="L805" s="2"/>
      <c r="M805" s="2"/>
      <c r="N805" s="2"/>
      <c r="O805" s="2"/>
      <c r="P805" s="2"/>
      <c r="Q805" s="2"/>
      <c r="R805" s="2"/>
      <c r="S805" s="2"/>
      <c r="T805" s="2"/>
      <c r="U805" s="2"/>
      <c r="V805" s="2"/>
      <c r="W805" s="2"/>
      <c r="X805" s="2"/>
      <c r="Y805" s="2"/>
      <c r="Z805" s="2"/>
    </row>
    <row r="806">
      <c r="A806" s="2"/>
      <c r="B806" s="132"/>
      <c r="C806" s="132"/>
      <c r="D806" s="132"/>
      <c r="E806" s="132"/>
      <c r="F806" s="132"/>
      <c r="G806" s="132"/>
      <c r="H806" s="132"/>
      <c r="I806" s="132"/>
      <c r="J806" s="132"/>
      <c r="K806" s="132"/>
      <c r="L806" s="2"/>
      <c r="M806" s="2"/>
      <c r="N806" s="2"/>
      <c r="O806" s="2"/>
      <c r="P806" s="2"/>
      <c r="Q806" s="2"/>
      <c r="R806" s="2"/>
      <c r="S806" s="2"/>
      <c r="T806" s="2"/>
      <c r="U806" s="2"/>
      <c r="V806" s="2"/>
      <c r="W806" s="2"/>
      <c r="X806" s="2"/>
      <c r="Y806" s="2"/>
      <c r="Z806" s="2"/>
    </row>
    <row r="807">
      <c r="A807" s="2"/>
      <c r="B807" s="132"/>
      <c r="C807" s="132"/>
      <c r="D807" s="132"/>
      <c r="E807" s="132"/>
      <c r="F807" s="132"/>
      <c r="G807" s="132"/>
      <c r="H807" s="132"/>
      <c r="I807" s="132"/>
      <c r="J807" s="132"/>
      <c r="K807" s="132"/>
      <c r="L807" s="2"/>
      <c r="M807" s="2"/>
      <c r="N807" s="2"/>
      <c r="O807" s="2"/>
      <c r="P807" s="2"/>
      <c r="Q807" s="2"/>
      <c r="R807" s="2"/>
      <c r="S807" s="2"/>
      <c r="T807" s="2"/>
      <c r="U807" s="2"/>
      <c r="V807" s="2"/>
      <c r="W807" s="2"/>
      <c r="X807" s="2"/>
      <c r="Y807" s="2"/>
      <c r="Z807" s="2"/>
    </row>
    <row r="808">
      <c r="A808" s="2"/>
      <c r="B808" s="132"/>
      <c r="C808" s="132"/>
      <c r="D808" s="132"/>
      <c r="E808" s="132"/>
      <c r="F808" s="132"/>
      <c r="G808" s="132"/>
      <c r="H808" s="132"/>
      <c r="I808" s="132"/>
      <c r="J808" s="132"/>
      <c r="K808" s="132"/>
      <c r="L808" s="2"/>
      <c r="M808" s="2"/>
      <c r="N808" s="2"/>
      <c r="O808" s="2"/>
      <c r="P808" s="2"/>
      <c r="Q808" s="2"/>
      <c r="R808" s="2"/>
      <c r="S808" s="2"/>
      <c r="T808" s="2"/>
      <c r="U808" s="2"/>
      <c r="V808" s="2"/>
      <c r="W808" s="2"/>
      <c r="X808" s="2"/>
      <c r="Y808" s="2"/>
      <c r="Z808" s="2"/>
    </row>
    <row r="809">
      <c r="A809" s="2"/>
      <c r="B809" s="132"/>
      <c r="C809" s="132"/>
      <c r="D809" s="132"/>
      <c r="E809" s="132"/>
      <c r="F809" s="132"/>
      <c r="G809" s="132"/>
      <c r="H809" s="132"/>
      <c r="I809" s="132"/>
      <c r="J809" s="132"/>
      <c r="K809" s="132"/>
      <c r="L809" s="2"/>
      <c r="M809" s="2"/>
      <c r="N809" s="2"/>
      <c r="O809" s="2"/>
      <c r="P809" s="2"/>
      <c r="Q809" s="2"/>
      <c r="R809" s="2"/>
      <c r="S809" s="2"/>
      <c r="T809" s="2"/>
      <c r="U809" s="2"/>
      <c r="V809" s="2"/>
      <c r="W809" s="2"/>
      <c r="X809" s="2"/>
      <c r="Y809" s="2"/>
      <c r="Z809" s="2"/>
    </row>
    <row r="810">
      <c r="A810" s="2"/>
      <c r="B810" s="132"/>
      <c r="C810" s="132"/>
      <c r="D810" s="132"/>
      <c r="E810" s="132"/>
      <c r="F810" s="132"/>
      <c r="G810" s="132"/>
      <c r="H810" s="132"/>
      <c r="I810" s="132"/>
      <c r="J810" s="132"/>
      <c r="K810" s="132"/>
      <c r="L810" s="2"/>
      <c r="M810" s="2"/>
      <c r="N810" s="2"/>
      <c r="O810" s="2"/>
      <c r="P810" s="2"/>
      <c r="Q810" s="2"/>
      <c r="R810" s="2"/>
      <c r="S810" s="2"/>
      <c r="T810" s="2"/>
      <c r="U810" s="2"/>
      <c r="V810" s="2"/>
      <c r="W810" s="2"/>
      <c r="X810" s="2"/>
      <c r="Y810" s="2"/>
      <c r="Z810" s="2"/>
    </row>
    <row r="811">
      <c r="A811" s="2"/>
      <c r="B811" s="132"/>
      <c r="C811" s="132"/>
      <c r="D811" s="132"/>
      <c r="E811" s="132"/>
      <c r="F811" s="132"/>
      <c r="G811" s="132"/>
      <c r="H811" s="132"/>
      <c r="I811" s="132"/>
      <c r="J811" s="132"/>
      <c r="K811" s="132"/>
      <c r="L811" s="2"/>
      <c r="M811" s="2"/>
      <c r="N811" s="2"/>
      <c r="O811" s="2"/>
      <c r="P811" s="2"/>
      <c r="Q811" s="2"/>
      <c r="R811" s="2"/>
      <c r="S811" s="2"/>
      <c r="T811" s="2"/>
      <c r="U811" s="2"/>
      <c r="V811" s="2"/>
      <c r="W811" s="2"/>
      <c r="X811" s="2"/>
      <c r="Y811" s="2"/>
      <c r="Z811" s="2"/>
    </row>
    <row r="812">
      <c r="A812" s="2"/>
      <c r="B812" s="132"/>
      <c r="C812" s="132"/>
      <c r="D812" s="132"/>
      <c r="E812" s="132"/>
      <c r="F812" s="132"/>
      <c r="G812" s="132"/>
      <c r="H812" s="132"/>
      <c r="I812" s="132"/>
      <c r="J812" s="132"/>
      <c r="K812" s="132"/>
      <c r="L812" s="2"/>
      <c r="M812" s="2"/>
      <c r="N812" s="2"/>
      <c r="O812" s="2"/>
      <c r="P812" s="2"/>
      <c r="Q812" s="2"/>
      <c r="R812" s="2"/>
      <c r="S812" s="2"/>
      <c r="T812" s="2"/>
      <c r="U812" s="2"/>
      <c r="V812" s="2"/>
      <c r="W812" s="2"/>
      <c r="X812" s="2"/>
      <c r="Y812" s="2"/>
      <c r="Z812" s="2"/>
    </row>
    <row r="813">
      <c r="A813" s="2"/>
      <c r="B813" s="132"/>
      <c r="C813" s="132"/>
      <c r="D813" s="132"/>
      <c r="E813" s="132"/>
      <c r="F813" s="132"/>
      <c r="G813" s="132"/>
      <c r="H813" s="132"/>
      <c r="I813" s="132"/>
      <c r="J813" s="132"/>
      <c r="K813" s="132"/>
      <c r="L813" s="2"/>
      <c r="M813" s="2"/>
      <c r="N813" s="2"/>
      <c r="O813" s="2"/>
      <c r="P813" s="2"/>
      <c r="Q813" s="2"/>
      <c r="R813" s="2"/>
      <c r="S813" s="2"/>
      <c r="T813" s="2"/>
      <c r="U813" s="2"/>
      <c r="V813" s="2"/>
      <c r="W813" s="2"/>
      <c r="X813" s="2"/>
      <c r="Y813" s="2"/>
      <c r="Z813" s="2"/>
    </row>
    <row r="814">
      <c r="A814" s="2"/>
      <c r="B814" s="132"/>
      <c r="C814" s="132"/>
      <c r="D814" s="132"/>
      <c r="E814" s="132"/>
      <c r="F814" s="132"/>
      <c r="G814" s="132"/>
      <c r="H814" s="132"/>
      <c r="I814" s="132"/>
      <c r="J814" s="132"/>
      <c r="K814" s="132"/>
      <c r="L814" s="2"/>
      <c r="M814" s="2"/>
      <c r="N814" s="2"/>
      <c r="O814" s="2"/>
      <c r="P814" s="2"/>
      <c r="Q814" s="2"/>
      <c r="R814" s="2"/>
      <c r="S814" s="2"/>
      <c r="T814" s="2"/>
      <c r="U814" s="2"/>
      <c r="V814" s="2"/>
      <c r="W814" s="2"/>
      <c r="X814" s="2"/>
      <c r="Y814" s="2"/>
      <c r="Z814" s="2"/>
    </row>
    <row r="815">
      <c r="A815" s="2"/>
      <c r="B815" s="132"/>
      <c r="C815" s="132"/>
      <c r="D815" s="132"/>
      <c r="E815" s="132"/>
      <c r="F815" s="132"/>
      <c r="G815" s="132"/>
      <c r="H815" s="132"/>
      <c r="I815" s="132"/>
      <c r="J815" s="132"/>
      <c r="K815" s="132"/>
      <c r="L815" s="2"/>
      <c r="M815" s="2"/>
      <c r="N815" s="2"/>
      <c r="O815" s="2"/>
      <c r="P815" s="2"/>
      <c r="Q815" s="2"/>
      <c r="R815" s="2"/>
      <c r="S815" s="2"/>
      <c r="T815" s="2"/>
      <c r="U815" s="2"/>
      <c r="V815" s="2"/>
      <c r="W815" s="2"/>
      <c r="X815" s="2"/>
      <c r="Y815" s="2"/>
      <c r="Z815" s="2"/>
    </row>
    <row r="816">
      <c r="A816" s="2"/>
      <c r="B816" s="132"/>
      <c r="C816" s="132"/>
      <c r="D816" s="132"/>
      <c r="E816" s="132"/>
      <c r="F816" s="132"/>
      <c r="G816" s="132"/>
      <c r="H816" s="132"/>
      <c r="I816" s="132"/>
      <c r="J816" s="132"/>
      <c r="K816" s="132"/>
      <c r="L816" s="2"/>
      <c r="M816" s="2"/>
      <c r="N816" s="2"/>
      <c r="O816" s="2"/>
      <c r="P816" s="2"/>
      <c r="Q816" s="2"/>
      <c r="R816" s="2"/>
      <c r="S816" s="2"/>
      <c r="T816" s="2"/>
      <c r="U816" s="2"/>
      <c r="V816" s="2"/>
      <c r="W816" s="2"/>
      <c r="X816" s="2"/>
      <c r="Y816" s="2"/>
      <c r="Z816" s="2"/>
    </row>
    <row r="817">
      <c r="A817" s="2"/>
      <c r="B817" s="132"/>
      <c r="C817" s="132"/>
      <c r="D817" s="132"/>
      <c r="E817" s="132"/>
      <c r="F817" s="132"/>
      <c r="G817" s="132"/>
      <c r="H817" s="132"/>
      <c r="I817" s="132"/>
      <c r="J817" s="132"/>
      <c r="K817" s="132"/>
      <c r="L817" s="2"/>
      <c r="M817" s="2"/>
      <c r="N817" s="2"/>
      <c r="O817" s="2"/>
      <c r="P817" s="2"/>
      <c r="Q817" s="2"/>
      <c r="R817" s="2"/>
      <c r="S817" s="2"/>
      <c r="T817" s="2"/>
      <c r="U817" s="2"/>
      <c r="V817" s="2"/>
      <c r="W817" s="2"/>
      <c r="X817" s="2"/>
      <c r="Y817" s="2"/>
      <c r="Z817" s="2"/>
    </row>
    <row r="818">
      <c r="A818" s="2"/>
      <c r="B818" s="132"/>
      <c r="C818" s="132"/>
      <c r="D818" s="132"/>
      <c r="E818" s="132"/>
      <c r="F818" s="132"/>
      <c r="G818" s="132"/>
      <c r="H818" s="132"/>
      <c r="I818" s="132"/>
      <c r="J818" s="132"/>
      <c r="K818" s="132"/>
      <c r="L818" s="2"/>
      <c r="M818" s="2"/>
      <c r="N818" s="2"/>
      <c r="O818" s="2"/>
      <c r="P818" s="2"/>
      <c r="Q818" s="2"/>
      <c r="R818" s="2"/>
      <c r="S818" s="2"/>
      <c r="T818" s="2"/>
      <c r="U818" s="2"/>
      <c r="V818" s="2"/>
      <c r="W818" s="2"/>
      <c r="X818" s="2"/>
      <c r="Y818" s="2"/>
      <c r="Z818" s="2"/>
    </row>
    <row r="819">
      <c r="A819" s="2"/>
      <c r="B819" s="132"/>
      <c r="C819" s="132"/>
      <c r="D819" s="132"/>
      <c r="E819" s="132"/>
      <c r="F819" s="132"/>
      <c r="G819" s="132"/>
      <c r="H819" s="132"/>
      <c r="I819" s="132"/>
      <c r="J819" s="132"/>
      <c r="K819" s="132"/>
      <c r="L819" s="2"/>
      <c r="M819" s="2"/>
      <c r="N819" s="2"/>
      <c r="O819" s="2"/>
      <c r="P819" s="2"/>
      <c r="Q819" s="2"/>
      <c r="R819" s="2"/>
      <c r="S819" s="2"/>
      <c r="T819" s="2"/>
      <c r="U819" s="2"/>
      <c r="V819" s="2"/>
      <c r="W819" s="2"/>
      <c r="X819" s="2"/>
      <c r="Y819" s="2"/>
      <c r="Z819" s="2"/>
    </row>
    <row r="820">
      <c r="A820" s="2"/>
      <c r="B820" s="132"/>
      <c r="C820" s="132"/>
      <c r="D820" s="132"/>
      <c r="E820" s="132"/>
      <c r="F820" s="132"/>
      <c r="G820" s="132"/>
      <c r="H820" s="132"/>
      <c r="I820" s="132"/>
      <c r="J820" s="132"/>
      <c r="K820" s="132"/>
      <c r="L820" s="2"/>
      <c r="M820" s="2"/>
      <c r="N820" s="2"/>
      <c r="O820" s="2"/>
      <c r="P820" s="2"/>
      <c r="Q820" s="2"/>
      <c r="R820" s="2"/>
      <c r="S820" s="2"/>
      <c r="T820" s="2"/>
      <c r="U820" s="2"/>
      <c r="V820" s="2"/>
      <c r="W820" s="2"/>
      <c r="X820" s="2"/>
      <c r="Y820" s="2"/>
      <c r="Z820" s="2"/>
    </row>
    <row r="821">
      <c r="A821" s="2"/>
      <c r="B821" s="132"/>
      <c r="C821" s="132"/>
      <c r="D821" s="132"/>
      <c r="E821" s="132"/>
      <c r="F821" s="132"/>
      <c r="G821" s="132"/>
      <c r="H821" s="132"/>
      <c r="I821" s="132"/>
      <c r="J821" s="132"/>
      <c r="K821" s="132"/>
      <c r="L821" s="2"/>
      <c r="M821" s="2"/>
      <c r="N821" s="2"/>
      <c r="O821" s="2"/>
      <c r="P821" s="2"/>
      <c r="Q821" s="2"/>
      <c r="R821" s="2"/>
      <c r="S821" s="2"/>
      <c r="T821" s="2"/>
      <c r="U821" s="2"/>
      <c r="V821" s="2"/>
      <c r="W821" s="2"/>
      <c r="X821" s="2"/>
      <c r="Y821" s="2"/>
      <c r="Z821" s="2"/>
    </row>
    <row r="822">
      <c r="A822" s="2"/>
      <c r="B822" s="132"/>
      <c r="C822" s="132"/>
      <c r="D822" s="132"/>
      <c r="E822" s="132"/>
      <c r="F822" s="132"/>
      <c r="G822" s="132"/>
      <c r="H822" s="132"/>
      <c r="I822" s="132"/>
      <c r="J822" s="132"/>
      <c r="K822" s="132"/>
      <c r="L822" s="2"/>
      <c r="M822" s="2"/>
      <c r="N822" s="2"/>
      <c r="O822" s="2"/>
      <c r="P822" s="2"/>
      <c r="Q822" s="2"/>
      <c r="R822" s="2"/>
      <c r="S822" s="2"/>
      <c r="T822" s="2"/>
      <c r="U822" s="2"/>
      <c r="V822" s="2"/>
      <c r="W822" s="2"/>
      <c r="X822" s="2"/>
      <c r="Y822" s="2"/>
      <c r="Z822" s="2"/>
    </row>
    <row r="823">
      <c r="A823" s="2"/>
      <c r="B823" s="132"/>
      <c r="C823" s="132"/>
      <c r="D823" s="132"/>
      <c r="E823" s="132"/>
      <c r="F823" s="132"/>
      <c r="G823" s="132"/>
      <c r="H823" s="132"/>
      <c r="I823" s="132"/>
      <c r="J823" s="132"/>
      <c r="K823" s="132"/>
      <c r="L823" s="2"/>
      <c r="M823" s="2"/>
      <c r="N823" s="2"/>
      <c r="O823" s="2"/>
      <c r="P823" s="2"/>
      <c r="Q823" s="2"/>
      <c r="R823" s="2"/>
      <c r="S823" s="2"/>
      <c r="T823" s="2"/>
      <c r="U823" s="2"/>
      <c r="V823" s="2"/>
      <c r="W823" s="2"/>
      <c r="X823" s="2"/>
      <c r="Y823" s="2"/>
      <c r="Z823" s="2"/>
    </row>
    <row r="824">
      <c r="A824" s="2"/>
      <c r="B824" s="132"/>
      <c r="C824" s="132"/>
      <c r="D824" s="132"/>
      <c r="E824" s="132"/>
      <c r="F824" s="132"/>
      <c r="G824" s="132"/>
      <c r="H824" s="132"/>
      <c r="I824" s="132"/>
      <c r="J824" s="132"/>
      <c r="K824" s="132"/>
      <c r="L824" s="2"/>
      <c r="M824" s="2"/>
      <c r="N824" s="2"/>
      <c r="O824" s="2"/>
      <c r="P824" s="2"/>
      <c r="Q824" s="2"/>
      <c r="R824" s="2"/>
      <c r="S824" s="2"/>
      <c r="T824" s="2"/>
      <c r="U824" s="2"/>
      <c r="V824" s="2"/>
      <c r="W824" s="2"/>
      <c r="X824" s="2"/>
      <c r="Y824" s="2"/>
      <c r="Z824" s="2"/>
    </row>
    <row r="825">
      <c r="A825" s="2"/>
      <c r="B825" s="132"/>
      <c r="C825" s="132"/>
      <c r="D825" s="132"/>
      <c r="E825" s="132"/>
      <c r="F825" s="132"/>
      <c r="G825" s="132"/>
      <c r="H825" s="132"/>
      <c r="I825" s="132"/>
      <c r="J825" s="132"/>
      <c r="K825" s="132"/>
      <c r="L825" s="2"/>
      <c r="M825" s="2"/>
      <c r="N825" s="2"/>
      <c r="O825" s="2"/>
      <c r="P825" s="2"/>
      <c r="Q825" s="2"/>
      <c r="R825" s="2"/>
      <c r="S825" s="2"/>
      <c r="T825" s="2"/>
      <c r="U825" s="2"/>
      <c r="V825" s="2"/>
      <c r="W825" s="2"/>
      <c r="X825" s="2"/>
      <c r="Y825" s="2"/>
      <c r="Z825" s="2"/>
    </row>
    <row r="826">
      <c r="A826" s="2"/>
      <c r="B826" s="132"/>
      <c r="C826" s="132"/>
      <c r="D826" s="132"/>
      <c r="E826" s="132"/>
      <c r="F826" s="132"/>
      <c r="G826" s="132"/>
      <c r="H826" s="132"/>
      <c r="I826" s="132"/>
      <c r="J826" s="132"/>
      <c r="K826" s="132"/>
      <c r="L826" s="2"/>
      <c r="M826" s="2"/>
      <c r="N826" s="2"/>
      <c r="O826" s="2"/>
      <c r="P826" s="2"/>
      <c r="Q826" s="2"/>
      <c r="R826" s="2"/>
      <c r="S826" s="2"/>
      <c r="T826" s="2"/>
      <c r="U826" s="2"/>
      <c r="V826" s="2"/>
      <c r="W826" s="2"/>
      <c r="X826" s="2"/>
      <c r="Y826" s="2"/>
      <c r="Z826" s="2"/>
    </row>
    <row r="827">
      <c r="A827" s="2"/>
      <c r="B827" s="132"/>
      <c r="C827" s="132"/>
      <c r="D827" s="132"/>
      <c r="E827" s="132"/>
      <c r="F827" s="132"/>
      <c r="G827" s="132"/>
      <c r="H827" s="132"/>
      <c r="I827" s="132"/>
      <c r="J827" s="132"/>
      <c r="K827" s="132"/>
      <c r="L827" s="2"/>
      <c r="M827" s="2"/>
      <c r="N827" s="2"/>
      <c r="O827" s="2"/>
      <c r="P827" s="2"/>
      <c r="Q827" s="2"/>
      <c r="R827" s="2"/>
      <c r="S827" s="2"/>
      <c r="T827" s="2"/>
      <c r="U827" s="2"/>
      <c r="V827" s="2"/>
      <c r="W827" s="2"/>
      <c r="X827" s="2"/>
      <c r="Y827" s="2"/>
      <c r="Z827" s="2"/>
    </row>
    <row r="828">
      <c r="A828" s="2"/>
      <c r="B828" s="132"/>
      <c r="C828" s="132"/>
      <c r="D828" s="132"/>
      <c r="E828" s="132"/>
      <c r="F828" s="132"/>
      <c r="G828" s="132"/>
      <c r="H828" s="132"/>
      <c r="I828" s="132"/>
      <c r="J828" s="132"/>
      <c r="K828" s="132"/>
      <c r="L828" s="2"/>
      <c r="M828" s="2"/>
      <c r="N828" s="2"/>
      <c r="O828" s="2"/>
      <c r="P828" s="2"/>
      <c r="Q828" s="2"/>
      <c r="R828" s="2"/>
      <c r="S828" s="2"/>
      <c r="T828" s="2"/>
      <c r="U828" s="2"/>
      <c r="V828" s="2"/>
      <c r="W828" s="2"/>
      <c r="X828" s="2"/>
      <c r="Y828" s="2"/>
      <c r="Z828" s="2"/>
    </row>
    <row r="829">
      <c r="A829" s="2"/>
      <c r="B829" s="132"/>
      <c r="C829" s="132"/>
      <c r="D829" s="132"/>
      <c r="E829" s="132"/>
      <c r="F829" s="132"/>
      <c r="G829" s="132"/>
      <c r="H829" s="132"/>
      <c r="I829" s="132"/>
      <c r="J829" s="132"/>
      <c r="K829" s="132"/>
      <c r="L829" s="2"/>
      <c r="M829" s="2"/>
      <c r="N829" s="2"/>
      <c r="O829" s="2"/>
      <c r="P829" s="2"/>
      <c r="Q829" s="2"/>
      <c r="R829" s="2"/>
      <c r="S829" s="2"/>
      <c r="T829" s="2"/>
      <c r="U829" s="2"/>
      <c r="V829" s="2"/>
      <c r="W829" s="2"/>
      <c r="X829" s="2"/>
      <c r="Y829" s="2"/>
      <c r="Z829" s="2"/>
    </row>
    <row r="830">
      <c r="A830" s="2"/>
      <c r="B830" s="132"/>
      <c r="C830" s="132"/>
      <c r="D830" s="132"/>
      <c r="E830" s="132"/>
      <c r="F830" s="132"/>
      <c r="G830" s="132"/>
      <c r="H830" s="132"/>
      <c r="I830" s="132"/>
      <c r="J830" s="132"/>
      <c r="K830" s="132"/>
      <c r="L830" s="2"/>
      <c r="M830" s="2"/>
      <c r="N830" s="2"/>
      <c r="O830" s="2"/>
      <c r="P830" s="2"/>
      <c r="Q830" s="2"/>
      <c r="R830" s="2"/>
      <c r="S830" s="2"/>
      <c r="T830" s="2"/>
      <c r="U830" s="2"/>
      <c r="V830" s="2"/>
      <c r="W830" s="2"/>
      <c r="X830" s="2"/>
      <c r="Y830" s="2"/>
      <c r="Z830" s="2"/>
    </row>
    <row r="831">
      <c r="A831" s="2"/>
      <c r="B831" s="132"/>
      <c r="C831" s="132"/>
      <c r="D831" s="132"/>
      <c r="E831" s="132"/>
      <c r="F831" s="132"/>
      <c r="G831" s="132"/>
      <c r="H831" s="132"/>
      <c r="I831" s="132"/>
      <c r="J831" s="132"/>
      <c r="K831" s="132"/>
      <c r="L831" s="2"/>
      <c r="M831" s="2"/>
      <c r="N831" s="2"/>
      <c r="O831" s="2"/>
      <c r="P831" s="2"/>
      <c r="Q831" s="2"/>
      <c r="R831" s="2"/>
      <c r="S831" s="2"/>
      <c r="T831" s="2"/>
      <c r="U831" s="2"/>
      <c r="V831" s="2"/>
      <c r="W831" s="2"/>
      <c r="X831" s="2"/>
      <c r="Y831" s="2"/>
      <c r="Z831" s="2"/>
    </row>
    <row r="832">
      <c r="A832" s="2"/>
      <c r="B832" s="132"/>
      <c r="C832" s="132"/>
      <c r="D832" s="132"/>
      <c r="E832" s="132"/>
      <c r="F832" s="132"/>
      <c r="G832" s="132"/>
      <c r="H832" s="132"/>
      <c r="I832" s="132"/>
      <c r="J832" s="132"/>
      <c r="K832" s="132"/>
      <c r="L832" s="2"/>
      <c r="M832" s="2"/>
      <c r="N832" s="2"/>
      <c r="O832" s="2"/>
      <c r="P832" s="2"/>
      <c r="Q832" s="2"/>
      <c r="R832" s="2"/>
      <c r="S832" s="2"/>
      <c r="T832" s="2"/>
      <c r="U832" s="2"/>
      <c r="V832" s="2"/>
      <c r="W832" s="2"/>
      <c r="X832" s="2"/>
      <c r="Y832" s="2"/>
      <c r="Z832" s="2"/>
    </row>
    <row r="833">
      <c r="A833" s="2"/>
      <c r="B833" s="132"/>
      <c r="C833" s="132"/>
      <c r="D833" s="132"/>
      <c r="E833" s="132"/>
      <c r="F833" s="132"/>
      <c r="G833" s="132"/>
      <c r="H833" s="132"/>
      <c r="I833" s="132"/>
      <c r="J833" s="132"/>
      <c r="K833" s="132"/>
      <c r="L833" s="2"/>
      <c r="M833" s="2"/>
      <c r="N833" s="2"/>
      <c r="O833" s="2"/>
      <c r="P833" s="2"/>
      <c r="Q833" s="2"/>
      <c r="R833" s="2"/>
      <c r="S833" s="2"/>
      <c r="T833" s="2"/>
      <c r="U833" s="2"/>
      <c r="V833" s="2"/>
      <c r="W833" s="2"/>
      <c r="X833" s="2"/>
      <c r="Y833" s="2"/>
      <c r="Z833" s="2"/>
    </row>
    <row r="834">
      <c r="A834" s="2"/>
      <c r="B834" s="132"/>
      <c r="C834" s="132"/>
      <c r="D834" s="132"/>
      <c r="E834" s="132"/>
      <c r="F834" s="132"/>
      <c r="G834" s="132"/>
      <c r="H834" s="132"/>
      <c r="I834" s="132"/>
      <c r="J834" s="132"/>
      <c r="K834" s="132"/>
      <c r="L834" s="2"/>
      <c r="M834" s="2"/>
      <c r="N834" s="2"/>
      <c r="O834" s="2"/>
      <c r="P834" s="2"/>
      <c r="Q834" s="2"/>
      <c r="R834" s="2"/>
      <c r="S834" s="2"/>
      <c r="T834" s="2"/>
      <c r="U834" s="2"/>
      <c r="V834" s="2"/>
      <c r="W834" s="2"/>
      <c r="X834" s="2"/>
      <c r="Y834" s="2"/>
      <c r="Z834" s="2"/>
    </row>
    <row r="835">
      <c r="A835" s="2"/>
      <c r="B835" s="132"/>
      <c r="C835" s="132"/>
      <c r="D835" s="132"/>
      <c r="E835" s="132"/>
      <c r="F835" s="132"/>
      <c r="G835" s="132"/>
      <c r="H835" s="132"/>
      <c r="I835" s="132"/>
      <c r="J835" s="132"/>
      <c r="K835" s="132"/>
      <c r="L835" s="2"/>
      <c r="M835" s="2"/>
      <c r="N835" s="2"/>
      <c r="O835" s="2"/>
      <c r="P835" s="2"/>
      <c r="Q835" s="2"/>
      <c r="R835" s="2"/>
      <c r="S835" s="2"/>
      <c r="T835" s="2"/>
      <c r="U835" s="2"/>
      <c r="V835" s="2"/>
      <c r="W835" s="2"/>
      <c r="X835" s="2"/>
      <c r="Y835" s="2"/>
      <c r="Z835" s="2"/>
    </row>
    <row r="836">
      <c r="A836" s="2"/>
      <c r="B836" s="132"/>
      <c r="C836" s="132"/>
      <c r="D836" s="132"/>
      <c r="E836" s="132"/>
      <c r="F836" s="132"/>
      <c r="G836" s="132"/>
      <c r="H836" s="132"/>
      <c r="I836" s="132"/>
      <c r="J836" s="132"/>
      <c r="K836" s="132"/>
      <c r="L836" s="2"/>
      <c r="M836" s="2"/>
      <c r="N836" s="2"/>
      <c r="O836" s="2"/>
      <c r="P836" s="2"/>
      <c r="Q836" s="2"/>
      <c r="R836" s="2"/>
      <c r="S836" s="2"/>
      <c r="T836" s="2"/>
      <c r="U836" s="2"/>
      <c r="V836" s="2"/>
      <c r="W836" s="2"/>
      <c r="X836" s="2"/>
      <c r="Y836" s="2"/>
      <c r="Z836" s="2"/>
    </row>
    <row r="837">
      <c r="A837" s="2"/>
      <c r="B837" s="132"/>
      <c r="C837" s="132"/>
      <c r="D837" s="132"/>
      <c r="E837" s="132"/>
      <c r="F837" s="132"/>
      <c r="G837" s="132"/>
      <c r="H837" s="132"/>
      <c r="I837" s="132"/>
      <c r="J837" s="132"/>
      <c r="K837" s="132"/>
      <c r="L837" s="2"/>
      <c r="M837" s="2"/>
      <c r="N837" s="2"/>
      <c r="O837" s="2"/>
      <c r="P837" s="2"/>
      <c r="Q837" s="2"/>
      <c r="R837" s="2"/>
      <c r="S837" s="2"/>
      <c r="T837" s="2"/>
      <c r="U837" s="2"/>
      <c r="V837" s="2"/>
      <c r="W837" s="2"/>
      <c r="X837" s="2"/>
      <c r="Y837" s="2"/>
      <c r="Z837" s="2"/>
    </row>
    <row r="838">
      <c r="A838" s="2"/>
      <c r="B838" s="132"/>
      <c r="C838" s="132"/>
      <c r="D838" s="132"/>
      <c r="E838" s="132"/>
      <c r="F838" s="132"/>
      <c r="G838" s="132"/>
      <c r="H838" s="132"/>
      <c r="I838" s="132"/>
      <c r="J838" s="132"/>
      <c r="K838" s="132"/>
      <c r="L838" s="2"/>
      <c r="M838" s="2"/>
      <c r="N838" s="2"/>
      <c r="O838" s="2"/>
      <c r="P838" s="2"/>
      <c r="Q838" s="2"/>
      <c r="R838" s="2"/>
      <c r="S838" s="2"/>
      <c r="T838" s="2"/>
      <c r="U838" s="2"/>
      <c r="V838" s="2"/>
      <c r="W838" s="2"/>
      <c r="X838" s="2"/>
      <c r="Y838" s="2"/>
      <c r="Z838" s="2"/>
    </row>
    <row r="839">
      <c r="A839" s="2"/>
      <c r="B839" s="132"/>
      <c r="C839" s="132"/>
      <c r="D839" s="132"/>
      <c r="E839" s="132"/>
      <c r="F839" s="132"/>
      <c r="G839" s="132"/>
      <c r="H839" s="132"/>
      <c r="I839" s="132"/>
      <c r="J839" s="132"/>
      <c r="K839" s="132"/>
      <c r="L839" s="2"/>
      <c r="M839" s="2"/>
      <c r="N839" s="2"/>
      <c r="O839" s="2"/>
      <c r="P839" s="2"/>
      <c r="Q839" s="2"/>
      <c r="R839" s="2"/>
      <c r="S839" s="2"/>
      <c r="T839" s="2"/>
      <c r="U839" s="2"/>
      <c r="V839" s="2"/>
      <c r="W839" s="2"/>
      <c r="X839" s="2"/>
      <c r="Y839" s="2"/>
      <c r="Z839" s="2"/>
    </row>
    <row r="840">
      <c r="A840" s="2"/>
      <c r="B840" s="132"/>
      <c r="C840" s="132"/>
      <c r="D840" s="132"/>
      <c r="E840" s="132"/>
      <c r="F840" s="132"/>
      <c r="G840" s="132"/>
      <c r="H840" s="132"/>
      <c r="I840" s="132"/>
      <c r="J840" s="132"/>
      <c r="K840" s="132"/>
      <c r="L840" s="2"/>
      <c r="M840" s="2"/>
      <c r="N840" s="2"/>
      <c r="O840" s="2"/>
      <c r="P840" s="2"/>
      <c r="Q840" s="2"/>
      <c r="R840" s="2"/>
      <c r="S840" s="2"/>
      <c r="T840" s="2"/>
      <c r="U840" s="2"/>
      <c r="V840" s="2"/>
      <c r="W840" s="2"/>
      <c r="X840" s="2"/>
      <c r="Y840" s="2"/>
      <c r="Z840" s="2"/>
    </row>
    <row r="841">
      <c r="A841" s="2"/>
      <c r="B841" s="132"/>
      <c r="C841" s="132"/>
      <c r="D841" s="132"/>
      <c r="E841" s="132"/>
      <c r="F841" s="132"/>
      <c r="G841" s="132"/>
      <c r="H841" s="132"/>
      <c r="I841" s="132"/>
      <c r="J841" s="132"/>
      <c r="K841" s="132"/>
      <c r="L841" s="2"/>
      <c r="M841" s="2"/>
      <c r="N841" s="2"/>
      <c r="O841" s="2"/>
      <c r="P841" s="2"/>
      <c r="Q841" s="2"/>
      <c r="R841" s="2"/>
      <c r="S841" s="2"/>
      <c r="T841" s="2"/>
      <c r="U841" s="2"/>
      <c r="V841" s="2"/>
      <c r="W841" s="2"/>
      <c r="X841" s="2"/>
      <c r="Y841" s="2"/>
      <c r="Z841" s="2"/>
    </row>
    <row r="842">
      <c r="A842" s="2"/>
      <c r="B842" s="132"/>
      <c r="C842" s="132"/>
      <c r="D842" s="132"/>
      <c r="E842" s="132"/>
      <c r="F842" s="132"/>
      <c r="G842" s="132"/>
      <c r="H842" s="132"/>
      <c r="I842" s="132"/>
      <c r="J842" s="132"/>
      <c r="K842" s="132"/>
      <c r="L842" s="2"/>
      <c r="M842" s="2"/>
      <c r="N842" s="2"/>
      <c r="O842" s="2"/>
      <c r="P842" s="2"/>
      <c r="Q842" s="2"/>
      <c r="R842" s="2"/>
      <c r="S842" s="2"/>
      <c r="T842" s="2"/>
      <c r="U842" s="2"/>
      <c r="V842" s="2"/>
      <c r="W842" s="2"/>
      <c r="X842" s="2"/>
      <c r="Y842" s="2"/>
      <c r="Z842" s="2"/>
    </row>
    <row r="843">
      <c r="A843" s="2"/>
      <c r="B843" s="132"/>
      <c r="C843" s="132"/>
      <c r="D843" s="132"/>
      <c r="E843" s="132"/>
      <c r="F843" s="132"/>
      <c r="G843" s="132"/>
      <c r="H843" s="132"/>
      <c r="I843" s="132"/>
      <c r="J843" s="132"/>
      <c r="K843" s="132"/>
      <c r="L843" s="2"/>
      <c r="M843" s="2"/>
      <c r="N843" s="2"/>
      <c r="O843" s="2"/>
      <c r="P843" s="2"/>
      <c r="Q843" s="2"/>
      <c r="R843" s="2"/>
      <c r="S843" s="2"/>
      <c r="T843" s="2"/>
      <c r="U843" s="2"/>
      <c r="V843" s="2"/>
      <c r="W843" s="2"/>
      <c r="X843" s="2"/>
      <c r="Y843" s="2"/>
      <c r="Z843" s="2"/>
    </row>
    <row r="844">
      <c r="A844" s="2"/>
      <c r="B844" s="132"/>
      <c r="C844" s="132"/>
      <c r="D844" s="132"/>
      <c r="E844" s="132"/>
      <c r="F844" s="132"/>
      <c r="G844" s="132"/>
      <c r="H844" s="132"/>
      <c r="I844" s="132"/>
      <c r="J844" s="132"/>
      <c r="K844" s="132"/>
      <c r="L844" s="2"/>
      <c r="M844" s="2"/>
      <c r="N844" s="2"/>
      <c r="O844" s="2"/>
      <c r="P844" s="2"/>
      <c r="Q844" s="2"/>
      <c r="R844" s="2"/>
      <c r="S844" s="2"/>
      <c r="T844" s="2"/>
      <c r="U844" s="2"/>
      <c r="V844" s="2"/>
      <c r="W844" s="2"/>
      <c r="X844" s="2"/>
      <c r="Y844" s="2"/>
      <c r="Z844" s="2"/>
    </row>
    <row r="845">
      <c r="A845" s="2"/>
      <c r="B845" s="132"/>
      <c r="C845" s="132"/>
      <c r="D845" s="132"/>
      <c r="E845" s="132"/>
      <c r="F845" s="132"/>
      <c r="G845" s="132"/>
      <c r="H845" s="132"/>
      <c r="I845" s="132"/>
      <c r="J845" s="132"/>
      <c r="K845" s="132"/>
      <c r="L845" s="2"/>
      <c r="M845" s="2"/>
      <c r="N845" s="2"/>
      <c r="O845" s="2"/>
      <c r="P845" s="2"/>
      <c r="Q845" s="2"/>
      <c r="R845" s="2"/>
      <c r="S845" s="2"/>
      <c r="T845" s="2"/>
      <c r="U845" s="2"/>
      <c r="V845" s="2"/>
      <c r="W845" s="2"/>
      <c r="X845" s="2"/>
      <c r="Y845" s="2"/>
      <c r="Z845" s="2"/>
    </row>
    <row r="846">
      <c r="A846" s="2"/>
      <c r="B846" s="132"/>
      <c r="C846" s="132"/>
      <c r="D846" s="132"/>
      <c r="E846" s="132"/>
      <c r="F846" s="132"/>
      <c r="G846" s="132"/>
      <c r="H846" s="132"/>
      <c r="I846" s="132"/>
      <c r="J846" s="132"/>
      <c r="K846" s="132"/>
      <c r="L846" s="2"/>
      <c r="M846" s="2"/>
      <c r="N846" s="2"/>
      <c r="O846" s="2"/>
      <c r="P846" s="2"/>
      <c r="Q846" s="2"/>
      <c r="R846" s="2"/>
      <c r="S846" s="2"/>
      <c r="T846" s="2"/>
      <c r="U846" s="2"/>
      <c r="V846" s="2"/>
      <c r="W846" s="2"/>
      <c r="X846" s="2"/>
      <c r="Y846" s="2"/>
      <c r="Z846" s="2"/>
    </row>
    <row r="847">
      <c r="A847" s="2"/>
      <c r="B847" s="132"/>
      <c r="C847" s="132"/>
      <c r="D847" s="132"/>
      <c r="E847" s="132"/>
      <c r="F847" s="132"/>
      <c r="G847" s="132"/>
      <c r="H847" s="132"/>
      <c r="I847" s="132"/>
      <c r="J847" s="132"/>
      <c r="K847" s="132"/>
      <c r="L847" s="2"/>
      <c r="M847" s="2"/>
      <c r="N847" s="2"/>
      <c r="O847" s="2"/>
      <c r="P847" s="2"/>
      <c r="Q847" s="2"/>
      <c r="R847" s="2"/>
      <c r="S847" s="2"/>
      <c r="T847" s="2"/>
      <c r="U847" s="2"/>
      <c r="V847" s="2"/>
      <c r="W847" s="2"/>
      <c r="X847" s="2"/>
      <c r="Y847" s="2"/>
      <c r="Z847" s="2"/>
    </row>
    <row r="848">
      <c r="A848" s="2"/>
      <c r="B848" s="132"/>
      <c r="C848" s="132"/>
      <c r="D848" s="132"/>
      <c r="E848" s="132"/>
      <c r="F848" s="132"/>
      <c r="G848" s="132"/>
      <c r="H848" s="132"/>
      <c r="I848" s="132"/>
      <c r="J848" s="132"/>
      <c r="K848" s="132"/>
      <c r="L848" s="2"/>
      <c r="M848" s="2"/>
      <c r="N848" s="2"/>
      <c r="O848" s="2"/>
      <c r="P848" s="2"/>
      <c r="Q848" s="2"/>
      <c r="R848" s="2"/>
      <c r="S848" s="2"/>
      <c r="T848" s="2"/>
      <c r="U848" s="2"/>
      <c r="V848" s="2"/>
      <c r="W848" s="2"/>
      <c r="X848" s="2"/>
      <c r="Y848" s="2"/>
      <c r="Z848" s="2"/>
    </row>
    <row r="849">
      <c r="A849" s="2"/>
      <c r="B849" s="132"/>
      <c r="C849" s="132"/>
      <c r="D849" s="132"/>
      <c r="E849" s="132"/>
      <c r="F849" s="132"/>
      <c r="G849" s="132"/>
      <c r="H849" s="132"/>
      <c r="I849" s="132"/>
      <c r="J849" s="132"/>
      <c r="K849" s="132"/>
      <c r="L849" s="2"/>
      <c r="M849" s="2"/>
      <c r="N849" s="2"/>
      <c r="O849" s="2"/>
      <c r="P849" s="2"/>
      <c r="Q849" s="2"/>
      <c r="R849" s="2"/>
      <c r="S849" s="2"/>
      <c r="T849" s="2"/>
      <c r="U849" s="2"/>
      <c r="V849" s="2"/>
      <c r="W849" s="2"/>
      <c r="X849" s="2"/>
      <c r="Y849" s="2"/>
      <c r="Z849" s="2"/>
    </row>
    <row r="850">
      <c r="A850" s="2"/>
      <c r="B850" s="132"/>
      <c r="C850" s="132"/>
      <c r="D850" s="132"/>
      <c r="E850" s="132"/>
      <c r="F850" s="132"/>
      <c r="G850" s="132"/>
      <c r="H850" s="132"/>
      <c r="I850" s="132"/>
      <c r="J850" s="132"/>
      <c r="K850" s="132"/>
      <c r="L850" s="2"/>
      <c r="M850" s="2"/>
      <c r="N850" s="2"/>
      <c r="O850" s="2"/>
      <c r="P850" s="2"/>
      <c r="Q850" s="2"/>
      <c r="R850" s="2"/>
      <c r="S850" s="2"/>
      <c r="T850" s="2"/>
      <c r="U850" s="2"/>
      <c r="V850" s="2"/>
      <c r="W850" s="2"/>
      <c r="X850" s="2"/>
      <c r="Y850" s="2"/>
      <c r="Z850" s="2"/>
    </row>
    <row r="851">
      <c r="A851" s="2"/>
      <c r="B851" s="132"/>
      <c r="C851" s="132"/>
      <c r="D851" s="132"/>
      <c r="E851" s="132"/>
      <c r="F851" s="132"/>
      <c r="G851" s="132"/>
      <c r="H851" s="132"/>
      <c r="I851" s="132"/>
      <c r="J851" s="132"/>
      <c r="K851" s="132"/>
      <c r="L851" s="2"/>
      <c r="M851" s="2"/>
      <c r="N851" s="2"/>
      <c r="O851" s="2"/>
      <c r="P851" s="2"/>
      <c r="Q851" s="2"/>
      <c r="R851" s="2"/>
      <c r="S851" s="2"/>
      <c r="T851" s="2"/>
      <c r="U851" s="2"/>
      <c r="V851" s="2"/>
      <c r="W851" s="2"/>
      <c r="X851" s="2"/>
      <c r="Y851" s="2"/>
      <c r="Z851" s="2"/>
    </row>
    <row r="852">
      <c r="A852" s="2"/>
      <c r="B852" s="132"/>
      <c r="C852" s="132"/>
      <c r="D852" s="132"/>
      <c r="E852" s="132"/>
      <c r="F852" s="132"/>
      <c r="G852" s="132"/>
      <c r="H852" s="132"/>
      <c r="I852" s="132"/>
      <c r="J852" s="132"/>
      <c r="K852" s="132"/>
      <c r="L852" s="2"/>
      <c r="M852" s="2"/>
      <c r="N852" s="2"/>
      <c r="O852" s="2"/>
      <c r="P852" s="2"/>
      <c r="Q852" s="2"/>
      <c r="R852" s="2"/>
      <c r="S852" s="2"/>
      <c r="T852" s="2"/>
      <c r="U852" s="2"/>
      <c r="V852" s="2"/>
      <c r="W852" s="2"/>
      <c r="X852" s="2"/>
      <c r="Y852" s="2"/>
      <c r="Z852" s="2"/>
    </row>
    <row r="853">
      <c r="A853" s="2"/>
      <c r="B853" s="132"/>
      <c r="C853" s="132"/>
      <c r="D853" s="132"/>
      <c r="E853" s="132"/>
      <c r="F853" s="132"/>
      <c r="G853" s="132"/>
      <c r="H853" s="132"/>
      <c r="I853" s="132"/>
      <c r="J853" s="132"/>
      <c r="K853" s="132"/>
      <c r="L853" s="2"/>
      <c r="M853" s="2"/>
      <c r="N853" s="2"/>
      <c r="O853" s="2"/>
      <c r="P853" s="2"/>
      <c r="Q853" s="2"/>
      <c r="R853" s="2"/>
      <c r="S853" s="2"/>
      <c r="T853" s="2"/>
      <c r="U853" s="2"/>
      <c r="V853" s="2"/>
      <c r="W853" s="2"/>
      <c r="X853" s="2"/>
      <c r="Y853" s="2"/>
      <c r="Z853" s="2"/>
    </row>
    <row r="854">
      <c r="A854" s="2"/>
      <c r="B854" s="132"/>
      <c r="C854" s="132"/>
      <c r="D854" s="132"/>
      <c r="E854" s="132"/>
      <c r="F854" s="132"/>
      <c r="G854" s="132"/>
      <c r="H854" s="132"/>
      <c r="I854" s="132"/>
      <c r="J854" s="132"/>
      <c r="K854" s="132"/>
      <c r="L854" s="2"/>
      <c r="M854" s="2"/>
      <c r="N854" s="2"/>
      <c r="O854" s="2"/>
      <c r="P854" s="2"/>
      <c r="Q854" s="2"/>
      <c r="R854" s="2"/>
      <c r="S854" s="2"/>
      <c r="T854" s="2"/>
      <c r="U854" s="2"/>
      <c r="V854" s="2"/>
      <c r="W854" s="2"/>
      <c r="X854" s="2"/>
      <c r="Y854" s="2"/>
      <c r="Z854" s="2"/>
    </row>
    <row r="855">
      <c r="A855" s="2"/>
      <c r="B855" s="132"/>
      <c r="C855" s="132"/>
      <c r="D855" s="132"/>
      <c r="E855" s="132"/>
      <c r="F855" s="132"/>
      <c r="G855" s="132"/>
      <c r="H855" s="132"/>
      <c r="I855" s="132"/>
      <c r="J855" s="132"/>
      <c r="K855" s="132"/>
      <c r="L855" s="2"/>
      <c r="M855" s="2"/>
      <c r="N855" s="2"/>
      <c r="O855" s="2"/>
      <c r="P855" s="2"/>
      <c r="Q855" s="2"/>
      <c r="R855" s="2"/>
      <c r="S855" s="2"/>
      <c r="T855" s="2"/>
      <c r="U855" s="2"/>
      <c r="V855" s="2"/>
      <c r="W855" s="2"/>
      <c r="X855" s="2"/>
      <c r="Y855" s="2"/>
      <c r="Z855" s="2"/>
    </row>
    <row r="856">
      <c r="A856" s="2"/>
      <c r="B856" s="132"/>
      <c r="C856" s="132"/>
      <c r="D856" s="132"/>
      <c r="E856" s="132"/>
      <c r="F856" s="132"/>
      <c r="G856" s="132"/>
      <c r="H856" s="132"/>
      <c r="I856" s="132"/>
      <c r="J856" s="132"/>
      <c r="K856" s="132"/>
      <c r="L856" s="2"/>
      <c r="M856" s="2"/>
      <c r="N856" s="2"/>
      <c r="O856" s="2"/>
      <c r="P856" s="2"/>
      <c r="Q856" s="2"/>
      <c r="R856" s="2"/>
      <c r="S856" s="2"/>
      <c r="T856" s="2"/>
      <c r="U856" s="2"/>
      <c r="V856" s="2"/>
      <c r="W856" s="2"/>
      <c r="X856" s="2"/>
      <c r="Y856" s="2"/>
      <c r="Z856" s="2"/>
    </row>
    <row r="857">
      <c r="A857" s="2"/>
      <c r="B857" s="132"/>
      <c r="C857" s="132"/>
      <c r="D857" s="132"/>
      <c r="E857" s="132"/>
      <c r="F857" s="132"/>
      <c r="G857" s="132"/>
      <c r="H857" s="132"/>
      <c r="I857" s="132"/>
      <c r="J857" s="132"/>
      <c r="K857" s="132"/>
      <c r="L857" s="2"/>
      <c r="M857" s="2"/>
      <c r="N857" s="2"/>
      <c r="O857" s="2"/>
      <c r="P857" s="2"/>
      <c r="Q857" s="2"/>
      <c r="R857" s="2"/>
      <c r="S857" s="2"/>
      <c r="T857" s="2"/>
      <c r="U857" s="2"/>
      <c r="V857" s="2"/>
      <c r="W857" s="2"/>
      <c r="X857" s="2"/>
      <c r="Y857" s="2"/>
      <c r="Z857" s="2"/>
    </row>
    <row r="858">
      <c r="A858" s="2"/>
      <c r="B858" s="132"/>
      <c r="C858" s="132"/>
      <c r="D858" s="132"/>
      <c r="E858" s="132"/>
      <c r="F858" s="132"/>
      <c r="G858" s="132"/>
      <c r="H858" s="132"/>
      <c r="I858" s="132"/>
      <c r="J858" s="132"/>
      <c r="K858" s="132"/>
      <c r="L858" s="2"/>
      <c r="M858" s="2"/>
      <c r="N858" s="2"/>
      <c r="O858" s="2"/>
      <c r="P858" s="2"/>
      <c r="Q858" s="2"/>
      <c r="R858" s="2"/>
      <c r="S858" s="2"/>
      <c r="T858" s="2"/>
      <c r="U858" s="2"/>
      <c r="V858" s="2"/>
      <c r="W858" s="2"/>
      <c r="X858" s="2"/>
      <c r="Y858" s="2"/>
      <c r="Z858" s="2"/>
    </row>
    <row r="859">
      <c r="A859" s="2"/>
      <c r="B859" s="132"/>
      <c r="C859" s="132"/>
      <c r="D859" s="132"/>
      <c r="E859" s="132"/>
      <c r="F859" s="132"/>
      <c r="G859" s="132"/>
      <c r="H859" s="132"/>
      <c r="I859" s="132"/>
      <c r="J859" s="132"/>
      <c r="K859" s="132"/>
      <c r="L859" s="2"/>
      <c r="M859" s="2"/>
      <c r="N859" s="2"/>
      <c r="O859" s="2"/>
      <c r="P859" s="2"/>
      <c r="Q859" s="2"/>
      <c r="R859" s="2"/>
      <c r="S859" s="2"/>
      <c r="T859" s="2"/>
      <c r="U859" s="2"/>
      <c r="V859" s="2"/>
      <c r="W859" s="2"/>
      <c r="X859" s="2"/>
      <c r="Y859" s="2"/>
      <c r="Z859" s="2"/>
    </row>
    <row r="860">
      <c r="A860" s="2"/>
      <c r="B860" s="132"/>
      <c r="C860" s="132"/>
      <c r="D860" s="132"/>
      <c r="E860" s="132"/>
      <c r="F860" s="132"/>
      <c r="G860" s="132"/>
      <c r="H860" s="132"/>
      <c r="I860" s="132"/>
      <c r="J860" s="132"/>
      <c r="K860" s="132"/>
      <c r="L860" s="2"/>
      <c r="M860" s="2"/>
      <c r="N860" s="2"/>
      <c r="O860" s="2"/>
      <c r="P860" s="2"/>
      <c r="Q860" s="2"/>
      <c r="R860" s="2"/>
      <c r="S860" s="2"/>
      <c r="T860" s="2"/>
      <c r="U860" s="2"/>
      <c r="V860" s="2"/>
      <c r="W860" s="2"/>
      <c r="X860" s="2"/>
      <c r="Y860" s="2"/>
      <c r="Z860" s="2"/>
    </row>
    <row r="861">
      <c r="A861" s="2"/>
      <c r="B861" s="132"/>
      <c r="C861" s="132"/>
      <c r="D861" s="132"/>
      <c r="E861" s="132"/>
      <c r="F861" s="132"/>
      <c r="G861" s="132"/>
      <c r="H861" s="132"/>
      <c r="I861" s="132"/>
      <c r="J861" s="132"/>
      <c r="K861" s="132"/>
      <c r="L861" s="2"/>
      <c r="M861" s="2"/>
      <c r="N861" s="2"/>
      <c r="O861" s="2"/>
      <c r="P861" s="2"/>
      <c r="Q861" s="2"/>
      <c r="R861" s="2"/>
      <c r="S861" s="2"/>
      <c r="T861" s="2"/>
      <c r="U861" s="2"/>
      <c r="V861" s="2"/>
      <c r="W861" s="2"/>
      <c r="X861" s="2"/>
      <c r="Y861" s="2"/>
      <c r="Z861" s="2"/>
    </row>
    <row r="862">
      <c r="A862" s="2"/>
      <c r="B862" s="132"/>
      <c r="C862" s="132"/>
      <c r="D862" s="132"/>
      <c r="E862" s="132"/>
      <c r="F862" s="132"/>
      <c r="G862" s="132"/>
      <c r="H862" s="132"/>
      <c r="I862" s="132"/>
      <c r="J862" s="132"/>
      <c r="K862" s="132"/>
      <c r="L862" s="2"/>
      <c r="M862" s="2"/>
      <c r="N862" s="2"/>
      <c r="O862" s="2"/>
      <c r="P862" s="2"/>
      <c r="Q862" s="2"/>
      <c r="R862" s="2"/>
      <c r="S862" s="2"/>
      <c r="T862" s="2"/>
      <c r="U862" s="2"/>
      <c r="V862" s="2"/>
      <c r="W862" s="2"/>
      <c r="X862" s="2"/>
      <c r="Y862" s="2"/>
      <c r="Z862" s="2"/>
    </row>
    <row r="863">
      <c r="A863" s="2"/>
      <c r="B863" s="132"/>
      <c r="C863" s="132"/>
      <c r="D863" s="132"/>
      <c r="E863" s="132"/>
      <c r="F863" s="132"/>
      <c r="G863" s="132"/>
      <c r="H863" s="132"/>
      <c r="I863" s="132"/>
      <c r="J863" s="132"/>
      <c r="K863" s="132"/>
      <c r="L863" s="2"/>
      <c r="M863" s="2"/>
      <c r="N863" s="2"/>
      <c r="O863" s="2"/>
      <c r="P863" s="2"/>
      <c r="Q863" s="2"/>
      <c r="R863" s="2"/>
      <c r="S863" s="2"/>
      <c r="T863" s="2"/>
      <c r="U863" s="2"/>
      <c r="V863" s="2"/>
      <c r="W863" s="2"/>
      <c r="X863" s="2"/>
      <c r="Y863" s="2"/>
      <c r="Z863" s="2"/>
    </row>
    <row r="864">
      <c r="A864" s="2"/>
      <c r="B864" s="132"/>
      <c r="C864" s="132"/>
      <c r="D864" s="132"/>
      <c r="E864" s="132"/>
      <c r="F864" s="132"/>
      <c r="G864" s="132"/>
      <c r="H864" s="132"/>
      <c r="I864" s="132"/>
      <c r="J864" s="132"/>
      <c r="K864" s="132"/>
      <c r="L864" s="2"/>
      <c r="M864" s="2"/>
      <c r="N864" s="2"/>
      <c r="O864" s="2"/>
      <c r="P864" s="2"/>
      <c r="Q864" s="2"/>
      <c r="R864" s="2"/>
      <c r="S864" s="2"/>
      <c r="T864" s="2"/>
      <c r="U864" s="2"/>
      <c r="V864" s="2"/>
      <c r="W864" s="2"/>
      <c r="X864" s="2"/>
      <c r="Y864" s="2"/>
      <c r="Z864" s="2"/>
    </row>
    <row r="865">
      <c r="A865" s="2"/>
      <c r="B865" s="132"/>
      <c r="C865" s="132"/>
      <c r="D865" s="132"/>
      <c r="E865" s="132"/>
      <c r="F865" s="132"/>
      <c r="G865" s="132"/>
      <c r="H865" s="132"/>
      <c r="I865" s="132"/>
      <c r="J865" s="132"/>
      <c r="K865" s="132"/>
      <c r="L865" s="2"/>
      <c r="M865" s="2"/>
      <c r="N865" s="2"/>
      <c r="O865" s="2"/>
      <c r="P865" s="2"/>
      <c r="Q865" s="2"/>
      <c r="R865" s="2"/>
      <c r="S865" s="2"/>
      <c r="T865" s="2"/>
      <c r="U865" s="2"/>
      <c r="V865" s="2"/>
      <c r="W865" s="2"/>
      <c r="X865" s="2"/>
      <c r="Y865" s="2"/>
      <c r="Z865" s="2"/>
    </row>
    <row r="866">
      <c r="A866" s="2"/>
      <c r="B866" s="132"/>
      <c r="C866" s="132"/>
      <c r="D866" s="132"/>
      <c r="E866" s="132"/>
      <c r="F866" s="132"/>
      <c r="G866" s="132"/>
      <c r="H866" s="132"/>
      <c r="I866" s="132"/>
      <c r="J866" s="132"/>
      <c r="K866" s="132"/>
      <c r="L866" s="2"/>
      <c r="M866" s="2"/>
      <c r="N866" s="2"/>
      <c r="O866" s="2"/>
      <c r="P866" s="2"/>
      <c r="Q866" s="2"/>
      <c r="R866" s="2"/>
      <c r="S866" s="2"/>
      <c r="T866" s="2"/>
      <c r="U866" s="2"/>
      <c r="V866" s="2"/>
      <c r="W866" s="2"/>
      <c r="X866" s="2"/>
      <c r="Y866" s="2"/>
      <c r="Z866" s="2"/>
    </row>
    <row r="867">
      <c r="A867" s="2"/>
      <c r="B867" s="132"/>
      <c r="C867" s="132"/>
      <c r="D867" s="132"/>
      <c r="E867" s="132"/>
      <c r="F867" s="132"/>
      <c r="G867" s="132"/>
      <c r="H867" s="132"/>
      <c r="I867" s="132"/>
      <c r="J867" s="132"/>
      <c r="K867" s="132"/>
      <c r="L867" s="2"/>
      <c r="M867" s="2"/>
      <c r="N867" s="2"/>
      <c r="O867" s="2"/>
      <c r="P867" s="2"/>
      <c r="Q867" s="2"/>
      <c r="R867" s="2"/>
      <c r="S867" s="2"/>
      <c r="T867" s="2"/>
      <c r="U867" s="2"/>
      <c r="V867" s="2"/>
      <c r="W867" s="2"/>
      <c r="X867" s="2"/>
      <c r="Y867" s="2"/>
      <c r="Z867" s="2"/>
    </row>
    <row r="868">
      <c r="A868" s="2"/>
      <c r="B868" s="132"/>
      <c r="C868" s="132"/>
      <c r="D868" s="132"/>
      <c r="E868" s="132"/>
      <c r="F868" s="132"/>
      <c r="G868" s="132"/>
      <c r="H868" s="132"/>
      <c r="I868" s="132"/>
      <c r="J868" s="132"/>
      <c r="K868" s="132"/>
      <c r="L868" s="2"/>
      <c r="M868" s="2"/>
      <c r="N868" s="2"/>
      <c r="O868" s="2"/>
      <c r="P868" s="2"/>
      <c r="Q868" s="2"/>
      <c r="R868" s="2"/>
      <c r="S868" s="2"/>
      <c r="T868" s="2"/>
      <c r="U868" s="2"/>
      <c r="V868" s="2"/>
      <c r="W868" s="2"/>
      <c r="X868" s="2"/>
      <c r="Y868" s="2"/>
      <c r="Z868" s="2"/>
    </row>
    <row r="869">
      <c r="A869" s="2"/>
      <c r="B869" s="132"/>
      <c r="C869" s="132"/>
      <c r="D869" s="132"/>
      <c r="E869" s="132"/>
      <c r="F869" s="132"/>
      <c r="G869" s="132"/>
      <c r="H869" s="132"/>
      <c r="I869" s="132"/>
      <c r="J869" s="132"/>
      <c r="K869" s="132"/>
      <c r="L869" s="2"/>
      <c r="M869" s="2"/>
      <c r="N869" s="2"/>
      <c r="O869" s="2"/>
      <c r="P869" s="2"/>
      <c r="Q869" s="2"/>
      <c r="R869" s="2"/>
      <c r="S869" s="2"/>
      <c r="T869" s="2"/>
      <c r="U869" s="2"/>
      <c r="V869" s="2"/>
      <c r="W869" s="2"/>
      <c r="X869" s="2"/>
      <c r="Y869" s="2"/>
      <c r="Z869" s="2"/>
    </row>
    <row r="870">
      <c r="A870" s="2"/>
      <c r="B870" s="132"/>
      <c r="C870" s="132"/>
      <c r="D870" s="132"/>
      <c r="E870" s="132"/>
      <c r="F870" s="132"/>
      <c r="G870" s="132"/>
      <c r="H870" s="132"/>
      <c r="I870" s="132"/>
      <c r="J870" s="132"/>
      <c r="K870" s="132"/>
      <c r="L870" s="2"/>
      <c r="M870" s="2"/>
      <c r="N870" s="2"/>
      <c r="O870" s="2"/>
      <c r="P870" s="2"/>
      <c r="Q870" s="2"/>
      <c r="R870" s="2"/>
      <c r="S870" s="2"/>
      <c r="T870" s="2"/>
      <c r="U870" s="2"/>
      <c r="V870" s="2"/>
      <c r="W870" s="2"/>
      <c r="X870" s="2"/>
      <c r="Y870" s="2"/>
      <c r="Z870" s="2"/>
    </row>
    <row r="871">
      <c r="A871" s="2"/>
      <c r="B871" s="132"/>
      <c r="C871" s="132"/>
      <c r="D871" s="132"/>
      <c r="E871" s="132"/>
      <c r="F871" s="132"/>
      <c r="G871" s="132"/>
      <c r="H871" s="132"/>
      <c r="I871" s="132"/>
      <c r="J871" s="132"/>
      <c r="K871" s="132"/>
      <c r="L871" s="2"/>
      <c r="M871" s="2"/>
      <c r="N871" s="2"/>
      <c r="O871" s="2"/>
      <c r="P871" s="2"/>
      <c r="Q871" s="2"/>
      <c r="R871" s="2"/>
      <c r="S871" s="2"/>
      <c r="T871" s="2"/>
      <c r="U871" s="2"/>
      <c r="V871" s="2"/>
      <c r="W871" s="2"/>
      <c r="X871" s="2"/>
      <c r="Y871" s="2"/>
      <c r="Z871" s="2"/>
    </row>
    <row r="872">
      <c r="A872" s="2"/>
      <c r="B872" s="132"/>
      <c r="C872" s="132"/>
      <c r="D872" s="132"/>
      <c r="E872" s="132"/>
      <c r="F872" s="132"/>
      <c r="G872" s="132"/>
      <c r="H872" s="132"/>
      <c r="I872" s="132"/>
      <c r="J872" s="132"/>
      <c r="K872" s="132"/>
      <c r="L872" s="2"/>
      <c r="M872" s="2"/>
      <c r="N872" s="2"/>
      <c r="O872" s="2"/>
      <c r="P872" s="2"/>
      <c r="Q872" s="2"/>
      <c r="R872" s="2"/>
      <c r="S872" s="2"/>
      <c r="T872" s="2"/>
      <c r="U872" s="2"/>
      <c r="V872" s="2"/>
      <c r="W872" s="2"/>
      <c r="X872" s="2"/>
      <c r="Y872" s="2"/>
      <c r="Z872" s="2"/>
    </row>
    <row r="873">
      <c r="A873" s="2"/>
      <c r="B873" s="132"/>
      <c r="C873" s="132"/>
      <c r="D873" s="132"/>
      <c r="E873" s="132"/>
      <c r="F873" s="132"/>
      <c r="G873" s="132"/>
      <c r="H873" s="132"/>
      <c r="I873" s="132"/>
      <c r="J873" s="132"/>
      <c r="K873" s="132"/>
      <c r="L873" s="2"/>
      <c r="M873" s="2"/>
      <c r="N873" s="2"/>
      <c r="O873" s="2"/>
      <c r="P873" s="2"/>
      <c r="Q873" s="2"/>
      <c r="R873" s="2"/>
      <c r="S873" s="2"/>
      <c r="T873" s="2"/>
      <c r="U873" s="2"/>
      <c r="V873" s="2"/>
      <c r="W873" s="2"/>
      <c r="X873" s="2"/>
      <c r="Y873" s="2"/>
      <c r="Z873" s="2"/>
    </row>
    <row r="874">
      <c r="A874" s="2"/>
      <c r="B874" s="132"/>
      <c r="C874" s="132"/>
      <c r="D874" s="132"/>
      <c r="E874" s="132"/>
      <c r="F874" s="132"/>
      <c r="G874" s="132"/>
      <c r="H874" s="132"/>
      <c r="I874" s="132"/>
      <c r="J874" s="132"/>
      <c r="K874" s="132"/>
      <c r="L874" s="2"/>
      <c r="M874" s="2"/>
      <c r="N874" s="2"/>
      <c r="O874" s="2"/>
      <c r="P874" s="2"/>
      <c r="Q874" s="2"/>
      <c r="R874" s="2"/>
      <c r="S874" s="2"/>
      <c r="T874" s="2"/>
      <c r="U874" s="2"/>
      <c r="V874" s="2"/>
      <c r="W874" s="2"/>
      <c r="X874" s="2"/>
      <c r="Y874" s="2"/>
      <c r="Z874" s="2"/>
    </row>
    <row r="875">
      <c r="A875" s="2"/>
      <c r="B875" s="132"/>
      <c r="C875" s="132"/>
      <c r="D875" s="132"/>
      <c r="E875" s="132"/>
      <c r="F875" s="132"/>
      <c r="G875" s="132"/>
      <c r="H875" s="132"/>
      <c r="I875" s="132"/>
      <c r="J875" s="132"/>
      <c r="K875" s="132"/>
      <c r="L875" s="2"/>
      <c r="M875" s="2"/>
      <c r="N875" s="2"/>
      <c r="O875" s="2"/>
      <c r="P875" s="2"/>
      <c r="Q875" s="2"/>
      <c r="R875" s="2"/>
      <c r="S875" s="2"/>
      <c r="T875" s="2"/>
      <c r="U875" s="2"/>
      <c r="V875" s="2"/>
      <c r="W875" s="2"/>
      <c r="X875" s="2"/>
      <c r="Y875" s="2"/>
      <c r="Z875" s="2"/>
    </row>
    <row r="876">
      <c r="A876" s="2"/>
      <c r="B876" s="132"/>
      <c r="C876" s="132"/>
      <c r="D876" s="132"/>
      <c r="E876" s="132"/>
      <c r="F876" s="132"/>
      <c r="G876" s="132"/>
      <c r="H876" s="132"/>
      <c r="I876" s="132"/>
      <c r="J876" s="132"/>
      <c r="K876" s="132"/>
      <c r="L876" s="2"/>
      <c r="M876" s="2"/>
      <c r="N876" s="2"/>
      <c r="O876" s="2"/>
      <c r="P876" s="2"/>
      <c r="Q876" s="2"/>
      <c r="R876" s="2"/>
      <c r="S876" s="2"/>
      <c r="T876" s="2"/>
      <c r="U876" s="2"/>
      <c r="V876" s="2"/>
      <c r="W876" s="2"/>
      <c r="X876" s="2"/>
      <c r="Y876" s="2"/>
      <c r="Z876" s="2"/>
    </row>
    <row r="877">
      <c r="A877" s="2"/>
      <c r="B877" s="132"/>
      <c r="C877" s="132"/>
      <c r="D877" s="132"/>
      <c r="E877" s="132"/>
      <c r="F877" s="132"/>
      <c r="G877" s="132"/>
      <c r="H877" s="132"/>
      <c r="I877" s="132"/>
      <c r="J877" s="132"/>
      <c r="K877" s="132"/>
      <c r="L877" s="2"/>
      <c r="M877" s="2"/>
      <c r="N877" s="2"/>
      <c r="O877" s="2"/>
      <c r="P877" s="2"/>
      <c r="Q877" s="2"/>
      <c r="R877" s="2"/>
      <c r="S877" s="2"/>
      <c r="T877" s="2"/>
      <c r="U877" s="2"/>
      <c r="V877" s="2"/>
      <c r="W877" s="2"/>
      <c r="X877" s="2"/>
      <c r="Y877" s="2"/>
      <c r="Z877" s="2"/>
    </row>
    <row r="878">
      <c r="A878" s="2"/>
      <c r="B878" s="132"/>
      <c r="C878" s="132"/>
      <c r="D878" s="132"/>
      <c r="E878" s="132"/>
      <c r="F878" s="132"/>
      <c r="G878" s="132"/>
      <c r="H878" s="132"/>
      <c r="I878" s="132"/>
      <c r="J878" s="132"/>
      <c r="K878" s="132"/>
      <c r="L878" s="2"/>
      <c r="M878" s="2"/>
      <c r="N878" s="2"/>
      <c r="O878" s="2"/>
      <c r="P878" s="2"/>
      <c r="Q878" s="2"/>
      <c r="R878" s="2"/>
      <c r="S878" s="2"/>
      <c r="T878" s="2"/>
      <c r="U878" s="2"/>
      <c r="V878" s="2"/>
      <c r="W878" s="2"/>
      <c r="X878" s="2"/>
      <c r="Y878" s="2"/>
      <c r="Z878" s="2"/>
    </row>
    <row r="879">
      <c r="A879" s="2"/>
      <c r="B879" s="132"/>
      <c r="C879" s="132"/>
      <c r="D879" s="132"/>
      <c r="E879" s="132"/>
      <c r="F879" s="132"/>
      <c r="G879" s="132"/>
      <c r="H879" s="132"/>
      <c r="I879" s="132"/>
      <c r="J879" s="132"/>
      <c r="K879" s="132"/>
      <c r="L879" s="2"/>
      <c r="M879" s="2"/>
      <c r="N879" s="2"/>
      <c r="O879" s="2"/>
      <c r="P879" s="2"/>
      <c r="Q879" s="2"/>
      <c r="R879" s="2"/>
      <c r="S879" s="2"/>
      <c r="T879" s="2"/>
      <c r="U879" s="2"/>
      <c r="V879" s="2"/>
      <c r="W879" s="2"/>
      <c r="X879" s="2"/>
      <c r="Y879" s="2"/>
      <c r="Z879" s="2"/>
    </row>
    <row r="880">
      <c r="A880" s="2"/>
      <c r="B880" s="132"/>
      <c r="C880" s="132"/>
      <c r="D880" s="132"/>
      <c r="E880" s="132"/>
      <c r="F880" s="132"/>
      <c r="G880" s="132"/>
      <c r="H880" s="132"/>
      <c r="I880" s="132"/>
      <c r="J880" s="132"/>
      <c r="K880" s="132"/>
      <c r="L880" s="2"/>
      <c r="M880" s="2"/>
      <c r="N880" s="2"/>
      <c r="O880" s="2"/>
      <c r="P880" s="2"/>
      <c r="Q880" s="2"/>
      <c r="R880" s="2"/>
      <c r="S880" s="2"/>
      <c r="T880" s="2"/>
      <c r="U880" s="2"/>
      <c r="V880" s="2"/>
      <c r="W880" s="2"/>
      <c r="X880" s="2"/>
      <c r="Y880" s="2"/>
      <c r="Z880" s="2"/>
    </row>
    <row r="881">
      <c r="A881" s="2"/>
      <c r="B881" s="132"/>
      <c r="C881" s="132"/>
      <c r="D881" s="132"/>
      <c r="E881" s="132"/>
      <c r="F881" s="132"/>
      <c r="G881" s="132"/>
      <c r="H881" s="132"/>
      <c r="I881" s="132"/>
      <c r="J881" s="132"/>
      <c r="K881" s="132"/>
      <c r="L881" s="2"/>
      <c r="M881" s="2"/>
      <c r="N881" s="2"/>
      <c r="O881" s="2"/>
      <c r="P881" s="2"/>
      <c r="Q881" s="2"/>
      <c r="R881" s="2"/>
      <c r="S881" s="2"/>
      <c r="T881" s="2"/>
      <c r="U881" s="2"/>
      <c r="V881" s="2"/>
      <c r="W881" s="2"/>
      <c r="X881" s="2"/>
      <c r="Y881" s="2"/>
      <c r="Z881" s="2"/>
    </row>
    <row r="882">
      <c r="A882" s="2"/>
      <c r="B882" s="132"/>
      <c r="C882" s="132"/>
      <c r="D882" s="132"/>
      <c r="E882" s="132"/>
      <c r="F882" s="132"/>
      <c r="G882" s="132"/>
      <c r="H882" s="132"/>
      <c r="I882" s="132"/>
      <c r="J882" s="132"/>
      <c r="K882" s="132"/>
      <c r="L882" s="2"/>
      <c r="M882" s="2"/>
      <c r="N882" s="2"/>
      <c r="O882" s="2"/>
      <c r="P882" s="2"/>
      <c r="Q882" s="2"/>
      <c r="R882" s="2"/>
      <c r="S882" s="2"/>
      <c r="T882" s="2"/>
      <c r="U882" s="2"/>
      <c r="V882" s="2"/>
      <c r="W882" s="2"/>
      <c r="X882" s="2"/>
      <c r="Y882" s="2"/>
      <c r="Z882" s="2"/>
    </row>
    <row r="883">
      <c r="A883" s="2"/>
      <c r="B883" s="132"/>
      <c r="C883" s="132"/>
      <c r="D883" s="132"/>
      <c r="E883" s="132"/>
      <c r="F883" s="132"/>
      <c r="G883" s="132"/>
      <c r="H883" s="132"/>
      <c r="I883" s="132"/>
      <c r="J883" s="132"/>
      <c r="K883" s="132"/>
      <c r="L883" s="2"/>
      <c r="M883" s="2"/>
      <c r="N883" s="2"/>
      <c r="O883" s="2"/>
      <c r="P883" s="2"/>
      <c r="Q883" s="2"/>
      <c r="R883" s="2"/>
      <c r="S883" s="2"/>
      <c r="T883" s="2"/>
      <c r="U883" s="2"/>
      <c r="V883" s="2"/>
      <c r="W883" s="2"/>
      <c r="X883" s="2"/>
      <c r="Y883" s="2"/>
      <c r="Z883" s="2"/>
    </row>
    <row r="884">
      <c r="A884" s="2"/>
      <c r="B884" s="132"/>
      <c r="C884" s="132"/>
      <c r="D884" s="132"/>
      <c r="E884" s="132"/>
      <c r="F884" s="132"/>
      <c r="G884" s="132"/>
      <c r="H884" s="132"/>
      <c r="I884" s="132"/>
      <c r="J884" s="132"/>
      <c r="K884" s="132"/>
      <c r="L884" s="2"/>
      <c r="M884" s="2"/>
      <c r="N884" s="2"/>
      <c r="O884" s="2"/>
      <c r="P884" s="2"/>
      <c r="Q884" s="2"/>
      <c r="R884" s="2"/>
      <c r="S884" s="2"/>
      <c r="T884" s="2"/>
      <c r="U884" s="2"/>
      <c r="V884" s="2"/>
      <c r="W884" s="2"/>
      <c r="X884" s="2"/>
      <c r="Y884" s="2"/>
      <c r="Z884" s="2"/>
    </row>
    <row r="885">
      <c r="A885" s="2"/>
      <c r="B885" s="132"/>
      <c r="C885" s="132"/>
      <c r="D885" s="132"/>
      <c r="E885" s="132"/>
      <c r="F885" s="132"/>
      <c r="G885" s="132"/>
      <c r="H885" s="132"/>
      <c r="I885" s="132"/>
      <c r="J885" s="132"/>
      <c r="K885" s="132"/>
      <c r="L885" s="2"/>
      <c r="M885" s="2"/>
      <c r="N885" s="2"/>
      <c r="O885" s="2"/>
      <c r="P885" s="2"/>
      <c r="Q885" s="2"/>
      <c r="R885" s="2"/>
      <c r="S885" s="2"/>
      <c r="T885" s="2"/>
      <c r="U885" s="2"/>
      <c r="V885" s="2"/>
      <c r="W885" s="2"/>
      <c r="X885" s="2"/>
      <c r="Y885" s="2"/>
      <c r="Z885" s="2"/>
    </row>
    <row r="886">
      <c r="A886" s="2"/>
      <c r="B886" s="132"/>
      <c r="C886" s="132"/>
      <c r="D886" s="132"/>
      <c r="E886" s="132"/>
      <c r="F886" s="132"/>
      <c r="G886" s="132"/>
      <c r="H886" s="132"/>
      <c r="I886" s="132"/>
      <c r="J886" s="132"/>
      <c r="K886" s="132"/>
      <c r="L886" s="2"/>
      <c r="M886" s="2"/>
      <c r="N886" s="2"/>
      <c r="O886" s="2"/>
      <c r="P886" s="2"/>
      <c r="Q886" s="2"/>
      <c r="R886" s="2"/>
      <c r="S886" s="2"/>
      <c r="T886" s="2"/>
      <c r="U886" s="2"/>
      <c r="V886" s="2"/>
      <c r="W886" s="2"/>
      <c r="X886" s="2"/>
      <c r="Y886" s="2"/>
      <c r="Z886" s="2"/>
    </row>
    <row r="887">
      <c r="A887" s="2"/>
      <c r="B887" s="132"/>
      <c r="C887" s="132"/>
      <c r="D887" s="132"/>
      <c r="E887" s="132"/>
      <c r="F887" s="132"/>
      <c r="G887" s="132"/>
      <c r="H887" s="132"/>
      <c r="I887" s="132"/>
      <c r="J887" s="132"/>
      <c r="K887" s="132"/>
      <c r="L887" s="2"/>
      <c r="M887" s="2"/>
      <c r="N887" s="2"/>
      <c r="O887" s="2"/>
      <c r="P887" s="2"/>
      <c r="Q887" s="2"/>
      <c r="R887" s="2"/>
      <c r="S887" s="2"/>
      <c r="T887" s="2"/>
      <c r="U887" s="2"/>
      <c r="V887" s="2"/>
      <c r="W887" s="2"/>
      <c r="X887" s="2"/>
      <c r="Y887" s="2"/>
      <c r="Z887" s="2"/>
    </row>
    <row r="888">
      <c r="A888" s="2"/>
      <c r="B888" s="132"/>
      <c r="C888" s="132"/>
      <c r="D888" s="132"/>
      <c r="E888" s="132"/>
      <c r="F888" s="132"/>
      <c r="G888" s="132"/>
      <c r="H888" s="132"/>
      <c r="I888" s="132"/>
      <c r="J888" s="132"/>
      <c r="K888" s="132"/>
      <c r="L888" s="2"/>
      <c r="M888" s="2"/>
      <c r="N888" s="2"/>
      <c r="O888" s="2"/>
      <c r="P888" s="2"/>
      <c r="Q888" s="2"/>
      <c r="R888" s="2"/>
      <c r="S888" s="2"/>
      <c r="T888" s="2"/>
      <c r="U888" s="2"/>
      <c r="V888" s="2"/>
      <c r="W888" s="2"/>
      <c r="X888" s="2"/>
      <c r="Y888" s="2"/>
      <c r="Z888" s="2"/>
    </row>
    <row r="889">
      <c r="A889" s="2"/>
      <c r="B889" s="132"/>
      <c r="C889" s="132"/>
      <c r="D889" s="132"/>
      <c r="E889" s="132"/>
      <c r="F889" s="132"/>
      <c r="G889" s="132"/>
      <c r="H889" s="132"/>
      <c r="I889" s="132"/>
      <c r="J889" s="132"/>
      <c r="K889" s="132"/>
      <c r="L889" s="2"/>
      <c r="M889" s="2"/>
      <c r="N889" s="2"/>
      <c r="O889" s="2"/>
      <c r="P889" s="2"/>
      <c r="Q889" s="2"/>
      <c r="R889" s="2"/>
      <c r="S889" s="2"/>
      <c r="T889" s="2"/>
      <c r="U889" s="2"/>
      <c r="V889" s="2"/>
      <c r="W889" s="2"/>
      <c r="X889" s="2"/>
      <c r="Y889" s="2"/>
      <c r="Z889" s="2"/>
    </row>
    <row r="890">
      <c r="A890" s="2"/>
      <c r="B890" s="132"/>
      <c r="C890" s="132"/>
      <c r="D890" s="132"/>
      <c r="E890" s="132"/>
      <c r="F890" s="132"/>
      <c r="G890" s="132"/>
      <c r="H890" s="132"/>
      <c r="I890" s="132"/>
      <c r="J890" s="132"/>
      <c r="K890" s="132"/>
      <c r="L890" s="2"/>
      <c r="M890" s="2"/>
      <c r="N890" s="2"/>
      <c r="O890" s="2"/>
      <c r="P890" s="2"/>
      <c r="Q890" s="2"/>
      <c r="R890" s="2"/>
      <c r="S890" s="2"/>
      <c r="T890" s="2"/>
      <c r="U890" s="2"/>
      <c r="V890" s="2"/>
      <c r="W890" s="2"/>
      <c r="X890" s="2"/>
      <c r="Y890" s="2"/>
      <c r="Z890" s="2"/>
    </row>
    <row r="891">
      <c r="A891" s="2"/>
      <c r="B891" s="132"/>
      <c r="C891" s="132"/>
      <c r="D891" s="132"/>
      <c r="E891" s="132"/>
      <c r="F891" s="132"/>
      <c r="G891" s="132"/>
      <c r="H891" s="132"/>
      <c r="I891" s="132"/>
      <c r="J891" s="132"/>
      <c r="K891" s="132"/>
      <c r="L891" s="2"/>
      <c r="M891" s="2"/>
      <c r="N891" s="2"/>
      <c r="O891" s="2"/>
      <c r="P891" s="2"/>
      <c r="Q891" s="2"/>
      <c r="R891" s="2"/>
      <c r="S891" s="2"/>
      <c r="T891" s="2"/>
      <c r="U891" s="2"/>
      <c r="V891" s="2"/>
      <c r="W891" s="2"/>
      <c r="X891" s="2"/>
      <c r="Y891" s="2"/>
      <c r="Z891" s="2"/>
    </row>
    <row r="892">
      <c r="A892" s="2"/>
      <c r="B892" s="132"/>
      <c r="C892" s="132"/>
      <c r="D892" s="132"/>
      <c r="E892" s="132"/>
      <c r="F892" s="132"/>
      <c r="G892" s="132"/>
      <c r="H892" s="132"/>
      <c r="I892" s="132"/>
      <c r="J892" s="132"/>
      <c r="K892" s="132"/>
      <c r="L892" s="2"/>
      <c r="M892" s="2"/>
      <c r="N892" s="2"/>
      <c r="O892" s="2"/>
      <c r="P892" s="2"/>
      <c r="Q892" s="2"/>
      <c r="R892" s="2"/>
      <c r="S892" s="2"/>
      <c r="T892" s="2"/>
      <c r="U892" s="2"/>
      <c r="V892" s="2"/>
      <c r="W892" s="2"/>
      <c r="X892" s="2"/>
      <c r="Y892" s="2"/>
      <c r="Z892" s="2"/>
    </row>
    <row r="893">
      <c r="A893" s="2"/>
      <c r="B893" s="132"/>
      <c r="C893" s="132"/>
      <c r="D893" s="132"/>
      <c r="E893" s="132"/>
      <c r="F893" s="132"/>
      <c r="G893" s="132"/>
      <c r="H893" s="132"/>
      <c r="I893" s="132"/>
      <c r="J893" s="132"/>
      <c r="K893" s="132"/>
      <c r="L893" s="2"/>
      <c r="M893" s="2"/>
      <c r="N893" s="2"/>
      <c r="O893" s="2"/>
      <c r="P893" s="2"/>
      <c r="Q893" s="2"/>
      <c r="R893" s="2"/>
      <c r="S893" s="2"/>
      <c r="T893" s="2"/>
      <c r="U893" s="2"/>
      <c r="V893" s="2"/>
      <c r="W893" s="2"/>
      <c r="X893" s="2"/>
      <c r="Y893" s="2"/>
      <c r="Z893" s="2"/>
    </row>
    <row r="894">
      <c r="A894" s="2"/>
      <c r="B894" s="132"/>
      <c r="C894" s="132"/>
      <c r="D894" s="132"/>
      <c r="E894" s="132"/>
      <c r="F894" s="132"/>
      <c r="G894" s="132"/>
      <c r="H894" s="132"/>
      <c r="I894" s="132"/>
      <c r="J894" s="132"/>
      <c r="K894" s="132"/>
      <c r="L894" s="2"/>
      <c r="M894" s="2"/>
      <c r="N894" s="2"/>
      <c r="O894" s="2"/>
      <c r="P894" s="2"/>
      <c r="Q894" s="2"/>
      <c r="R894" s="2"/>
      <c r="S894" s="2"/>
      <c r="T894" s="2"/>
      <c r="U894" s="2"/>
      <c r="V894" s="2"/>
      <c r="W894" s="2"/>
      <c r="X894" s="2"/>
      <c r="Y894" s="2"/>
      <c r="Z894" s="2"/>
    </row>
    <row r="895">
      <c r="A895" s="2"/>
      <c r="B895" s="132"/>
      <c r="C895" s="132"/>
      <c r="D895" s="132"/>
      <c r="E895" s="132"/>
      <c r="F895" s="132"/>
      <c r="G895" s="132"/>
      <c r="H895" s="132"/>
      <c r="I895" s="132"/>
      <c r="J895" s="132"/>
      <c r="K895" s="132"/>
      <c r="L895" s="2"/>
      <c r="M895" s="2"/>
      <c r="N895" s="2"/>
      <c r="O895" s="2"/>
      <c r="P895" s="2"/>
      <c r="Q895" s="2"/>
      <c r="R895" s="2"/>
      <c r="S895" s="2"/>
      <c r="T895" s="2"/>
      <c r="U895" s="2"/>
      <c r="V895" s="2"/>
      <c r="W895" s="2"/>
      <c r="X895" s="2"/>
      <c r="Y895" s="2"/>
      <c r="Z895" s="2"/>
    </row>
    <row r="896">
      <c r="A896" s="2"/>
      <c r="B896" s="132"/>
      <c r="C896" s="132"/>
      <c r="D896" s="132"/>
      <c r="E896" s="132"/>
      <c r="F896" s="132"/>
      <c r="G896" s="132"/>
      <c r="H896" s="132"/>
      <c r="I896" s="132"/>
      <c r="J896" s="132"/>
      <c r="K896" s="132"/>
      <c r="L896" s="2"/>
      <c r="M896" s="2"/>
      <c r="N896" s="2"/>
      <c r="O896" s="2"/>
      <c r="P896" s="2"/>
      <c r="Q896" s="2"/>
      <c r="R896" s="2"/>
      <c r="S896" s="2"/>
      <c r="T896" s="2"/>
      <c r="U896" s="2"/>
      <c r="V896" s="2"/>
      <c r="W896" s="2"/>
      <c r="X896" s="2"/>
      <c r="Y896" s="2"/>
      <c r="Z896" s="2"/>
    </row>
    <row r="897">
      <c r="A897" s="2"/>
      <c r="B897" s="132"/>
      <c r="C897" s="132"/>
      <c r="D897" s="132"/>
      <c r="E897" s="132"/>
      <c r="F897" s="132"/>
      <c r="G897" s="132"/>
      <c r="H897" s="132"/>
      <c r="I897" s="132"/>
      <c r="J897" s="132"/>
      <c r="K897" s="132"/>
      <c r="L897" s="2"/>
      <c r="M897" s="2"/>
      <c r="N897" s="2"/>
      <c r="O897" s="2"/>
      <c r="P897" s="2"/>
      <c r="Q897" s="2"/>
      <c r="R897" s="2"/>
      <c r="S897" s="2"/>
      <c r="T897" s="2"/>
      <c r="U897" s="2"/>
      <c r="V897" s="2"/>
      <c r="W897" s="2"/>
      <c r="X897" s="2"/>
      <c r="Y897" s="2"/>
      <c r="Z897" s="2"/>
    </row>
    <row r="898">
      <c r="A898" s="2"/>
      <c r="B898" s="132"/>
      <c r="C898" s="132"/>
      <c r="D898" s="132"/>
      <c r="E898" s="132"/>
      <c r="F898" s="132"/>
      <c r="G898" s="132"/>
      <c r="H898" s="132"/>
      <c r="I898" s="132"/>
      <c r="J898" s="132"/>
      <c r="K898" s="132"/>
      <c r="L898" s="2"/>
      <c r="M898" s="2"/>
      <c r="N898" s="2"/>
      <c r="O898" s="2"/>
      <c r="P898" s="2"/>
      <c r="Q898" s="2"/>
      <c r="R898" s="2"/>
      <c r="S898" s="2"/>
      <c r="T898" s="2"/>
      <c r="U898" s="2"/>
      <c r="V898" s="2"/>
      <c r="W898" s="2"/>
      <c r="X898" s="2"/>
      <c r="Y898" s="2"/>
      <c r="Z898" s="2"/>
    </row>
    <row r="899">
      <c r="A899" s="2"/>
      <c r="B899" s="132"/>
      <c r="C899" s="132"/>
      <c r="D899" s="132"/>
      <c r="E899" s="132"/>
      <c r="F899" s="132"/>
      <c r="G899" s="132"/>
      <c r="H899" s="132"/>
      <c r="I899" s="132"/>
      <c r="J899" s="132"/>
      <c r="K899" s="132"/>
      <c r="L899" s="2"/>
      <c r="M899" s="2"/>
      <c r="N899" s="2"/>
      <c r="O899" s="2"/>
      <c r="P899" s="2"/>
      <c r="Q899" s="2"/>
      <c r="R899" s="2"/>
      <c r="S899" s="2"/>
      <c r="T899" s="2"/>
      <c r="U899" s="2"/>
      <c r="V899" s="2"/>
      <c r="W899" s="2"/>
      <c r="X899" s="2"/>
      <c r="Y899" s="2"/>
      <c r="Z899" s="2"/>
    </row>
    <row r="900">
      <c r="A900" s="2"/>
      <c r="B900" s="132"/>
      <c r="C900" s="132"/>
      <c r="D900" s="132"/>
      <c r="E900" s="132"/>
      <c r="F900" s="132"/>
      <c r="G900" s="132"/>
      <c r="H900" s="132"/>
      <c r="I900" s="132"/>
      <c r="J900" s="132"/>
      <c r="K900" s="132"/>
      <c r="L900" s="2"/>
      <c r="M900" s="2"/>
      <c r="N900" s="2"/>
      <c r="O900" s="2"/>
      <c r="P900" s="2"/>
      <c r="Q900" s="2"/>
      <c r="R900" s="2"/>
      <c r="S900" s="2"/>
      <c r="T900" s="2"/>
      <c r="U900" s="2"/>
      <c r="V900" s="2"/>
      <c r="W900" s="2"/>
      <c r="X900" s="2"/>
      <c r="Y900" s="2"/>
      <c r="Z900" s="2"/>
    </row>
    <row r="901">
      <c r="A901" s="2"/>
      <c r="B901" s="132"/>
      <c r="C901" s="132"/>
      <c r="D901" s="132"/>
      <c r="E901" s="132"/>
      <c r="F901" s="132"/>
      <c r="G901" s="132"/>
      <c r="H901" s="132"/>
      <c r="I901" s="132"/>
      <c r="J901" s="132"/>
      <c r="K901" s="132"/>
      <c r="L901" s="2"/>
      <c r="M901" s="2"/>
      <c r="N901" s="2"/>
      <c r="O901" s="2"/>
      <c r="P901" s="2"/>
      <c r="Q901" s="2"/>
      <c r="R901" s="2"/>
      <c r="S901" s="2"/>
      <c r="T901" s="2"/>
      <c r="U901" s="2"/>
      <c r="V901" s="2"/>
      <c r="W901" s="2"/>
      <c r="X901" s="2"/>
      <c r="Y901" s="2"/>
      <c r="Z901" s="2"/>
    </row>
    <row r="902">
      <c r="A902" s="2"/>
      <c r="B902" s="132"/>
      <c r="C902" s="132"/>
      <c r="D902" s="132"/>
      <c r="E902" s="132"/>
      <c r="F902" s="132"/>
      <c r="G902" s="132"/>
      <c r="H902" s="132"/>
      <c r="I902" s="132"/>
      <c r="J902" s="132"/>
      <c r="K902" s="132"/>
      <c r="L902" s="2"/>
      <c r="M902" s="2"/>
      <c r="N902" s="2"/>
      <c r="O902" s="2"/>
      <c r="P902" s="2"/>
      <c r="Q902" s="2"/>
      <c r="R902" s="2"/>
      <c r="S902" s="2"/>
      <c r="T902" s="2"/>
      <c r="U902" s="2"/>
      <c r="V902" s="2"/>
      <c r="W902" s="2"/>
      <c r="X902" s="2"/>
      <c r="Y902" s="2"/>
      <c r="Z902" s="2"/>
    </row>
    <row r="903">
      <c r="A903" s="2"/>
      <c r="B903" s="132"/>
      <c r="C903" s="132"/>
      <c r="D903" s="132"/>
      <c r="E903" s="132"/>
      <c r="F903" s="132"/>
      <c r="G903" s="132"/>
      <c r="H903" s="132"/>
      <c r="I903" s="132"/>
      <c r="J903" s="132"/>
      <c r="K903" s="132"/>
      <c r="L903" s="2"/>
      <c r="M903" s="2"/>
      <c r="N903" s="2"/>
      <c r="O903" s="2"/>
      <c r="P903" s="2"/>
      <c r="Q903" s="2"/>
      <c r="R903" s="2"/>
      <c r="S903" s="2"/>
      <c r="T903" s="2"/>
      <c r="U903" s="2"/>
      <c r="V903" s="2"/>
      <c r="W903" s="2"/>
      <c r="X903" s="2"/>
      <c r="Y903" s="2"/>
      <c r="Z903" s="2"/>
    </row>
    <row r="904">
      <c r="A904" s="2"/>
      <c r="B904" s="132"/>
      <c r="C904" s="132"/>
      <c r="D904" s="132"/>
      <c r="E904" s="132"/>
      <c r="F904" s="132"/>
      <c r="G904" s="132"/>
      <c r="H904" s="132"/>
      <c r="I904" s="132"/>
      <c r="J904" s="132"/>
      <c r="K904" s="132"/>
      <c r="L904" s="2"/>
      <c r="M904" s="2"/>
      <c r="N904" s="2"/>
      <c r="O904" s="2"/>
      <c r="P904" s="2"/>
      <c r="Q904" s="2"/>
      <c r="R904" s="2"/>
      <c r="S904" s="2"/>
      <c r="T904" s="2"/>
      <c r="U904" s="2"/>
      <c r="V904" s="2"/>
      <c r="W904" s="2"/>
      <c r="X904" s="2"/>
      <c r="Y904" s="2"/>
      <c r="Z904" s="2"/>
    </row>
    <row r="905">
      <c r="A905" s="2"/>
      <c r="B905" s="132"/>
      <c r="C905" s="132"/>
      <c r="D905" s="132"/>
      <c r="E905" s="132"/>
      <c r="F905" s="132"/>
      <c r="G905" s="132"/>
      <c r="H905" s="132"/>
      <c r="I905" s="132"/>
      <c r="J905" s="132"/>
      <c r="K905" s="132"/>
      <c r="L905" s="2"/>
      <c r="M905" s="2"/>
      <c r="N905" s="2"/>
      <c r="O905" s="2"/>
      <c r="P905" s="2"/>
      <c r="Q905" s="2"/>
      <c r="R905" s="2"/>
      <c r="S905" s="2"/>
      <c r="T905" s="2"/>
      <c r="U905" s="2"/>
      <c r="V905" s="2"/>
      <c r="W905" s="2"/>
      <c r="X905" s="2"/>
      <c r="Y905" s="2"/>
      <c r="Z905" s="2"/>
    </row>
    <row r="906">
      <c r="A906" s="2"/>
      <c r="B906" s="132"/>
      <c r="C906" s="132"/>
      <c r="D906" s="132"/>
      <c r="E906" s="132"/>
      <c r="F906" s="132"/>
      <c r="G906" s="132"/>
      <c r="H906" s="132"/>
      <c r="I906" s="132"/>
      <c r="J906" s="132"/>
      <c r="K906" s="132"/>
      <c r="L906" s="2"/>
      <c r="M906" s="2"/>
      <c r="N906" s="2"/>
      <c r="O906" s="2"/>
      <c r="P906" s="2"/>
      <c r="Q906" s="2"/>
      <c r="R906" s="2"/>
      <c r="S906" s="2"/>
      <c r="T906" s="2"/>
      <c r="U906" s="2"/>
      <c r="V906" s="2"/>
      <c r="W906" s="2"/>
      <c r="X906" s="2"/>
      <c r="Y906" s="2"/>
      <c r="Z906" s="2"/>
    </row>
    <row r="907">
      <c r="A907" s="2"/>
      <c r="B907" s="132"/>
      <c r="C907" s="132"/>
      <c r="D907" s="132"/>
      <c r="E907" s="132"/>
      <c r="F907" s="132"/>
      <c r="G907" s="132"/>
      <c r="H907" s="132"/>
      <c r="I907" s="132"/>
      <c r="J907" s="132"/>
      <c r="K907" s="132"/>
      <c r="L907" s="2"/>
      <c r="M907" s="2"/>
      <c r="N907" s="2"/>
      <c r="O907" s="2"/>
      <c r="P907" s="2"/>
      <c r="Q907" s="2"/>
      <c r="R907" s="2"/>
      <c r="S907" s="2"/>
      <c r="T907" s="2"/>
      <c r="U907" s="2"/>
      <c r="V907" s="2"/>
      <c r="W907" s="2"/>
      <c r="X907" s="2"/>
      <c r="Y907" s="2"/>
      <c r="Z907" s="2"/>
    </row>
    <row r="908">
      <c r="A908" s="2"/>
      <c r="B908" s="132"/>
      <c r="C908" s="132"/>
      <c r="D908" s="132"/>
      <c r="E908" s="132"/>
      <c r="F908" s="132"/>
      <c r="G908" s="132"/>
      <c r="H908" s="132"/>
      <c r="I908" s="132"/>
      <c r="J908" s="132"/>
      <c r="K908" s="132"/>
      <c r="L908" s="2"/>
      <c r="M908" s="2"/>
      <c r="N908" s="2"/>
      <c r="O908" s="2"/>
      <c r="P908" s="2"/>
      <c r="Q908" s="2"/>
      <c r="R908" s="2"/>
      <c r="S908" s="2"/>
      <c r="T908" s="2"/>
      <c r="U908" s="2"/>
      <c r="V908" s="2"/>
      <c r="W908" s="2"/>
      <c r="X908" s="2"/>
      <c r="Y908" s="2"/>
      <c r="Z908" s="2"/>
    </row>
    <row r="909">
      <c r="A909" s="2"/>
      <c r="B909" s="132"/>
      <c r="C909" s="132"/>
      <c r="D909" s="132"/>
      <c r="E909" s="132"/>
      <c r="F909" s="132"/>
      <c r="G909" s="132"/>
      <c r="H909" s="132"/>
      <c r="I909" s="132"/>
      <c r="J909" s="132"/>
      <c r="K909" s="132"/>
      <c r="L909" s="2"/>
      <c r="M909" s="2"/>
      <c r="N909" s="2"/>
      <c r="O909" s="2"/>
      <c r="P909" s="2"/>
      <c r="Q909" s="2"/>
      <c r="R909" s="2"/>
      <c r="S909" s="2"/>
      <c r="T909" s="2"/>
      <c r="U909" s="2"/>
      <c r="V909" s="2"/>
      <c r="W909" s="2"/>
      <c r="X909" s="2"/>
      <c r="Y909" s="2"/>
      <c r="Z909" s="2"/>
    </row>
    <row r="910">
      <c r="A910" s="2"/>
      <c r="B910" s="132"/>
      <c r="C910" s="132"/>
      <c r="D910" s="132"/>
      <c r="E910" s="132"/>
      <c r="F910" s="132"/>
      <c r="G910" s="132"/>
      <c r="H910" s="132"/>
      <c r="I910" s="132"/>
      <c r="J910" s="132"/>
      <c r="K910" s="132"/>
      <c r="L910" s="2"/>
      <c r="M910" s="2"/>
      <c r="N910" s="2"/>
      <c r="O910" s="2"/>
      <c r="P910" s="2"/>
      <c r="Q910" s="2"/>
      <c r="R910" s="2"/>
      <c r="S910" s="2"/>
      <c r="T910" s="2"/>
      <c r="U910" s="2"/>
      <c r="V910" s="2"/>
      <c r="W910" s="2"/>
      <c r="X910" s="2"/>
      <c r="Y910" s="2"/>
      <c r="Z910" s="2"/>
    </row>
    <row r="911">
      <c r="A911" s="2"/>
      <c r="B911" s="132"/>
      <c r="C911" s="132"/>
      <c r="D911" s="132"/>
      <c r="E911" s="132"/>
      <c r="F911" s="132"/>
      <c r="G911" s="132"/>
      <c r="H911" s="132"/>
      <c r="I911" s="132"/>
      <c r="J911" s="132"/>
      <c r="K911" s="132"/>
      <c r="L911" s="2"/>
      <c r="M911" s="2"/>
      <c r="N911" s="2"/>
      <c r="O911" s="2"/>
      <c r="P911" s="2"/>
      <c r="Q911" s="2"/>
      <c r="R911" s="2"/>
      <c r="S911" s="2"/>
      <c r="T911" s="2"/>
      <c r="U911" s="2"/>
      <c r="V911" s="2"/>
      <c r="W911" s="2"/>
      <c r="X911" s="2"/>
      <c r="Y911" s="2"/>
      <c r="Z911" s="2"/>
    </row>
    <row r="912">
      <c r="A912" s="2"/>
      <c r="B912" s="132"/>
      <c r="C912" s="132"/>
      <c r="D912" s="132"/>
      <c r="E912" s="132"/>
      <c r="F912" s="132"/>
      <c r="G912" s="132"/>
      <c r="H912" s="132"/>
      <c r="I912" s="132"/>
      <c r="J912" s="132"/>
      <c r="K912" s="132"/>
      <c r="L912" s="2"/>
      <c r="M912" s="2"/>
      <c r="N912" s="2"/>
      <c r="O912" s="2"/>
      <c r="P912" s="2"/>
      <c r="Q912" s="2"/>
      <c r="R912" s="2"/>
      <c r="S912" s="2"/>
      <c r="T912" s="2"/>
      <c r="U912" s="2"/>
      <c r="V912" s="2"/>
      <c r="W912" s="2"/>
      <c r="X912" s="2"/>
      <c r="Y912" s="2"/>
      <c r="Z912" s="2"/>
    </row>
    <row r="913">
      <c r="A913" s="2"/>
      <c r="B913" s="132"/>
      <c r="C913" s="132"/>
      <c r="D913" s="132"/>
      <c r="E913" s="132"/>
      <c r="F913" s="132"/>
      <c r="G913" s="132"/>
      <c r="H913" s="132"/>
      <c r="I913" s="132"/>
      <c r="J913" s="132"/>
      <c r="K913" s="132"/>
      <c r="L913" s="2"/>
      <c r="M913" s="2"/>
      <c r="N913" s="2"/>
      <c r="O913" s="2"/>
      <c r="P913" s="2"/>
      <c r="Q913" s="2"/>
      <c r="R913" s="2"/>
      <c r="S913" s="2"/>
      <c r="T913" s="2"/>
      <c r="U913" s="2"/>
      <c r="V913" s="2"/>
      <c r="W913" s="2"/>
      <c r="X913" s="2"/>
      <c r="Y913" s="2"/>
      <c r="Z913" s="2"/>
    </row>
    <row r="914">
      <c r="A914" s="2"/>
      <c r="B914" s="132"/>
      <c r="C914" s="132"/>
      <c r="D914" s="132"/>
      <c r="E914" s="132"/>
      <c r="F914" s="132"/>
      <c r="G914" s="132"/>
      <c r="H914" s="132"/>
      <c r="I914" s="132"/>
      <c r="J914" s="132"/>
      <c r="K914" s="132"/>
      <c r="L914" s="2"/>
      <c r="M914" s="2"/>
      <c r="N914" s="2"/>
      <c r="O914" s="2"/>
      <c r="P914" s="2"/>
      <c r="Q914" s="2"/>
      <c r="R914" s="2"/>
      <c r="S914" s="2"/>
      <c r="T914" s="2"/>
      <c r="U914" s="2"/>
      <c r="V914" s="2"/>
      <c r="W914" s="2"/>
      <c r="X914" s="2"/>
      <c r="Y914" s="2"/>
      <c r="Z914" s="2"/>
    </row>
    <row r="915">
      <c r="A915" s="2"/>
      <c r="B915" s="132"/>
      <c r="C915" s="132"/>
      <c r="D915" s="132"/>
      <c r="E915" s="132"/>
      <c r="F915" s="132"/>
      <c r="G915" s="132"/>
      <c r="H915" s="132"/>
      <c r="I915" s="132"/>
      <c r="J915" s="132"/>
      <c r="K915" s="132"/>
      <c r="L915" s="2"/>
      <c r="M915" s="2"/>
      <c r="N915" s="2"/>
      <c r="O915" s="2"/>
      <c r="P915" s="2"/>
      <c r="Q915" s="2"/>
      <c r="R915" s="2"/>
      <c r="S915" s="2"/>
      <c r="T915" s="2"/>
      <c r="U915" s="2"/>
      <c r="V915" s="2"/>
      <c r="W915" s="2"/>
      <c r="X915" s="2"/>
      <c r="Y915" s="2"/>
      <c r="Z915" s="2"/>
    </row>
    <row r="916">
      <c r="A916" s="2"/>
      <c r="B916" s="132"/>
      <c r="C916" s="132"/>
      <c r="D916" s="132"/>
      <c r="E916" s="132"/>
      <c r="F916" s="132"/>
      <c r="G916" s="132"/>
      <c r="H916" s="132"/>
      <c r="I916" s="132"/>
      <c r="J916" s="132"/>
      <c r="K916" s="132"/>
      <c r="L916" s="2"/>
      <c r="M916" s="2"/>
      <c r="N916" s="2"/>
      <c r="O916" s="2"/>
      <c r="P916" s="2"/>
      <c r="Q916" s="2"/>
      <c r="R916" s="2"/>
      <c r="S916" s="2"/>
      <c r="T916" s="2"/>
      <c r="U916" s="2"/>
      <c r="V916" s="2"/>
      <c r="W916" s="2"/>
      <c r="X916" s="2"/>
      <c r="Y916" s="2"/>
      <c r="Z916" s="2"/>
    </row>
    <row r="917">
      <c r="A917" s="2"/>
      <c r="B917" s="132"/>
      <c r="C917" s="132"/>
      <c r="D917" s="132"/>
      <c r="E917" s="132"/>
      <c r="F917" s="132"/>
      <c r="G917" s="132"/>
      <c r="H917" s="132"/>
      <c r="I917" s="132"/>
      <c r="J917" s="132"/>
      <c r="K917" s="132"/>
      <c r="L917" s="2"/>
      <c r="M917" s="2"/>
      <c r="N917" s="2"/>
      <c r="O917" s="2"/>
      <c r="P917" s="2"/>
      <c r="Q917" s="2"/>
      <c r="R917" s="2"/>
      <c r="S917" s="2"/>
      <c r="T917" s="2"/>
      <c r="U917" s="2"/>
      <c r="V917" s="2"/>
      <c r="W917" s="2"/>
      <c r="X917" s="2"/>
      <c r="Y917" s="2"/>
      <c r="Z917" s="2"/>
    </row>
    <row r="918">
      <c r="A918" s="2"/>
      <c r="B918" s="132"/>
      <c r="C918" s="132"/>
      <c r="D918" s="132"/>
      <c r="E918" s="132"/>
      <c r="F918" s="132"/>
      <c r="G918" s="132"/>
      <c r="H918" s="132"/>
      <c r="I918" s="132"/>
      <c r="J918" s="132"/>
      <c r="K918" s="132"/>
      <c r="L918" s="2"/>
      <c r="M918" s="2"/>
      <c r="N918" s="2"/>
      <c r="O918" s="2"/>
      <c r="P918" s="2"/>
      <c r="Q918" s="2"/>
      <c r="R918" s="2"/>
      <c r="S918" s="2"/>
      <c r="T918" s="2"/>
      <c r="U918" s="2"/>
      <c r="V918" s="2"/>
      <c r="W918" s="2"/>
      <c r="X918" s="2"/>
      <c r="Y918" s="2"/>
      <c r="Z918" s="2"/>
    </row>
    <row r="919">
      <c r="A919" s="2"/>
      <c r="B919" s="132"/>
      <c r="C919" s="132"/>
      <c r="D919" s="132"/>
      <c r="E919" s="132"/>
      <c r="F919" s="132"/>
      <c r="G919" s="132"/>
      <c r="H919" s="132"/>
      <c r="I919" s="132"/>
      <c r="J919" s="132"/>
      <c r="K919" s="132"/>
      <c r="L919" s="2"/>
      <c r="M919" s="2"/>
      <c r="N919" s="2"/>
      <c r="O919" s="2"/>
      <c r="P919" s="2"/>
      <c r="Q919" s="2"/>
      <c r="R919" s="2"/>
      <c r="S919" s="2"/>
      <c r="T919" s="2"/>
      <c r="U919" s="2"/>
      <c r="V919" s="2"/>
      <c r="W919" s="2"/>
      <c r="X919" s="2"/>
      <c r="Y919" s="2"/>
      <c r="Z919" s="2"/>
    </row>
    <row r="920">
      <c r="A920" s="2"/>
      <c r="B920" s="132"/>
      <c r="C920" s="132"/>
      <c r="D920" s="132"/>
      <c r="E920" s="132"/>
      <c r="F920" s="132"/>
      <c r="G920" s="132"/>
      <c r="H920" s="132"/>
      <c r="I920" s="132"/>
      <c r="J920" s="132"/>
      <c r="K920" s="132"/>
      <c r="L920" s="2"/>
      <c r="M920" s="2"/>
      <c r="N920" s="2"/>
      <c r="O920" s="2"/>
      <c r="P920" s="2"/>
      <c r="Q920" s="2"/>
      <c r="R920" s="2"/>
      <c r="S920" s="2"/>
      <c r="T920" s="2"/>
      <c r="U920" s="2"/>
      <c r="V920" s="2"/>
      <c r="W920" s="2"/>
      <c r="X920" s="2"/>
      <c r="Y920" s="2"/>
      <c r="Z920" s="2"/>
    </row>
    <row r="921">
      <c r="A921" s="2"/>
      <c r="B921" s="132"/>
      <c r="C921" s="132"/>
      <c r="D921" s="132"/>
      <c r="E921" s="132"/>
      <c r="F921" s="132"/>
      <c r="G921" s="132"/>
      <c r="H921" s="132"/>
      <c r="I921" s="132"/>
      <c r="J921" s="132"/>
      <c r="K921" s="132"/>
      <c r="L921" s="2"/>
      <c r="M921" s="2"/>
      <c r="N921" s="2"/>
      <c r="O921" s="2"/>
      <c r="P921" s="2"/>
      <c r="Q921" s="2"/>
      <c r="R921" s="2"/>
      <c r="S921" s="2"/>
      <c r="T921" s="2"/>
      <c r="U921" s="2"/>
      <c r="V921" s="2"/>
      <c r="W921" s="2"/>
      <c r="X921" s="2"/>
      <c r="Y921" s="2"/>
      <c r="Z921" s="2"/>
    </row>
    <row r="922">
      <c r="A922" s="2"/>
      <c r="B922" s="132"/>
      <c r="C922" s="132"/>
      <c r="D922" s="132"/>
      <c r="E922" s="132"/>
      <c r="F922" s="132"/>
      <c r="G922" s="132"/>
      <c r="H922" s="132"/>
      <c r="I922" s="132"/>
      <c r="J922" s="132"/>
      <c r="K922" s="132"/>
      <c r="L922" s="2"/>
      <c r="M922" s="2"/>
      <c r="N922" s="2"/>
      <c r="O922" s="2"/>
      <c r="P922" s="2"/>
      <c r="Q922" s="2"/>
      <c r="R922" s="2"/>
      <c r="S922" s="2"/>
      <c r="T922" s="2"/>
      <c r="U922" s="2"/>
      <c r="V922" s="2"/>
      <c r="W922" s="2"/>
      <c r="X922" s="2"/>
      <c r="Y922" s="2"/>
      <c r="Z922" s="2"/>
    </row>
    <row r="923">
      <c r="A923" s="2"/>
      <c r="B923" s="132"/>
      <c r="C923" s="132"/>
      <c r="D923" s="132"/>
      <c r="E923" s="132"/>
      <c r="F923" s="132"/>
      <c r="G923" s="132"/>
      <c r="H923" s="132"/>
      <c r="I923" s="132"/>
      <c r="J923" s="132"/>
      <c r="K923" s="132"/>
      <c r="L923" s="2"/>
      <c r="M923" s="2"/>
      <c r="N923" s="2"/>
      <c r="O923" s="2"/>
      <c r="P923" s="2"/>
      <c r="Q923" s="2"/>
      <c r="R923" s="2"/>
      <c r="S923" s="2"/>
      <c r="T923" s="2"/>
      <c r="U923" s="2"/>
      <c r="V923" s="2"/>
      <c r="W923" s="2"/>
      <c r="X923" s="2"/>
      <c r="Y923" s="2"/>
      <c r="Z923" s="2"/>
    </row>
    <row r="924">
      <c r="A924" s="2"/>
      <c r="B924" s="132"/>
      <c r="C924" s="132"/>
      <c r="D924" s="132"/>
      <c r="E924" s="132"/>
      <c r="F924" s="132"/>
      <c r="G924" s="132"/>
      <c r="H924" s="132"/>
      <c r="I924" s="132"/>
      <c r="J924" s="132"/>
      <c r="K924" s="132"/>
      <c r="L924" s="2"/>
      <c r="M924" s="2"/>
      <c r="N924" s="2"/>
      <c r="O924" s="2"/>
      <c r="P924" s="2"/>
      <c r="Q924" s="2"/>
      <c r="R924" s="2"/>
      <c r="S924" s="2"/>
      <c r="T924" s="2"/>
      <c r="U924" s="2"/>
      <c r="V924" s="2"/>
      <c r="W924" s="2"/>
      <c r="X924" s="2"/>
      <c r="Y924" s="2"/>
      <c r="Z924" s="2"/>
    </row>
    <row r="925">
      <c r="A925" s="2"/>
      <c r="B925" s="132"/>
      <c r="C925" s="132"/>
      <c r="D925" s="132"/>
      <c r="E925" s="132"/>
      <c r="F925" s="132"/>
      <c r="G925" s="132"/>
      <c r="H925" s="132"/>
      <c r="I925" s="132"/>
      <c r="J925" s="132"/>
      <c r="K925" s="132"/>
      <c r="L925" s="2"/>
      <c r="M925" s="2"/>
      <c r="N925" s="2"/>
      <c r="O925" s="2"/>
      <c r="P925" s="2"/>
      <c r="Q925" s="2"/>
      <c r="R925" s="2"/>
      <c r="S925" s="2"/>
      <c r="T925" s="2"/>
      <c r="U925" s="2"/>
      <c r="V925" s="2"/>
      <c r="W925" s="2"/>
      <c r="X925" s="2"/>
      <c r="Y925" s="2"/>
      <c r="Z925" s="2"/>
    </row>
    <row r="926">
      <c r="A926" s="2"/>
      <c r="B926" s="132"/>
      <c r="C926" s="132"/>
      <c r="D926" s="132"/>
      <c r="E926" s="132"/>
      <c r="F926" s="132"/>
      <c r="G926" s="132"/>
      <c r="H926" s="132"/>
      <c r="I926" s="132"/>
      <c r="J926" s="132"/>
      <c r="K926" s="132"/>
      <c r="L926" s="2"/>
      <c r="M926" s="2"/>
      <c r="N926" s="2"/>
      <c r="O926" s="2"/>
      <c r="P926" s="2"/>
      <c r="Q926" s="2"/>
      <c r="R926" s="2"/>
      <c r="S926" s="2"/>
      <c r="T926" s="2"/>
      <c r="U926" s="2"/>
      <c r="V926" s="2"/>
      <c r="W926" s="2"/>
      <c r="X926" s="2"/>
      <c r="Y926" s="2"/>
      <c r="Z926" s="2"/>
    </row>
    <row r="927">
      <c r="A927" s="2"/>
      <c r="B927" s="132"/>
      <c r="C927" s="132"/>
      <c r="D927" s="132"/>
      <c r="E927" s="132"/>
      <c r="F927" s="132"/>
      <c r="G927" s="132"/>
      <c r="H927" s="132"/>
      <c r="I927" s="132"/>
      <c r="J927" s="132"/>
      <c r="K927" s="132"/>
      <c r="L927" s="2"/>
      <c r="M927" s="2"/>
      <c r="N927" s="2"/>
      <c r="O927" s="2"/>
      <c r="P927" s="2"/>
      <c r="Q927" s="2"/>
      <c r="R927" s="2"/>
      <c r="S927" s="2"/>
      <c r="T927" s="2"/>
      <c r="U927" s="2"/>
      <c r="V927" s="2"/>
      <c r="W927" s="2"/>
      <c r="X927" s="2"/>
      <c r="Y927" s="2"/>
      <c r="Z927" s="2"/>
    </row>
    <row r="928">
      <c r="A928" s="2"/>
      <c r="B928" s="132"/>
      <c r="C928" s="132"/>
      <c r="D928" s="132"/>
      <c r="E928" s="132"/>
      <c r="F928" s="132"/>
      <c r="G928" s="132"/>
      <c r="H928" s="132"/>
      <c r="I928" s="132"/>
      <c r="J928" s="132"/>
      <c r="K928" s="132"/>
      <c r="L928" s="2"/>
      <c r="M928" s="2"/>
      <c r="N928" s="2"/>
      <c r="O928" s="2"/>
      <c r="P928" s="2"/>
      <c r="Q928" s="2"/>
      <c r="R928" s="2"/>
      <c r="S928" s="2"/>
      <c r="T928" s="2"/>
      <c r="U928" s="2"/>
      <c r="V928" s="2"/>
      <c r="W928" s="2"/>
      <c r="X928" s="2"/>
      <c r="Y928" s="2"/>
      <c r="Z928" s="2"/>
    </row>
    <row r="929">
      <c r="A929" s="2"/>
      <c r="B929" s="132"/>
      <c r="C929" s="132"/>
      <c r="D929" s="132"/>
      <c r="E929" s="132"/>
      <c r="F929" s="132"/>
      <c r="G929" s="132"/>
      <c r="H929" s="132"/>
      <c r="I929" s="132"/>
      <c r="J929" s="132"/>
      <c r="K929" s="132"/>
      <c r="L929" s="2"/>
      <c r="M929" s="2"/>
      <c r="N929" s="2"/>
      <c r="O929" s="2"/>
      <c r="P929" s="2"/>
      <c r="Q929" s="2"/>
      <c r="R929" s="2"/>
      <c r="S929" s="2"/>
      <c r="T929" s="2"/>
      <c r="U929" s="2"/>
      <c r="V929" s="2"/>
      <c r="W929" s="2"/>
      <c r="X929" s="2"/>
      <c r="Y929" s="2"/>
      <c r="Z929" s="2"/>
    </row>
    <row r="930">
      <c r="A930" s="2"/>
      <c r="B930" s="132"/>
      <c r="C930" s="132"/>
      <c r="D930" s="132"/>
      <c r="E930" s="132"/>
      <c r="F930" s="132"/>
      <c r="G930" s="132"/>
      <c r="H930" s="132"/>
      <c r="I930" s="132"/>
      <c r="J930" s="132"/>
      <c r="K930" s="132"/>
      <c r="L930" s="2"/>
      <c r="M930" s="2"/>
      <c r="N930" s="2"/>
      <c r="O930" s="2"/>
      <c r="P930" s="2"/>
      <c r="Q930" s="2"/>
      <c r="R930" s="2"/>
      <c r="S930" s="2"/>
      <c r="T930" s="2"/>
      <c r="U930" s="2"/>
      <c r="V930" s="2"/>
      <c r="W930" s="2"/>
      <c r="X930" s="2"/>
      <c r="Y930" s="2"/>
      <c r="Z930" s="2"/>
    </row>
    <row r="931">
      <c r="A931" s="2"/>
      <c r="B931" s="132"/>
      <c r="C931" s="132"/>
      <c r="D931" s="132"/>
      <c r="E931" s="132"/>
      <c r="F931" s="132"/>
      <c r="G931" s="132"/>
      <c r="H931" s="132"/>
      <c r="I931" s="132"/>
      <c r="J931" s="132"/>
      <c r="K931" s="132"/>
      <c r="L931" s="2"/>
      <c r="M931" s="2"/>
      <c r="N931" s="2"/>
      <c r="O931" s="2"/>
      <c r="P931" s="2"/>
      <c r="Q931" s="2"/>
      <c r="R931" s="2"/>
      <c r="S931" s="2"/>
      <c r="T931" s="2"/>
      <c r="U931" s="2"/>
      <c r="V931" s="2"/>
      <c r="W931" s="2"/>
      <c r="X931" s="2"/>
      <c r="Y931" s="2"/>
      <c r="Z931" s="2"/>
    </row>
    <row r="932">
      <c r="A932" s="2"/>
      <c r="B932" s="132"/>
      <c r="C932" s="132"/>
      <c r="D932" s="132"/>
      <c r="E932" s="132"/>
      <c r="F932" s="132"/>
      <c r="G932" s="132"/>
      <c r="H932" s="132"/>
      <c r="I932" s="132"/>
      <c r="J932" s="132"/>
      <c r="K932" s="132"/>
      <c r="L932" s="2"/>
      <c r="M932" s="2"/>
      <c r="N932" s="2"/>
      <c r="O932" s="2"/>
      <c r="P932" s="2"/>
      <c r="Q932" s="2"/>
      <c r="R932" s="2"/>
      <c r="S932" s="2"/>
      <c r="T932" s="2"/>
      <c r="U932" s="2"/>
      <c r="V932" s="2"/>
      <c r="W932" s="2"/>
      <c r="X932" s="2"/>
      <c r="Y932" s="2"/>
      <c r="Z932" s="2"/>
    </row>
    <row r="933">
      <c r="A933" s="2"/>
      <c r="B933" s="132"/>
      <c r="C933" s="132"/>
      <c r="D933" s="132"/>
      <c r="E933" s="132"/>
      <c r="F933" s="132"/>
      <c r="G933" s="132"/>
      <c r="H933" s="132"/>
      <c r="I933" s="132"/>
      <c r="J933" s="132"/>
      <c r="K933" s="132"/>
      <c r="L933" s="2"/>
      <c r="M933" s="2"/>
      <c r="N933" s="2"/>
      <c r="O933" s="2"/>
      <c r="P933" s="2"/>
      <c r="Q933" s="2"/>
      <c r="R933" s="2"/>
      <c r="S933" s="2"/>
      <c r="T933" s="2"/>
      <c r="U933" s="2"/>
      <c r="V933" s="2"/>
      <c r="W933" s="2"/>
      <c r="X933" s="2"/>
      <c r="Y933" s="2"/>
      <c r="Z933" s="2"/>
    </row>
    <row r="934">
      <c r="A934" s="2"/>
      <c r="B934" s="132"/>
      <c r="C934" s="132"/>
      <c r="D934" s="132"/>
      <c r="E934" s="132"/>
      <c r="F934" s="132"/>
      <c r="G934" s="132"/>
      <c r="H934" s="132"/>
      <c r="I934" s="132"/>
      <c r="J934" s="132"/>
      <c r="K934" s="132"/>
      <c r="L934" s="2"/>
      <c r="M934" s="2"/>
      <c r="N934" s="2"/>
      <c r="O934" s="2"/>
      <c r="P934" s="2"/>
      <c r="Q934" s="2"/>
      <c r="R934" s="2"/>
      <c r="S934" s="2"/>
      <c r="T934" s="2"/>
      <c r="U934" s="2"/>
      <c r="V934" s="2"/>
      <c r="W934" s="2"/>
      <c r="X934" s="2"/>
      <c r="Y934" s="2"/>
      <c r="Z934" s="2"/>
    </row>
    <row r="935">
      <c r="A935" s="2"/>
      <c r="B935" s="132"/>
      <c r="C935" s="132"/>
      <c r="D935" s="132"/>
      <c r="E935" s="132"/>
      <c r="F935" s="132"/>
      <c r="G935" s="132"/>
      <c r="H935" s="132"/>
      <c r="I935" s="132"/>
      <c r="J935" s="132"/>
      <c r="K935" s="132"/>
      <c r="L935" s="2"/>
      <c r="M935" s="2"/>
      <c r="N935" s="2"/>
      <c r="O935" s="2"/>
      <c r="P935" s="2"/>
      <c r="Q935" s="2"/>
      <c r="R935" s="2"/>
      <c r="S935" s="2"/>
      <c r="T935" s="2"/>
      <c r="U935" s="2"/>
      <c r="V935" s="2"/>
      <c r="W935" s="2"/>
      <c r="X935" s="2"/>
      <c r="Y935" s="2"/>
      <c r="Z935" s="2"/>
    </row>
    <row r="936">
      <c r="A936" s="2"/>
      <c r="B936" s="132"/>
      <c r="C936" s="132"/>
      <c r="D936" s="132"/>
      <c r="E936" s="132"/>
      <c r="F936" s="132"/>
      <c r="G936" s="132"/>
      <c r="H936" s="132"/>
      <c r="I936" s="132"/>
      <c r="J936" s="132"/>
      <c r="K936" s="132"/>
      <c r="L936" s="2"/>
      <c r="M936" s="2"/>
      <c r="N936" s="2"/>
      <c r="O936" s="2"/>
      <c r="P936" s="2"/>
      <c r="Q936" s="2"/>
      <c r="R936" s="2"/>
      <c r="S936" s="2"/>
      <c r="T936" s="2"/>
      <c r="U936" s="2"/>
      <c r="V936" s="2"/>
      <c r="W936" s="2"/>
      <c r="X936" s="2"/>
      <c r="Y936" s="2"/>
      <c r="Z936" s="2"/>
    </row>
    <row r="937">
      <c r="A937" s="2"/>
      <c r="B937" s="132"/>
      <c r="C937" s="132"/>
      <c r="D937" s="132"/>
      <c r="E937" s="132"/>
      <c r="F937" s="132"/>
      <c r="G937" s="132"/>
      <c r="H937" s="132"/>
      <c r="I937" s="132"/>
      <c r="J937" s="132"/>
      <c r="K937" s="132"/>
      <c r="L937" s="2"/>
      <c r="M937" s="2"/>
      <c r="N937" s="2"/>
      <c r="O937" s="2"/>
      <c r="P937" s="2"/>
      <c r="Q937" s="2"/>
      <c r="R937" s="2"/>
      <c r="S937" s="2"/>
      <c r="T937" s="2"/>
      <c r="U937" s="2"/>
      <c r="V937" s="2"/>
      <c r="W937" s="2"/>
      <c r="X937" s="2"/>
      <c r="Y937" s="2"/>
      <c r="Z937" s="2"/>
    </row>
    <row r="938">
      <c r="A938" s="2"/>
      <c r="B938" s="132"/>
      <c r="C938" s="132"/>
      <c r="D938" s="132"/>
      <c r="E938" s="132"/>
      <c r="F938" s="132"/>
      <c r="G938" s="132"/>
      <c r="H938" s="132"/>
      <c r="I938" s="132"/>
      <c r="J938" s="132"/>
      <c r="K938" s="132"/>
      <c r="L938" s="2"/>
      <c r="M938" s="2"/>
      <c r="N938" s="2"/>
      <c r="O938" s="2"/>
      <c r="P938" s="2"/>
      <c r="Q938" s="2"/>
      <c r="R938" s="2"/>
      <c r="S938" s="2"/>
      <c r="T938" s="2"/>
      <c r="U938" s="2"/>
      <c r="V938" s="2"/>
      <c r="W938" s="2"/>
      <c r="X938" s="2"/>
      <c r="Y938" s="2"/>
      <c r="Z938" s="2"/>
    </row>
    <row r="939">
      <c r="A939" s="2"/>
      <c r="B939" s="132"/>
      <c r="C939" s="132"/>
      <c r="D939" s="132"/>
      <c r="E939" s="132"/>
      <c r="F939" s="132"/>
      <c r="G939" s="132"/>
      <c r="H939" s="132"/>
      <c r="I939" s="132"/>
      <c r="J939" s="132"/>
      <c r="K939" s="132"/>
      <c r="L939" s="2"/>
      <c r="M939" s="2"/>
      <c r="N939" s="2"/>
      <c r="O939" s="2"/>
      <c r="P939" s="2"/>
      <c r="Q939" s="2"/>
      <c r="R939" s="2"/>
      <c r="S939" s="2"/>
      <c r="T939" s="2"/>
      <c r="U939" s="2"/>
      <c r="V939" s="2"/>
      <c r="W939" s="2"/>
      <c r="X939" s="2"/>
      <c r="Y939" s="2"/>
      <c r="Z939" s="2"/>
    </row>
    <row r="940">
      <c r="A940" s="2"/>
      <c r="B940" s="132"/>
      <c r="C940" s="132"/>
      <c r="D940" s="132"/>
      <c r="E940" s="132"/>
      <c r="F940" s="132"/>
      <c r="G940" s="132"/>
      <c r="H940" s="132"/>
      <c r="I940" s="132"/>
      <c r="J940" s="132"/>
      <c r="K940" s="132"/>
      <c r="L940" s="2"/>
      <c r="M940" s="2"/>
      <c r="N940" s="2"/>
      <c r="O940" s="2"/>
      <c r="P940" s="2"/>
      <c r="Q940" s="2"/>
      <c r="R940" s="2"/>
      <c r="S940" s="2"/>
      <c r="T940" s="2"/>
      <c r="U940" s="2"/>
      <c r="V940" s="2"/>
      <c r="W940" s="2"/>
      <c r="X940" s="2"/>
      <c r="Y940" s="2"/>
      <c r="Z940" s="2"/>
    </row>
    <row r="941">
      <c r="A941" s="2"/>
      <c r="B941" s="132"/>
      <c r="C941" s="132"/>
      <c r="D941" s="132"/>
      <c r="E941" s="132"/>
      <c r="F941" s="132"/>
      <c r="G941" s="132"/>
      <c r="H941" s="132"/>
      <c r="I941" s="132"/>
      <c r="J941" s="132"/>
      <c r="K941" s="132"/>
      <c r="L941" s="2"/>
      <c r="M941" s="2"/>
      <c r="N941" s="2"/>
      <c r="O941" s="2"/>
      <c r="P941" s="2"/>
      <c r="Q941" s="2"/>
      <c r="R941" s="2"/>
      <c r="S941" s="2"/>
      <c r="T941" s="2"/>
      <c r="U941" s="2"/>
      <c r="V941" s="2"/>
      <c r="W941" s="2"/>
      <c r="X941" s="2"/>
      <c r="Y941" s="2"/>
      <c r="Z941" s="2"/>
    </row>
    <row r="942">
      <c r="A942" s="2"/>
      <c r="B942" s="132"/>
      <c r="C942" s="132"/>
      <c r="D942" s="132"/>
      <c r="E942" s="132"/>
      <c r="F942" s="132"/>
      <c r="G942" s="132"/>
      <c r="H942" s="132"/>
      <c r="I942" s="132"/>
      <c r="J942" s="132"/>
      <c r="K942" s="132"/>
      <c r="L942" s="2"/>
      <c r="M942" s="2"/>
      <c r="N942" s="2"/>
      <c r="O942" s="2"/>
      <c r="P942" s="2"/>
      <c r="Q942" s="2"/>
      <c r="R942" s="2"/>
      <c r="S942" s="2"/>
      <c r="T942" s="2"/>
      <c r="U942" s="2"/>
      <c r="V942" s="2"/>
      <c r="W942" s="2"/>
      <c r="X942" s="2"/>
      <c r="Y942" s="2"/>
      <c r="Z942" s="2"/>
    </row>
    <row r="943">
      <c r="A943" s="2"/>
      <c r="B943" s="132"/>
      <c r="C943" s="132"/>
      <c r="D943" s="132"/>
      <c r="E943" s="132"/>
      <c r="F943" s="132"/>
      <c r="G943" s="132"/>
      <c r="H943" s="132"/>
      <c r="I943" s="132"/>
      <c r="J943" s="132"/>
      <c r="K943" s="132"/>
      <c r="L943" s="2"/>
      <c r="M943" s="2"/>
      <c r="N943" s="2"/>
      <c r="O943" s="2"/>
      <c r="P943" s="2"/>
      <c r="Q943" s="2"/>
      <c r="R943" s="2"/>
      <c r="S943" s="2"/>
      <c r="T943" s="2"/>
      <c r="U943" s="2"/>
      <c r="V943" s="2"/>
      <c r="W943" s="2"/>
      <c r="X943" s="2"/>
      <c r="Y943" s="2"/>
      <c r="Z943" s="2"/>
    </row>
    <row r="944">
      <c r="A944" s="2"/>
      <c r="B944" s="132"/>
      <c r="C944" s="132"/>
      <c r="D944" s="132"/>
      <c r="E944" s="132"/>
      <c r="F944" s="132"/>
      <c r="G944" s="132"/>
      <c r="H944" s="132"/>
      <c r="I944" s="132"/>
      <c r="J944" s="132"/>
      <c r="K944" s="132"/>
      <c r="L944" s="2"/>
      <c r="M944" s="2"/>
      <c r="N944" s="2"/>
      <c r="O944" s="2"/>
      <c r="P944" s="2"/>
      <c r="Q944" s="2"/>
      <c r="R944" s="2"/>
      <c r="S944" s="2"/>
      <c r="T944" s="2"/>
      <c r="U944" s="2"/>
      <c r="V944" s="2"/>
      <c r="W944" s="2"/>
      <c r="X944" s="2"/>
      <c r="Y944" s="2"/>
      <c r="Z944" s="2"/>
    </row>
    <row r="945">
      <c r="A945" s="2"/>
      <c r="B945" s="132"/>
      <c r="C945" s="132"/>
      <c r="D945" s="132"/>
      <c r="E945" s="132"/>
      <c r="F945" s="132"/>
      <c r="G945" s="132"/>
      <c r="H945" s="132"/>
      <c r="I945" s="132"/>
      <c r="J945" s="132"/>
      <c r="K945" s="132"/>
      <c r="L945" s="2"/>
      <c r="M945" s="2"/>
      <c r="N945" s="2"/>
      <c r="O945" s="2"/>
      <c r="P945" s="2"/>
      <c r="Q945" s="2"/>
      <c r="R945" s="2"/>
      <c r="S945" s="2"/>
      <c r="T945" s="2"/>
      <c r="U945" s="2"/>
      <c r="V945" s="2"/>
      <c r="W945" s="2"/>
      <c r="X945" s="2"/>
      <c r="Y945" s="2"/>
      <c r="Z945" s="2"/>
    </row>
    <row r="946">
      <c r="A946" s="2"/>
      <c r="B946" s="132"/>
      <c r="C946" s="132"/>
      <c r="D946" s="132"/>
      <c r="E946" s="132"/>
      <c r="F946" s="132"/>
      <c r="G946" s="132"/>
      <c r="H946" s="132"/>
      <c r="I946" s="132"/>
      <c r="J946" s="132"/>
      <c r="K946" s="132"/>
      <c r="L946" s="2"/>
      <c r="M946" s="2"/>
      <c r="N946" s="2"/>
      <c r="O946" s="2"/>
      <c r="P946" s="2"/>
      <c r="Q946" s="2"/>
      <c r="R946" s="2"/>
      <c r="S946" s="2"/>
      <c r="T946" s="2"/>
      <c r="U946" s="2"/>
      <c r="V946" s="2"/>
      <c r="W946" s="2"/>
      <c r="X946" s="2"/>
      <c r="Y946" s="2"/>
      <c r="Z946" s="2"/>
    </row>
    <row r="947">
      <c r="A947" s="2"/>
      <c r="B947" s="132"/>
      <c r="C947" s="132"/>
      <c r="D947" s="132"/>
      <c r="E947" s="132"/>
      <c r="F947" s="132"/>
      <c r="G947" s="132"/>
      <c r="H947" s="132"/>
      <c r="I947" s="132"/>
      <c r="J947" s="132"/>
      <c r="K947" s="132"/>
      <c r="L947" s="2"/>
      <c r="M947" s="2"/>
      <c r="N947" s="2"/>
      <c r="O947" s="2"/>
      <c r="P947" s="2"/>
      <c r="Q947" s="2"/>
      <c r="R947" s="2"/>
      <c r="S947" s="2"/>
      <c r="T947" s="2"/>
      <c r="U947" s="2"/>
      <c r="V947" s="2"/>
      <c r="W947" s="2"/>
      <c r="X947" s="2"/>
      <c r="Y947" s="2"/>
      <c r="Z947" s="2"/>
    </row>
    <row r="948">
      <c r="A948" s="2"/>
      <c r="B948" s="132"/>
      <c r="C948" s="132"/>
      <c r="D948" s="132"/>
      <c r="E948" s="132"/>
      <c r="F948" s="132"/>
      <c r="G948" s="132"/>
      <c r="H948" s="132"/>
      <c r="I948" s="132"/>
      <c r="J948" s="132"/>
      <c r="K948" s="132"/>
      <c r="L948" s="2"/>
      <c r="M948" s="2"/>
      <c r="N948" s="2"/>
      <c r="O948" s="2"/>
      <c r="P948" s="2"/>
      <c r="Q948" s="2"/>
      <c r="R948" s="2"/>
      <c r="S948" s="2"/>
      <c r="T948" s="2"/>
      <c r="U948" s="2"/>
      <c r="V948" s="2"/>
      <c r="W948" s="2"/>
      <c r="X948" s="2"/>
      <c r="Y948" s="2"/>
      <c r="Z948" s="2"/>
    </row>
    <row r="949">
      <c r="A949" s="2"/>
      <c r="B949" s="132"/>
      <c r="C949" s="132"/>
      <c r="D949" s="132"/>
      <c r="E949" s="132"/>
      <c r="F949" s="132"/>
      <c r="G949" s="132"/>
      <c r="H949" s="132"/>
      <c r="I949" s="132"/>
      <c r="J949" s="132"/>
      <c r="K949" s="132"/>
      <c r="L949" s="2"/>
      <c r="M949" s="2"/>
      <c r="N949" s="2"/>
      <c r="O949" s="2"/>
      <c r="P949" s="2"/>
      <c r="Q949" s="2"/>
      <c r="R949" s="2"/>
      <c r="S949" s="2"/>
      <c r="T949" s="2"/>
      <c r="U949" s="2"/>
      <c r="V949" s="2"/>
      <c r="W949" s="2"/>
      <c r="X949" s="2"/>
      <c r="Y949" s="2"/>
      <c r="Z949" s="2"/>
    </row>
    <row r="950">
      <c r="A950" s="2"/>
      <c r="B950" s="132"/>
      <c r="C950" s="132"/>
      <c r="D950" s="132"/>
      <c r="E950" s="132"/>
      <c r="F950" s="132"/>
      <c r="G950" s="132"/>
      <c r="H950" s="132"/>
      <c r="I950" s="132"/>
      <c r="J950" s="132"/>
      <c r="K950" s="132"/>
      <c r="L950" s="2"/>
      <c r="M950" s="2"/>
      <c r="N950" s="2"/>
      <c r="O950" s="2"/>
      <c r="P950" s="2"/>
      <c r="Q950" s="2"/>
      <c r="R950" s="2"/>
      <c r="S950" s="2"/>
      <c r="T950" s="2"/>
      <c r="U950" s="2"/>
      <c r="V950" s="2"/>
      <c r="W950" s="2"/>
      <c r="X950" s="2"/>
      <c r="Y950" s="2"/>
      <c r="Z950" s="2"/>
    </row>
    <row r="951">
      <c r="A951" s="2"/>
      <c r="B951" s="132"/>
      <c r="C951" s="132"/>
      <c r="D951" s="132"/>
      <c r="E951" s="132"/>
      <c r="F951" s="132"/>
      <c r="G951" s="132"/>
      <c r="H951" s="132"/>
      <c r="I951" s="132"/>
      <c r="J951" s="132"/>
      <c r="K951" s="132"/>
      <c r="L951" s="2"/>
      <c r="M951" s="2"/>
      <c r="N951" s="2"/>
      <c r="O951" s="2"/>
      <c r="P951" s="2"/>
      <c r="Q951" s="2"/>
      <c r="R951" s="2"/>
      <c r="S951" s="2"/>
      <c r="T951" s="2"/>
      <c r="U951" s="2"/>
      <c r="V951" s="2"/>
      <c r="W951" s="2"/>
      <c r="X951" s="2"/>
      <c r="Y951" s="2"/>
      <c r="Z951" s="2"/>
    </row>
    <row r="952">
      <c r="A952" s="2"/>
      <c r="B952" s="132"/>
      <c r="C952" s="132"/>
      <c r="D952" s="132"/>
      <c r="E952" s="132"/>
      <c r="F952" s="132"/>
      <c r="G952" s="132"/>
      <c r="H952" s="132"/>
      <c r="I952" s="132"/>
      <c r="J952" s="132"/>
      <c r="K952" s="132"/>
      <c r="L952" s="2"/>
      <c r="M952" s="2"/>
      <c r="N952" s="2"/>
      <c r="O952" s="2"/>
      <c r="P952" s="2"/>
      <c r="Q952" s="2"/>
      <c r="R952" s="2"/>
      <c r="S952" s="2"/>
      <c r="T952" s="2"/>
      <c r="U952" s="2"/>
      <c r="V952" s="2"/>
      <c r="W952" s="2"/>
      <c r="X952" s="2"/>
      <c r="Y952" s="2"/>
      <c r="Z952" s="2"/>
    </row>
    <row r="953">
      <c r="A953" s="2"/>
      <c r="B953" s="132"/>
      <c r="C953" s="132"/>
      <c r="D953" s="132"/>
      <c r="E953" s="132"/>
      <c r="F953" s="132"/>
      <c r="G953" s="132"/>
      <c r="H953" s="132"/>
      <c r="I953" s="132"/>
      <c r="J953" s="132"/>
      <c r="K953" s="132"/>
      <c r="L953" s="2"/>
      <c r="M953" s="2"/>
      <c r="N953" s="2"/>
      <c r="O953" s="2"/>
      <c r="P953" s="2"/>
      <c r="Q953" s="2"/>
      <c r="R953" s="2"/>
      <c r="S953" s="2"/>
      <c r="T953" s="2"/>
      <c r="U953" s="2"/>
      <c r="V953" s="2"/>
      <c r="W953" s="2"/>
      <c r="X953" s="2"/>
      <c r="Y953" s="2"/>
      <c r="Z953" s="2"/>
    </row>
    <row r="954">
      <c r="A954" s="2"/>
      <c r="B954" s="132"/>
      <c r="C954" s="132"/>
      <c r="D954" s="132"/>
      <c r="E954" s="132"/>
      <c r="F954" s="132"/>
      <c r="G954" s="132"/>
      <c r="H954" s="132"/>
      <c r="I954" s="132"/>
      <c r="J954" s="132"/>
      <c r="K954" s="132"/>
      <c r="L954" s="2"/>
      <c r="M954" s="2"/>
      <c r="N954" s="2"/>
      <c r="O954" s="2"/>
      <c r="P954" s="2"/>
      <c r="Q954" s="2"/>
      <c r="R954" s="2"/>
      <c r="S954" s="2"/>
      <c r="T954" s="2"/>
      <c r="U954" s="2"/>
      <c r="V954" s="2"/>
      <c r="W954" s="2"/>
      <c r="X954" s="2"/>
      <c r="Y954" s="2"/>
      <c r="Z954" s="2"/>
    </row>
    <row r="955">
      <c r="A955" s="2"/>
      <c r="B955" s="132"/>
      <c r="C955" s="132"/>
      <c r="D955" s="132"/>
      <c r="E955" s="132"/>
      <c r="F955" s="132"/>
      <c r="G955" s="132"/>
      <c r="H955" s="132"/>
      <c r="I955" s="132"/>
      <c r="J955" s="132"/>
      <c r="K955" s="132"/>
      <c r="L955" s="2"/>
      <c r="M955" s="2"/>
      <c r="N955" s="2"/>
      <c r="O955" s="2"/>
      <c r="P955" s="2"/>
      <c r="Q955" s="2"/>
      <c r="R955" s="2"/>
      <c r="S955" s="2"/>
      <c r="T955" s="2"/>
      <c r="U955" s="2"/>
      <c r="V955" s="2"/>
      <c r="W955" s="2"/>
      <c r="X955" s="2"/>
      <c r="Y955" s="2"/>
      <c r="Z955" s="2"/>
    </row>
    <row r="956">
      <c r="A956" s="2"/>
      <c r="B956" s="132"/>
      <c r="C956" s="132"/>
      <c r="D956" s="132"/>
      <c r="E956" s="132"/>
      <c r="F956" s="132"/>
      <c r="G956" s="132"/>
      <c r="H956" s="132"/>
      <c r="I956" s="132"/>
      <c r="J956" s="132"/>
      <c r="K956" s="132"/>
      <c r="L956" s="2"/>
      <c r="M956" s="2"/>
      <c r="N956" s="2"/>
      <c r="O956" s="2"/>
      <c r="P956" s="2"/>
      <c r="Q956" s="2"/>
      <c r="R956" s="2"/>
      <c r="S956" s="2"/>
      <c r="T956" s="2"/>
      <c r="U956" s="2"/>
      <c r="V956" s="2"/>
      <c r="W956" s="2"/>
      <c r="X956" s="2"/>
      <c r="Y956" s="2"/>
      <c r="Z956" s="2"/>
    </row>
    <row r="957">
      <c r="A957" s="2"/>
      <c r="B957" s="132"/>
      <c r="C957" s="132"/>
      <c r="D957" s="132"/>
      <c r="E957" s="132"/>
      <c r="F957" s="132"/>
      <c r="G957" s="132"/>
      <c r="H957" s="132"/>
      <c r="I957" s="132"/>
      <c r="J957" s="132"/>
      <c r="K957" s="132"/>
      <c r="L957" s="2"/>
      <c r="M957" s="2"/>
      <c r="N957" s="2"/>
      <c r="O957" s="2"/>
      <c r="P957" s="2"/>
      <c r="Q957" s="2"/>
      <c r="R957" s="2"/>
      <c r="S957" s="2"/>
      <c r="T957" s="2"/>
      <c r="U957" s="2"/>
      <c r="V957" s="2"/>
      <c r="W957" s="2"/>
      <c r="X957" s="2"/>
      <c r="Y957" s="2"/>
      <c r="Z957" s="2"/>
    </row>
    <row r="958">
      <c r="A958" s="2"/>
      <c r="B958" s="132"/>
      <c r="C958" s="132"/>
      <c r="D958" s="132"/>
      <c r="E958" s="132"/>
      <c r="F958" s="132"/>
      <c r="G958" s="132"/>
      <c r="H958" s="132"/>
      <c r="I958" s="132"/>
      <c r="J958" s="132"/>
      <c r="K958" s="132"/>
      <c r="L958" s="2"/>
      <c r="M958" s="2"/>
      <c r="N958" s="2"/>
      <c r="O958" s="2"/>
      <c r="P958" s="2"/>
      <c r="Q958" s="2"/>
      <c r="R958" s="2"/>
      <c r="S958" s="2"/>
      <c r="T958" s="2"/>
      <c r="U958" s="2"/>
      <c r="V958" s="2"/>
      <c r="W958" s="2"/>
      <c r="X958" s="2"/>
      <c r="Y958" s="2"/>
      <c r="Z958" s="2"/>
    </row>
    <row r="959">
      <c r="A959" s="2"/>
      <c r="B959" s="132"/>
      <c r="C959" s="132"/>
      <c r="D959" s="132"/>
      <c r="E959" s="132"/>
      <c r="F959" s="132"/>
      <c r="G959" s="132"/>
      <c r="H959" s="132"/>
      <c r="I959" s="132"/>
      <c r="J959" s="132"/>
      <c r="K959" s="132"/>
      <c r="L959" s="2"/>
      <c r="M959" s="2"/>
      <c r="N959" s="2"/>
      <c r="O959" s="2"/>
      <c r="P959" s="2"/>
      <c r="Q959" s="2"/>
      <c r="R959" s="2"/>
      <c r="S959" s="2"/>
      <c r="T959" s="2"/>
      <c r="U959" s="2"/>
      <c r="V959" s="2"/>
      <c r="W959" s="2"/>
      <c r="X959" s="2"/>
      <c r="Y959" s="2"/>
      <c r="Z959" s="2"/>
    </row>
    <row r="960">
      <c r="A960" s="2"/>
      <c r="B960" s="132"/>
      <c r="C960" s="132"/>
      <c r="D960" s="132"/>
      <c r="E960" s="132"/>
      <c r="F960" s="132"/>
      <c r="G960" s="132"/>
      <c r="H960" s="132"/>
      <c r="I960" s="132"/>
      <c r="J960" s="132"/>
      <c r="K960" s="132"/>
      <c r="L960" s="2"/>
      <c r="M960" s="2"/>
      <c r="N960" s="2"/>
      <c r="O960" s="2"/>
      <c r="P960" s="2"/>
      <c r="Q960" s="2"/>
      <c r="R960" s="2"/>
      <c r="S960" s="2"/>
      <c r="T960" s="2"/>
      <c r="U960" s="2"/>
      <c r="V960" s="2"/>
      <c r="W960" s="2"/>
      <c r="X960" s="2"/>
      <c r="Y960" s="2"/>
      <c r="Z960" s="2"/>
    </row>
    <row r="961">
      <c r="A961" s="2"/>
      <c r="B961" s="132"/>
      <c r="C961" s="132"/>
      <c r="D961" s="132"/>
      <c r="E961" s="132"/>
      <c r="F961" s="132"/>
      <c r="G961" s="132"/>
      <c r="H961" s="132"/>
      <c r="I961" s="132"/>
      <c r="J961" s="132"/>
      <c r="K961" s="132"/>
      <c r="L961" s="2"/>
      <c r="M961" s="2"/>
      <c r="N961" s="2"/>
      <c r="O961" s="2"/>
      <c r="P961" s="2"/>
      <c r="Q961" s="2"/>
      <c r="R961" s="2"/>
      <c r="S961" s="2"/>
      <c r="T961" s="2"/>
      <c r="U961" s="2"/>
      <c r="V961" s="2"/>
      <c r="W961" s="2"/>
      <c r="X961" s="2"/>
      <c r="Y961" s="2"/>
      <c r="Z961" s="2"/>
    </row>
    <row r="962">
      <c r="A962" s="2"/>
      <c r="B962" s="132"/>
      <c r="C962" s="132"/>
      <c r="D962" s="132"/>
      <c r="E962" s="132"/>
      <c r="F962" s="132"/>
      <c r="G962" s="132"/>
      <c r="H962" s="132"/>
      <c r="I962" s="132"/>
      <c r="J962" s="132"/>
      <c r="K962" s="132"/>
      <c r="L962" s="2"/>
      <c r="M962" s="2"/>
      <c r="N962" s="2"/>
      <c r="O962" s="2"/>
      <c r="P962" s="2"/>
      <c r="Q962" s="2"/>
      <c r="R962" s="2"/>
      <c r="S962" s="2"/>
      <c r="T962" s="2"/>
      <c r="U962" s="2"/>
      <c r="V962" s="2"/>
      <c r="W962" s="2"/>
      <c r="X962" s="2"/>
      <c r="Y962" s="2"/>
      <c r="Z962" s="2"/>
    </row>
    <row r="963">
      <c r="A963" s="2"/>
      <c r="B963" s="132"/>
      <c r="C963" s="132"/>
      <c r="D963" s="132"/>
      <c r="E963" s="132"/>
      <c r="F963" s="132"/>
      <c r="G963" s="132"/>
      <c r="H963" s="132"/>
      <c r="I963" s="132"/>
      <c r="J963" s="132"/>
      <c r="K963" s="132"/>
      <c r="L963" s="2"/>
      <c r="M963" s="2"/>
      <c r="N963" s="2"/>
      <c r="O963" s="2"/>
      <c r="P963" s="2"/>
      <c r="Q963" s="2"/>
      <c r="R963" s="2"/>
      <c r="S963" s="2"/>
      <c r="T963" s="2"/>
      <c r="U963" s="2"/>
      <c r="V963" s="2"/>
      <c r="W963" s="2"/>
      <c r="X963" s="2"/>
      <c r="Y963" s="2"/>
      <c r="Z963" s="2"/>
    </row>
    <row r="964">
      <c r="A964" s="2"/>
      <c r="B964" s="132"/>
      <c r="C964" s="132"/>
      <c r="D964" s="132"/>
      <c r="E964" s="132"/>
      <c r="F964" s="132"/>
      <c r="G964" s="132"/>
      <c r="H964" s="132"/>
      <c r="I964" s="132"/>
      <c r="J964" s="132"/>
      <c r="K964" s="132"/>
      <c r="L964" s="2"/>
      <c r="M964" s="2"/>
      <c r="N964" s="2"/>
      <c r="O964" s="2"/>
      <c r="P964" s="2"/>
      <c r="Q964" s="2"/>
      <c r="R964" s="2"/>
      <c r="S964" s="2"/>
      <c r="T964" s="2"/>
      <c r="U964" s="2"/>
      <c r="V964" s="2"/>
      <c r="W964" s="2"/>
      <c r="X964" s="2"/>
      <c r="Y964" s="2"/>
      <c r="Z964" s="2"/>
    </row>
    <row r="965">
      <c r="A965" s="2"/>
      <c r="B965" s="132"/>
      <c r="C965" s="132"/>
      <c r="D965" s="132"/>
      <c r="E965" s="132"/>
      <c r="F965" s="132"/>
      <c r="G965" s="132"/>
      <c r="H965" s="132"/>
      <c r="I965" s="132"/>
      <c r="J965" s="132"/>
      <c r="K965" s="132"/>
      <c r="L965" s="2"/>
      <c r="M965" s="2"/>
      <c r="N965" s="2"/>
      <c r="O965" s="2"/>
      <c r="P965" s="2"/>
      <c r="Q965" s="2"/>
      <c r="R965" s="2"/>
      <c r="S965" s="2"/>
      <c r="T965" s="2"/>
      <c r="U965" s="2"/>
      <c r="V965" s="2"/>
      <c r="W965" s="2"/>
      <c r="X965" s="2"/>
      <c r="Y965" s="2"/>
      <c r="Z965" s="2"/>
    </row>
    <row r="966">
      <c r="A966" s="2"/>
      <c r="B966" s="132"/>
      <c r="C966" s="132"/>
      <c r="D966" s="132"/>
      <c r="E966" s="132"/>
      <c r="F966" s="132"/>
      <c r="G966" s="132"/>
      <c r="H966" s="132"/>
      <c r="I966" s="132"/>
      <c r="J966" s="132"/>
      <c r="K966" s="132"/>
      <c r="L966" s="2"/>
      <c r="M966" s="2"/>
      <c r="N966" s="2"/>
      <c r="O966" s="2"/>
      <c r="P966" s="2"/>
      <c r="Q966" s="2"/>
      <c r="R966" s="2"/>
      <c r="S966" s="2"/>
      <c r="T966" s="2"/>
      <c r="U966" s="2"/>
      <c r="V966" s="2"/>
      <c r="W966" s="2"/>
      <c r="X966" s="2"/>
      <c r="Y966" s="2"/>
      <c r="Z966" s="2"/>
    </row>
    <row r="967">
      <c r="A967" s="2"/>
      <c r="B967" s="132"/>
      <c r="C967" s="132"/>
      <c r="D967" s="132"/>
      <c r="E967" s="132"/>
      <c r="F967" s="132"/>
      <c r="G967" s="132"/>
      <c r="H967" s="132"/>
      <c r="I967" s="132"/>
      <c r="J967" s="132"/>
      <c r="K967" s="132"/>
      <c r="L967" s="2"/>
      <c r="M967" s="2"/>
      <c r="N967" s="2"/>
      <c r="O967" s="2"/>
      <c r="P967" s="2"/>
      <c r="Q967" s="2"/>
      <c r="R967" s="2"/>
      <c r="S967" s="2"/>
      <c r="T967" s="2"/>
      <c r="U967" s="2"/>
      <c r="V967" s="2"/>
      <c r="W967" s="2"/>
      <c r="X967" s="2"/>
      <c r="Y967" s="2"/>
      <c r="Z967" s="2"/>
    </row>
    <row r="968">
      <c r="A968" s="2"/>
      <c r="B968" s="132"/>
      <c r="C968" s="132"/>
      <c r="D968" s="132"/>
      <c r="E968" s="132"/>
      <c r="F968" s="132"/>
      <c r="G968" s="132"/>
      <c r="H968" s="132"/>
      <c r="I968" s="132"/>
      <c r="J968" s="132"/>
      <c r="K968" s="132"/>
      <c r="L968" s="2"/>
      <c r="M968" s="2"/>
      <c r="N968" s="2"/>
      <c r="O968" s="2"/>
      <c r="P968" s="2"/>
      <c r="Q968" s="2"/>
      <c r="R968" s="2"/>
      <c r="S968" s="2"/>
      <c r="T968" s="2"/>
      <c r="U968" s="2"/>
      <c r="V968" s="2"/>
      <c r="W968" s="2"/>
      <c r="X968" s="2"/>
      <c r="Y968" s="2"/>
      <c r="Z968" s="2"/>
    </row>
    <row r="969">
      <c r="A969" s="2"/>
      <c r="B969" s="132"/>
      <c r="C969" s="132"/>
      <c r="D969" s="132"/>
      <c r="E969" s="132"/>
      <c r="F969" s="132"/>
      <c r="G969" s="132"/>
      <c r="H969" s="132"/>
      <c r="I969" s="132"/>
      <c r="J969" s="132"/>
      <c r="K969" s="132"/>
      <c r="L969" s="2"/>
      <c r="M969" s="2"/>
      <c r="N969" s="2"/>
      <c r="O969" s="2"/>
      <c r="P969" s="2"/>
      <c r="Q969" s="2"/>
      <c r="R969" s="2"/>
      <c r="S969" s="2"/>
      <c r="T969" s="2"/>
      <c r="U969" s="2"/>
      <c r="V969" s="2"/>
      <c r="W969" s="2"/>
      <c r="X969" s="2"/>
      <c r="Y969" s="2"/>
      <c r="Z969" s="2"/>
    </row>
    <row r="970">
      <c r="A970" s="2"/>
      <c r="B970" s="132"/>
      <c r="C970" s="132"/>
      <c r="D970" s="132"/>
      <c r="E970" s="132"/>
      <c r="F970" s="132"/>
      <c r="G970" s="132"/>
      <c r="H970" s="132"/>
      <c r="I970" s="132"/>
      <c r="J970" s="132"/>
      <c r="K970" s="132"/>
      <c r="L970" s="2"/>
      <c r="M970" s="2"/>
      <c r="N970" s="2"/>
      <c r="O970" s="2"/>
      <c r="P970" s="2"/>
      <c r="Q970" s="2"/>
      <c r="R970" s="2"/>
      <c r="S970" s="2"/>
      <c r="T970" s="2"/>
      <c r="U970" s="2"/>
      <c r="V970" s="2"/>
      <c r="W970" s="2"/>
      <c r="X970" s="2"/>
      <c r="Y970" s="2"/>
      <c r="Z970" s="2"/>
    </row>
    <row r="971">
      <c r="A971" s="2"/>
      <c r="B971" s="132"/>
      <c r="C971" s="132"/>
      <c r="D971" s="132"/>
      <c r="E971" s="132"/>
      <c r="F971" s="132"/>
      <c r="G971" s="132"/>
      <c r="H971" s="132"/>
      <c r="I971" s="132"/>
      <c r="J971" s="132"/>
      <c r="K971" s="132"/>
      <c r="L971" s="2"/>
      <c r="M971" s="2"/>
      <c r="N971" s="2"/>
      <c r="O971" s="2"/>
      <c r="P971" s="2"/>
      <c r="Q971" s="2"/>
      <c r="R971" s="2"/>
      <c r="S971" s="2"/>
      <c r="T971" s="2"/>
      <c r="U971" s="2"/>
      <c r="V971" s="2"/>
      <c r="W971" s="2"/>
      <c r="X971" s="2"/>
      <c r="Y971" s="2"/>
      <c r="Z971" s="2"/>
    </row>
    <row r="972">
      <c r="A972" s="2"/>
      <c r="B972" s="132"/>
      <c r="C972" s="132"/>
      <c r="D972" s="132"/>
      <c r="E972" s="132"/>
      <c r="F972" s="132"/>
      <c r="G972" s="132"/>
      <c r="H972" s="132"/>
      <c r="I972" s="132"/>
      <c r="J972" s="132"/>
      <c r="K972" s="132"/>
      <c r="L972" s="2"/>
      <c r="M972" s="2"/>
      <c r="N972" s="2"/>
      <c r="O972" s="2"/>
      <c r="P972" s="2"/>
      <c r="Q972" s="2"/>
      <c r="R972" s="2"/>
      <c r="S972" s="2"/>
      <c r="T972" s="2"/>
      <c r="U972" s="2"/>
      <c r="V972" s="2"/>
      <c r="W972" s="2"/>
      <c r="X972" s="2"/>
      <c r="Y972" s="2"/>
      <c r="Z972" s="2"/>
    </row>
    <row r="973">
      <c r="A973" s="2"/>
      <c r="B973" s="132"/>
      <c r="C973" s="132"/>
      <c r="D973" s="132"/>
      <c r="E973" s="132"/>
      <c r="F973" s="132"/>
      <c r="G973" s="132"/>
      <c r="H973" s="132"/>
      <c r="I973" s="132"/>
      <c r="J973" s="132"/>
      <c r="K973" s="132"/>
      <c r="L973" s="2"/>
      <c r="M973" s="2"/>
      <c r="N973" s="2"/>
      <c r="O973" s="2"/>
      <c r="P973" s="2"/>
      <c r="Q973" s="2"/>
      <c r="R973" s="2"/>
      <c r="S973" s="2"/>
      <c r="T973" s="2"/>
      <c r="U973" s="2"/>
      <c r="V973" s="2"/>
      <c r="W973" s="2"/>
      <c r="X973" s="2"/>
      <c r="Y973" s="2"/>
      <c r="Z973" s="2"/>
    </row>
    <row r="974">
      <c r="A974" s="2"/>
      <c r="B974" s="132"/>
      <c r="C974" s="132"/>
      <c r="D974" s="132"/>
      <c r="E974" s="132"/>
      <c r="F974" s="132"/>
      <c r="G974" s="132"/>
      <c r="H974" s="132"/>
      <c r="I974" s="132"/>
      <c r="J974" s="132"/>
      <c r="K974" s="132"/>
      <c r="L974" s="2"/>
      <c r="M974" s="2"/>
      <c r="N974" s="2"/>
      <c r="O974" s="2"/>
      <c r="P974" s="2"/>
      <c r="Q974" s="2"/>
      <c r="R974" s="2"/>
      <c r="S974" s="2"/>
      <c r="T974" s="2"/>
      <c r="U974" s="2"/>
      <c r="V974" s="2"/>
      <c r="W974" s="2"/>
      <c r="X974" s="2"/>
      <c r="Y974" s="2"/>
      <c r="Z974" s="2"/>
    </row>
    <row r="975">
      <c r="A975" s="2"/>
      <c r="B975" s="132"/>
      <c r="C975" s="132"/>
      <c r="D975" s="132"/>
      <c r="E975" s="132"/>
      <c r="F975" s="132"/>
      <c r="G975" s="132"/>
      <c r="H975" s="132"/>
      <c r="I975" s="132"/>
      <c r="J975" s="132"/>
      <c r="K975" s="132"/>
      <c r="L975" s="2"/>
      <c r="M975" s="2"/>
      <c r="N975" s="2"/>
      <c r="O975" s="2"/>
      <c r="P975" s="2"/>
      <c r="Q975" s="2"/>
      <c r="R975" s="2"/>
      <c r="S975" s="2"/>
      <c r="T975" s="2"/>
      <c r="U975" s="2"/>
      <c r="V975" s="2"/>
      <c r="W975" s="2"/>
      <c r="X975" s="2"/>
      <c r="Y975" s="2"/>
      <c r="Z975" s="2"/>
    </row>
    <row r="976">
      <c r="A976" s="2"/>
      <c r="B976" s="132"/>
      <c r="C976" s="132"/>
      <c r="D976" s="132"/>
      <c r="E976" s="132"/>
      <c r="F976" s="132"/>
      <c r="G976" s="132"/>
      <c r="H976" s="132"/>
      <c r="I976" s="132"/>
      <c r="J976" s="132"/>
      <c r="K976" s="132"/>
      <c r="L976" s="2"/>
      <c r="M976" s="2"/>
      <c r="N976" s="2"/>
      <c r="O976" s="2"/>
      <c r="P976" s="2"/>
      <c r="Q976" s="2"/>
      <c r="R976" s="2"/>
      <c r="S976" s="2"/>
      <c r="T976" s="2"/>
      <c r="U976" s="2"/>
      <c r="V976" s="2"/>
      <c r="W976" s="2"/>
      <c r="X976" s="2"/>
      <c r="Y976" s="2"/>
      <c r="Z976" s="2"/>
    </row>
    <row r="977">
      <c r="A977" s="2"/>
      <c r="B977" s="132"/>
      <c r="C977" s="132"/>
      <c r="D977" s="132"/>
      <c r="E977" s="132"/>
      <c r="F977" s="132"/>
      <c r="G977" s="132"/>
      <c r="H977" s="132"/>
      <c r="I977" s="132"/>
      <c r="J977" s="132"/>
      <c r="K977" s="132"/>
      <c r="L977" s="2"/>
      <c r="M977" s="2"/>
      <c r="N977" s="2"/>
      <c r="O977" s="2"/>
      <c r="P977" s="2"/>
      <c r="Q977" s="2"/>
      <c r="R977" s="2"/>
      <c r="S977" s="2"/>
      <c r="T977" s="2"/>
      <c r="U977" s="2"/>
      <c r="V977" s="2"/>
      <c r="W977" s="2"/>
      <c r="X977" s="2"/>
      <c r="Y977" s="2"/>
      <c r="Z977" s="2"/>
    </row>
    <row r="978">
      <c r="A978" s="2"/>
      <c r="B978" s="132"/>
      <c r="C978" s="132"/>
      <c r="D978" s="132"/>
      <c r="E978" s="132"/>
      <c r="F978" s="132"/>
      <c r="G978" s="132"/>
      <c r="H978" s="132"/>
      <c r="I978" s="132"/>
      <c r="J978" s="132"/>
      <c r="K978" s="132"/>
      <c r="L978" s="2"/>
      <c r="M978" s="2"/>
      <c r="N978" s="2"/>
      <c r="O978" s="2"/>
      <c r="P978" s="2"/>
      <c r="Q978" s="2"/>
      <c r="R978" s="2"/>
      <c r="S978" s="2"/>
      <c r="T978" s="2"/>
      <c r="U978" s="2"/>
      <c r="V978" s="2"/>
      <c r="W978" s="2"/>
      <c r="X978" s="2"/>
      <c r="Y978" s="2"/>
      <c r="Z978" s="2"/>
    </row>
    <row r="979">
      <c r="A979" s="2"/>
      <c r="B979" s="132"/>
      <c r="C979" s="132"/>
      <c r="D979" s="132"/>
      <c r="E979" s="132"/>
      <c r="F979" s="132"/>
      <c r="G979" s="132"/>
      <c r="H979" s="132"/>
      <c r="I979" s="132"/>
      <c r="J979" s="132"/>
      <c r="K979" s="132"/>
      <c r="L979" s="2"/>
      <c r="M979" s="2"/>
      <c r="N979" s="2"/>
      <c r="O979" s="2"/>
      <c r="P979" s="2"/>
      <c r="Q979" s="2"/>
      <c r="R979" s="2"/>
      <c r="S979" s="2"/>
      <c r="T979" s="2"/>
      <c r="U979" s="2"/>
      <c r="V979" s="2"/>
      <c r="W979" s="2"/>
      <c r="X979" s="2"/>
      <c r="Y979" s="2"/>
      <c r="Z979" s="2"/>
    </row>
    <row r="980">
      <c r="A980" s="2"/>
      <c r="B980" s="132"/>
      <c r="C980" s="132"/>
      <c r="D980" s="132"/>
      <c r="E980" s="132"/>
      <c r="F980" s="132"/>
      <c r="G980" s="132"/>
      <c r="H980" s="132"/>
      <c r="I980" s="132"/>
      <c r="J980" s="132"/>
      <c r="K980" s="132"/>
      <c r="L980" s="2"/>
      <c r="M980" s="2"/>
      <c r="N980" s="2"/>
      <c r="O980" s="2"/>
      <c r="P980" s="2"/>
      <c r="Q980" s="2"/>
      <c r="R980" s="2"/>
      <c r="S980" s="2"/>
      <c r="T980" s="2"/>
      <c r="U980" s="2"/>
      <c r="V980" s="2"/>
      <c r="W980" s="2"/>
      <c r="X980" s="2"/>
      <c r="Y980" s="2"/>
      <c r="Z980" s="2"/>
    </row>
    <row r="981">
      <c r="A981" s="2"/>
      <c r="B981" s="132"/>
      <c r="C981" s="132"/>
      <c r="D981" s="132"/>
      <c r="E981" s="132"/>
      <c r="F981" s="132"/>
      <c r="G981" s="132"/>
      <c r="H981" s="132"/>
      <c r="I981" s="132"/>
      <c r="J981" s="132"/>
      <c r="K981" s="132"/>
      <c r="L981" s="2"/>
      <c r="M981" s="2"/>
      <c r="N981" s="2"/>
      <c r="O981" s="2"/>
      <c r="P981" s="2"/>
      <c r="Q981" s="2"/>
      <c r="R981" s="2"/>
      <c r="S981" s="2"/>
      <c r="T981" s="2"/>
      <c r="U981" s="2"/>
      <c r="V981" s="2"/>
      <c r="W981" s="2"/>
      <c r="X981" s="2"/>
      <c r="Y981" s="2"/>
      <c r="Z981" s="2"/>
    </row>
    <row r="982">
      <c r="A982" s="2"/>
      <c r="B982" s="132"/>
      <c r="C982" s="132"/>
      <c r="D982" s="132"/>
      <c r="E982" s="132"/>
      <c r="F982" s="132"/>
      <c r="G982" s="132"/>
      <c r="H982" s="132"/>
      <c r="I982" s="132"/>
      <c r="J982" s="132"/>
      <c r="K982" s="132"/>
      <c r="L982" s="2"/>
      <c r="M982" s="2"/>
      <c r="N982" s="2"/>
      <c r="O982" s="2"/>
      <c r="P982" s="2"/>
      <c r="Q982" s="2"/>
      <c r="R982" s="2"/>
      <c r="S982" s="2"/>
      <c r="T982" s="2"/>
      <c r="U982" s="2"/>
      <c r="V982" s="2"/>
      <c r="W982" s="2"/>
      <c r="X982" s="2"/>
      <c r="Y982" s="2"/>
      <c r="Z982" s="2"/>
    </row>
    <row r="983">
      <c r="A983" s="2"/>
      <c r="B983" s="132"/>
      <c r="C983" s="132"/>
      <c r="D983" s="132"/>
      <c r="E983" s="132"/>
      <c r="F983" s="132"/>
      <c r="G983" s="132"/>
      <c r="H983" s="132"/>
      <c r="I983" s="132"/>
      <c r="J983" s="132"/>
      <c r="K983" s="132"/>
      <c r="L983" s="2"/>
      <c r="M983" s="2"/>
      <c r="N983" s="2"/>
      <c r="O983" s="2"/>
      <c r="P983" s="2"/>
      <c r="Q983" s="2"/>
      <c r="R983" s="2"/>
      <c r="S983" s="2"/>
      <c r="T983" s="2"/>
      <c r="U983" s="2"/>
      <c r="V983" s="2"/>
      <c r="W983" s="2"/>
      <c r="X983" s="2"/>
      <c r="Y983" s="2"/>
      <c r="Z983" s="2"/>
    </row>
    <row r="984">
      <c r="A984" s="2"/>
      <c r="B984" s="132"/>
      <c r="C984" s="132"/>
      <c r="D984" s="132"/>
      <c r="E984" s="132"/>
      <c r="F984" s="132"/>
      <c r="G984" s="132"/>
      <c r="H984" s="132"/>
      <c r="I984" s="132"/>
      <c r="J984" s="132"/>
      <c r="K984" s="132"/>
      <c r="L984" s="2"/>
      <c r="M984" s="2"/>
      <c r="N984" s="2"/>
      <c r="O984" s="2"/>
      <c r="P984" s="2"/>
      <c r="Q984" s="2"/>
      <c r="R984" s="2"/>
      <c r="S984" s="2"/>
      <c r="T984" s="2"/>
      <c r="U984" s="2"/>
      <c r="V984" s="2"/>
      <c r="W984" s="2"/>
      <c r="X984" s="2"/>
      <c r="Y984" s="2"/>
      <c r="Z984" s="2"/>
    </row>
    <row r="985">
      <c r="A985" s="2"/>
      <c r="B985" s="132"/>
      <c r="C985" s="132"/>
      <c r="D985" s="132"/>
      <c r="E985" s="132"/>
      <c r="F985" s="132"/>
      <c r="G985" s="132"/>
      <c r="H985" s="132"/>
      <c r="I985" s="132"/>
      <c r="J985" s="132"/>
      <c r="K985" s="132"/>
      <c r="L985" s="2"/>
      <c r="M985" s="2"/>
      <c r="N985" s="2"/>
      <c r="O985" s="2"/>
      <c r="P985" s="2"/>
      <c r="Q985" s="2"/>
      <c r="R985" s="2"/>
      <c r="S985" s="2"/>
      <c r="T985" s="2"/>
      <c r="U985" s="2"/>
      <c r="V985" s="2"/>
      <c r="W985" s="2"/>
      <c r="X985" s="2"/>
      <c r="Y985" s="2"/>
      <c r="Z985" s="2"/>
    </row>
    <row r="986">
      <c r="A986" s="2"/>
      <c r="B986" s="132"/>
      <c r="C986" s="132"/>
      <c r="D986" s="132"/>
      <c r="E986" s="132"/>
      <c r="F986" s="132"/>
      <c r="G986" s="132"/>
      <c r="H986" s="132"/>
      <c r="I986" s="132"/>
      <c r="J986" s="132"/>
      <c r="K986" s="132"/>
      <c r="L986" s="2"/>
      <c r="M986" s="2"/>
      <c r="N986" s="2"/>
      <c r="O986" s="2"/>
      <c r="P986" s="2"/>
      <c r="Q986" s="2"/>
      <c r="R986" s="2"/>
      <c r="S986" s="2"/>
      <c r="T986" s="2"/>
      <c r="U986" s="2"/>
      <c r="V986" s="2"/>
      <c r="W986" s="2"/>
      <c r="X986" s="2"/>
      <c r="Y986" s="2"/>
      <c r="Z986" s="2"/>
    </row>
    <row r="987">
      <c r="A987" s="2"/>
      <c r="B987" s="132"/>
      <c r="C987" s="132"/>
      <c r="D987" s="132"/>
      <c r="E987" s="132"/>
      <c r="F987" s="132"/>
      <c r="G987" s="132"/>
      <c r="H987" s="132"/>
      <c r="I987" s="132"/>
      <c r="J987" s="132"/>
      <c r="K987" s="132"/>
      <c r="L987" s="2"/>
      <c r="M987" s="2"/>
      <c r="N987" s="2"/>
      <c r="O987" s="2"/>
      <c r="P987" s="2"/>
      <c r="Q987" s="2"/>
      <c r="R987" s="2"/>
      <c r="S987" s="2"/>
      <c r="T987" s="2"/>
      <c r="U987" s="2"/>
      <c r="V987" s="2"/>
      <c r="W987" s="2"/>
      <c r="X987" s="2"/>
      <c r="Y987" s="2"/>
      <c r="Z987" s="2"/>
    </row>
    <row r="988">
      <c r="A988" s="2"/>
      <c r="B988" s="132"/>
      <c r="C988" s="132"/>
      <c r="D988" s="132"/>
      <c r="E988" s="132"/>
      <c r="F988" s="132"/>
      <c r="G988" s="132"/>
      <c r="H988" s="132"/>
      <c r="I988" s="132"/>
      <c r="J988" s="132"/>
      <c r="K988" s="132"/>
      <c r="L988" s="2"/>
      <c r="M988" s="2"/>
      <c r="N988" s="2"/>
      <c r="O988" s="2"/>
      <c r="P988" s="2"/>
      <c r="Q988" s="2"/>
      <c r="R988" s="2"/>
      <c r="S988" s="2"/>
      <c r="T988" s="2"/>
      <c r="U988" s="2"/>
      <c r="V988" s="2"/>
      <c r="W988" s="2"/>
      <c r="X988" s="2"/>
      <c r="Y988" s="2"/>
      <c r="Z988" s="2"/>
    </row>
    <row r="989">
      <c r="A989" s="2"/>
      <c r="B989" s="132"/>
      <c r="C989" s="132"/>
      <c r="D989" s="132"/>
      <c r="E989" s="132"/>
      <c r="F989" s="132"/>
      <c r="G989" s="132"/>
      <c r="H989" s="132"/>
      <c r="I989" s="132"/>
      <c r="J989" s="132"/>
      <c r="K989" s="132"/>
      <c r="L989" s="2"/>
      <c r="M989" s="2"/>
      <c r="N989" s="2"/>
      <c r="O989" s="2"/>
      <c r="P989" s="2"/>
      <c r="Q989" s="2"/>
      <c r="R989" s="2"/>
      <c r="S989" s="2"/>
      <c r="T989" s="2"/>
      <c r="U989" s="2"/>
      <c r="V989" s="2"/>
      <c r="W989" s="2"/>
      <c r="X989" s="2"/>
      <c r="Y989" s="2"/>
      <c r="Z989" s="2"/>
    </row>
    <row r="990">
      <c r="A990" s="2"/>
      <c r="B990" s="132"/>
      <c r="C990" s="132"/>
      <c r="D990" s="132"/>
      <c r="E990" s="132"/>
      <c r="F990" s="132"/>
      <c r="G990" s="132"/>
      <c r="H990" s="132"/>
      <c r="I990" s="132"/>
      <c r="J990" s="132"/>
      <c r="K990" s="132"/>
      <c r="L990" s="2"/>
      <c r="M990" s="2"/>
      <c r="N990" s="2"/>
      <c r="O990" s="2"/>
      <c r="P990" s="2"/>
      <c r="Q990" s="2"/>
      <c r="R990" s="2"/>
      <c r="S990" s="2"/>
      <c r="T990" s="2"/>
      <c r="U990" s="2"/>
      <c r="V990" s="2"/>
      <c r="W990" s="2"/>
      <c r="X990" s="2"/>
      <c r="Y990" s="2"/>
      <c r="Z990" s="2"/>
    </row>
    <row r="991">
      <c r="A991" s="2"/>
      <c r="B991" s="132"/>
      <c r="C991" s="132"/>
      <c r="D991" s="132"/>
      <c r="E991" s="132"/>
      <c r="F991" s="132"/>
      <c r="G991" s="132"/>
      <c r="H991" s="132"/>
      <c r="I991" s="132"/>
      <c r="J991" s="132"/>
      <c r="K991" s="132"/>
      <c r="L991" s="2"/>
      <c r="M991" s="2"/>
      <c r="N991" s="2"/>
      <c r="O991" s="2"/>
      <c r="P991" s="2"/>
      <c r="Q991" s="2"/>
      <c r="R991" s="2"/>
      <c r="S991" s="2"/>
      <c r="T991" s="2"/>
      <c r="U991" s="2"/>
      <c r="V991" s="2"/>
      <c r="W991" s="2"/>
      <c r="X991" s="2"/>
      <c r="Y991" s="2"/>
      <c r="Z991" s="2"/>
    </row>
    <row r="992">
      <c r="A992" s="2"/>
      <c r="B992" s="132"/>
      <c r="C992" s="132"/>
      <c r="D992" s="132"/>
      <c r="E992" s="132"/>
      <c r="F992" s="132"/>
      <c r="G992" s="132"/>
      <c r="H992" s="132"/>
      <c r="I992" s="132"/>
      <c r="J992" s="132"/>
      <c r="K992" s="132"/>
      <c r="L992" s="2"/>
      <c r="M992" s="2"/>
      <c r="N992" s="2"/>
      <c r="O992" s="2"/>
      <c r="P992" s="2"/>
      <c r="Q992" s="2"/>
      <c r="R992" s="2"/>
      <c r="S992" s="2"/>
      <c r="T992" s="2"/>
      <c r="U992" s="2"/>
      <c r="V992" s="2"/>
      <c r="W992" s="2"/>
      <c r="X992" s="2"/>
      <c r="Y992" s="2"/>
      <c r="Z992" s="2"/>
    </row>
    <row r="993">
      <c r="A993" s="2"/>
      <c r="B993" s="132"/>
      <c r="C993" s="132"/>
      <c r="D993" s="132"/>
      <c r="E993" s="132"/>
      <c r="F993" s="132"/>
      <c r="G993" s="132"/>
      <c r="H993" s="132"/>
      <c r="I993" s="132"/>
      <c r="J993" s="132"/>
      <c r="K993" s="132"/>
      <c r="L993" s="2"/>
      <c r="M993" s="2"/>
      <c r="N993" s="2"/>
      <c r="O993" s="2"/>
      <c r="P993" s="2"/>
      <c r="Q993" s="2"/>
      <c r="R993" s="2"/>
      <c r="S993" s="2"/>
      <c r="T993" s="2"/>
      <c r="U993" s="2"/>
      <c r="V993" s="2"/>
      <c r="W993" s="2"/>
      <c r="X993" s="2"/>
      <c r="Y993" s="2"/>
      <c r="Z993" s="2"/>
    </row>
    <row r="994">
      <c r="A994" s="2"/>
      <c r="B994" s="132"/>
      <c r="C994" s="132"/>
      <c r="D994" s="132"/>
      <c r="E994" s="132"/>
      <c r="F994" s="132"/>
      <c r="G994" s="132"/>
      <c r="H994" s="132"/>
      <c r="I994" s="132"/>
      <c r="J994" s="132"/>
      <c r="K994" s="132"/>
      <c r="L994" s="2"/>
      <c r="M994" s="2"/>
      <c r="N994" s="2"/>
      <c r="O994" s="2"/>
      <c r="P994" s="2"/>
      <c r="Q994" s="2"/>
      <c r="R994" s="2"/>
      <c r="S994" s="2"/>
      <c r="T994" s="2"/>
      <c r="U994" s="2"/>
      <c r="V994" s="2"/>
      <c r="W994" s="2"/>
      <c r="X994" s="2"/>
      <c r="Y994" s="2"/>
      <c r="Z994" s="2"/>
    </row>
    <row r="995">
      <c r="A995" s="2"/>
      <c r="B995" s="132"/>
      <c r="C995" s="132"/>
      <c r="D995" s="132"/>
      <c r="E995" s="132"/>
      <c r="F995" s="132"/>
      <c r="G995" s="132"/>
      <c r="H995" s="132"/>
      <c r="I995" s="132"/>
      <c r="J995" s="132"/>
      <c r="K995" s="132"/>
      <c r="L995" s="2"/>
      <c r="M995" s="2"/>
      <c r="N995" s="2"/>
      <c r="O995" s="2"/>
      <c r="P995" s="2"/>
      <c r="Q995" s="2"/>
      <c r="R995" s="2"/>
      <c r="S995" s="2"/>
      <c r="T995" s="2"/>
      <c r="U995" s="2"/>
      <c r="V995" s="2"/>
      <c r="W995" s="2"/>
      <c r="X995" s="2"/>
      <c r="Y995" s="2"/>
      <c r="Z995" s="2"/>
    </row>
    <row r="996">
      <c r="A996" s="2"/>
      <c r="B996" s="132"/>
      <c r="C996" s="132"/>
      <c r="D996" s="132"/>
      <c r="E996" s="132"/>
      <c r="F996" s="132"/>
      <c r="G996" s="132"/>
      <c r="H996" s="132"/>
      <c r="I996" s="132"/>
      <c r="J996" s="132"/>
      <c r="K996" s="132"/>
      <c r="L996" s="2"/>
      <c r="M996" s="2"/>
      <c r="N996" s="2"/>
      <c r="O996" s="2"/>
      <c r="P996" s="2"/>
      <c r="Q996" s="2"/>
      <c r="R996" s="2"/>
      <c r="S996" s="2"/>
      <c r="T996" s="2"/>
      <c r="U996" s="2"/>
      <c r="V996" s="2"/>
      <c r="W996" s="2"/>
      <c r="X996" s="2"/>
      <c r="Y996" s="2"/>
      <c r="Z996" s="2"/>
    </row>
    <row r="997">
      <c r="A997" s="2"/>
      <c r="B997" s="132"/>
      <c r="C997" s="132"/>
      <c r="D997" s="132"/>
      <c r="E997" s="132"/>
      <c r="F997" s="132"/>
      <c r="G997" s="132"/>
      <c r="H997" s="132"/>
      <c r="I997" s="132"/>
      <c r="J997" s="132"/>
      <c r="K997" s="132"/>
      <c r="L997" s="2"/>
      <c r="M997" s="2"/>
      <c r="N997" s="2"/>
      <c r="O997" s="2"/>
      <c r="P997" s="2"/>
      <c r="Q997" s="2"/>
      <c r="R997" s="2"/>
      <c r="S997" s="2"/>
      <c r="T997" s="2"/>
      <c r="U997" s="2"/>
      <c r="V997" s="2"/>
      <c r="W997" s="2"/>
      <c r="X997" s="2"/>
      <c r="Y997" s="2"/>
      <c r="Z997" s="2"/>
    </row>
    <row r="998">
      <c r="A998" s="2"/>
      <c r="B998" s="132"/>
      <c r="C998" s="132"/>
      <c r="D998" s="132"/>
      <c r="E998" s="132"/>
      <c r="F998" s="132"/>
      <c r="G998" s="132"/>
      <c r="H998" s="132"/>
      <c r="I998" s="132"/>
      <c r="J998" s="132"/>
      <c r="K998" s="132"/>
      <c r="L998" s="2"/>
      <c r="M998" s="2"/>
      <c r="N998" s="2"/>
      <c r="O998" s="2"/>
      <c r="P998" s="2"/>
      <c r="Q998" s="2"/>
      <c r="R998" s="2"/>
      <c r="S998" s="2"/>
      <c r="T998" s="2"/>
      <c r="U998" s="2"/>
      <c r="V998" s="2"/>
      <c r="W998" s="2"/>
      <c r="X998" s="2"/>
      <c r="Y998" s="2"/>
      <c r="Z998" s="2"/>
    </row>
    <row r="999">
      <c r="A999" s="2"/>
      <c r="B999" s="132"/>
      <c r="C999" s="132"/>
      <c r="D999" s="132"/>
      <c r="E999" s="132"/>
      <c r="F999" s="132"/>
      <c r="G999" s="132"/>
      <c r="H999" s="132"/>
      <c r="I999" s="132"/>
      <c r="J999" s="132"/>
      <c r="K999" s="132"/>
      <c r="L999" s="2"/>
      <c r="M999" s="2"/>
      <c r="N999" s="2"/>
      <c r="O999" s="2"/>
      <c r="P999" s="2"/>
      <c r="Q999" s="2"/>
      <c r="R999" s="2"/>
      <c r="S999" s="2"/>
      <c r="T999" s="2"/>
      <c r="U999" s="2"/>
      <c r="V999" s="2"/>
      <c r="W999" s="2"/>
      <c r="X999" s="2"/>
      <c r="Y999" s="2"/>
      <c r="Z999" s="2"/>
    </row>
    <row r="1000">
      <c r="A1000" s="2"/>
      <c r="B1000" s="132"/>
      <c r="C1000" s="132"/>
      <c r="D1000" s="132"/>
      <c r="E1000" s="132"/>
      <c r="F1000" s="132"/>
      <c r="G1000" s="132"/>
      <c r="H1000" s="132"/>
      <c r="I1000" s="132"/>
      <c r="J1000" s="132"/>
      <c r="K1000" s="132"/>
      <c r="L1000" s="2"/>
      <c r="M1000" s="2"/>
      <c r="N1000" s="2"/>
      <c r="O1000" s="2"/>
      <c r="P1000" s="2"/>
      <c r="Q1000" s="2"/>
      <c r="R1000" s="2"/>
      <c r="S1000" s="2"/>
      <c r="T1000" s="2"/>
      <c r="U1000" s="2"/>
      <c r="V1000" s="2"/>
      <c r="W1000" s="2"/>
      <c r="X1000" s="2"/>
      <c r="Y1000" s="2"/>
      <c r="Z1000" s="2"/>
    </row>
    <row r="1001">
      <c r="A1001" s="2"/>
      <c r="B1001" s="132"/>
      <c r="C1001" s="132"/>
      <c r="D1001" s="132"/>
      <c r="E1001" s="132"/>
      <c r="F1001" s="132"/>
      <c r="G1001" s="132"/>
      <c r="H1001" s="132"/>
      <c r="I1001" s="132"/>
      <c r="J1001" s="132"/>
      <c r="K1001" s="132"/>
      <c r="L1001" s="2"/>
      <c r="M1001" s="2"/>
      <c r="N1001" s="2"/>
      <c r="O1001" s="2"/>
      <c r="P1001" s="2"/>
      <c r="Q1001" s="2"/>
      <c r="R1001" s="2"/>
      <c r="S1001" s="2"/>
      <c r="T1001" s="2"/>
      <c r="U1001" s="2"/>
      <c r="V1001" s="2"/>
      <c r="W1001" s="2"/>
      <c r="X1001" s="2"/>
      <c r="Y1001" s="2"/>
      <c r="Z1001" s="2"/>
    </row>
    <row r="1002">
      <c r="A1002" s="2"/>
      <c r="B1002" s="132"/>
      <c r="C1002" s="132"/>
      <c r="D1002" s="132"/>
      <c r="E1002" s="132"/>
      <c r="F1002" s="132"/>
      <c r="G1002" s="132"/>
      <c r="H1002" s="132"/>
      <c r="I1002" s="132"/>
      <c r="J1002" s="132"/>
      <c r="K1002" s="132"/>
      <c r="L1002" s="2"/>
      <c r="M1002" s="2"/>
      <c r="N1002" s="2"/>
      <c r="O1002" s="2"/>
      <c r="P1002" s="2"/>
      <c r="Q1002" s="2"/>
      <c r="R1002" s="2"/>
      <c r="S1002" s="2"/>
      <c r="T1002" s="2"/>
      <c r="U1002" s="2"/>
      <c r="V1002" s="2"/>
      <c r="W1002" s="2"/>
      <c r="X1002" s="2"/>
      <c r="Y1002" s="2"/>
      <c r="Z1002" s="2"/>
    </row>
    <row r="1003">
      <c r="A1003" s="2"/>
      <c r="B1003" s="132"/>
      <c r="C1003" s="132"/>
      <c r="D1003" s="132"/>
      <c r="E1003" s="132"/>
      <c r="F1003" s="132"/>
      <c r="G1003" s="132"/>
      <c r="H1003" s="132"/>
      <c r="I1003" s="132"/>
      <c r="J1003" s="132"/>
      <c r="K1003" s="132"/>
      <c r="L1003" s="2"/>
      <c r="M1003" s="2"/>
      <c r="N1003" s="2"/>
      <c r="O1003" s="2"/>
      <c r="P1003" s="2"/>
      <c r="Q1003" s="2"/>
      <c r="R1003" s="2"/>
      <c r="S1003" s="2"/>
      <c r="T1003" s="2"/>
      <c r="U1003" s="2"/>
      <c r="V1003" s="2"/>
      <c r="W1003" s="2"/>
      <c r="X1003" s="2"/>
      <c r="Y1003" s="2"/>
      <c r="Z1003" s="2"/>
    </row>
    <row r="1004">
      <c r="A1004" s="2"/>
      <c r="B1004" s="132"/>
      <c r="C1004" s="132"/>
      <c r="D1004" s="132"/>
      <c r="E1004" s="132"/>
      <c r="F1004" s="132"/>
      <c r="G1004" s="132"/>
      <c r="H1004" s="132"/>
      <c r="I1004" s="132"/>
      <c r="J1004" s="132"/>
      <c r="K1004" s="132"/>
      <c r="L1004" s="2"/>
      <c r="M1004" s="2"/>
      <c r="N1004" s="2"/>
      <c r="O1004" s="2"/>
      <c r="P1004" s="2"/>
      <c r="Q1004" s="2"/>
      <c r="R1004" s="2"/>
      <c r="S1004" s="2"/>
      <c r="T1004" s="2"/>
      <c r="U1004" s="2"/>
      <c r="V1004" s="2"/>
      <c r="W1004" s="2"/>
      <c r="X1004" s="2"/>
      <c r="Y1004" s="2"/>
      <c r="Z1004" s="2"/>
    </row>
    <row r="1005">
      <c r="A1005" s="2"/>
      <c r="B1005" s="132"/>
      <c r="C1005" s="132"/>
      <c r="D1005" s="132"/>
      <c r="E1005" s="132"/>
      <c r="F1005" s="132"/>
      <c r="G1005" s="132"/>
      <c r="H1005" s="132"/>
      <c r="I1005" s="132"/>
      <c r="J1005" s="132"/>
      <c r="K1005" s="132"/>
      <c r="L1005" s="2"/>
      <c r="M1005" s="2"/>
      <c r="N1005" s="2"/>
      <c r="O1005" s="2"/>
      <c r="P1005" s="2"/>
      <c r="Q1005" s="2"/>
      <c r="R1005" s="2"/>
      <c r="S1005" s="2"/>
      <c r="T1005" s="2"/>
      <c r="U1005" s="2"/>
      <c r="V1005" s="2"/>
      <c r="W1005" s="2"/>
      <c r="X1005" s="2"/>
      <c r="Y1005" s="2"/>
      <c r="Z1005" s="2"/>
    </row>
    <row r="1006">
      <c r="A1006" s="2"/>
      <c r="B1006" s="132"/>
      <c r="C1006" s="132"/>
      <c r="D1006" s="132"/>
      <c r="E1006" s="132"/>
      <c r="F1006" s="132"/>
      <c r="G1006" s="132"/>
      <c r="H1006" s="132"/>
      <c r="I1006" s="132"/>
      <c r="J1006" s="132"/>
      <c r="K1006" s="132"/>
      <c r="L1006" s="2"/>
      <c r="M1006" s="2"/>
      <c r="N1006" s="2"/>
      <c r="O1006" s="2"/>
      <c r="P1006" s="2"/>
      <c r="Q1006" s="2"/>
      <c r="R1006" s="2"/>
      <c r="S1006" s="2"/>
      <c r="T1006" s="2"/>
      <c r="U1006" s="2"/>
      <c r="V1006" s="2"/>
      <c r="W1006" s="2"/>
      <c r="X1006" s="2"/>
      <c r="Y1006" s="2"/>
      <c r="Z1006" s="2"/>
    </row>
  </sheetData>
  <mergeCells count="1">
    <mergeCell ref="A24:A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38"/>
    <col customWidth="1" min="3" max="10" width="15.13"/>
    <col customWidth="1" min="11" max="11" width="15.0"/>
    <col customWidth="1" min="12" max="15" width="15.38"/>
  </cols>
  <sheetData>
    <row r="1">
      <c r="L1" s="8"/>
      <c r="M1" s="8"/>
      <c r="N1" s="8"/>
      <c r="O1" s="8"/>
    </row>
    <row r="2">
      <c r="B2" s="3" t="s">
        <v>110</v>
      </c>
      <c r="C2" s="57" t="s">
        <v>6</v>
      </c>
      <c r="D2" s="58" t="s">
        <v>11</v>
      </c>
      <c r="E2" s="59" t="s">
        <v>16</v>
      </c>
      <c r="F2" s="60" t="s">
        <v>20</v>
      </c>
      <c r="G2" s="61" t="s">
        <v>24</v>
      </c>
      <c r="H2" s="62" t="s">
        <v>32</v>
      </c>
      <c r="I2" s="63" t="s">
        <v>27</v>
      </c>
      <c r="J2" s="64" t="s">
        <v>30</v>
      </c>
      <c r="K2" s="65" t="s">
        <v>34</v>
      </c>
      <c r="L2" s="66" t="s">
        <v>36</v>
      </c>
      <c r="M2" s="184" t="s">
        <v>38</v>
      </c>
      <c r="N2" s="185" t="s">
        <v>40</v>
      </c>
      <c r="O2" s="69" t="s">
        <v>42</v>
      </c>
    </row>
    <row r="3">
      <c r="B3" s="186" t="s">
        <v>432</v>
      </c>
      <c r="C3" s="187" t="s">
        <v>518</v>
      </c>
      <c r="D3" s="188"/>
      <c r="E3" s="189"/>
      <c r="F3" s="189"/>
      <c r="G3" s="187" t="s">
        <v>518</v>
      </c>
      <c r="H3" s="188"/>
      <c r="I3" s="189"/>
      <c r="J3" s="187" t="s">
        <v>518</v>
      </c>
      <c r="K3" s="188"/>
      <c r="L3" s="187" t="s">
        <v>518</v>
      </c>
      <c r="M3" s="187" t="s">
        <v>518</v>
      </c>
      <c r="N3" s="190"/>
      <c r="O3" s="187" t="s">
        <v>518</v>
      </c>
    </row>
    <row r="4">
      <c r="B4" s="191" t="s">
        <v>544</v>
      </c>
      <c r="C4" s="192" t="s">
        <v>534</v>
      </c>
      <c r="D4" s="188"/>
      <c r="E4" s="189"/>
      <c r="F4" s="193" t="s">
        <v>534</v>
      </c>
      <c r="G4" s="194"/>
      <c r="H4" s="188"/>
      <c r="I4" s="193" t="s">
        <v>534</v>
      </c>
      <c r="J4" s="195"/>
      <c r="K4" s="188"/>
      <c r="L4" s="192" t="s">
        <v>534</v>
      </c>
      <c r="M4" s="189"/>
      <c r="N4" s="188"/>
      <c r="O4" s="196" t="s">
        <v>534</v>
      </c>
    </row>
    <row r="5">
      <c r="B5" s="197" t="s">
        <v>545</v>
      </c>
      <c r="C5" s="198"/>
      <c r="D5" s="199"/>
      <c r="E5" s="200" t="s">
        <v>527</v>
      </c>
      <c r="F5" s="201"/>
      <c r="G5" s="202"/>
      <c r="H5" s="199"/>
      <c r="I5" s="203" t="s">
        <v>527</v>
      </c>
      <c r="J5" s="200" t="s">
        <v>527</v>
      </c>
      <c r="K5" s="199"/>
      <c r="L5" s="198"/>
      <c r="M5" s="200" t="s">
        <v>527</v>
      </c>
      <c r="N5" s="199"/>
      <c r="O5" s="204"/>
    </row>
    <row r="6">
      <c r="B6" s="186" t="s">
        <v>433</v>
      </c>
      <c r="C6" s="205" t="s">
        <v>518</v>
      </c>
      <c r="D6" s="206"/>
      <c r="E6" s="207"/>
      <c r="F6" s="207"/>
      <c r="G6" s="205" t="s">
        <v>518</v>
      </c>
      <c r="H6" s="207"/>
      <c r="I6" s="206"/>
      <c r="J6" s="205" t="s">
        <v>518</v>
      </c>
      <c r="K6" s="206"/>
      <c r="L6" s="205" t="s">
        <v>518</v>
      </c>
      <c r="M6" s="208" t="s">
        <v>518</v>
      </c>
      <c r="N6" s="190"/>
      <c r="O6" s="187" t="s">
        <v>518</v>
      </c>
    </row>
    <row r="7">
      <c r="B7" s="191" t="s">
        <v>546</v>
      </c>
      <c r="C7" s="209" t="s">
        <v>533</v>
      </c>
      <c r="D7" s="209" t="s">
        <v>533</v>
      </c>
      <c r="E7" s="189"/>
      <c r="F7" s="189"/>
      <c r="G7" s="189"/>
      <c r="H7" s="189"/>
      <c r="I7" s="209" t="s">
        <v>533</v>
      </c>
      <c r="J7" s="189"/>
      <c r="K7" s="209" t="s">
        <v>533</v>
      </c>
      <c r="M7" s="209" t="s">
        <v>533</v>
      </c>
      <c r="N7" s="188"/>
      <c r="O7" s="189"/>
    </row>
    <row r="8">
      <c r="B8" s="197" t="s">
        <v>547</v>
      </c>
      <c r="C8" s="210"/>
      <c r="D8" s="210"/>
      <c r="E8" s="211" t="s">
        <v>528</v>
      </c>
      <c r="F8" s="211" t="s">
        <v>528</v>
      </c>
      <c r="G8" s="204"/>
      <c r="H8" s="211" t="s">
        <v>528</v>
      </c>
      <c r="I8" s="212" t="s">
        <v>528</v>
      </c>
      <c r="J8" s="204"/>
      <c r="K8" s="210"/>
      <c r="L8" s="210"/>
      <c r="M8" s="211" t="s">
        <v>528</v>
      </c>
      <c r="N8" s="199"/>
      <c r="O8" s="211" t="s">
        <v>528</v>
      </c>
    </row>
    <row r="9">
      <c r="B9" s="186" t="s">
        <v>434</v>
      </c>
      <c r="C9" s="213" t="s">
        <v>519</v>
      </c>
      <c r="D9" s="213" t="s">
        <v>519</v>
      </c>
      <c r="E9" s="206"/>
      <c r="F9" s="206"/>
      <c r="G9" s="190"/>
      <c r="H9" s="206"/>
      <c r="I9" s="213" t="s">
        <v>519</v>
      </c>
      <c r="J9" s="207"/>
      <c r="K9" s="213" t="s">
        <v>519</v>
      </c>
      <c r="L9" s="214"/>
      <c r="M9" s="213" t="s">
        <v>519</v>
      </c>
      <c r="N9" s="207"/>
      <c r="O9" s="207"/>
    </row>
    <row r="10">
      <c r="B10" s="191" t="s">
        <v>548</v>
      </c>
      <c r="C10" s="189"/>
      <c r="D10" s="189"/>
      <c r="E10" s="215" t="s">
        <v>528</v>
      </c>
      <c r="F10" s="215" t="s">
        <v>528</v>
      </c>
      <c r="G10" s="188"/>
      <c r="H10" s="215" t="s">
        <v>528</v>
      </c>
      <c r="I10" s="215" t="s">
        <v>528</v>
      </c>
      <c r="J10" s="189"/>
      <c r="K10" s="189"/>
      <c r="L10" s="216"/>
      <c r="M10" s="215" t="s">
        <v>528</v>
      </c>
      <c r="N10" s="217" t="s">
        <v>535</v>
      </c>
      <c r="O10" s="215" t="s">
        <v>528</v>
      </c>
    </row>
    <row r="11">
      <c r="B11" s="197" t="s">
        <v>549</v>
      </c>
      <c r="C11" s="204"/>
      <c r="D11" s="204"/>
      <c r="E11" s="210"/>
      <c r="F11" s="217" t="s">
        <v>535</v>
      </c>
      <c r="G11" s="199"/>
      <c r="H11" s="217" t="s">
        <v>535</v>
      </c>
      <c r="I11" s="210"/>
      <c r="J11" s="218" t="s">
        <v>535</v>
      </c>
      <c r="K11" s="218" t="s">
        <v>535</v>
      </c>
      <c r="L11" s="219"/>
      <c r="M11" s="204"/>
      <c r="N11" s="204"/>
      <c r="O11" s="204"/>
    </row>
    <row r="12">
      <c r="B12" s="186" t="s">
        <v>435</v>
      </c>
      <c r="C12" s="207"/>
      <c r="D12" s="190"/>
      <c r="E12" s="220" t="s">
        <v>520</v>
      </c>
      <c r="F12" s="221" t="s">
        <v>520</v>
      </c>
      <c r="G12" s="190"/>
      <c r="H12" s="221" t="s">
        <v>520</v>
      </c>
      <c r="I12" s="220" t="s">
        <v>520</v>
      </c>
      <c r="J12" s="214"/>
      <c r="K12" s="214"/>
      <c r="L12" s="207"/>
      <c r="M12" s="220" t="s">
        <v>520</v>
      </c>
      <c r="N12" s="190"/>
      <c r="O12" s="220" t="s">
        <v>520</v>
      </c>
    </row>
    <row r="13">
      <c r="B13" s="191" t="s">
        <v>550</v>
      </c>
      <c r="C13" s="222" t="s">
        <v>529</v>
      </c>
      <c r="D13" s="188"/>
      <c r="E13" s="223"/>
      <c r="F13" s="224" t="s">
        <v>529</v>
      </c>
      <c r="G13" s="188"/>
      <c r="H13" s="189"/>
      <c r="I13" s="222" t="s">
        <v>529</v>
      </c>
      <c r="J13" s="216"/>
      <c r="K13" s="216"/>
      <c r="L13" s="222" t="s">
        <v>529</v>
      </c>
      <c r="M13" s="189"/>
      <c r="N13" s="188"/>
      <c r="O13" s="222" t="s">
        <v>529</v>
      </c>
    </row>
    <row r="14">
      <c r="B14" s="197" t="s">
        <v>551</v>
      </c>
      <c r="C14" s="204"/>
      <c r="D14" s="199"/>
      <c r="E14" s="210"/>
      <c r="F14" s="204"/>
      <c r="G14" s="199"/>
      <c r="H14" s="204"/>
      <c r="I14" s="210"/>
      <c r="J14" s="219"/>
      <c r="K14" s="219"/>
      <c r="L14" s="204"/>
      <c r="M14" s="204"/>
      <c r="N14" s="199"/>
      <c r="O14" s="204"/>
    </row>
    <row r="15">
      <c r="B15" s="225" t="s">
        <v>436</v>
      </c>
      <c r="C15" s="207"/>
      <c r="D15" s="206"/>
      <c r="E15" s="207"/>
      <c r="F15" s="226" t="s">
        <v>521</v>
      </c>
      <c r="G15" s="206"/>
      <c r="H15" s="227" t="s">
        <v>521</v>
      </c>
      <c r="I15" s="190"/>
      <c r="J15" s="227" t="s">
        <v>521</v>
      </c>
      <c r="K15" s="227" t="s">
        <v>521</v>
      </c>
      <c r="L15" s="207"/>
      <c r="M15" s="207"/>
      <c r="N15" s="227" t="s">
        <v>521</v>
      </c>
      <c r="O15" s="190"/>
    </row>
    <row r="16">
      <c r="B16" s="228" t="s">
        <v>552</v>
      </c>
      <c r="C16" s="229" t="s">
        <v>530</v>
      </c>
      <c r="D16" s="223"/>
      <c r="E16" s="189"/>
      <c r="F16" s="223"/>
      <c r="G16" s="229" t="s">
        <v>530</v>
      </c>
      <c r="H16" s="230" t="s">
        <v>530</v>
      </c>
      <c r="I16" s="188"/>
      <c r="J16" s="230" t="s">
        <v>530</v>
      </c>
      <c r="K16" s="231"/>
      <c r="L16" s="229" t="s">
        <v>530</v>
      </c>
      <c r="M16" s="229" t="s">
        <v>530</v>
      </c>
      <c r="N16" s="189"/>
      <c r="O16" s="188"/>
    </row>
    <row r="17">
      <c r="B17" s="232" t="s">
        <v>551</v>
      </c>
      <c r="C17" s="204"/>
      <c r="D17" s="233" t="s">
        <v>532</v>
      </c>
      <c r="E17" s="234" t="s">
        <v>532</v>
      </c>
      <c r="F17" s="210"/>
      <c r="G17" s="233" t="s">
        <v>532</v>
      </c>
      <c r="H17" s="204"/>
      <c r="I17" s="199"/>
      <c r="J17" s="204"/>
      <c r="K17" s="233" t="s">
        <v>532</v>
      </c>
      <c r="L17" s="204"/>
      <c r="M17" s="204"/>
      <c r="N17" s="233" t="s">
        <v>532</v>
      </c>
      <c r="O17" s="199"/>
    </row>
    <row r="18">
      <c r="B18" s="235" t="s">
        <v>437</v>
      </c>
      <c r="C18" s="214"/>
      <c r="D18" s="236" t="s">
        <v>522</v>
      </c>
      <c r="E18" s="237" t="s">
        <v>522</v>
      </c>
      <c r="F18" s="207"/>
      <c r="G18" s="206"/>
      <c r="H18" s="236" t="s">
        <v>522</v>
      </c>
      <c r="I18" s="207"/>
      <c r="J18" s="206"/>
      <c r="K18" s="236" t="s">
        <v>522</v>
      </c>
      <c r="L18" s="236" t="s">
        <v>522</v>
      </c>
      <c r="M18" s="207"/>
      <c r="N18" s="236" t="s">
        <v>522</v>
      </c>
      <c r="O18" s="236" t="s">
        <v>522</v>
      </c>
    </row>
    <row r="19">
      <c r="B19" s="238" t="s">
        <v>553</v>
      </c>
      <c r="C19" s="216"/>
      <c r="D19" s="189"/>
      <c r="E19" s="239" t="s">
        <v>527</v>
      </c>
      <c r="F19" s="189"/>
      <c r="G19" s="223"/>
      <c r="H19" s="223"/>
      <c r="I19" s="239" t="s">
        <v>527</v>
      </c>
      <c r="J19" s="240" t="s">
        <v>527</v>
      </c>
      <c r="K19" s="223"/>
      <c r="L19" s="223"/>
      <c r="M19" s="240" t="s">
        <v>527</v>
      </c>
      <c r="N19" s="189"/>
      <c r="O19" s="189"/>
    </row>
    <row r="20">
      <c r="B20" s="241" t="s">
        <v>545</v>
      </c>
      <c r="C20" s="219"/>
      <c r="D20" s="242" t="s">
        <v>531</v>
      </c>
      <c r="E20" s="210"/>
      <c r="F20" s="242" t="s">
        <v>531</v>
      </c>
      <c r="G20" s="243" t="s">
        <v>531</v>
      </c>
      <c r="H20" s="210"/>
      <c r="I20" s="204"/>
      <c r="J20" s="210"/>
      <c r="K20" s="210"/>
      <c r="L20" s="223"/>
      <c r="M20" s="204"/>
      <c r="N20" s="204"/>
      <c r="O20" s="204"/>
    </row>
    <row r="21">
      <c r="B21" s="244" t="s">
        <v>438</v>
      </c>
      <c r="C21" s="214"/>
      <c r="D21" s="245"/>
      <c r="E21" s="246" t="s">
        <v>523</v>
      </c>
      <c r="F21" s="189"/>
      <c r="G21" s="245"/>
      <c r="H21" s="189"/>
      <c r="I21" s="247" t="s">
        <v>523</v>
      </c>
      <c r="J21" s="247" t="s">
        <v>523</v>
      </c>
      <c r="K21" s="248"/>
      <c r="L21" s="214"/>
      <c r="M21" s="247" t="s">
        <v>523</v>
      </c>
      <c r="N21" s="207"/>
      <c r="O21" s="190"/>
    </row>
    <row r="22">
      <c r="B22" s="238" t="s">
        <v>554</v>
      </c>
      <c r="C22" s="216"/>
      <c r="D22" s="249" t="s">
        <v>531</v>
      </c>
      <c r="E22" s="245"/>
      <c r="F22" s="250" t="s">
        <v>531</v>
      </c>
      <c r="G22" s="249" t="s">
        <v>531</v>
      </c>
      <c r="H22" s="189"/>
      <c r="I22" s="189"/>
      <c r="J22" s="189"/>
      <c r="K22" s="189"/>
      <c r="L22" s="216"/>
      <c r="M22" s="189"/>
      <c r="N22" s="189"/>
      <c r="O22" s="188"/>
    </row>
    <row r="23">
      <c r="B23" s="238" t="s">
        <v>551</v>
      </c>
      <c r="C23" s="219"/>
      <c r="D23" s="245"/>
      <c r="E23" s="245"/>
      <c r="F23" s="251" t="s">
        <v>535</v>
      </c>
      <c r="G23" s="245"/>
      <c r="H23" s="252" t="s">
        <v>535</v>
      </c>
      <c r="I23" s="189"/>
      <c r="J23" s="252" t="s">
        <v>535</v>
      </c>
      <c r="K23" s="252" t="s">
        <v>535</v>
      </c>
      <c r="L23" s="219"/>
      <c r="M23" s="204"/>
      <c r="N23" s="252" t="s">
        <v>535</v>
      </c>
      <c r="O23" s="199"/>
    </row>
    <row r="24">
      <c r="B24" s="235" t="s">
        <v>439</v>
      </c>
      <c r="C24" s="253" t="s">
        <v>524</v>
      </c>
      <c r="D24" s="206"/>
      <c r="E24" s="206"/>
      <c r="F24" s="190"/>
      <c r="G24" s="253" t="s">
        <v>524</v>
      </c>
      <c r="H24" s="254" t="s">
        <v>524</v>
      </c>
      <c r="I24" s="190"/>
      <c r="J24" s="254" t="s">
        <v>524</v>
      </c>
      <c r="K24" s="255"/>
      <c r="L24" s="253" t="s">
        <v>524</v>
      </c>
      <c r="M24" s="254" t="s">
        <v>524</v>
      </c>
      <c r="N24" s="207"/>
      <c r="O24" s="207"/>
    </row>
    <row r="25">
      <c r="B25" s="238" t="s">
        <v>555</v>
      </c>
      <c r="C25" s="189"/>
      <c r="D25" s="256" t="s">
        <v>532</v>
      </c>
      <c r="E25" s="256" t="s">
        <v>532</v>
      </c>
      <c r="F25" s="188"/>
      <c r="G25" s="256" t="s">
        <v>532</v>
      </c>
      <c r="H25" s="189"/>
      <c r="I25" s="188"/>
      <c r="J25" s="189"/>
      <c r="K25" s="256" t="s">
        <v>532</v>
      </c>
      <c r="L25" s="189"/>
      <c r="M25" s="189"/>
      <c r="N25" s="256" t="s">
        <v>532</v>
      </c>
      <c r="O25" s="189"/>
    </row>
    <row r="26">
      <c r="B26" s="241" t="s">
        <v>545</v>
      </c>
      <c r="C26" s="204"/>
      <c r="D26" s="257" t="s">
        <v>536</v>
      </c>
      <c r="E26" s="257" t="s">
        <v>536</v>
      </c>
      <c r="F26" s="199"/>
      <c r="G26" s="210"/>
      <c r="H26" s="258" t="s">
        <v>536</v>
      </c>
      <c r="I26" s="199"/>
      <c r="J26" s="204"/>
      <c r="K26" s="257" t="s">
        <v>536</v>
      </c>
      <c r="L26" s="257" t="s">
        <v>536</v>
      </c>
      <c r="M26" s="204"/>
      <c r="N26" s="258" t="s">
        <v>536</v>
      </c>
      <c r="O26" s="258" t="s">
        <v>536</v>
      </c>
    </row>
    <row r="27">
      <c r="B27" s="259" t="s">
        <v>440</v>
      </c>
      <c r="C27" s="207"/>
      <c r="D27" s="260" t="s">
        <v>525</v>
      </c>
      <c r="E27" s="190"/>
      <c r="F27" s="260" t="s">
        <v>525</v>
      </c>
      <c r="G27" s="261" t="s">
        <v>525</v>
      </c>
      <c r="H27" s="206"/>
      <c r="I27" s="207"/>
      <c r="J27" s="206"/>
      <c r="K27" s="190"/>
      <c r="L27" s="207"/>
      <c r="M27" s="207"/>
      <c r="N27" s="190"/>
      <c r="O27" s="207"/>
    </row>
    <row r="28">
      <c r="B28" s="262" t="s">
        <v>556</v>
      </c>
      <c r="C28" s="230" t="s">
        <v>530</v>
      </c>
      <c r="D28" s="189"/>
      <c r="E28" s="188"/>
      <c r="F28" s="223"/>
      <c r="G28" s="230" t="s">
        <v>530</v>
      </c>
      <c r="H28" s="229" t="s">
        <v>530</v>
      </c>
      <c r="I28" s="189"/>
      <c r="J28" s="229" t="s">
        <v>530</v>
      </c>
      <c r="K28" s="188"/>
      <c r="L28" s="230" t="s">
        <v>530</v>
      </c>
      <c r="M28" s="230" t="s">
        <v>530</v>
      </c>
      <c r="N28" s="188"/>
      <c r="O28" s="189"/>
    </row>
    <row r="29">
      <c r="B29" s="263" t="s">
        <v>557</v>
      </c>
      <c r="C29" s="196" t="s">
        <v>534</v>
      </c>
      <c r="D29" s="204"/>
      <c r="E29" s="199"/>
      <c r="F29" s="264" t="s">
        <v>534</v>
      </c>
      <c r="G29" s="204"/>
      <c r="H29" s="210"/>
      <c r="I29" s="196" t="s">
        <v>534</v>
      </c>
      <c r="J29" s="210"/>
      <c r="K29" s="199"/>
      <c r="L29" s="196" t="s">
        <v>534</v>
      </c>
      <c r="M29" s="204"/>
      <c r="N29" s="199"/>
      <c r="O29" s="196" t="s">
        <v>534</v>
      </c>
    </row>
    <row r="30">
      <c r="B30" s="259" t="s">
        <v>441</v>
      </c>
      <c r="C30" s="206"/>
      <c r="D30" s="265" t="s">
        <v>526</v>
      </c>
      <c r="E30" s="266" t="s">
        <v>526</v>
      </c>
      <c r="F30" s="214"/>
      <c r="G30" s="266" t="s">
        <v>526</v>
      </c>
      <c r="H30" s="207"/>
      <c r="I30" s="206"/>
      <c r="J30" s="190"/>
      <c r="K30" s="265" t="s">
        <v>526</v>
      </c>
      <c r="L30" s="206"/>
      <c r="M30" s="207"/>
      <c r="N30" s="265" t="s">
        <v>526</v>
      </c>
      <c r="O30" s="206"/>
    </row>
    <row r="31">
      <c r="B31" s="262" t="s">
        <v>557</v>
      </c>
      <c r="C31" s="209" t="s">
        <v>533</v>
      </c>
      <c r="D31" s="267" t="s">
        <v>533</v>
      </c>
      <c r="E31" s="189"/>
      <c r="F31" s="216"/>
      <c r="G31" s="189"/>
      <c r="H31" s="189"/>
      <c r="I31" s="209" t="s">
        <v>533</v>
      </c>
      <c r="J31" s="188"/>
      <c r="K31" s="267" t="s">
        <v>533</v>
      </c>
      <c r="L31" s="206"/>
      <c r="M31" s="267" t="s">
        <v>533</v>
      </c>
      <c r="N31" s="189"/>
      <c r="O31" s="189"/>
    </row>
    <row r="32">
      <c r="B32" s="263" t="s">
        <v>558</v>
      </c>
      <c r="C32" s="210"/>
      <c r="D32" s="258" t="s">
        <v>536</v>
      </c>
      <c r="E32" s="258" t="s">
        <v>536</v>
      </c>
      <c r="F32" s="219"/>
      <c r="G32" s="204"/>
      <c r="H32" s="258" t="s">
        <v>536</v>
      </c>
      <c r="I32" s="210"/>
      <c r="J32" s="199"/>
      <c r="K32" s="258" t="s">
        <v>536</v>
      </c>
      <c r="L32" s="258" t="s">
        <v>536</v>
      </c>
      <c r="M32" s="204"/>
      <c r="N32" s="258" t="s">
        <v>536</v>
      </c>
      <c r="O32" s="258" t="s">
        <v>536</v>
      </c>
    </row>
    <row r="34">
      <c r="B34" s="8" t="s">
        <v>559</v>
      </c>
    </row>
    <row r="35">
      <c r="B35" s="8" t="s">
        <v>560</v>
      </c>
    </row>
    <row r="36">
      <c r="B36" s="8"/>
    </row>
    <row r="37">
      <c r="B37" s="8" t="s">
        <v>561</v>
      </c>
    </row>
    <row r="38">
      <c r="B38" s="8" t="s">
        <v>562</v>
      </c>
    </row>
    <row r="39">
      <c r="B39" s="8"/>
    </row>
    <row r="40">
      <c r="B40" s="8" t="s">
        <v>563</v>
      </c>
    </row>
    <row r="41">
      <c r="B41" s="8" t="s">
        <v>564</v>
      </c>
    </row>
    <row r="42">
      <c r="B42" s="8" t="s">
        <v>565</v>
      </c>
    </row>
    <row r="44">
      <c r="B44" s="8" t="s">
        <v>566</v>
      </c>
    </row>
    <row r="46">
      <c r="B46" s="8" t="s">
        <v>567</v>
      </c>
    </row>
    <row r="47">
      <c r="B47" s="8" t="s">
        <v>568</v>
      </c>
    </row>
  </sheetData>
  <conditionalFormatting sqref="D2">
    <cfRule type="colorScale" priority="1">
      <colorScale>
        <cfvo type="min"/>
        <cfvo type="max"/>
        <color rgb="FF57BB8A"/>
        <color rgb="FFFFFFFF"/>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5" width="15.75"/>
    <col customWidth="1" min="6" max="15" width="6.38"/>
  </cols>
  <sheetData>
    <row r="1">
      <c r="A1" s="268"/>
      <c r="B1" s="269" t="s">
        <v>7</v>
      </c>
      <c r="C1" s="270" t="s">
        <v>12</v>
      </c>
      <c r="D1" s="271" t="s">
        <v>17</v>
      </c>
      <c r="E1" s="272" t="s">
        <v>21</v>
      </c>
      <c r="F1" s="273" t="s">
        <v>569</v>
      </c>
      <c r="G1" s="273" t="s">
        <v>570</v>
      </c>
      <c r="H1" s="273" t="s">
        <v>571</v>
      </c>
      <c r="I1" s="273" t="s">
        <v>572</v>
      </c>
      <c r="J1" s="273" t="s">
        <v>573</v>
      </c>
      <c r="K1" s="273" t="s">
        <v>574</v>
      </c>
      <c r="L1" s="273" t="s">
        <v>575</v>
      </c>
      <c r="M1" s="273" t="s">
        <v>576</v>
      </c>
      <c r="N1" s="273" t="s">
        <v>577</v>
      </c>
      <c r="O1" s="273" t="s">
        <v>578</v>
      </c>
    </row>
    <row r="2">
      <c r="A2" s="274" t="s">
        <v>579</v>
      </c>
      <c r="B2" s="92" t="str">
        <f>"+Research"</f>
        <v>+Research</v>
      </c>
      <c r="C2" s="76" t="str">
        <f>"+Civics"</f>
        <v>+Civics</v>
      </c>
      <c r="D2" s="78" t="str">
        <f>"+Training"</f>
        <v>+Training</v>
      </c>
      <c r="E2" s="93" t="str">
        <f>"+Gold"</f>
        <v>+Gold</v>
      </c>
      <c r="F2" s="275"/>
      <c r="G2" s="275"/>
      <c r="H2" s="275"/>
      <c r="I2" s="275"/>
      <c r="J2" s="275"/>
      <c r="K2" s="275"/>
      <c r="L2" s="275"/>
      <c r="M2" s="275"/>
      <c r="N2" s="275"/>
      <c r="O2" s="275"/>
    </row>
    <row r="3">
      <c r="A3" s="274" t="s">
        <v>444</v>
      </c>
      <c r="B3" s="92" t="s">
        <v>580</v>
      </c>
      <c r="C3" s="76" t="s">
        <v>581</v>
      </c>
      <c r="D3" s="78" t="s">
        <v>582</v>
      </c>
      <c r="E3" s="93" t="s">
        <v>583</v>
      </c>
      <c r="F3" s="276"/>
      <c r="G3" s="276"/>
      <c r="H3" s="276"/>
      <c r="I3" s="276"/>
      <c r="J3" s="90" t="s">
        <v>573</v>
      </c>
      <c r="K3" s="90" t="s">
        <v>574</v>
      </c>
      <c r="L3" s="90" t="s">
        <v>575</v>
      </c>
      <c r="M3" s="90" t="s">
        <v>576</v>
      </c>
      <c r="N3" s="90" t="s">
        <v>577</v>
      </c>
      <c r="O3" s="276"/>
    </row>
    <row r="4">
      <c r="A4" s="274" t="s">
        <v>443</v>
      </c>
      <c r="B4" s="82" t="s">
        <v>584</v>
      </c>
      <c r="C4" s="82" t="s">
        <v>585</v>
      </c>
      <c r="D4" s="82" t="s">
        <v>586</v>
      </c>
      <c r="E4" s="82" t="s">
        <v>587</v>
      </c>
      <c r="F4" s="277" t="s">
        <v>569</v>
      </c>
      <c r="G4" s="277" t="s">
        <v>570</v>
      </c>
      <c r="H4" s="277" t="s">
        <v>571</v>
      </c>
      <c r="I4" s="277" t="s">
        <v>572</v>
      </c>
      <c r="J4" s="276"/>
      <c r="K4" s="276"/>
      <c r="L4" s="276"/>
      <c r="M4" s="276"/>
      <c r="N4" s="276"/>
      <c r="O4" s="276"/>
    </row>
    <row r="5">
      <c r="A5" s="274" t="s">
        <v>447</v>
      </c>
      <c r="B5" s="88" t="s">
        <v>588</v>
      </c>
      <c r="C5" s="8" t="s">
        <v>589</v>
      </c>
      <c r="D5" s="8" t="s">
        <v>590</v>
      </c>
      <c r="E5" s="8" t="s">
        <v>591</v>
      </c>
      <c r="F5" s="90" t="s">
        <v>569</v>
      </c>
      <c r="G5" s="276"/>
      <c r="H5" s="276"/>
      <c r="I5" s="276"/>
      <c r="J5" s="276"/>
      <c r="K5" s="90" t="s">
        <v>574</v>
      </c>
      <c r="L5" s="276"/>
      <c r="M5" s="90" t="s">
        <v>576</v>
      </c>
      <c r="N5" s="276"/>
      <c r="O5" s="276"/>
    </row>
    <row r="6">
      <c r="A6" s="274" t="s">
        <v>449</v>
      </c>
      <c r="B6" s="96" t="s">
        <v>592</v>
      </c>
      <c r="C6" s="76" t="s">
        <v>13</v>
      </c>
      <c r="D6" s="78" t="s">
        <v>18</v>
      </c>
      <c r="E6" s="93" t="s">
        <v>593</v>
      </c>
      <c r="F6" s="276"/>
      <c r="G6" s="276"/>
      <c r="H6" s="276"/>
      <c r="I6" s="90" t="s">
        <v>572</v>
      </c>
      <c r="J6" s="90" t="s">
        <v>573</v>
      </c>
      <c r="K6" s="276"/>
      <c r="L6" s="90" t="s">
        <v>575</v>
      </c>
      <c r="M6" s="276"/>
      <c r="N6" s="276"/>
      <c r="O6" s="276"/>
    </row>
    <row r="7">
      <c r="A7" s="274" t="s">
        <v>445</v>
      </c>
      <c r="B7" s="92" t="str">
        <f>"+Research"</f>
        <v>+Research</v>
      </c>
      <c r="C7" s="8" t="s">
        <v>594</v>
      </c>
      <c r="D7" s="278" t="str">
        <f>"+Happiness / City"</f>
        <v>+Happiness / City</v>
      </c>
      <c r="E7" s="89" t="str">
        <f>"+Orders"</f>
        <v>+Orders</v>
      </c>
      <c r="F7" s="276"/>
      <c r="G7" s="276"/>
      <c r="H7" s="90" t="s">
        <v>571</v>
      </c>
      <c r="I7" s="276"/>
      <c r="J7" s="276"/>
      <c r="K7" s="276"/>
      <c r="L7" s="276"/>
      <c r="M7" s="276"/>
      <c r="N7" s="90" t="s">
        <v>577</v>
      </c>
      <c r="O7" s="90" t="s">
        <v>578</v>
      </c>
    </row>
    <row r="8">
      <c r="A8" s="274" t="s">
        <v>448</v>
      </c>
      <c r="B8" s="92" t="s">
        <v>580</v>
      </c>
      <c r="C8" s="76" t="s">
        <v>581</v>
      </c>
      <c r="D8" s="78" t="s">
        <v>582</v>
      </c>
      <c r="E8" s="93" t="s">
        <v>583</v>
      </c>
      <c r="F8" s="276"/>
      <c r="G8" s="277" t="s">
        <v>570</v>
      </c>
      <c r="H8" s="276"/>
      <c r="I8" s="276"/>
      <c r="J8" s="276"/>
      <c r="K8" s="276"/>
      <c r="L8" s="276"/>
      <c r="M8" s="276"/>
      <c r="N8" s="276"/>
      <c r="O8" s="90" t="s">
        <v>578</v>
      </c>
    </row>
    <row r="9">
      <c r="A9" s="279" t="s">
        <v>595</v>
      </c>
      <c r="B9" s="280"/>
      <c r="C9" s="280"/>
      <c r="D9" s="280"/>
      <c r="E9" s="280"/>
      <c r="F9" s="281"/>
      <c r="G9" s="281"/>
      <c r="H9" s="281"/>
      <c r="I9" s="281"/>
      <c r="J9" s="281"/>
      <c r="K9" s="281"/>
      <c r="L9" s="281"/>
      <c r="M9" s="281"/>
      <c r="N9" s="281"/>
      <c r="O9" s="281"/>
      <c r="P9" s="282" t="s">
        <v>595</v>
      </c>
      <c r="Q9" s="283"/>
      <c r="R9" s="283"/>
      <c r="S9" s="283"/>
      <c r="T9" s="283"/>
      <c r="U9" s="283"/>
      <c r="V9" s="283"/>
      <c r="W9" s="283"/>
      <c r="X9" s="283"/>
      <c r="Y9" s="283"/>
      <c r="Z9" s="283"/>
    </row>
    <row r="10">
      <c r="A10" s="284" t="s">
        <v>514</v>
      </c>
      <c r="B10" s="285" t="str">
        <f>"+Wisdom"</f>
        <v>+Wisdom</v>
      </c>
      <c r="F10" s="276"/>
      <c r="G10" s="276"/>
      <c r="H10" s="90" t="s">
        <v>571</v>
      </c>
      <c r="I10" s="90" t="s">
        <v>572</v>
      </c>
      <c r="J10" s="90" t="s">
        <v>573</v>
      </c>
      <c r="K10" s="276"/>
      <c r="L10" s="90" t="s">
        <v>575</v>
      </c>
      <c r="M10" s="276"/>
      <c r="N10" s="90" t="s">
        <v>577</v>
      </c>
      <c r="O10" s="276"/>
      <c r="P10" s="8" t="s">
        <v>514</v>
      </c>
    </row>
    <row r="11">
      <c r="A11" s="284" t="s">
        <v>513</v>
      </c>
      <c r="C11" s="285" t="str">
        <f>"+Charisma"</f>
        <v>+Charisma</v>
      </c>
      <c r="F11" s="276"/>
      <c r="G11" s="90" t="s">
        <v>570</v>
      </c>
      <c r="H11" s="276"/>
      <c r="I11" s="276"/>
      <c r="J11" s="276"/>
      <c r="K11" s="90" t="s">
        <v>574</v>
      </c>
      <c r="L11" s="90" t="s">
        <v>575</v>
      </c>
      <c r="M11" s="90" t="s">
        <v>576</v>
      </c>
      <c r="N11" s="90" t="s">
        <v>577</v>
      </c>
      <c r="O11" s="276"/>
      <c r="P11" s="8" t="s">
        <v>513</v>
      </c>
    </row>
    <row r="12">
      <c r="A12" s="284" t="s">
        <v>512</v>
      </c>
      <c r="D12" s="285" t="str">
        <f>"+Courage"</f>
        <v>+Courage</v>
      </c>
      <c r="F12" s="90" t="s">
        <v>569</v>
      </c>
      <c r="G12" s="90" t="s">
        <v>570</v>
      </c>
      <c r="H12" s="90" t="s">
        <v>571</v>
      </c>
      <c r="I12" s="90" t="s">
        <v>572</v>
      </c>
      <c r="J12" s="276"/>
      <c r="K12" s="276"/>
      <c r="L12" s="276"/>
      <c r="M12" s="276"/>
      <c r="N12" s="276"/>
      <c r="O12" s="90" t="s">
        <v>578</v>
      </c>
      <c r="P12" s="8" t="s">
        <v>512</v>
      </c>
    </row>
    <row r="13">
      <c r="A13" s="286" t="s">
        <v>516</v>
      </c>
      <c r="B13" s="287"/>
      <c r="C13" s="287"/>
      <c r="D13" s="287"/>
      <c r="E13" s="287" t="str">
        <f>"+Discipline"</f>
        <v>+Discipline</v>
      </c>
      <c r="F13" s="288" t="s">
        <v>569</v>
      </c>
      <c r="G13" s="289"/>
      <c r="H13" s="289"/>
      <c r="I13" s="289"/>
      <c r="J13" s="288" t="s">
        <v>573</v>
      </c>
      <c r="K13" s="288" t="s">
        <v>574</v>
      </c>
      <c r="L13" s="289"/>
      <c r="M13" s="288" t="s">
        <v>576</v>
      </c>
      <c r="N13" s="289"/>
      <c r="O13" s="288" t="s">
        <v>578</v>
      </c>
      <c r="P13" s="290" t="s">
        <v>516</v>
      </c>
      <c r="Q13" s="287"/>
      <c r="R13" s="287"/>
      <c r="S13" s="287"/>
      <c r="T13" s="287"/>
      <c r="U13" s="287"/>
      <c r="V13" s="287"/>
      <c r="W13" s="287"/>
      <c r="X13" s="287"/>
      <c r="Y13" s="287"/>
      <c r="Z13" s="287"/>
    </row>
    <row r="14">
      <c r="A14" s="274" t="s">
        <v>440</v>
      </c>
      <c r="B14" s="285" t="str">
        <f>"+3 Wisdom"</f>
        <v>+3 Wisdom</v>
      </c>
      <c r="F14" s="291"/>
      <c r="G14" s="291"/>
      <c r="H14" s="291"/>
      <c r="I14" s="291"/>
      <c r="J14" s="291"/>
      <c r="K14" s="291"/>
      <c r="L14" s="291"/>
      <c r="M14" s="291"/>
      <c r="N14" s="291"/>
      <c r="O14" s="291"/>
    </row>
    <row r="15">
      <c r="A15" s="274" t="s">
        <v>437</v>
      </c>
      <c r="C15" s="285" t="str">
        <f>"+3 Charisma"</f>
        <v>+3 Charisma</v>
      </c>
      <c r="F15" s="291"/>
      <c r="G15" s="291"/>
      <c r="H15" s="291"/>
      <c r="I15" s="291"/>
      <c r="J15" s="291"/>
      <c r="K15" s="291"/>
      <c r="L15" s="291"/>
      <c r="M15" s="291"/>
      <c r="N15" s="291"/>
      <c r="O15" s="291"/>
    </row>
    <row r="16">
      <c r="A16" s="274" t="s">
        <v>433</v>
      </c>
      <c r="D16" s="285" t="str">
        <f>"+3 Courage"</f>
        <v>+3 Courage</v>
      </c>
      <c r="F16" s="291"/>
      <c r="G16" s="291"/>
      <c r="H16" s="291"/>
      <c r="I16" s="291"/>
      <c r="J16" s="291"/>
      <c r="K16" s="291"/>
      <c r="L16" s="291"/>
      <c r="M16" s="291"/>
      <c r="N16" s="291"/>
      <c r="O16" s="291"/>
    </row>
    <row r="17">
      <c r="A17" s="274" t="s">
        <v>436</v>
      </c>
      <c r="E17" s="285" t="str">
        <f>"+3 Discipline"</f>
        <v>+3 Discipline</v>
      </c>
      <c r="F17" s="291"/>
      <c r="G17" s="291"/>
      <c r="H17" s="291"/>
      <c r="I17" s="291"/>
      <c r="J17" s="291"/>
      <c r="K17" s="291"/>
      <c r="L17" s="291"/>
      <c r="M17" s="291"/>
      <c r="N17" s="291"/>
      <c r="O17" s="291"/>
    </row>
    <row r="18">
      <c r="A18" s="274" t="s">
        <v>434</v>
      </c>
      <c r="B18" s="285" t="str">
        <f>"+2 Wisdom"</f>
        <v>+2 Wisdom</v>
      </c>
      <c r="E18" s="285" t="str">
        <f t="shared" ref="E18:E20" si="1">"+2 Discipline"</f>
        <v>+2 Discipline</v>
      </c>
      <c r="F18" s="291"/>
      <c r="G18" s="291"/>
      <c r="H18" s="291"/>
      <c r="I18" s="291"/>
      <c r="J18" s="291"/>
      <c r="K18" s="291"/>
      <c r="L18" s="291"/>
      <c r="M18" s="291"/>
      <c r="N18" s="291"/>
      <c r="O18" s="291"/>
    </row>
    <row r="19">
      <c r="A19" s="274" t="s">
        <v>438</v>
      </c>
      <c r="C19" s="285" t="str">
        <f>"+2 Charisma"</f>
        <v>+2 Charisma</v>
      </c>
      <c r="E19" s="285" t="str">
        <f t="shared" si="1"/>
        <v>+2 Discipline</v>
      </c>
      <c r="F19" s="291"/>
      <c r="G19" s="291"/>
      <c r="H19" s="291"/>
      <c r="I19" s="291"/>
      <c r="J19" s="291"/>
      <c r="K19" s="291"/>
      <c r="L19" s="291"/>
      <c r="M19" s="291"/>
      <c r="N19" s="291"/>
      <c r="O19" s="291"/>
    </row>
    <row r="20">
      <c r="A20" s="274" t="s">
        <v>432</v>
      </c>
      <c r="D20" s="285" t="str">
        <f>"+2 Courage"</f>
        <v>+2 Courage</v>
      </c>
      <c r="E20" s="285" t="str">
        <f t="shared" si="1"/>
        <v>+2 Discipline</v>
      </c>
      <c r="F20" s="291"/>
      <c r="G20" s="291"/>
      <c r="H20" s="291"/>
      <c r="I20" s="291"/>
      <c r="J20" s="291"/>
      <c r="K20" s="291"/>
      <c r="L20" s="291"/>
      <c r="M20" s="291"/>
      <c r="N20" s="291"/>
      <c r="O20" s="291"/>
    </row>
    <row r="21">
      <c r="A21" s="274" t="s">
        <v>439</v>
      </c>
      <c r="C21" s="285" t="str">
        <f>"+4 Charisma"</f>
        <v>+4 Charisma</v>
      </c>
      <c r="E21" s="285" t="str">
        <f>"-1 Discipline"</f>
        <v>-1 Discipline</v>
      </c>
      <c r="F21" s="291"/>
      <c r="G21" s="291"/>
      <c r="H21" s="291"/>
      <c r="I21" s="291"/>
      <c r="J21" s="291"/>
      <c r="K21" s="291"/>
      <c r="L21" s="291"/>
      <c r="M21" s="291"/>
      <c r="N21" s="291"/>
      <c r="O21" s="291"/>
    </row>
    <row r="22">
      <c r="A22" s="274" t="s">
        <v>435</v>
      </c>
      <c r="B22" s="285" t="str">
        <f>"-1 Wisdom"</f>
        <v>-1 Wisdom</v>
      </c>
      <c r="D22" s="285" t="str">
        <f>"+4 Courage"</f>
        <v>+4 Courage</v>
      </c>
      <c r="F22" s="291"/>
      <c r="G22" s="291"/>
      <c r="H22" s="291"/>
      <c r="I22" s="291"/>
      <c r="J22" s="291"/>
      <c r="K22" s="291"/>
      <c r="L22" s="291"/>
      <c r="M22" s="291"/>
      <c r="N22" s="291"/>
      <c r="O22" s="291"/>
    </row>
    <row r="23">
      <c r="A23" s="274" t="s">
        <v>441</v>
      </c>
      <c r="B23" s="285" t="str">
        <f>"+4 Wisdom"</f>
        <v>+4 Wisdom</v>
      </c>
      <c r="D23" s="285" t="str">
        <f>"-1 Courage"</f>
        <v>-1 Courage</v>
      </c>
      <c r="F23" s="291"/>
      <c r="G23" s="291"/>
      <c r="H23" s="291"/>
      <c r="I23" s="291"/>
      <c r="J23" s="291"/>
      <c r="K23" s="291"/>
      <c r="L23" s="291"/>
      <c r="M23" s="291"/>
      <c r="N23" s="291"/>
      <c r="O23" s="291"/>
    </row>
    <row r="24">
      <c r="A24" s="292"/>
    </row>
    <row r="25">
      <c r="A25" s="293"/>
    </row>
    <row r="26">
      <c r="A26" s="292"/>
    </row>
    <row r="27">
      <c r="A27" s="292"/>
    </row>
    <row r="28">
      <c r="A28" s="292"/>
    </row>
    <row r="29">
      <c r="A29" s="292"/>
    </row>
    <row r="30">
      <c r="A30" s="292"/>
    </row>
    <row r="31">
      <c r="A31" s="292"/>
    </row>
    <row r="32">
      <c r="A32" s="292"/>
    </row>
    <row r="33">
      <c r="A33" s="292"/>
    </row>
    <row r="34">
      <c r="A34" s="292"/>
    </row>
    <row r="35">
      <c r="A35" s="292"/>
    </row>
    <row r="36">
      <c r="A36" s="292"/>
    </row>
    <row r="37">
      <c r="A37" s="292"/>
    </row>
    <row r="38">
      <c r="A38" s="292"/>
    </row>
    <row r="39">
      <c r="A39" s="292"/>
    </row>
    <row r="40">
      <c r="A40" s="292"/>
    </row>
    <row r="41">
      <c r="A41" s="292"/>
    </row>
    <row r="42">
      <c r="A42" s="292"/>
    </row>
    <row r="43">
      <c r="A43" s="292"/>
    </row>
    <row r="44">
      <c r="A44" s="292"/>
    </row>
    <row r="45">
      <c r="A45" s="292"/>
    </row>
    <row r="46">
      <c r="A46" s="292"/>
    </row>
    <row r="47">
      <c r="A47" s="292"/>
    </row>
    <row r="48">
      <c r="A48" s="292"/>
    </row>
    <row r="49">
      <c r="A49" s="292"/>
    </row>
    <row r="50">
      <c r="A50" s="292"/>
    </row>
    <row r="51">
      <c r="A51" s="292"/>
    </row>
    <row r="52">
      <c r="A52" s="292"/>
    </row>
    <row r="53">
      <c r="A53" s="292"/>
    </row>
    <row r="54">
      <c r="A54" s="292"/>
    </row>
    <row r="55">
      <c r="A55" s="292"/>
    </row>
    <row r="56">
      <c r="A56" s="292"/>
    </row>
    <row r="57">
      <c r="A57" s="292"/>
    </row>
    <row r="58">
      <c r="A58" s="292"/>
    </row>
    <row r="59">
      <c r="A59" s="292"/>
    </row>
    <row r="60">
      <c r="A60" s="292"/>
    </row>
    <row r="61">
      <c r="A61" s="292"/>
    </row>
    <row r="62">
      <c r="A62" s="292"/>
    </row>
    <row r="63">
      <c r="A63" s="292"/>
    </row>
    <row r="64">
      <c r="A64" s="292"/>
    </row>
    <row r="65">
      <c r="A65" s="292"/>
    </row>
    <row r="66">
      <c r="A66" s="292"/>
    </row>
    <row r="67">
      <c r="A67" s="292"/>
    </row>
    <row r="68">
      <c r="A68" s="292"/>
    </row>
    <row r="69">
      <c r="A69" s="292"/>
    </row>
    <row r="70">
      <c r="A70" s="292"/>
    </row>
    <row r="71">
      <c r="A71" s="292"/>
    </row>
    <row r="72">
      <c r="A72" s="292"/>
    </row>
    <row r="73">
      <c r="A73" s="292"/>
    </row>
    <row r="74">
      <c r="A74" s="292"/>
    </row>
    <row r="75">
      <c r="A75" s="292"/>
    </row>
    <row r="76">
      <c r="A76" s="292"/>
    </row>
    <row r="77">
      <c r="A77" s="292"/>
    </row>
    <row r="78">
      <c r="A78" s="292"/>
    </row>
    <row r="79">
      <c r="A79" s="292"/>
    </row>
    <row r="80">
      <c r="A80" s="292"/>
    </row>
    <row r="81">
      <c r="A81" s="292"/>
    </row>
    <row r="82">
      <c r="A82" s="292"/>
    </row>
    <row r="83">
      <c r="A83" s="292"/>
    </row>
    <row r="84">
      <c r="A84" s="292"/>
    </row>
    <row r="85">
      <c r="A85" s="292"/>
    </row>
    <row r="86">
      <c r="A86" s="292"/>
    </row>
    <row r="87">
      <c r="A87" s="292"/>
    </row>
    <row r="88">
      <c r="A88" s="292"/>
    </row>
    <row r="89">
      <c r="A89" s="292"/>
    </row>
    <row r="90">
      <c r="A90" s="292"/>
    </row>
    <row r="91">
      <c r="A91" s="292"/>
    </row>
    <row r="92">
      <c r="A92" s="292"/>
    </row>
    <row r="93">
      <c r="A93" s="292"/>
    </row>
    <row r="94">
      <c r="A94" s="292"/>
    </row>
    <row r="95">
      <c r="A95" s="292"/>
    </row>
    <row r="96">
      <c r="A96" s="292"/>
    </row>
    <row r="97">
      <c r="A97" s="292"/>
    </row>
    <row r="98">
      <c r="A98" s="292"/>
    </row>
    <row r="99">
      <c r="A99" s="292"/>
    </row>
    <row r="100">
      <c r="A100" s="292"/>
    </row>
    <row r="101">
      <c r="A101" s="292"/>
    </row>
    <row r="102">
      <c r="A102" s="292"/>
    </row>
    <row r="103">
      <c r="A103" s="292"/>
    </row>
    <row r="104">
      <c r="A104" s="292"/>
    </row>
    <row r="105">
      <c r="A105" s="292"/>
    </row>
    <row r="106">
      <c r="A106" s="292"/>
    </row>
    <row r="107">
      <c r="A107" s="292"/>
    </row>
    <row r="108">
      <c r="A108" s="292"/>
    </row>
    <row r="109">
      <c r="A109" s="292"/>
    </row>
    <row r="110">
      <c r="A110" s="292"/>
    </row>
    <row r="111">
      <c r="A111" s="292"/>
    </row>
    <row r="112">
      <c r="A112" s="292"/>
    </row>
    <row r="113">
      <c r="A113" s="292"/>
    </row>
    <row r="114">
      <c r="A114" s="292"/>
    </row>
    <row r="115">
      <c r="A115" s="292"/>
    </row>
    <row r="116">
      <c r="A116" s="292"/>
    </row>
    <row r="117">
      <c r="A117" s="292"/>
    </row>
    <row r="118">
      <c r="A118" s="292"/>
    </row>
    <row r="119">
      <c r="A119" s="292"/>
    </row>
    <row r="120">
      <c r="A120" s="292"/>
    </row>
    <row r="121">
      <c r="A121" s="292"/>
    </row>
    <row r="122">
      <c r="A122" s="292"/>
    </row>
    <row r="123">
      <c r="A123" s="292"/>
    </row>
    <row r="124">
      <c r="A124" s="292"/>
    </row>
    <row r="125">
      <c r="A125" s="292"/>
    </row>
    <row r="126">
      <c r="A126" s="292"/>
    </row>
    <row r="127">
      <c r="A127" s="292"/>
    </row>
    <row r="128">
      <c r="A128" s="292"/>
    </row>
    <row r="129">
      <c r="A129" s="292"/>
    </row>
    <row r="130">
      <c r="A130" s="292"/>
    </row>
    <row r="131">
      <c r="A131" s="292"/>
    </row>
    <row r="132">
      <c r="A132" s="292"/>
    </row>
    <row r="133">
      <c r="A133" s="292"/>
    </row>
    <row r="134">
      <c r="A134" s="292"/>
    </row>
    <row r="135">
      <c r="A135" s="292"/>
    </row>
    <row r="136">
      <c r="A136" s="292"/>
    </row>
    <row r="137">
      <c r="A137" s="292"/>
    </row>
    <row r="138">
      <c r="A138" s="292"/>
    </row>
    <row r="139">
      <c r="A139" s="292"/>
    </row>
    <row r="140">
      <c r="A140" s="292"/>
    </row>
    <row r="141">
      <c r="A141" s="292"/>
    </row>
    <row r="142">
      <c r="A142" s="292"/>
    </row>
    <row r="143">
      <c r="A143" s="292"/>
    </row>
    <row r="144">
      <c r="A144" s="292"/>
    </row>
    <row r="145">
      <c r="A145" s="292"/>
    </row>
    <row r="146">
      <c r="A146" s="292"/>
    </row>
    <row r="147">
      <c r="A147" s="292"/>
    </row>
    <row r="148">
      <c r="A148" s="292"/>
    </row>
    <row r="149">
      <c r="A149" s="292"/>
    </row>
    <row r="150">
      <c r="A150" s="292"/>
    </row>
    <row r="151">
      <c r="A151" s="292"/>
    </row>
    <row r="152">
      <c r="A152" s="292"/>
    </row>
    <row r="153">
      <c r="A153" s="292"/>
    </row>
    <row r="154">
      <c r="A154" s="292"/>
    </row>
    <row r="155">
      <c r="A155" s="292"/>
    </row>
    <row r="156">
      <c r="A156" s="292"/>
    </row>
    <row r="157">
      <c r="A157" s="292"/>
    </row>
    <row r="158">
      <c r="A158" s="292"/>
    </row>
    <row r="159">
      <c r="A159" s="292"/>
    </row>
    <row r="160">
      <c r="A160" s="292"/>
    </row>
    <row r="161">
      <c r="A161" s="292"/>
    </row>
    <row r="162">
      <c r="A162" s="292"/>
    </row>
    <row r="163">
      <c r="A163" s="292"/>
    </row>
    <row r="164">
      <c r="A164" s="292"/>
    </row>
    <row r="165">
      <c r="A165" s="292"/>
    </row>
    <row r="166">
      <c r="A166" s="292"/>
    </row>
    <row r="167">
      <c r="A167" s="292"/>
    </row>
    <row r="168">
      <c r="A168" s="292"/>
    </row>
    <row r="169">
      <c r="A169" s="292"/>
    </row>
    <row r="170">
      <c r="A170" s="292"/>
    </row>
    <row r="171">
      <c r="A171" s="292"/>
    </row>
    <row r="172">
      <c r="A172" s="292"/>
    </row>
    <row r="173">
      <c r="A173" s="292"/>
    </row>
    <row r="174">
      <c r="A174" s="292"/>
    </row>
    <row r="175">
      <c r="A175" s="292"/>
    </row>
    <row r="176">
      <c r="A176" s="292"/>
    </row>
    <row r="177">
      <c r="A177" s="292"/>
    </row>
    <row r="178">
      <c r="A178" s="292"/>
    </row>
    <row r="179">
      <c r="A179" s="292"/>
    </row>
    <row r="180">
      <c r="A180" s="292"/>
    </row>
    <row r="181">
      <c r="A181" s="292"/>
    </row>
    <row r="182">
      <c r="A182" s="292"/>
    </row>
    <row r="183">
      <c r="A183" s="292"/>
    </row>
    <row r="184">
      <c r="A184" s="292"/>
    </row>
    <row r="185">
      <c r="A185" s="292"/>
    </row>
    <row r="186">
      <c r="A186" s="292"/>
    </row>
    <row r="187">
      <c r="A187" s="292"/>
    </row>
    <row r="188">
      <c r="A188" s="292"/>
    </row>
    <row r="189">
      <c r="A189" s="292"/>
    </row>
    <row r="190">
      <c r="A190" s="292"/>
    </row>
    <row r="191">
      <c r="A191" s="292"/>
    </row>
    <row r="192">
      <c r="A192" s="292"/>
    </row>
    <row r="193">
      <c r="A193" s="292"/>
    </row>
    <row r="194">
      <c r="A194" s="292"/>
    </row>
    <row r="195">
      <c r="A195" s="292"/>
    </row>
    <row r="196">
      <c r="A196" s="292"/>
    </row>
    <row r="197">
      <c r="A197" s="292"/>
    </row>
    <row r="198">
      <c r="A198" s="292"/>
    </row>
    <row r="199">
      <c r="A199" s="292"/>
    </row>
    <row r="200">
      <c r="A200" s="292"/>
    </row>
    <row r="201">
      <c r="A201" s="292"/>
    </row>
    <row r="202">
      <c r="A202" s="292"/>
    </row>
    <row r="203">
      <c r="A203" s="292"/>
    </row>
    <row r="204">
      <c r="A204" s="292"/>
    </row>
    <row r="205">
      <c r="A205" s="292"/>
    </row>
    <row r="206">
      <c r="A206" s="292"/>
    </row>
    <row r="207">
      <c r="A207" s="292"/>
    </row>
    <row r="208">
      <c r="A208" s="292"/>
    </row>
    <row r="209">
      <c r="A209" s="292"/>
    </row>
    <row r="210">
      <c r="A210" s="292"/>
    </row>
    <row r="211">
      <c r="A211" s="292"/>
    </row>
    <row r="212">
      <c r="A212" s="292"/>
    </row>
    <row r="213">
      <c r="A213" s="292"/>
    </row>
    <row r="214">
      <c r="A214" s="292"/>
    </row>
    <row r="215">
      <c r="A215" s="292"/>
    </row>
    <row r="216">
      <c r="A216" s="292"/>
    </row>
    <row r="217">
      <c r="A217" s="292"/>
    </row>
    <row r="218">
      <c r="A218" s="292"/>
    </row>
    <row r="219">
      <c r="A219" s="292"/>
    </row>
    <row r="220">
      <c r="A220" s="292"/>
    </row>
    <row r="221">
      <c r="A221" s="292"/>
    </row>
    <row r="222">
      <c r="A222" s="292"/>
    </row>
    <row r="223">
      <c r="A223" s="292"/>
    </row>
    <row r="224">
      <c r="A224" s="292"/>
    </row>
    <row r="225">
      <c r="A225" s="292"/>
    </row>
    <row r="226">
      <c r="A226" s="292"/>
    </row>
    <row r="227">
      <c r="A227" s="292"/>
    </row>
    <row r="228">
      <c r="A228" s="292"/>
    </row>
    <row r="229">
      <c r="A229" s="292"/>
    </row>
    <row r="230">
      <c r="A230" s="292"/>
    </row>
    <row r="231">
      <c r="A231" s="292"/>
    </row>
    <row r="232">
      <c r="A232" s="292"/>
    </row>
    <row r="233">
      <c r="A233" s="292"/>
    </row>
    <row r="234">
      <c r="A234" s="292"/>
    </row>
    <row r="235">
      <c r="A235" s="292"/>
    </row>
    <row r="236">
      <c r="A236" s="292"/>
    </row>
    <row r="237">
      <c r="A237" s="292"/>
    </row>
    <row r="238">
      <c r="A238" s="292"/>
    </row>
    <row r="239">
      <c r="A239" s="292"/>
    </row>
    <row r="240">
      <c r="A240" s="292"/>
    </row>
    <row r="241">
      <c r="A241" s="292"/>
    </row>
    <row r="242">
      <c r="A242" s="292"/>
    </row>
    <row r="243">
      <c r="A243" s="292"/>
    </row>
    <row r="244">
      <c r="A244" s="292"/>
    </row>
    <row r="245">
      <c r="A245" s="292"/>
    </row>
    <row r="246">
      <c r="A246" s="292"/>
    </row>
    <row r="247">
      <c r="A247" s="292"/>
    </row>
    <row r="248">
      <c r="A248" s="292"/>
    </row>
    <row r="249">
      <c r="A249" s="292"/>
    </row>
    <row r="250">
      <c r="A250" s="292"/>
    </row>
    <row r="251">
      <c r="A251" s="292"/>
    </row>
    <row r="252">
      <c r="A252" s="292"/>
    </row>
    <row r="253">
      <c r="A253" s="292"/>
    </row>
    <row r="254">
      <c r="A254" s="292"/>
    </row>
    <row r="255">
      <c r="A255" s="292"/>
    </row>
    <row r="256">
      <c r="A256" s="292"/>
    </row>
    <row r="257">
      <c r="A257" s="292"/>
    </row>
    <row r="258">
      <c r="A258" s="292"/>
    </row>
    <row r="259">
      <c r="A259" s="292"/>
    </row>
    <row r="260">
      <c r="A260" s="292"/>
    </row>
    <row r="261">
      <c r="A261" s="292"/>
    </row>
    <row r="262">
      <c r="A262" s="292"/>
    </row>
    <row r="263">
      <c r="A263" s="292"/>
    </row>
    <row r="264">
      <c r="A264" s="292"/>
    </row>
    <row r="265">
      <c r="A265" s="292"/>
    </row>
    <row r="266">
      <c r="A266" s="292"/>
    </row>
    <row r="267">
      <c r="A267" s="292"/>
    </row>
    <row r="268">
      <c r="A268" s="292"/>
    </row>
    <row r="269">
      <c r="A269" s="292"/>
    </row>
    <row r="270">
      <c r="A270" s="292"/>
    </row>
    <row r="271">
      <c r="A271" s="292"/>
    </row>
    <row r="272">
      <c r="A272" s="292"/>
    </row>
    <row r="273">
      <c r="A273" s="292"/>
    </row>
    <row r="274">
      <c r="A274" s="292"/>
    </row>
    <row r="275">
      <c r="A275" s="292"/>
    </row>
    <row r="276">
      <c r="A276" s="292"/>
    </row>
    <row r="277">
      <c r="A277" s="292"/>
    </row>
    <row r="278">
      <c r="A278" s="292"/>
    </row>
    <row r="279">
      <c r="A279" s="292"/>
    </row>
    <row r="280">
      <c r="A280" s="292"/>
    </row>
    <row r="281">
      <c r="A281" s="292"/>
    </row>
    <row r="282">
      <c r="A282" s="292"/>
    </row>
    <row r="283">
      <c r="A283" s="292"/>
    </row>
    <row r="284">
      <c r="A284" s="292"/>
    </row>
    <row r="285">
      <c r="A285" s="292"/>
    </row>
    <row r="286">
      <c r="A286" s="292"/>
    </row>
    <row r="287">
      <c r="A287" s="292"/>
    </row>
    <row r="288">
      <c r="A288" s="292"/>
    </row>
    <row r="289">
      <c r="A289" s="292"/>
    </row>
    <row r="290">
      <c r="A290" s="292"/>
    </row>
    <row r="291">
      <c r="A291" s="292"/>
    </row>
    <row r="292">
      <c r="A292" s="292"/>
    </row>
    <row r="293">
      <c r="A293" s="292"/>
    </row>
    <row r="294">
      <c r="A294" s="292"/>
    </row>
    <row r="295">
      <c r="A295" s="292"/>
    </row>
    <row r="296">
      <c r="A296" s="292"/>
    </row>
    <row r="297">
      <c r="A297" s="292"/>
    </row>
    <row r="298">
      <c r="A298" s="292"/>
    </row>
    <row r="299">
      <c r="A299" s="292"/>
    </row>
    <row r="300">
      <c r="A300" s="292"/>
    </row>
    <row r="301">
      <c r="A301" s="292"/>
    </row>
    <row r="302">
      <c r="A302" s="292"/>
    </row>
    <row r="303">
      <c r="A303" s="292"/>
    </row>
    <row r="304">
      <c r="A304" s="292"/>
    </row>
    <row r="305">
      <c r="A305" s="292"/>
    </row>
    <row r="306">
      <c r="A306" s="292"/>
    </row>
    <row r="307">
      <c r="A307" s="292"/>
    </row>
    <row r="308">
      <c r="A308" s="292"/>
    </row>
    <row r="309">
      <c r="A309" s="292"/>
    </row>
    <row r="310">
      <c r="A310" s="292"/>
    </row>
    <row r="311">
      <c r="A311" s="292"/>
    </row>
    <row r="312">
      <c r="A312" s="292"/>
    </row>
    <row r="313">
      <c r="A313" s="292"/>
    </row>
    <row r="314">
      <c r="A314" s="292"/>
    </row>
    <row r="315">
      <c r="A315" s="292"/>
    </row>
    <row r="316">
      <c r="A316" s="292"/>
    </row>
    <row r="317">
      <c r="A317" s="292"/>
    </row>
    <row r="318">
      <c r="A318" s="292"/>
    </row>
    <row r="319">
      <c r="A319" s="292"/>
    </row>
    <row r="320">
      <c r="A320" s="292"/>
    </row>
    <row r="321">
      <c r="A321" s="292"/>
    </row>
    <row r="322">
      <c r="A322" s="292"/>
    </row>
    <row r="323">
      <c r="A323" s="292"/>
    </row>
    <row r="324">
      <c r="A324" s="292"/>
    </row>
    <row r="325">
      <c r="A325" s="292"/>
    </row>
    <row r="326">
      <c r="A326" s="292"/>
    </row>
    <row r="327">
      <c r="A327" s="292"/>
    </row>
    <row r="328">
      <c r="A328" s="292"/>
    </row>
    <row r="329">
      <c r="A329" s="292"/>
    </row>
    <row r="330">
      <c r="A330" s="292"/>
    </row>
    <row r="331">
      <c r="A331" s="292"/>
    </row>
    <row r="332">
      <c r="A332" s="292"/>
    </row>
    <row r="333">
      <c r="A333" s="292"/>
    </row>
    <row r="334">
      <c r="A334" s="292"/>
    </row>
    <row r="335">
      <c r="A335" s="292"/>
    </row>
    <row r="336">
      <c r="A336" s="292"/>
    </row>
    <row r="337">
      <c r="A337" s="292"/>
    </row>
    <row r="338">
      <c r="A338" s="292"/>
    </row>
    <row r="339">
      <c r="A339" s="292"/>
    </row>
    <row r="340">
      <c r="A340" s="292"/>
    </row>
    <row r="341">
      <c r="A341" s="292"/>
    </row>
    <row r="342">
      <c r="A342" s="292"/>
    </row>
    <row r="343">
      <c r="A343" s="292"/>
    </row>
    <row r="344">
      <c r="A344" s="292"/>
    </row>
    <row r="345">
      <c r="A345" s="292"/>
    </row>
    <row r="346">
      <c r="A346" s="292"/>
    </row>
    <row r="347">
      <c r="A347" s="292"/>
    </row>
    <row r="348">
      <c r="A348" s="292"/>
    </row>
    <row r="349">
      <c r="A349" s="292"/>
    </row>
    <row r="350">
      <c r="A350" s="292"/>
    </row>
    <row r="351">
      <c r="A351" s="292"/>
    </row>
    <row r="352">
      <c r="A352" s="292"/>
    </row>
    <row r="353">
      <c r="A353" s="292"/>
    </row>
    <row r="354">
      <c r="A354" s="292"/>
    </row>
    <row r="355">
      <c r="A355" s="292"/>
    </row>
    <row r="356">
      <c r="A356" s="292"/>
    </row>
    <row r="357">
      <c r="A357" s="292"/>
    </row>
    <row r="358">
      <c r="A358" s="292"/>
    </row>
    <row r="359">
      <c r="A359" s="292"/>
    </row>
    <row r="360">
      <c r="A360" s="292"/>
    </row>
    <row r="361">
      <c r="A361" s="292"/>
    </row>
    <row r="362">
      <c r="A362" s="292"/>
    </row>
    <row r="363">
      <c r="A363" s="292"/>
    </row>
    <row r="364">
      <c r="A364" s="292"/>
    </row>
    <row r="365">
      <c r="A365" s="292"/>
    </row>
    <row r="366">
      <c r="A366" s="292"/>
    </row>
    <row r="367">
      <c r="A367" s="292"/>
    </row>
    <row r="368">
      <c r="A368" s="292"/>
    </row>
    <row r="369">
      <c r="A369" s="292"/>
    </row>
    <row r="370">
      <c r="A370" s="292"/>
    </row>
    <row r="371">
      <c r="A371" s="292"/>
    </row>
    <row r="372">
      <c r="A372" s="292"/>
    </row>
    <row r="373">
      <c r="A373" s="292"/>
    </row>
    <row r="374">
      <c r="A374" s="292"/>
    </row>
    <row r="375">
      <c r="A375" s="292"/>
    </row>
    <row r="376">
      <c r="A376" s="292"/>
    </row>
    <row r="377">
      <c r="A377" s="292"/>
    </row>
    <row r="378">
      <c r="A378" s="292"/>
    </row>
    <row r="379">
      <c r="A379" s="292"/>
    </row>
    <row r="380">
      <c r="A380" s="292"/>
    </row>
    <row r="381">
      <c r="A381" s="292"/>
    </row>
    <row r="382">
      <c r="A382" s="292"/>
    </row>
    <row r="383">
      <c r="A383" s="292"/>
    </row>
    <row r="384">
      <c r="A384" s="292"/>
    </row>
    <row r="385">
      <c r="A385" s="292"/>
    </row>
    <row r="386">
      <c r="A386" s="292"/>
    </row>
    <row r="387">
      <c r="A387" s="292"/>
    </row>
    <row r="388">
      <c r="A388" s="292"/>
    </row>
    <row r="389">
      <c r="A389" s="292"/>
    </row>
    <row r="390">
      <c r="A390" s="292"/>
    </row>
    <row r="391">
      <c r="A391" s="292"/>
    </row>
    <row r="392">
      <c r="A392" s="292"/>
    </row>
    <row r="393">
      <c r="A393" s="292"/>
    </row>
    <row r="394">
      <c r="A394" s="292"/>
    </row>
    <row r="395">
      <c r="A395" s="292"/>
    </row>
    <row r="396">
      <c r="A396" s="292"/>
    </row>
    <row r="397">
      <c r="A397" s="292"/>
    </row>
    <row r="398">
      <c r="A398" s="292"/>
    </row>
    <row r="399">
      <c r="A399" s="292"/>
    </row>
    <row r="400">
      <c r="A400" s="292"/>
    </row>
    <row r="401">
      <c r="A401" s="292"/>
    </row>
    <row r="402">
      <c r="A402" s="292"/>
    </row>
    <row r="403">
      <c r="A403" s="292"/>
    </row>
    <row r="404">
      <c r="A404" s="292"/>
    </row>
    <row r="405">
      <c r="A405" s="292"/>
    </row>
    <row r="406">
      <c r="A406" s="292"/>
    </row>
    <row r="407">
      <c r="A407" s="292"/>
    </row>
    <row r="408">
      <c r="A408" s="292"/>
    </row>
    <row r="409">
      <c r="A409" s="292"/>
    </row>
    <row r="410">
      <c r="A410" s="292"/>
    </row>
    <row r="411">
      <c r="A411" s="292"/>
    </row>
    <row r="412">
      <c r="A412" s="292"/>
    </row>
    <row r="413">
      <c r="A413" s="292"/>
    </row>
    <row r="414">
      <c r="A414" s="292"/>
    </row>
    <row r="415">
      <c r="A415" s="292"/>
    </row>
    <row r="416">
      <c r="A416" s="292"/>
    </row>
    <row r="417">
      <c r="A417" s="292"/>
    </row>
    <row r="418">
      <c r="A418" s="292"/>
    </row>
    <row r="419">
      <c r="A419" s="292"/>
    </row>
    <row r="420">
      <c r="A420" s="292"/>
    </row>
    <row r="421">
      <c r="A421" s="292"/>
    </row>
    <row r="422">
      <c r="A422" s="292"/>
    </row>
    <row r="423">
      <c r="A423" s="292"/>
    </row>
    <row r="424">
      <c r="A424" s="292"/>
    </row>
    <row r="425">
      <c r="A425" s="292"/>
    </row>
    <row r="426">
      <c r="A426" s="292"/>
    </row>
    <row r="427">
      <c r="A427" s="292"/>
    </row>
    <row r="428">
      <c r="A428" s="292"/>
    </row>
    <row r="429">
      <c r="A429" s="292"/>
    </row>
    <row r="430">
      <c r="A430" s="292"/>
    </row>
    <row r="431">
      <c r="A431" s="292"/>
    </row>
    <row r="432">
      <c r="A432" s="292"/>
    </row>
    <row r="433">
      <c r="A433" s="292"/>
    </row>
    <row r="434">
      <c r="A434" s="292"/>
    </row>
    <row r="435">
      <c r="A435" s="292"/>
    </row>
    <row r="436">
      <c r="A436" s="292"/>
    </row>
    <row r="437">
      <c r="A437" s="292"/>
    </row>
    <row r="438">
      <c r="A438" s="292"/>
    </row>
    <row r="439">
      <c r="A439" s="292"/>
    </row>
    <row r="440">
      <c r="A440" s="292"/>
    </row>
    <row r="441">
      <c r="A441" s="292"/>
    </row>
    <row r="442">
      <c r="A442" s="292"/>
    </row>
    <row r="443">
      <c r="A443" s="292"/>
    </row>
    <row r="444">
      <c r="A444" s="292"/>
    </row>
    <row r="445">
      <c r="A445" s="292"/>
    </row>
    <row r="446">
      <c r="A446" s="292"/>
    </row>
    <row r="447">
      <c r="A447" s="292"/>
    </row>
    <row r="448">
      <c r="A448" s="292"/>
    </row>
    <row r="449">
      <c r="A449" s="292"/>
    </row>
    <row r="450">
      <c r="A450" s="292"/>
    </row>
    <row r="451">
      <c r="A451" s="292"/>
    </row>
    <row r="452">
      <c r="A452" s="292"/>
    </row>
    <row r="453">
      <c r="A453" s="292"/>
    </row>
    <row r="454">
      <c r="A454" s="292"/>
    </row>
    <row r="455">
      <c r="A455" s="292"/>
    </row>
    <row r="456">
      <c r="A456" s="292"/>
    </row>
    <row r="457">
      <c r="A457" s="292"/>
    </row>
    <row r="458">
      <c r="A458" s="292"/>
    </row>
    <row r="459">
      <c r="A459" s="292"/>
    </row>
    <row r="460">
      <c r="A460" s="292"/>
    </row>
    <row r="461">
      <c r="A461" s="292"/>
    </row>
    <row r="462">
      <c r="A462" s="292"/>
    </row>
    <row r="463">
      <c r="A463" s="292"/>
    </row>
    <row r="464">
      <c r="A464" s="292"/>
    </row>
    <row r="465">
      <c r="A465" s="292"/>
    </row>
    <row r="466">
      <c r="A466" s="292"/>
    </row>
    <row r="467">
      <c r="A467" s="292"/>
    </row>
    <row r="468">
      <c r="A468" s="292"/>
    </row>
    <row r="469">
      <c r="A469" s="292"/>
    </row>
    <row r="470">
      <c r="A470" s="292"/>
    </row>
    <row r="471">
      <c r="A471" s="292"/>
    </row>
    <row r="472">
      <c r="A472" s="292"/>
    </row>
    <row r="473">
      <c r="A473" s="292"/>
    </row>
    <row r="474">
      <c r="A474" s="292"/>
    </row>
    <row r="475">
      <c r="A475" s="292"/>
    </row>
    <row r="476">
      <c r="A476" s="292"/>
    </row>
    <row r="477">
      <c r="A477" s="292"/>
    </row>
    <row r="478">
      <c r="A478" s="292"/>
    </row>
    <row r="479">
      <c r="A479" s="292"/>
    </row>
    <row r="480">
      <c r="A480" s="292"/>
    </row>
    <row r="481">
      <c r="A481" s="292"/>
    </row>
    <row r="482">
      <c r="A482" s="292"/>
    </row>
    <row r="483">
      <c r="A483" s="292"/>
    </row>
    <row r="484">
      <c r="A484" s="292"/>
    </row>
    <row r="485">
      <c r="A485" s="292"/>
    </row>
    <row r="486">
      <c r="A486" s="292"/>
    </row>
    <row r="487">
      <c r="A487" s="292"/>
    </row>
    <row r="488">
      <c r="A488" s="292"/>
    </row>
    <row r="489">
      <c r="A489" s="292"/>
    </row>
    <row r="490">
      <c r="A490" s="292"/>
    </row>
    <row r="491">
      <c r="A491" s="292"/>
    </row>
    <row r="492">
      <c r="A492" s="292"/>
    </row>
    <row r="493">
      <c r="A493" s="292"/>
    </row>
    <row r="494">
      <c r="A494" s="292"/>
    </row>
    <row r="495">
      <c r="A495" s="292"/>
    </row>
    <row r="496">
      <c r="A496" s="292"/>
    </row>
    <row r="497">
      <c r="A497" s="292"/>
    </row>
    <row r="498">
      <c r="A498" s="292"/>
    </row>
    <row r="499">
      <c r="A499" s="292"/>
    </row>
    <row r="500">
      <c r="A500" s="292"/>
    </row>
    <row r="501">
      <c r="A501" s="292"/>
    </row>
    <row r="502">
      <c r="A502" s="292"/>
    </row>
    <row r="503">
      <c r="A503" s="292"/>
    </row>
    <row r="504">
      <c r="A504" s="292"/>
    </row>
    <row r="505">
      <c r="A505" s="292"/>
    </row>
    <row r="506">
      <c r="A506" s="292"/>
    </row>
    <row r="507">
      <c r="A507" s="292"/>
    </row>
    <row r="508">
      <c r="A508" s="292"/>
    </row>
    <row r="509">
      <c r="A509" s="292"/>
    </row>
    <row r="510">
      <c r="A510" s="292"/>
    </row>
    <row r="511">
      <c r="A511" s="292"/>
    </row>
    <row r="512">
      <c r="A512" s="292"/>
    </row>
    <row r="513">
      <c r="A513" s="292"/>
    </row>
    <row r="514">
      <c r="A514" s="292"/>
    </row>
    <row r="515">
      <c r="A515" s="292"/>
    </row>
    <row r="516">
      <c r="A516" s="292"/>
    </row>
    <row r="517">
      <c r="A517" s="292"/>
    </row>
    <row r="518">
      <c r="A518" s="292"/>
    </row>
    <row r="519">
      <c r="A519" s="292"/>
    </row>
    <row r="520">
      <c r="A520" s="292"/>
    </row>
    <row r="521">
      <c r="A521" s="292"/>
    </row>
    <row r="522">
      <c r="A522" s="292"/>
    </row>
    <row r="523">
      <c r="A523" s="292"/>
    </row>
    <row r="524">
      <c r="A524" s="292"/>
    </row>
    <row r="525">
      <c r="A525" s="292"/>
    </row>
    <row r="526">
      <c r="A526" s="292"/>
    </row>
    <row r="527">
      <c r="A527" s="292"/>
    </row>
    <row r="528">
      <c r="A528" s="292"/>
    </row>
    <row r="529">
      <c r="A529" s="292"/>
    </row>
    <row r="530">
      <c r="A530" s="292"/>
    </row>
    <row r="531">
      <c r="A531" s="292"/>
    </row>
    <row r="532">
      <c r="A532" s="292"/>
    </row>
    <row r="533">
      <c r="A533" s="292"/>
    </row>
    <row r="534">
      <c r="A534" s="292"/>
    </row>
    <row r="535">
      <c r="A535" s="292"/>
    </row>
    <row r="536">
      <c r="A536" s="292"/>
    </row>
    <row r="537">
      <c r="A537" s="292"/>
    </row>
    <row r="538">
      <c r="A538" s="292"/>
    </row>
    <row r="539">
      <c r="A539" s="292"/>
    </row>
    <row r="540">
      <c r="A540" s="292"/>
    </row>
    <row r="541">
      <c r="A541" s="292"/>
    </row>
    <row r="542">
      <c r="A542" s="292"/>
    </row>
    <row r="543">
      <c r="A543" s="292"/>
    </row>
    <row r="544">
      <c r="A544" s="292"/>
    </row>
    <row r="545">
      <c r="A545" s="292"/>
    </row>
    <row r="546">
      <c r="A546" s="292"/>
    </row>
    <row r="547">
      <c r="A547" s="292"/>
    </row>
    <row r="548">
      <c r="A548" s="292"/>
    </row>
    <row r="549">
      <c r="A549" s="292"/>
    </row>
    <row r="550">
      <c r="A550" s="292"/>
    </row>
    <row r="551">
      <c r="A551" s="292"/>
    </row>
    <row r="552">
      <c r="A552" s="292"/>
    </row>
    <row r="553">
      <c r="A553" s="292"/>
    </row>
    <row r="554">
      <c r="A554" s="292"/>
    </row>
    <row r="555">
      <c r="A555" s="292"/>
    </row>
    <row r="556">
      <c r="A556" s="292"/>
    </row>
    <row r="557">
      <c r="A557" s="292"/>
    </row>
    <row r="558">
      <c r="A558" s="292"/>
    </row>
    <row r="559">
      <c r="A559" s="292"/>
    </row>
    <row r="560">
      <c r="A560" s="292"/>
    </row>
    <row r="561">
      <c r="A561" s="292"/>
    </row>
    <row r="562">
      <c r="A562" s="292"/>
    </row>
    <row r="563">
      <c r="A563" s="292"/>
    </row>
    <row r="564">
      <c r="A564" s="292"/>
    </row>
    <row r="565">
      <c r="A565" s="292"/>
    </row>
    <row r="566">
      <c r="A566" s="292"/>
    </row>
    <row r="567">
      <c r="A567" s="292"/>
    </row>
    <row r="568">
      <c r="A568" s="292"/>
    </row>
    <row r="569">
      <c r="A569" s="292"/>
    </row>
    <row r="570">
      <c r="A570" s="292"/>
    </row>
    <row r="571">
      <c r="A571" s="292"/>
    </row>
    <row r="572">
      <c r="A572" s="292"/>
    </row>
    <row r="573">
      <c r="A573" s="292"/>
    </row>
    <row r="574">
      <c r="A574" s="292"/>
    </row>
    <row r="575">
      <c r="A575" s="292"/>
    </row>
    <row r="576">
      <c r="A576" s="292"/>
    </row>
    <row r="577">
      <c r="A577" s="292"/>
    </row>
    <row r="578">
      <c r="A578" s="292"/>
    </row>
    <row r="579">
      <c r="A579" s="292"/>
    </row>
    <row r="580">
      <c r="A580" s="292"/>
    </row>
    <row r="581">
      <c r="A581" s="292"/>
    </row>
    <row r="582">
      <c r="A582" s="292"/>
    </row>
    <row r="583">
      <c r="A583" s="292"/>
    </row>
    <row r="584">
      <c r="A584" s="292"/>
    </row>
    <row r="585">
      <c r="A585" s="292"/>
    </row>
    <row r="586">
      <c r="A586" s="292"/>
    </row>
    <row r="587">
      <c r="A587" s="292"/>
    </row>
    <row r="588">
      <c r="A588" s="292"/>
    </row>
    <row r="589">
      <c r="A589" s="292"/>
    </row>
    <row r="590">
      <c r="A590" s="292"/>
    </row>
    <row r="591">
      <c r="A591" s="292"/>
    </row>
    <row r="592">
      <c r="A592" s="292"/>
    </row>
    <row r="593">
      <c r="A593" s="292"/>
    </row>
    <row r="594">
      <c r="A594" s="292"/>
    </row>
    <row r="595">
      <c r="A595" s="292"/>
    </row>
    <row r="596">
      <c r="A596" s="292"/>
    </row>
    <row r="597">
      <c r="A597" s="292"/>
    </row>
    <row r="598">
      <c r="A598" s="292"/>
    </row>
    <row r="599">
      <c r="A599" s="292"/>
    </row>
    <row r="600">
      <c r="A600" s="292"/>
    </row>
    <row r="601">
      <c r="A601" s="292"/>
    </row>
    <row r="602">
      <c r="A602" s="292"/>
    </row>
    <row r="603">
      <c r="A603" s="292"/>
    </row>
    <row r="604">
      <c r="A604" s="292"/>
    </row>
    <row r="605">
      <c r="A605" s="292"/>
    </row>
    <row r="606">
      <c r="A606" s="292"/>
    </row>
    <row r="607">
      <c r="A607" s="292"/>
    </row>
    <row r="608">
      <c r="A608" s="292"/>
    </row>
    <row r="609">
      <c r="A609" s="292"/>
    </row>
    <row r="610">
      <c r="A610" s="292"/>
    </row>
    <row r="611">
      <c r="A611" s="292"/>
    </row>
    <row r="612">
      <c r="A612" s="292"/>
    </row>
    <row r="613">
      <c r="A613" s="292"/>
    </row>
    <row r="614">
      <c r="A614" s="292"/>
    </row>
    <row r="615">
      <c r="A615" s="292"/>
    </row>
    <row r="616">
      <c r="A616" s="292"/>
    </row>
    <row r="617">
      <c r="A617" s="292"/>
    </row>
    <row r="618">
      <c r="A618" s="292"/>
    </row>
    <row r="619">
      <c r="A619" s="292"/>
    </row>
    <row r="620">
      <c r="A620" s="292"/>
    </row>
    <row r="621">
      <c r="A621" s="292"/>
    </row>
    <row r="622">
      <c r="A622" s="292"/>
    </row>
    <row r="623">
      <c r="A623" s="292"/>
    </row>
    <row r="624">
      <c r="A624" s="292"/>
    </row>
    <row r="625">
      <c r="A625" s="292"/>
    </row>
    <row r="626">
      <c r="A626" s="292"/>
    </row>
    <row r="627">
      <c r="A627" s="292"/>
    </row>
    <row r="628">
      <c r="A628" s="292"/>
    </row>
    <row r="629">
      <c r="A629" s="292"/>
    </row>
    <row r="630">
      <c r="A630" s="292"/>
    </row>
    <row r="631">
      <c r="A631" s="292"/>
    </row>
    <row r="632">
      <c r="A632" s="292"/>
    </row>
    <row r="633">
      <c r="A633" s="292"/>
    </row>
    <row r="634">
      <c r="A634" s="292"/>
    </row>
    <row r="635">
      <c r="A635" s="292"/>
    </row>
    <row r="636">
      <c r="A636" s="292"/>
    </row>
    <row r="637">
      <c r="A637" s="292"/>
    </row>
    <row r="638">
      <c r="A638" s="292"/>
    </row>
    <row r="639">
      <c r="A639" s="292"/>
    </row>
    <row r="640">
      <c r="A640" s="292"/>
    </row>
    <row r="641">
      <c r="A641" s="292"/>
    </row>
    <row r="642">
      <c r="A642" s="292"/>
    </row>
    <row r="643">
      <c r="A643" s="292"/>
    </row>
    <row r="644">
      <c r="A644" s="292"/>
    </row>
    <row r="645">
      <c r="A645" s="292"/>
    </row>
    <row r="646">
      <c r="A646" s="292"/>
    </row>
    <row r="647">
      <c r="A647" s="292"/>
    </row>
    <row r="648">
      <c r="A648" s="292"/>
    </row>
    <row r="649">
      <c r="A649" s="292"/>
    </row>
    <row r="650">
      <c r="A650" s="292"/>
    </row>
    <row r="651">
      <c r="A651" s="292"/>
    </row>
    <row r="652">
      <c r="A652" s="292"/>
    </row>
    <row r="653">
      <c r="A653" s="292"/>
    </row>
    <row r="654">
      <c r="A654" s="292"/>
    </row>
    <row r="655">
      <c r="A655" s="292"/>
    </row>
    <row r="656">
      <c r="A656" s="292"/>
    </row>
    <row r="657">
      <c r="A657" s="292"/>
    </row>
    <row r="658">
      <c r="A658" s="292"/>
    </row>
    <row r="659">
      <c r="A659" s="292"/>
    </row>
    <row r="660">
      <c r="A660" s="292"/>
    </row>
    <row r="661">
      <c r="A661" s="292"/>
    </row>
    <row r="662">
      <c r="A662" s="292"/>
    </row>
    <row r="663">
      <c r="A663" s="292"/>
    </row>
    <row r="664">
      <c r="A664" s="292"/>
    </row>
    <row r="665">
      <c r="A665" s="292"/>
    </row>
    <row r="666">
      <c r="A666" s="292"/>
    </row>
    <row r="667">
      <c r="A667" s="292"/>
    </row>
    <row r="668">
      <c r="A668" s="292"/>
    </row>
    <row r="669">
      <c r="A669" s="292"/>
    </row>
    <row r="670">
      <c r="A670" s="292"/>
    </row>
    <row r="671">
      <c r="A671" s="292"/>
    </row>
    <row r="672">
      <c r="A672" s="292"/>
    </row>
    <row r="673">
      <c r="A673" s="292"/>
    </row>
    <row r="674">
      <c r="A674" s="292"/>
    </row>
    <row r="675">
      <c r="A675" s="292"/>
    </row>
    <row r="676">
      <c r="A676" s="292"/>
    </row>
    <row r="677">
      <c r="A677" s="292"/>
    </row>
    <row r="678">
      <c r="A678" s="292"/>
    </row>
    <row r="679">
      <c r="A679" s="292"/>
    </row>
    <row r="680">
      <c r="A680" s="292"/>
    </row>
    <row r="681">
      <c r="A681" s="292"/>
    </row>
    <row r="682">
      <c r="A682" s="292"/>
    </row>
    <row r="683">
      <c r="A683" s="292"/>
    </row>
    <row r="684">
      <c r="A684" s="292"/>
    </row>
    <row r="685">
      <c r="A685" s="292"/>
    </row>
    <row r="686">
      <c r="A686" s="292"/>
    </row>
    <row r="687">
      <c r="A687" s="292"/>
    </row>
    <row r="688">
      <c r="A688" s="292"/>
    </row>
    <row r="689">
      <c r="A689" s="292"/>
    </row>
    <row r="690">
      <c r="A690" s="292"/>
    </row>
    <row r="691">
      <c r="A691" s="292"/>
    </row>
    <row r="692">
      <c r="A692" s="292"/>
    </row>
    <row r="693">
      <c r="A693" s="292"/>
    </row>
    <row r="694">
      <c r="A694" s="292"/>
    </row>
    <row r="695">
      <c r="A695" s="292"/>
    </row>
    <row r="696">
      <c r="A696" s="292"/>
    </row>
    <row r="697">
      <c r="A697" s="292"/>
    </row>
    <row r="698">
      <c r="A698" s="292"/>
    </row>
    <row r="699">
      <c r="A699" s="292"/>
    </row>
    <row r="700">
      <c r="A700" s="292"/>
    </row>
    <row r="701">
      <c r="A701" s="292"/>
    </row>
    <row r="702">
      <c r="A702" s="292"/>
    </row>
    <row r="703">
      <c r="A703" s="292"/>
    </row>
    <row r="704">
      <c r="A704" s="292"/>
    </row>
    <row r="705">
      <c r="A705" s="292"/>
    </row>
    <row r="706">
      <c r="A706" s="292"/>
    </row>
    <row r="707">
      <c r="A707" s="292"/>
    </row>
    <row r="708">
      <c r="A708" s="292"/>
    </row>
    <row r="709">
      <c r="A709" s="292"/>
    </row>
    <row r="710">
      <c r="A710" s="292"/>
    </row>
    <row r="711">
      <c r="A711" s="292"/>
    </row>
    <row r="712">
      <c r="A712" s="292"/>
    </row>
    <row r="713">
      <c r="A713" s="292"/>
    </row>
    <row r="714">
      <c r="A714" s="292"/>
    </row>
    <row r="715">
      <c r="A715" s="292"/>
    </row>
    <row r="716">
      <c r="A716" s="292"/>
    </row>
    <row r="717">
      <c r="A717" s="292"/>
    </row>
    <row r="718">
      <c r="A718" s="292"/>
    </row>
    <row r="719">
      <c r="A719" s="292"/>
    </row>
    <row r="720">
      <c r="A720" s="292"/>
    </row>
    <row r="721">
      <c r="A721" s="292"/>
    </row>
    <row r="722">
      <c r="A722" s="292"/>
    </row>
    <row r="723">
      <c r="A723" s="292"/>
    </row>
    <row r="724">
      <c r="A724" s="292"/>
    </row>
    <row r="725">
      <c r="A725" s="292"/>
    </row>
    <row r="726">
      <c r="A726" s="292"/>
    </row>
    <row r="727">
      <c r="A727" s="292"/>
    </row>
    <row r="728">
      <c r="A728" s="292"/>
    </row>
    <row r="729">
      <c r="A729" s="292"/>
    </row>
    <row r="730">
      <c r="A730" s="292"/>
    </row>
    <row r="731">
      <c r="A731" s="292"/>
    </row>
    <row r="732">
      <c r="A732" s="292"/>
    </row>
    <row r="733">
      <c r="A733" s="292"/>
    </row>
    <row r="734">
      <c r="A734" s="292"/>
    </row>
    <row r="735">
      <c r="A735" s="292"/>
    </row>
    <row r="736">
      <c r="A736" s="292"/>
    </row>
    <row r="737">
      <c r="A737" s="292"/>
    </row>
    <row r="738">
      <c r="A738" s="292"/>
    </row>
    <row r="739">
      <c r="A739" s="292"/>
    </row>
    <row r="740">
      <c r="A740" s="292"/>
    </row>
    <row r="741">
      <c r="A741" s="292"/>
    </row>
    <row r="742">
      <c r="A742" s="292"/>
    </row>
    <row r="743">
      <c r="A743" s="292"/>
    </row>
    <row r="744">
      <c r="A744" s="292"/>
    </row>
    <row r="745">
      <c r="A745" s="292"/>
    </row>
    <row r="746">
      <c r="A746" s="292"/>
    </row>
    <row r="747">
      <c r="A747" s="292"/>
    </row>
    <row r="748">
      <c r="A748" s="292"/>
    </row>
    <row r="749">
      <c r="A749" s="292"/>
    </row>
    <row r="750">
      <c r="A750" s="292"/>
    </row>
    <row r="751">
      <c r="A751" s="292"/>
    </row>
    <row r="752">
      <c r="A752" s="292"/>
    </row>
    <row r="753">
      <c r="A753" s="292"/>
    </row>
    <row r="754">
      <c r="A754" s="292"/>
    </row>
    <row r="755">
      <c r="A755" s="292"/>
    </row>
    <row r="756">
      <c r="A756" s="292"/>
    </row>
    <row r="757">
      <c r="A757" s="292"/>
    </row>
    <row r="758">
      <c r="A758" s="292"/>
    </row>
    <row r="759">
      <c r="A759" s="292"/>
    </row>
    <row r="760">
      <c r="A760" s="292"/>
    </row>
    <row r="761">
      <c r="A761" s="292"/>
    </row>
    <row r="762">
      <c r="A762" s="292"/>
    </row>
    <row r="763">
      <c r="A763" s="292"/>
    </row>
    <row r="764">
      <c r="A764" s="292"/>
    </row>
    <row r="765">
      <c r="A765" s="292"/>
    </row>
    <row r="766">
      <c r="A766" s="292"/>
    </row>
    <row r="767">
      <c r="A767" s="292"/>
    </row>
    <row r="768">
      <c r="A768" s="292"/>
    </row>
    <row r="769">
      <c r="A769" s="292"/>
    </row>
    <row r="770">
      <c r="A770" s="292"/>
    </row>
    <row r="771">
      <c r="A771" s="292"/>
    </row>
    <row r="772">
      <c r="A772" s="292"/>
    </row>
    <row r="773">
      <c r="A773" s="292"/>
    </row>
    <row r="774">
      <c r="A774" s="292"/>
    </row>
    <row r="775">
      <c r="A775" s="292"/>
    </row>
    <row r="776">
      <c r="A776" s="292"/>
    </row>
    <row r="777">
      <c r="A777" s="292"/>
    </row>
    <row r="778">
      <c r="A778" s="292"/>
    </row>
    <row r="779">
      <c r="A779" s="292"/>
    </row>
    <row r="780">
      <c r="A780" s="292"/>
    </row>
    <row r="781">
      <c r="A781" s="292"/>
    </row>
    <row r="782">
      <c r="A782" s="292"/>
    </row>
    <row r="783">
      <c r="A783" s="292"/>
    </row>
    <row r="784">
      <c r="A784" s="292"/>
    </row>
    <row r="785">
      <c r="A785" s="292"/>
    </row>
    <row r="786">
      <c r="A786" s="292"/>
    </row>
    <row r="787">
      <c r="A787" s="292"/>
    </row>
    <row r="788">
      <c r="A788" s="292"/>
    </row>
    <row r="789">
      <c r="A789" s="292"/>
    </row>
    <row r="790">
      <c r="A790" s="292"/>
    </row>
    <row r="791">
      <c r="A791" s="292"/>
    </row>
    <row r="792">
      <c r="A792" s="292"/>
    </row>
    <row r="793">
      <c r="A793" s="292"/>
    </row>
    <row r="794">
      <c r="A794" s="292"/>
    </row>
    <row r="795">
      <c r="A795" s="292"/>
    </row>
    <row r="796">
      <c r="A796" s="292"/>
    </row>
    <row r="797">
      <c r="A797" s="292"/>
    </row>
    <row r="798">
      <c r="A798" s="292"/>
    </row>
    <row r="799">
      <c r="A799" s="292"/>
    </row>
    <row r="800">
      <c r="A800" s="292"/>
    </row>
    <row r="801">
      <c r="A801" s="292"/>
    </row>
    <row r="802">
      <c r="A802" s="292"/>
    </row>
    <row r="803">
      <c r="A803" s="292"/>
    </row>
    <row r="804">
      <c r="A804" s="292"/>
    </row>
    <row r="805">
      <c r="A805" s="292"/>
    </row>
    <row r="806">
      <c r="A806" s="292"/>
    </row>
    <row r="807">
      <c r="A807" s="292"/>
    </row>
    <row r="808">
      <c r="A808" s="292"/>
    </row>
    <row r="809">
      <c r="A809" s="292"/>
    </row>
    <row r="810">
      <c r="A810" s="292"/>
    </row>
    <row r="811">
      <c r="A811" s="292"/>
    </row>
    <row r="812">
      <c r="A812" s="292"/>
    </row>
    <row r="813">
      <c r="A813" s="292"/>
    </row>
    <row r="814">
      <c r="A814" s="292"/>
    </row>
    <row r="815">
      <c r="A815" s="292"/>
    </row>
    <row r="816">
      <c r="A816" s="292"/>
    </row>
    <row r="817">
      <c r="A817" s="292"/>
    </row>
    <row r="818">
      <c r="A818" s="292"/>
    </row>
    <row r="819">
      <c r="A819" s="292"/>
    </row>
    <row r="820">
      <c r="A820" s="292"/>
    </row>
    <row r="821">
      <c r="A821" s="292"/>
    </row>
    <row r="822">
      <c r="A822" s="292"/>
    </row>
    <row r="823">
      <c r="A823" s="292"/>
    </row>
    <row r="824">
      <c r="A824" s="292"/>
    </row>
    <row r="825">
      <c r="A825" s="292"/>
    </row>
    <row r="826">
      <c r="A826" s="292"/>
    </row>
    <row r="827">
      <c r="A827" s="292"/>
    </row>
    <row r="828">
      <c r="A828" s="292"/>
    </row>
    <row r="829">
      <c r="A829" s="292"/>
    </row>
    <row r="830">
      <c r="A830" s="292"/>
    </row>
    <row r="831">
      <c r="A831" s="292"/>
    </row>
    <row r="832">
      <c r="A832" s="292"/>
    </row>
    <row r="833">
      <c r="A833" s="292"/>
    </row>
    <row r="834">
      <c r="A834" s="292"/>
    </row>
    <row r="835">
      <c r="A835" s="292"/>
    </row>
    <row r="836">
      <c r="A836" s="292"/>
    </row>
    <row r="837">
      <c r="A837" s="292"/>
    </row>
    <row r="838">
      <c r="A838" s="292"/>
    </row>
    <row r="839">
      <c r="A839" s="292"/>
    </row>
    <row r="840">
      <c r="A840" s="292"/>
    </row>
    <row r="841">
      <c r="A841" s="292"/>
    </row>
    <row r="842">
      <c r="A842" s="292"/>
    </row>
    <row r="843">
      <c r="A843" s="292"/>
    </row>
    <row r="844">
      <c r="A844" s="292"/>
    </row>
    <row r="845">
      <c r="A845" s="292"/>
    </row>
    <row r="846">
      <c r="A846" s="292"/>
    </row>
    <row r="847">
      <c r="A847" s="292"/>
    </row>
    <row r="848">
      <c r="A848" s="292"/>
    </row>
    <row r="849">
      <c r="A849" s="292"/>
    </row>
    <row r="850">
      <c r="A850" s="292"/>
    </row>
    <row r="851">
      <c r="A851" s="292"/>
    </row>
    <row r="852">
      <c r="A852" s="292"/>
    </row>
    <row r="853">
      <c r="A853" s="292"/>
    </row>
    <row r="854">
      <c r="A854" s="292"/>
    </row>
    <row r="855">
      <c r="A855" s="292"/>
    </row>
    <row r="856">
      <c r="A856" s="292"/>
    </row>
    <row r="857">
      <c r="A857" s="292"/>
    </row>
    <row r="858">
      <c r="A858" s="292"/>
    </row>
    <row r="859">
      <c r="A859" s="292"/>
    </row>
    <row r="860">
      <c r="A860" s="292"/>
    </row>
    <row r="861">
      <c r="A861" s="292"/>
    </row>
    <row r="862">
      <c r="A862" s="292"/>
    </row>
    <row r="863">
      <c r="A863" s="292"/>
    </row>
    <row r="864">
      <c r="A864" s="292"/>
    </row>
    <row r="865">
      <c r="A865" s="292"/>
    </row>
    <row r="866">
      <c r="A866" s="292"/>
    </row>
    <row r="867">
      <c r="A867" s="292"/>
    </row>
    <row r="868">
      <c r="A868" s="292"/>
    </row>
    <row r="869">
      <c r="A869" s="292"/>
    </row>
    <row r="870">
      <c r="A870" s="292"/>
    </row>
    <row r="871">
      <c r="A871" s="292"/>
    </row>
    <row r="872">
      <c r="A872" s="292"/>
    </row>
    <row r="873">
      <c r="A873" s="292"/>
    </row>
    <row r="874">
      <c r="A874" s="292"/>
    </row>
    <row r="875">
      <c r="A875" s="292"/>
    </row>
    <row r="876">
      <c r="A876" s="292"/>
    </row>
    <row r="877">
      <c r="A877" s="292"/>
    </row>
    <row r="878">
      <c r="A878" s="292"/>
    </row>
    <row r="879">
      <c r="A879" s="292"/>
    </row>
    <row r="880">
      <c r="A880" s="292"/>
    </row>
    <row r="881">
      <c r="A881" s="292"/>
    </row>
    <row r="882">
      <c r="A882" s="292"/>
    </row>
    <row r="883">
      <c r="A883" s="292"/>
    </row>
    <row r="884">
      <c r="A884" s="292"/>
    </row>
    <row r="885">
      <c r="A885" s="292"/>
    </row>
    <row r="886">
      <c r="A886" s="292"/>
    </row>
    <row r="887">
      <c r="A887" s="292"/>
    </row>
    <row r="888">
      <c r="A888" s="292"/>
    </row>
    <row r="889">
      <c r="A889" s="292"/>
    </row>
    <row r="890">
      <c r="A890" s="292"/>
    </row>
    <row r="891">
      <c r="A891" s="292"/>
    </row>
    <row r="892">
      <c r="A892" s="292"/>
    </row>
    <row r="893">
      <c r="A893" s="292"/>
    </row>
    <row r="894">
      <c r="A894" s="292"/>
    </row>
    <row r="895">
      <c r="A895" s="292"/>
    </row>
    <row r="896">
      <c r="A896" s="292"/>
    </row>
    <row r="897">
      <c r="A897" s="292"/>
    </row>
    <row r="898">
      <c r="A898" s="292"/>
    </row>
    <row r="899">
      <c r="A899" s="292"/>
    </row>
    <row r="900">
      <c r="A900" s="292"/>
    </row>
    <row r="901">
      <c r="A901" s="292"/>
    </row>
    <row r="902">
      <c r="A902" s="292"/>
    </row>
    <row r="903">
      <c r="A903" s="292"/>
    </row>
    <row r="904">
      <c r="A904" s="292"/>
    </row>
    <row r="905">
      <c r="A905" s="292"/>
    </row>
    <row r="906">
      <c r="A906" s="292"/>
    </row>
    <row r="907">
      <c r="A907" s="292"/>
    </row>
    <row r="908">
      <c r="A908" s="292"/>
    </row>
    <row r="909">
      <c r="A909" s="292"/>
    </row>
    <row r="910">
      <c r="A910" s="292"/>
    </row>
    <row r="911">
      <c r="A911" s="292"/>
    </row>
    <row r="912">
      <c r="A912" s="292"/>
    </row>
    <row r="913">
      <c r="A913" s="292"/>
    </row>
    <row r="914">
      <c r="A914" s="292"/>
    </row>
    <row r="915">
      <c r="A915" s="292"/>
    </row>
    <row r="916">
      <c r="A916" s="292"/>
    </row>
    <row r="917">
      <c r="A917" s="292"/>
    </row>
    <row r="918">
      <c r="A918" s="292"/>
    </row>
    <row r="919">
      <c r="A919" s="292"/>
    </row>
    <row r="920">
      <c r="A920" s="292"/>
    </row>
    <row r="921">
      <c r="A921" s="292"/>
    </row>
    <row r="922">
      <c r="A922" s="292"/>
    </row>
    <row r="923">
      <c r="A923" s="292"/>
    </row>
    <row r="924">
      <c r="A924" s="292"/>
    </row>
    <row r="925">
      <c r="A925" s="292"/>
    </row>
    <row r="926">
      <c r="A926" s="292"/>
    </row>
    <row r="927">
      <c r="A927" s="292"/>
    </row>
    <row r="928">
      <c r="A928" s="292"/>
    </row>
    <row r="929">
      <c r="A929" s="292"/>
    </row>
    <row r="930">
      <c r="A930" s="292"/>
    </row>
    <row r="931">
      <c r="A931" s="292"/>
    </row>
    <row r="932">
      <c r="A932" s="292"/>
    </row>
    <row r="933">
      <c r="A933" s="292"/>
    </row>
    <row r="934">
      <c r="A934" s="292"/>
    </row>
    <row r="935">
      <c r="A935" s="292"/>
    </row>
    <row r="936">
      <c r="A936" s="292"/>
    </row>
    <row r="937">
      <c r="A937" s="292"/>
    </row>
    <row r="938">
      <c r="A938" s="292"/>
    </row>
    <row r="939">
      <c r="A939" s="292"/>
    </row>
    <row r="940">
      <c r="A940" s="292"/>
    </row>
    <row r="941">
      <c r="A941" s="292"/>
    </row>
    <row r="942">
      <c r="A942" s="292"/>
    </row>
    <row r="943">
      <c r="A943" s="292"/>
    </row>
    <row r="944">
      <c r="A944" s="292"/>
    </row>
    <row r="945">
      <c r="A945" s="292"/>
    </row>
    <row r="946">
      <c r="A946" s="292"/>
    </row>
    <row r="947">
      <c r="A947" s="292"/>
    </row>
    <row r="948">
      <c r="A948" s="292"/>
    </row>
    <row r="949">
      <c r="A949" s="292"/>
    </row>
    <row r="950">
      <c r="A950" s="292"/>
    </row>
    <row r="951">
      <c r="A951" s="292"/>
    </row>
    <row r="952">
      <c r="A952" s="292"/>
    </row>
    <row r="953">
      <c r="A953" s="292"/>
    </row>
    <row r="954">
      <c r="A954" s="292"/>
    </row>
    <row r="955">
      <c r="A955" s="292"/>
    </row>
    <row r="956">
      <c r="A956" s="292"/>
    </row>
    <row r="957">
      <c r="A957" s="292"/>
    </row>
    <row r="958">
      <c r="A958" s="292"/>
    </row>
    <row r="959">
      <c r="A959" s="292"/>
    </row>
    <row r="960">
      <c r="A960" s="292"/>
    </row>
    <row r="961">
      <c r="A961" s="292"/>
    </row>
    <row r="962">
      <c r="A962" s="292"/>
    </row>
    <row r="963">
      <c r="A963" s="292"/>
    </row>
    <row r="964">
      <c r="A964" s="292"/>
    </row>
    <row r="965">
      <c r="A965" s="292"/>
    </row>
    <row r="966">
      <c r="A966" s="292"/>
    </row>
    <row r="967">
      <c r="A967" s="292"/>
    </row>
    <row r="968">
      <c r="A968" s="292"/>
    </row>
    <row r="969">
      <c r="A969" s="292"/>
    </row>
    <row r="970">
      <c r="A970" s="292"/>
    </row>
    <row r="971">
      <c r="A971" s="292"/>
    </row>
    <row r="972">
      <c r="A972" s="292"/>
    </row>
    <row r="973">
      <c r="A973" s="292"/>
    </row>
    <row r="974">
      <c r="A974" s="292"/>
    </row>
    <row r="975">
      <c r="A975" s="292"/>
    </row>
    <row r="976">
      <c r="A976" s="292"/>
    </row>
    <row r="977">
      <c r="A977" s="292"/>
    </row>
    <row r="978">
      <c r="A978" s="292"/>
    </row>
    <row r="979">
      <c r="A979" s="292"/>
    </row>
    <row r="980">
      <c r="A980" s="292"/>
    </row>
    <row r="981">
      <c r="A981" s="292"/>
    </row>
    <row r="982">
      <c r="A982" s="292"/>
    </row>
    <row r="983">
      <c r="A983" s="292"/>
    </row>
    <row r="984">
      <c r="A984" s="292"/>
    </row>
    <row r="985">
      <c r="A985" s="292"/>
    </row>
    <row r="986">
      <c r="A986" s="292"/>
    </row>
    <row r="987">
      <c r="A987" s="292"/>
    </row>
    <row r="988">
      <c r="A988" s="292"/>
    </row>
    <row r="989">
      <c r="A989" s="292"/>
    </row>
    <row r="990">
      <c r="A990" s="292"/>
    </row>
    <row r="991">
      <c r="A991" s="292"/>
    </row>
    <row r="992">
      <c r="A992" s="292"/>
    </row>
    <row r="993">
      <c r="A993" s="292"/>
    </row>
    <row r="994">
      <c r="A994" s="292"/>
    </row>
    <row r="995">
      <c r="A995" s="292"/>
    </row>
    <row r="996">
      <c r="A996" s="292"/>
    </row>
    <row r="997">
      <c r="A997" s="292"/>
    </row>
    <row r="998">
      <c r="A998" s="292"/>
    </row>
    <row r="999">
      <c r="A999" s="292"/>
    </row>
    <row r="1000">
      <c r="A1000" s="292"/>
    </row>
    <row r="1001">
      <c r="A1001" s="292"/>
    </row>
    <row r="1002">
      <c r="A1002" s="292"/>
    </row>
    <row r="1003">
      <c r="A1003" s="292"/>
    </row>
    <row r="1004">
      <c r="A1004" s="292"/>
    </row>
    <row r="1005">
      <c r="A1005" s="29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s>
  <sheetData>
    <row r="2">
      <c r="B2" s="294" t="s">
        <v>596</v>
      </c>
      <c r="C2" s="295"/>
      <c r="D2" s="296" t="s">
        <v>597</v>
      </c>
      <c r="E2" s="296" t="s">
        <v>598</v>
      </c>
      <c r="F2" s="296" t="s">
        <v>599</v>
      </c>
      <c r="G2" s="296" t="s">
        <v>600</v>
      </c>
      <c r="H2" s="296" t="s">
        <v>601</v>
      </c>
      <c r="I2" s="296" t="s">
        <v>602</v>
      </c>
    </row>
    <row r="3">
      <c r="B3" s="297" t="s">
        <v>603</v>
      </c>
      <c r="C3" s="298"/>
      <c r="D3" s="299" t="s">
        <v>604</v>
      </c>
      <c r="E3" s="299" t="s">
        <v>605</v>
      </c>
      <c r="F3" s="299" t="s">
        <v>606</v>
      </c>
      <c r="G3" s="299" t="s">
        <v>607</v>
      </c>
      <c r="H3" s="299" t="s">
        <v>608</v>
      </c>
      <c r="I3" s="299" t="s">
        <v>609</v>
      </c>
    </row>
    <row r="4">
      <c r="B4" s="300" t="s">
        <v>610</v>
      </c>
      <c r="C4" s="301" t="s">
        <v>611</v>
      </c>
      <c r="D4" s="302" t="s">
        <v>612</v>
      </c>
      <c r="E4" s="302" t="s">
        <v>613</v>
      </c>
      <c r="F4" s="302" t="s">
        <v>614</v>
      </c>
      <c r="G4" s="301" t="s">
        <v>332</v>
      </c>
      <c r="H4" s="303" t="s">
        <v>615</v>
      </c>
      <c r="I4" s="303" t="s">
        <v>616</v>
      </c>
    </row>
    <row r="5">
      <c r="B5" s="304"/>
      <c r="C5" s="301" t="s">
        <v>617</v>
      </c>
      <c r="D5" s="305" t="s">
        <v>618</v>
      </c>
      <c r="E5" s="305" t="s">
        <v>619</v>
      </c>
      <c r="F5" s="305" t="s">
        <v>620</v>
      </c>
      <c r="G5" s="301" t="s">
        <v>332</v>
      </c>
      <c r="H5" s="306" t="s">
        <v>621</v>
      </c>
      <c r="I5" s="306" t="s">
        <v>622</v>
      </c>
    </row>
    <row r="6">
      <c r="B6" s="307" t="s">
        <v>623</v>
      </c>
      <c r="C6" s="301" t="s">
        <v>611</v>
      </c>
      <c r="D6" s="308" t="s">
        <v>624</v>
      </c>
      <c r="E6" s="308" t="s">
        <v>625</v>
      </c>
      <c r="F6" s="308" t="s">
        <v>626</v>
      </c>
      <c r="G6" s="301" t="s">
        <v>332</v>
      </c>
      <c r="H6" s="306" t="s">
        <v>627</v>
      </c>
      <c r="I6" s="306" t="s">
        <v>628</v>
      </c>
    </row>
    <row r="7">
      <c r="B7" s="300" t="s">
        <v>629</v>
      </c>
      <c r="C7" s="301" t="s">
        <v>630</v>
      </c>
      <c r="D7" s="305" t="s">
        <v>631</v>
      </c>
      <c r="E7" s="305" t="s">
        <v>632</v>
      </c>
      <c r="F7" s="305" t="s">
        <v>633</v>
      </c>
      <c r="G7" s="301" t="s">
        <v>332</v>
      </c>
      <c r="H7" s="306" t="s">
        <v>634</v>
      </c>
      <c r="I7" s="306" t="s">
        <v>635</v>
      </c>
    </row>
    <row r="8">
      <c r="B8" s="309"/>
      <c r="C8" s="301" t="s">
        <v>636</v>
      </c>
      <c r="D8" s="302" t="s">
        <v>637</v>
      </c>
      <c r="E8" s="302" t="s">
        <v>635</v>
      </c>
      <c r="F8" s="310" t="s">
        <v>634</v>
      </c>
      <c r="G8" s="301" t="s">
        <v>332</v>
      </c>
      <c r="H8" s="303" t="s">
        <v>633</v>
      </c>
      <c r="I8" s="303" t="s">
        <v>632</v>
      </c>
    </row>
    <row r="9">
      <c r="B9" s="309"/>
      <c r="C9" s="301" t="s">
        <v>444</v>
      </c>
      <c r="D9" s="308" t="s">
        <v>624</v>
      </c>
      <c r="E9" s="308" t="s">
        <v>625</v>
      </c>
      <c r="F9" s="308" t="s">
        <v>626</v>
      </c>
      <c r="G9" s="301" t="s">
        <v>332</v>
      </c>
      <c r="H9" s="311" t="s">
        <v>638</v>
      </c>
      <c r="I9" s="311" t="s">
        <v>639</v>
      </c>
    </row>
    <row r="10">
      <c r="B10" s="309"/>
      <c r="C10" s="301" t="s">
        <v>443</v>
      </c>
      <c r="D10" s="305" t="s">
        <v>618</v>
      </c>
      <c r="E10" s="305" t="s">
        <v>619</v>
      </c>
      <c r="F10" s="305" t="s">
        <v>620</v>
      </c>
      <c r="G10" s="301" t="s">
        <v>332</v>
      </c>
      <c r="H10" s="306" t="s">
        <v>621</v>
      </c>
      <c r="I10" s="306" t="s">
        <v>622</v>
      </c>
    </row>
    <row r="11">
      <c r="B11" s="304"/>
      <c r="C11" s="301" t="s">
        <v>3</v>
      </c>
      <c r="D11" s="305" t="s">
        <v>640</v>
      </c>
      <c r="E11" s="305" t="s">
        <v>631</v>
      </c>
      <c r="F11" s="305" t="s">
        <v>632</v>
      </c>
      <c r="G11" s="301" t="s">
        <v>332</v>
      </c>
      <c r="H11" s="306" t="s">
        <v>635</v>
      </c>
      <c r="I11" s="306" t="s">
        <v>637</v>
      </c>
    </row>
    <row r="12">
      <c r="B12" s="300" t="s">
        <v>641</v>
      </c>
      <c r="C12" s="301" t="s">
        <v>642</v>
      </c>
      <c r="D12" s="305" t="s">
        <v>643</v>
      </c>
      <c r="E12" s="305" t="s">
        <v>644</v>
      </c>
      <c r="F12" s="305" t="s">
        <v>645</v>
      </c>
      <c r="G12" s="305" t="s">
        <v>646</v>
      </c>
      <c r="H12" s="305" t="s">
        <v>647</v>
      </c>
      <c r="I12" s="301" t="s">
        <v>332</v>
      </c>
    </row>
    <row r="13">
      <c r="B13" s="309"/>
      <c r="C13" s="301" t="s">
        <v>648</v>
      </c>
      <c r="D13" s="301" t="s">
        <v>332</v>
      </c>
      <c r="E13" s="306" t="s">
        <v>647</v>
      </c>
      <c r="F13" s="306" t="s">
        <v>646</v>
      </c>
      <c r="G13" s="306" t="s">
        <v>645</v>
      </c>
      <c r="H13" s="306" t="s">
        <v>644</v>
      </c>
      <c r="I13" s="306" t="s">
        <v>649</v>
      </c>
    </row>
    <row r="14">
      <c r="B14" s="309"/>
      <c r="C14" s="301" t="s">
        <v>650</v>
      </c>
      <c r="D14" s="301" t="s">
        <v>332</v>
      </c>
      <c r="E14" s="301" t="s">
        <v>332</v>
      </c>
      <c r="F14" s="301" t="s">
        <v>332</v>
      </c>
      <c r="G14" s="306" t="s">
        <v>647</v>
      </c>
      <c r="H14" s="306" t="s">
        <v>646</v>
      </c>
      <c r="I14" s="306" t="s">
        <v>645</v>
      </c>
    </row>
    <row r="15">
      <c r="B15" s="309"/>
      <c r="C15" s="301" t="s">
        <v>651</v>
      </c>
      <c r="D15" s="305" t="s">
        <v>646</v>
      </c>
      <c r="E15" s="312" t="s">
        <v>652</v>
      </c>
      <c r="F15" s="312" t="s">
        <v>647</v>
      </c>
      <c r="G15" s="312" t="s">
        <v>653</v>
      </c>
      <c r="H15" s="301" t="s">
        <v>332</v>
      </c>
      <c r="I15" s="301" t="s">
        <v>332</v>
      </c>
    </row>
    <row r="16">
      <c r="B16" s="304"/>
      <c r="C16" s="301" t="s">
        <v>654</v>
      </c>
      <c r="D16" s="301" t="s">
        <v>332</v>
      </c>
      <c r="E16" s="301" t="s">
        <v>332</v>
      </c>
      <c r="F16" s="301" t="s">
        <v>332</v>
      </c>
      <c r="G16" s="301" t="s">
        <v>332</v>
      </c>
      <c r="H16" s="306" t="s">
        <v>647</v>
      </c>
      <c r="I16" s="306" t="s">
        <v>646</v>
      </c>
    </row>
    <row r="17">
      <c r="B17" s="300" t="s">
        <v>655</v>
      </c>
      <c r="C17" s="301" t="s">
        <v>642</v>
      </c>
      <c r="D17" s="305" t="s">
        <v>656</v>
      </c>
      <c r="E17" s="305" t="s">
        <v>657</v>
      </c>
      <c r="F17" s="305" t="s">
        <v>643</v>
      </c>
      <c r="G17" s="305" t="s">
        <v>644</v>
      </c>
      <c r="H17" s="305" t="s">
        <v>646</v>
      </c>
      <c r="I17" s="301" t="s">
        <v>332</v>
      </c>
    </row>
    <row r="18">
      <c r="B18" s="309"/>
      <c r="C18" s="301" t="s">
        <v>648</v>
      </c>
      <c r="D18" s="301" t="s">
        <v>332</v>
      </c>
      <c r="E18" s="306" t="s">
        <v>646</v>
      </c>
      <c r="F18" s="306" t="s">
        <v>644</v>
      </c>
      <c r="G18" s="306" t="s">
        <v>643</v>
      </c>
      <c r="H18" s="306" t="s">
        <v>657</v>
      </c>
      <c r="I18" s="306" t="s">
        <v>656</v>
      </c>
    </row>
    <row r="19">
      <c r="B19" s="309"/>
      <c r="C19" s="301" t="s">
        <v>650</v>
      </c>
      <c r="D19" s="301" t="s">
        <v>332</v>
      </c>
      <c r="E19" s="301" t="s">
        <v>332</v>
      </c>
      <c r="F19" s="313"/>
      <c r="G19" s="303" t="s">
        <v>647</v>
      </c>
      <c r="H19" s="306" t="s">
        <v>646</v>
      </c>
      <c r="I19" s="306" t="s">
        <v>645</v>
      </c>
    </row>
    <row r="20">
      <c r="B20" s="309"/>
      <c r="C20" s="301" t="s">
        <v>651</v>
      </c>
      <c r="D20" s="305" t="s">
        <v>646</v>
      </c>
      <c r="E20" s="305" t="s">
        <v>647</v>
      </c>
      <c r="F20" s="305" t="s">
        <v>653</v>
      </c>
      <c r="G20" s="305" t="s">
        <v>653</v>
      </c>
      <c r="H20" s="301" t="s">
        <v>332</v>
      </c>
      <c r="I20" s="301" t="s">
        <v>332</v>
      </c>
    </row>
    <row r="21">
      <c r="B21" s="309"/>
      <c r="C21" s="301" t="s">
        <v>654</v>
      </c>
      <c r="D21" s="301" t="s">
        <v>332</v>
      </c>
      <c r="E21" s="301" t="s">
        <v>332</v>
      </c>
      <c r="F21" s="301" t="s">
        <v>332</v>
      </c>
      <c r="G21" s="301" t="s">
        <v>332</v>
      </c>
      <c r="H21" s="306" t="s">
        <v>647</v>
      </c>
      <c r="I21" s="306" t="s">
        <v>646</v>
      </c>
    </row>
    <row r="22">
      <c r="B22" s="304"/>
      <c r="C22" s="301" t="s">
        <v>658</v>
      </c>
      <c r="D22" s="302" t="s">
        <v>637</v>
      </c>
      <c r="E22" s="302" t="s">
        <v>635</v>
      </c>
      <c r="F22" s="302" t="s">
        <v>634</v>
      </c>
      <c r="G22" s="301" t="s">
        <v>332</v>
      </c>
      <c r="H22" s="303" t="s">
        <v>619</v>
      </c>
      <c r="I22" s="303" t="s">
        <v>633</v>
      </c>
    </row>
    <row r="24">
      <c r="B24" s="8" t="s">
        <v>659</v>
      </c>
    </row>
    <row r="25">
      <c r="B25" s="36" t="s">
        <v>660</v>
      </c>
    </row>
    <row r="27">
      <c r="B27" s="8" t="s">
        <v>661</v>
      </c>
    </row>
    <row r="29">
      <c r="B29" s="8" t="s">
        <v>662</v>
      </c>
    </row>
  </sheetData>
  <mergeCells count="6">
    <mergeCell ref="B2:C2"/>
    <mergeCell ref="B3:C3"/>
    <mergeCell ref="B4:B5"/>
    <mergeCell ref="B7:B11"/>
    <mergeCell ref="B12:B16"/>
    <mergeCell ref="B17:B22"/>
  </mergeCells>
  <hyperlinks>
    <hyperlink r:id="rId1" ref="B2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0.25"/>
    <col customWidth="1" min="8" max="8" width="15.25"/>
  </cols>
  <sheetData>
    <row r="1">
      <c r="A1" s="3" t="s">
        <v>663</v>
      </c>
      <c r="E1" s="3" t="s">
        <v>664</v>
      </c>
    </row>
    <row r="2">
      <c r="A2" s="54"/>
      <c r="E2" s="8" t="s">
        <v>665</v>
      </c>
      <c r="F2" s="8" t="s">
        <v>666</v>
      </c>
      <c r="G2" s="8"/>
    </row>
    <row r="3">
      <c r="A3" s="8" t="s">
        <v>665</v>
      </c>
      <c r="B3" s="8" t="s">
        <v>667</v>
      </c>
      <c r="C3" s="8" t="s">
        <v>668</v>
      </c>
      <c r="E3" s="8">
        <v>0.0</v>
      </c>
      <c r="F3" s="8" t="s">
        <v>669</v>
      </c>
      <c r="G3" s="8"/>
    </row>
    <row r="4">
      <c r="A4" s="8">
        <v>30.0</v>
      </c>
      <c r="B4" s="8" t="s">
        <v>670</v>
      </c>
      <c r="C4" s="285">
        <f t="shared" ref="C4:C11" si="1">A4*1000</f>
        <v>30000</v>
      </c>
      <c r="E4" s="8">
        <v>10.0</v>
      </c>
      <c r="F4" s="8" t="s">
        <v>671</v>
      </c>
      <c r="G4" s="8" t="s">
        <v>672</v>
      </c>
    </row>
    <row r="5">
      <c r="A5" s="8">
        <v>40.0</v>
      </c>
      <c r="B5" s="8" t="s">
        <v>673</v>
      </c>
      <c r="C5" s="285">
        <f t="shared" si="1"/>
        <v>40000</v>
      </c>
    </row>
    <row r="6">
      <c r="A6" s="8">
        <v>50.0</v>
      </c>
      <c r="B6" s="8" t="s">
        <v>674</v>
      </c>
      <c r="C6" s="285">
        <f t="shared" si="1"/>
        <v>50000</v>
      </c>
    </row>
    <row r="7">
      <c r="A7" s="8">
        <v>60.0</v>
      </c>
      <c r="B7" s="8" t="s">
        <v>675</v>
      </c>
      <c r="C7" s="285">
        <f t="shared" si="1"/>
        <v>60000</v>
      </c>
      <c r="E7" s="3" t="s">
        <v>676</v>
      </c>
      <c r="G7" s="8" t="s">
        <v>677</v>
      </c>
    </row>
    <row r="8">
      <c r="A8" s="8">
        <v>70.0</v>
      </c>
      <c r="B8" s="8" t="s">
        <v>678</v>
      </c>
      <c r="C8" s="285">
        <f t="shared" si="1"/>
        <v>70000</v>
      </c>
      <c r="F8" s="8" t="s">
        <v>679</v>
      </c>
      <c r="G8" s="8">
        <v>200.0</v>
      </c>
    </row>
    <row r="9">
      <c r="A9" s="8">
        <v>80.0</v>
      </c>
      <c r="B9" s="8" t="s">
        <v>680</v>
      </c>
      <c r="C9" s="285">
        <f t="shared" si="1"/>
        <v>80000</v>
      </c>
      <c r="F9" s="8" t="s">
        <v>681</v>
      </c>
      <c r="G9" s="8">
        <v>200.0</v>
      </c>
    </row>
    <row r="10">
      <c r="A10" s="8">
        <v>90.0</v>
      </c>
      <c r="B10" s="8" t="s">
        <v>682</v>
      </c>
      <c r="C10" s="285">
        <f t="shared" si="1"/>
        <v>90000</v>
      </c>
      <c r="F10" s="8" t="s">
        <v>683</v>
      </c>
      <c r="G10" s="8">
        <v>-200.0</v>
      </c>
      <c r="I10" s="314"/>
    </row>
    <row r="11">
      <c r="A11" s="8">
        <v>100.0</v>
      </c>
      <c r="B11" s="8" t="s">
        <v>684</v>
      </c>
      <c r="C11" s="285">
        <f t="shared" si="1"/>
        <v>100000</v>
      </c>
      <c r="E11" s="3" t="s">
        <v>665</v>
      </c>
      <c r="F11" s="3" t="s">
        <v>667</v>
      </c>
      <c r="G11" s="3" t="s">
        <v>685</v>
      </c>
      <c r="H11" s="3" t="s">
        <v>686</v>
      </c>
      <c r="I11" s="3" t="s">
        <v>687</v>
      </c>
    </row>
    <row r="12">
      <c r="E12" s="8">
        <v>10.0</v>
      </c>
      <c r="F12" s="8" t="s">
        <v>688</v>
      </c>
      <c r="G12" s="8">
        <v>1200.0</v>
      </c>
      <c r="H12" s="8">
        <f t="shared" ref="H12:H18" si="2">G12/$G$8</f>
        <v>6</v>
      </c>
      <c r="I12" s="285">
        <f t="shared" ref="I12:I18" si="3">G12/(2*$G$9)</f>
        <v>3</v>
      </c>
    </row>
    <row r="13">
      <c r="A13" s="8" t="s">
        <v>677</v>
      </c>
      <c r="B13" s="8" t="s">
        <v>689</v>
      </c>
      <c r="E13" s="8">
        <v>20.0</v>
      </c>
      <c r="F13" s="8" t="s">
        <v>690</v>
      </c>
      <c r="G13" s="8">
        <v>2000.0</v>
      </c>
      <c r="H13" s="8">
        <f t="shared" si="2"/>
        <v>10</v>
      </c>
      <c r="I13" s="285">
        <f t="shared" si="3"/>
        <v>5</v>
      </c>
    </row>
    <row r="14">
      <c r="A14" s="8">
        <v>12000.0</v>
      </c>
      <c r="B14" s="8" t="s">
        <v>691</v>
      </c>
      <c r="E14" s="8">
        <v>30.0</v>
      </c>
      <c r="F14" s="8" t="s">
        <v>692</v>
      </c>
      <c r="G14" s="8">
        <v>3000.0</v>
      </c>
      <c r="H14" s="8">
        <f t="shared" si="2"/>
        <v>15</v>
      </c>
      <c r="I14" s="285">
        <f t="shared" si="3"/>
        <v>7.5</v>
      </c>
    </row>
    <row r="15">
      <c r="A15" s="8">
        <v>6000.0</v>
      </c>
      <c r="B15" s="8" t="s">
        <v>693</v>
      </c>
      <c r="E15" s="8">
        <v>40.0</v>
      </c>
      <c r="F15" s="8" t="s">
        <v>694</v>
      </c>
      <c r="G15" s="8">
        <v>4000.0</v>
      </c>
      <c r="H15" s="8">
        <f t="shared" si="2"/>
        <v>20</v>
      </c>
      <c r="I15" s="285">
        <f t="shared" si="3"/>
        <v>10</v>
      </c>
    </row>
    <row r="16">
      <c r="A16" s="8">
        <v>100.0</v>
      </c>
      <c r="B16" s="8" t="s">
        <v>695</v>
      </c>
      <c r="E16" s="8">
        <v>50.0</v>
      </c>
      <c r="F16" s="8" t="s">
        <v>696</v>
      </c>
      <c r="G16" s="8">
        <v>5000.0</v>
      </c>
      <c r="H16" s="8">
        <f t="shared" si="2"/>
        <v>25</v>
      </c>
      <c r="I16" s="285">
        <f t="shared" si="3"/>
        <v>12.5</v>
      </c>
    </row>
    <row r="17">
      <c r="A17" s="8">
        <v>200.0</v>
      </c>
      <c r="B17" s="8" t="s">
        <v>697</v>
      </c>
      <c r="E17" s="8">
        <v>60.0</v>
      </c>
      <c r="F17" s="8" t="s">
        <v>698</v>
      </c>
      <c r="G17" s="8">
        <v>6000.0</v>
      </c>
      <c r="H17" s="8">
        <f t="shared" si="2"/>
        <v>30</v>
      </c>
      <c r="I17" s="285">
        <f t="shared" si="3"/>
        <v>15</v>
      </c>
    </row>
    <row r="18">
      <c r="A18" s="8">
        <v>1000.0</v>
      </c>
      <c r="B18" s="8" t="s">
        <v>699</v>
      </c>
      <c r="E18" s="8">
        <v>70.0</v>
      </c>
      <c r="F18" s="8" t="s">
        <v>700</v>
      </c>
      <c r="G18" s="8">
        <v>7000.0</v>
      </c>
      <c r="H18" s="8">
        <f t="shared" si="2"/>
        <v>35</v>
      </c>
      <c r="I18" s="285">
        <f t="shared" si="3"/>
        <v>17.5</v>
      </c>
    </row>
    <row r="19">
      <c r="A19" s="8">
        <v>2000.0</v>
      </c>
      <c r="B19" s="8" t="s">
        <v>701</v>
      </c>
    </row>
    <row r="20">
      <c r="A20" s="8">
        <v>100.0</v>
      </c>
      <c r="B20" s="8" t="s">
        <v>702</v>
      </c>
    </row>
    <row r="21">
      <c r="A21" s="8">
        <v>1000.0</v>
      </c>
      <c r="B21" s="8" t="s">
        <v>703</v>
      </c>
      <c r="E21" s="3" t="s">
        <v>704</v>
      </c>
      <c r="G21" s="8" t="s">
        <v>677</v>
      </c>
    </row>
    <row r="22">
      <c r="A22" s="8">
        <v>2000.0</v>
      </c>
      <c r="B22" s="8" t="s">
        <v>705</v>
      </c>
      <c r="F22" s="8" t="s">
        <v>706</v>
      </c>
      <c r="G22" s="8">
        <v>200.0</v>
      </c>
    </row>
    <row r="23">
      <c r="A23" s="8">
        <v>200.0</v>
      </c>
      <c r="B23" s="8" t="s">
        <v>707</v>
      </c>
      <c r="F23" s="8" t="s">
        <v>708</v>
      </c>
      <c r="G23" s="8">
        <v>200.0</v>
      </c>
    </row>
    <row r="24">
      <c r="A24" s="8">
        <v>2000.0</v>
      </c>
      <c r="B24" s="8" t="s">
        <v>709</v>
      </c>
      <c r="E24" s="3" t="s">
        <v>665</v>
      </c>
      <c r="F24" s="3" t="s">
        <v>667</v>
      </c>
      <c r="G24" s="3" t="s">
        <v>685</v>
      </c>
      <c r="H24" s="3" t="s">
        <v>710</v>
      </c>
      <c r="I24" s="3"/>
    </row>
    <row r="25">
      <c r="A25" s="8">
        <v>1000.0</v>
      </c>
      <c r="B25" s="8" t="s">
        <v>711</v>
      </c>
      <c r="E25" s="8">
        <v>20.0</v>
      </c>
      <c r="F25" s="8" t="s">
        <v>712</v>
      </c>
      <c r="G25" s="8">
        <v>2000.0</v>
      </c>
      <c r="H25" s="285">
        <f t="shared" ref="H25:H26" si="4">G25/$G$22</f>
        <v>10</v>
      </c>
    </row>
    <row r="26">
      <c r="A26" s="8">
        <v>2000.0</v>
      </c>
      <c r="B26" s="8" t="s">
        <v>713</v>
      </c>
      <c r="E26" s="8">
        <v>30.0</v>
      </c>
      <c r="F26" s="8" t="s">
        <v>714</v>
      </c>
      <c r="G26" s="8">
        <v>3000.0</v>
      </c>
      <c r="H26" s="285">
        <f t="shared" si="4"/>
        <v>15</v>
      </c>
    </row>
    <row r="27">
      <c r="A27" s="8">
        <v>2000.0</v>
      </c>
      <c r="B27" s="8" t="s">
        <v>715</v>
      </c>
    </row>
    <row r="28">
      <c r="A28" s="8">
        <v>-2000.0</v>
      </c>
      <c r="B28" s="8" t="s">
        <v>716</v>
      </c>
    </row>
    <row r="29">
      <c r="A29" s="8">
        <v>1000.0</v>
      </c>
      <c r="B29" s="8" t="s">
        <v>717</v>
      </c>
      <c r="E29" s="3" t="s">
        <v>718</v>
      </c>
      <c r="G29" s="8" t="s">
        <v>677</v>
      </c>
    </row>
    <row r="30">
      <c r="A30" s="8">
        <v>50.0</v>
      </c>
      <c r="B30" s="8" t="s">
        <v>719</v>
      </c>
      <c r="F30" s="8" t="s">
        <v>697</v>
      </c>
      <c r="G30" s="8">
        <v>500.0</v>
      </c>
    </row>
    <row r="31">
      <c r="A31" s="8">
        <v>200.0</v>
      </c>
      <c r="B31" s="8" t="s">
        <v>720</v>
      </c>
      <c r="E31" s="3" t="s">
        <v>665</v>
      </c>
      <c r="F31" s="3" t="s">
        <v>667</v>
      </c>
      <c r="G31" s="3" t="s">
        <v>685</v>
      </c>
      <c r="H31" s="3" t="s">
        <v>721</v>
      </c>
    </row>
    <row r="32">
      <c r="A32" s="8">
        <v>200.0</v>
      </c>
      <c r="B32" s="8" t="s">
        <v>722</v>
      </c>
      <c r="E32" s="8">
        <v>20.0</v>
      </c>
      <c r="F32" s="8" t="s">
        <v>723</v>
      </c>
      <c r="G32" s="8">
        <v>2000.0</v>
      </c>
      <c r="H32" s="285">
        <f t="shared" ref="H32:H34" si="5">G32/$G$30</f>
        <v>4</v>
      </c>
    </row>
    <row r="33">
      <c r="A33" s="8">
        <v>300.0</v>
      </c>
      <c r="B33" s="8" t="s">
        <v>724</v>
      </c>
      <c r="E33" s="8">
        <v>40.0</v>
      </c>
      <c r="F33" s="8" t="s">
        <v>725</v>
      </c>
      <c r="G33" s="8">
        <v>4000.0</v>
      </c>
      <c r="H33" s="285">
        <f t="shared" si="5"/>
        <v>8</v>
      </c>
    </row>
    <row r="34">
      <c r="A34" s="8">
        <v>1500.0</v>
      </c>
      <c r="B34" s="8" t="s">
        <v>726</v>
      </c>
      <c r="E34" s="8">
        <v>60.0</v>
      </c>
      <c r="F34" s="8" t="s">
        <v>727</v>
      </c>
      <c r="G34" s="8">
        <v>6000.0</v>
      </c>
      <c r="H34" s="285">
        <f t="shared" si="5"/>
        <v>12</v>
      </c>
    </row>
    <row r="35">
      <c r="A35" s="8">
        <v>200.0</v>
      </c>
      <c r="B35" s="8" t="s">
        <v>728</v>
      </c>
    </row>
    <row r="36">
      <c r="A36" s="8">
        <v>100.0</v>
      </c>
      <c r="B36" s="8" t="s">
        <v>729</v>
      </c>
    </row>
    <row r="37">
      <c r="A37" s="8">
        <v>100.0</v>
      </c>
      <c r="B37" s="8" t="s">
        <v>730</v>
      </c>
      <c r="E37" s="3" t="s">
        <v>731</v>
      </c>
      <c r="G37" s="8" t="s">
        <v>677</v>
      </c>
    </row>
    <row r="38">
      <c r="A38" s="8">
        <v>500.0</v>
      </c>
      <c r="B38" s="8" t="s">
        <v>732</v>
      </c>
      <c r="F38" s="8" t="s">
        <v>699</v>
      </c>
      <c r="G38" s="8">
        <v>1000.0</v>
      </c>
    </row>
    <row r="39">
      <c r="A39" s="8">
        <v>1000.0</v>
      </c>
      <c r="B39" s="8" t="s">
        <v>733</v>
      </c>
      <c r="F39" s="8" t="s">
        <v>734</v>
      </c>
      <c r="G39" s="8">
        <v>2000.0</v>
      </c>
    </row>
    <row r="40">
      <c r="A40" s="8">
        <v>1.0</v>
      </c>
      <c r="B40" s="8" t="s">
        <v>735</v>
      </c>
      <c r="F40" s="8" t="s">
        <v>703</v>
      </c>
      <c r="G40" s="8">
        <v>1000.0</v>
      </c>
    </row>
    <row r="41">
      <c r="A41" s="8">
        <v>100.0</v>
      </c>
      <c r="B41" s="8" t="s">
        <v>706</v>
      </c>
      <c r="F41" s="8" t="s">
        <v>736</v>
      </c>
      <c r="G41" s="8">
        <v>2000.0</v>
      </c>
    </row>
    <row r="42">
      <c r="A42" s="8">
        <v>100.0</v>
      </c>
      <c r="B42" s="8" t="s">
        <v>708</v>
      </c>
      <c r="E42" s="3" t="s">
        <v>665</v>
      </c>
      <c r="F42" s="3" t="s">
        <v>667</v>
      </c>
      <c r="G42" s="3" t="s">
        <v>685</v>
      </c>
      <c r="H42" s="3" t="s">
        <v>737</v>
      </c>
    </row>
    <row r="43">
      <c r="A43" s="8">
        <v>200.0</v>
      </c>
      <c r="B43" s="8" t="s">
        <v>738</v>
      </c>
      <c r="E43" s="8">
        <v>30.0</v>
      </c>
      <c r="F43" s="8" t="s">
        <v>739</v>
      </c>
      <c r="G43" s="8">
        <v>3000.0</v>
      </c>
      <c r="H43" s="285">
        <f t="shared" ref="H43:H44" si="6">G43/$G$38</f>
        <v>3</v>
      </c>
    </row>
    <row r="44">
      <c r="A44" s="8">
        <v>200.0</v>
      </c>
      <c r="B44" s="8" t="s">
        <v>681</v>
      </c>
      <c r="E44" s="8">
        <v>50.0</v>
      </c>
      <c r="F44" s="8" t="s">
        <v>740</v>
      </c>
      <c r="G44" s="8">
        <v>5000.0</v>
      </c>
      <c r="H44" s="285">
        <f t="shared" si="6"/>
        <v>5</v>
      </c>
    </row>
    <row r="45">
      <c r="A45" s="8">
        <v>-200.0</v>
      </c>
      <c r="B45" s="8" t="s">
        <v>683</v>
      </c>
    </row>
    <row r="46">
      <c r="A46" s="8">
        <v>2000.0</v>
      </c>
      <c r="B46" s="8" t="s">
        <v>741</v>
      </c>
    </row>
    <row r="47">
      <c r="A47" s="8">
        <v>100.0</v>
      </c>
      <c r="B47" s="8" t="s">
        <v>742</v>
      </c>
      <c r="E47" s="3" t="s">
        <v>743</v>
      </c>
      <c r="G47" s="8" t="s">
        <v>677</v>
      </c>
    </row>
    <row r="48">
      <c r="F48" s="8" t="s">
        <v>709</v>
      </c>
      <c r="G48" s="8">
        <v>2000.0</v>
      </c>
    </row>
    <row r="49">
      <c r="F49" s="8" t="s">
        <v>713</v>
      </c>
      <c r="G49" s="8">
        <v>2000.0</v>
      </c>
    </row>
    <row r="50">
      <c r="E50" s="3" t="s">
        <v>665</v>
      </c>
      <c r="F50" s="3" t="s">
        <v>667</v>
      </c>
      <c r="G50" s="3" t="s">
        <v>685</v>
      </c>
      <c r="H50" s="3" t="s">
        <v>744</v>
      </c>
    </row>
    <row r="51">
      <c r="E51" s="8">
        <v>40.0</v>
      </c>
      <c r="F51" s="8" t="s">
        <v>745</v>
      </c>
      <c r="G51" s="8">
        <v>4000.0</v>
      </c>
      <c r="H51" s="8">
        <v>2.0</v>
      </c>
    </row>
    <row r="52">
      <c r="E52" s="8">
        <v>60.0</v>
      </c>
      <c r="F52" s="8" t="s">
        <v>746</v>
      </c>
      <c r="G52" s="8">
        <v>6000.0</v>
      </c>
      <c r="H52" s="285">
        <f>G52/$G$38</f>
        <v>6</v>
      </c>
    </row>
    <row r="55">
      <c r="E55" s="3" t="s">
        <v>747</v>
      </c>
      <c r="G55" s="8" t="s">
        <v>677</v>
      </c>
    </row>
    <row r="56">
      <c r="F56" s="8" t="s">
        <v>715</v>
      </c>
      <c r="G56" s="8">
        <v>2000.0</v>
      </c>
    </row>
    <row r="57">
      <c r="E57" s="3" t="s">
        <v>665</v>
      </c>
      <c r="F57" s="3" t="s">
        <v>667</v>
      </c>
      <c r="G57" s="3" t="s">
        <v>685</v>
      </c>
      <c r="H57" s="3" t="s">
        <v>744</v>
      </c>
    </row>
    <row r="58">
      <c r="E58" s="8">
        <v>40.0</v>
      </c>
      <c r="F58" s="8" t="s">
        <v>748</v>
      </c>
      <c r="G58" s="8">
        <v>4000.0</v>
      </c>
      <c r="H58" s="8">
        <f t="shared" ref="H58:H59" si="7">G58/$G$56</f>
        <v>2</v>
      </c>
    </row>
    <row r="59">
      <c r="E59" s="8">
        <v>60.0</v>
      </c>
      <c r="F59" s="8" t="s">
        <v>749</v>
      </c>
      <c r="G59" s="8">
        <v>6000.0</v>
      </c>
      <c r="H59" s="8">
        <f t="shared" si="7"/>
        <v>3</v>
      </c>
    </row>
    <row r="62">
      <c r="E62" s="3" t="s">
        <v>750</v>
      </c>
      <c r="G62" s="8" t="s">
        <v>677</v>
      </c>
    </row>
    <row r="63">
      <c r="F63" s="8" t="s">
        <v>711</v>
      </c>
      <c r="G63" s="8">
        <v>1000.0</v>
      </c>
    </row>
    <row r="64">
      <c r="E64" s="3" t="s">
        <v>665</v>
      </c>
      <c r="F64" s="3" t="s">
        <v>667</v>
      </c>
      <c r="G64" s="3" t="s">
        <v>685</v>
      </c>
      <c r="H64" s="3" t="s">
        <v>744</v>
      </c>
    </row>
    <row r="65">
      <c r="E65" s="8">
        <v>20.0</v>
      </c>
      <c r="F65" s="8" t="s">
        <v>751</v>
      </c>
      <c r="G65" s="8">
        <v>2000.0</v>
      </c>
      <c r="H65" s="8">
        <f t="shared" ref="H65:H66" si="8">G65/$G$63</f>
        <v>2</v>
      </c>
    </row>
    <row r="66">
      <c r="E66" s="8">
        <v>40.0</v>
      </c>
      <c r="F66" s="8" t="s">
        <v>752</v>
      </c>
      <c r="G66" s="8">
        <v>4000.0</v>
      </c>
      <c r="H66" s="8">
        <f t="shared" si="8"/>
        <v>4</v>
      </c>
    </row>
    <row r="69">
      <c r="E69" s="3" t="s">
        <v>753</v>
      </c>
      <c r="G69" s="8" t="s">
        <v>677</v>
      </c>
    </row>
    <row r="70">
      <c r="F70" s="8" t="s">
        <v>717</v>
      </c>
      <c r="G70" s="8">
        <v>1000.0</v>
      </c>
    </row>
    <row r="71">
      <c r="F71" s="8" t="s">
        <v>730</v>
      </c>
      <c r="G71" s="8">
        <v>100.0</v>
      </c>
    </row>
    <row r="72">
      <c r="E72" s="3" t="s">
        <v>665</v>
      </c>
      <c r="F72" s="3" t="s">
        <v>667</v>
      </c>
      <c r="G72" s="3" t="s">
        <v>685</v>
      </c>
      <c r="H72" s="3" t="s">
        <v>754</v>
      </c>
      <c r="I72" s="3" t="s">
        <v>755</v>
      </c>
    </row>
    <row r="73">
      <c r="E73" s="8">
        <v>20.0</v>
      </c>
      <c r="F73" s="8" t="s">
        <v>756</v>
      </c>
      <c r="G73" s="8">
        <v>2000.0</v>
      </c>
      <c r="H73" s="8">
        <f t="shared" ref="H73:H75" si="9">G73/$G$70</f>
        <v>2</v>
      </c>
      <c r="I73" s="285">
        <f t="shared" ref="I73:I75" si="10">G73/$G$71</f>
        <v>20</v>
      </c>
    </row>
    <row r="74">
      <c r="E74" s="8">
        <v>40.0</v>
      </c>
      <c r="F74" s="8" t="s">
        <v>757</v>
      </c>
      <c r="G74" s="8">
        <v>4000.0</v>
      </c>
      <c r="H74" s="8">
        <f t="shared" si="9"/>
        <v>4</v>
      </c>
      <c r="I74" s="285">
        <f t="shared" si="10"/>
        <v>40</v>
      </c>
    </row>
    <row r="75">
      <c r="E75" s="8">
        <v>60.0</v>
      </c>
      <c r="F75" s="8" t="s">
        <v>758</v>
      </c>
      <c r="G75" s="8">
        <v>6000.0</v>
      </c>
      <c r="H75" s="8">
        <f t="shared" si="9"/>
        <v>6</v>
      </c>
      <c r="I75" s="285">
        <f t="shared" si="10"/>
        <v>60</v>
      </c>
    </row>
    <row r="78">
      <c r="E78" s="3" t="s">
        <v>759</v>
      </c>
      <c r="G78" s="8" t="s">
        <v>677</v>
      </c>
    </row>
    <row r="79">
      <c r="F79" s="8" t="s">
        <v>720</v>
      </c>
      <c r="G79" s="8">
        <v>200.0</v>
      </c>
    </row>
    <row r="80">
      <c r="E80" s="3" t="s">
        <v>665</v>
      </c>
      <c r="F80" s="3" t="s">
        <v>667</v>
      </c>
      <c r="G80" s="3" t="s">
        <v>685</v>
      </c>
      <c r="H80" s="3" t="s">
        <v>760</v>
      </c>
      <c r="I80" s="3"/>
    </row>
    <row r="81">
      <c r="E81" s="8">
        <v>20.0</v>
      </c>
      <c r="F81" s="8" t="s">
        <v>761</v>
      </c>
      <c r="G81" s="8">
        <v>2000.0</v>
      </c>
      <c r="H81" s="8">
        <f>G81/$G$79</f>
        <v>10</v>
      </c>
    </row>
    <row r="84">
      <c r="E84" s="3" t="s">
        <v>762</v>
      </c>
      <c r="G84" s="8" t="s">
        <v>677</v>
      </c>
    </row>
    <row r="85">
      <c r="F85" s="8" t="s">
        <v>719</v>
      </c>
      <c r="G85" s="8">
        <v>200.0</v>
      </c>
    </row>
    <row r="86">
      <c r="F86" s="8" t="s">
        <v>741</v>
      </c>
      <c r="G86" s="8">
        <v>2000.0</v>
      </c>
    </row>
    <row r="87">
      <c r="E87" s="3" t="s">
        <v>665</v>
      </c>
      <c r="F87" s="3" t="s">
        <v>667</v>
      </c>
      <c r="G87" s="3" t="s">
        <v>685</v>
      </c>
      <c r="H87" s="3" t="s">
        <v>763</v>
      </c>
      <c r="I87" s="3" t="s">
        <v>764</v>
      </c>
    </row>
    <row r="88">
      <c r="E88" s="8">
        <v>10.0</v>
      </c>
      <c r="F88" s="8" t="s">
        <v>765</v>
      </c>
      <c r="G88" s="8">
        <v>1000.0</v>
      </c>
      <c r="H88" s="8">
        <f t="shared" ref="H88:H91" si="11">G88/$G$85</f>
        <v>5</v>
      </c>
      <c r="I88" s="285">
        <f t="shared" ref="I88:I91" si="12">G88/$G$86</f>
        <v>0.5</v>
      </c>
    </row>
    <row r="89">
      <c r="E89" s="8">
        <v>20.0</v>
      </c>
      <c r="F89" s="8" t="s">
        <v>766</v>
      </c>
      <c r="G89" s="8">
        <v>2000.0</v>
      </c>
      <c r="H89" s="8">
        <f t="shared" si="11"/>
        <v>10</v>
      </c>
      <c r="I89" s="285">
        <f t="shared" si="12"/>
        <v>1</v>
      </c>
    </row>
    <row r="90">
      <c r="E90" s="8">
        <v>40.0</v>
      </c>
      <c r="F90" s="8" t="s">
        <v>767</v>
      </c>
      <c r="G90" s="8">
        <v>4000.0</v>
      </c>
      <c r="H90" s="8">
        <f t="shared" si="11"/>
        <v>20</v>
      </c>
      <c r="I90" s="285">
        <f t="shared" si="12"/>
        <v>2</v>
      </c>
    </row>
    <row r="91">
      <c r="E91" s="8">
        <v>60.0</v>
      </c>
      <c r="F91" s="8" t="s">
        <v>768</v>
      </c>
      <c r="G91" s="8">
        <v>6000.0</v>
      </c>
      <c r="H91" s="8">
        <f t="shared" si="11"/>
        <v>30</v>
      </c>
      <c r="I91" s="285">
        <f t="shared" si="12"/>
        <v>3</v>
      </c>
    </row>
    <row r="94">
      <c r="E94" s="3" t="s">
        <v>769</v>
      </c>
      <c r="G94" s="8" t="s">
        <v>677</v>
      </c>
    </row>
    <row r="95">
      <c r="F95" s="8" t="s">
        <v>770</v>
      </c>
      <c r="G95" s="8">
        <v>1500.0</v>
      </c>
    </row>
    <row r="96">
      <c r="F96" s="8" t="s">
        <v>728</v>
      </c>
      <c r="G96" s="8">
        <v>200.0</v>
      </c>
    </row>
    <row r="97">
      <c r="F97" s="8" t="s">
        <v>733</v>
      </c>
      <c r="G97" s="8">
        <v>1000.0</v>
      </c>
    </row>
    <row r="98">
      <c r="E98" s="3" t="s">
        <v>665</v>
      </c>
      <c r="F98" s="3" t="s">
        <v>667</v>
      </c>
      <c r="G98" s="3" t="s">
        <v>685</v>
      </c>
      <c r="H98" s="3" t="s">
        <v>771</v>
      </c>
      <c r="I98" s="3" t="s">
        <v>772</v>
      </c>
      <c r="J98" s="3" t="s">
        <v>773</v>
      </c>
    </row>
    <row r="99">
      <c r="E99" s="8">
        <v>20.0</v>
      </c>
      <c r="F99" s="8" t="s">
        <v>774</v>
      </c>
      <c r="G99" s="8">
        <v>2000.0</v>
      </c>
      <c r="H99" s="315">
        <f t="shared" ref="H99:H100" si="13">G99/$G$95</f>
        <v>1.333333333</v>
      </c>
      <c r="I99" s="285">
        <f t="shared" ref="I99:I100" si="14">G99/$G$96</f>
        <v>10</v>
      </c>
      <c r="J99" s="285">
        <f t="shared" ref="J99:J100" si="15">G99/$G$97</f>
        <v>2</v>
      </c>
    </row>
    <row r="100">
      <c r="E100" s="8">
        <v>40.0</v>
      </c>
      <c r="F100" s="8" t="s">
        <v>775</v>
      </c>
      <c r="G100" s="8">
        <v>4000.0</v>
      </c>
      <c r="H100" s="315">
        <f t="shared" si="13"/>
        <v>2.666666667</v>
      </c>
      <c r="I100" s="285">
        <f t="shared" si="14"/>
        <v>20</v>
      </c>
      <c r="J100" s="285">
        <f t="shared" si="15"/>
        <v>4</v>
      </c>
    </row>
    <row r="103">
      <c r="E103" s="3" t="s">
        <v>776</v>
      </c>
      <c r="G103" s="8" t="s">
        <v>677</v>
      </c>
    </row>
    <row r="104">
      <c r="F104" s="8" t="s">
        <v>695</v>
      </c>
      <c r="G104" s="8">
        <v>100.0</v>
      </c>
    </row>
    <row r="105">
      <c r="F105" s="8" t="s">
        <v>702</v>
      </c>
      <c r="G105" s="8">
        <v>100.0</v>
      </c>
    </row>
    <row r="106">
      <c r="F106" s="8" t="s">
        <v>707</v>
      </c>
      <c r="G106" s="8">
        <v>200.0</v>
      </c>
    </row>
    <row r="107">
      <c r="F107" s="8" t="s">
        <v>722</v>
      </c>
      <c r="G107" s="8">
        <v>200.0</v>
      </c>
    </row>
    <row r="108">
      <c r="F108" s="8" t="s">
        <v>724</v>
      </c>
      <c r="G108" s="8">
        <v>300.0</v>
      </c>
    </row>
    <row r="109">
      <c r="F109" s="8" t="s">
        <v>729</v>
      </c>
      <c r="G109" s="8">
        <v>100.0</v>
      </c>
    </row>
    <row r="110">
      <c r="F110" s="8" t="s">
        <v>735</v>
      </c>
      <c r="G110" s="8">
        <v>1.0</v>
      </c>
      <c r="L110" s="314" t="s">
        <v>777</v>
      </c>
    </row>
    <row r="111">
      <c r="E111" s="3" t="s">
        <v>665</v>
      </c>
      <c r="F111" s="3" t="s">
        <v>667</v>
      </c>
      <c r="G111" s="3" t="s">
        <v>685</v>
      </c>
      <c r="H111" s="3" t="s">
        <v>695</v>
      </c>
      <c r="I111" s="3" t="s">
        <v>702</v>
      </c>
      <c r="J111" s="3" t="s">
        <v>707</v>
      </c>
      <c r="K111" s="3" t="s">
        <v>722</v>
      </c>
      <c r="L111" s="3" t="s">
        <v>724</v>
      </c>
      <c r="M111" s="3" t="s">
        <v>729</v>
      </c>
      <c r="N111" s="3" t="s">
        <v>735</v>
      </c>
    </row>
    <row r="112">
      <c r="E112" s="8">
        <v>30.0</v>
      </c>
      <c r="F112" s="8" t="s">
        <v>778</v>
      </c>
      <c r="G112" s="8">
        <v>3000.0</v>
      </c>
      <c r="H112" s="316">
        <f t="shared" ref="H112:H113" si="16">G112/$G$104</f>
        <v>30</v>
      </c>
      <c r="I112" s="316">
        <f t="shared" ref="I112:I113" si="17">G112/$G$105</f>
        <v>30</v>
      </c>
      <c r="J112" s="316">
        <f t="shared" ref="J112:J113" si="18">G112/$G$106</f>
        <v>15</v>
      </c>
      <c r="K112" s="316">
        <f t="shared" ref="K112:K113" si="19">G112/$G$107</f>
        <v>15</v>
      </c>
      <c r="L112" s="316">
        <f t="shared" ref="L112:L113" si="20">G112/($G$107+$G$108)</f>
        <v>6</v>
      </c>
      <c r="M112" s="316">
        <f t="shared" ref="M112:M113" si="21">G112/$G$109</f>
        <v>30</v>
      </c>
      <c r="N112" s="316">
        <f t="shared" ref="N112:N113" si="22">G112/$G$110</f>
        <v>3000</v>
      </c>
    </row>
    <row r="113">
      <c r="E113" s="8">
        <v>50.0</v>
      </c>
      <c r="F113" s="8" t="s">
        <v>779</v>
      </c>
      <c r="G113" s="8">
        <v>5000.0</v>
      </c>
      <c r="H113" s="316">
        <f t="shared" si="16"/>
        <v>50</v>
      </c>
      <c r="I113" s="316">
        <f t="shared" si="17"/>
        <v>50</v>
      </c>
      <c r="J113" s="316">
        <f t="shared" si="18"/>
        <v>25</v>
      </c>
      <c r="K113" s="316">
        <f t="shared" si="19"/>
        <v>25</v>
      </c>
      <c r="L113" s="316">
        <f t="shared" si="20"/>
        <v>10</v>
      </c>
      <c r="M113" s="316">
        <f t="shared" si="21"/>
        <v>50</v>
      </c>
      <c r="N113" s="316">
        <f t="shared" si="22"/>
        <v>5000</v>
      </c>
    </row>
    <row r="116">
      <c r="E116" s="3" t="s">
        <v>780</v>
      </c>
      <c r="G116" s="8" t="s">
        <v>677</v>
      </c>
    </row>
    <row r="117">
      <c r="F117" s="8" t="s">
        <v>732</v>
      </c>
      <c r="G117" s="8">
        <v>500.0</v>
      </c>
    </row>
    <row r="118">
      <c r="E118" s="3" t="s">
        <v>665</v>
      </c>
      <c r="F118" s="3" t="s">
        <v>667</v>
      </c>
      <c r="G118" s="3" t="s">
        <v>685</v>
      </c>
      <c r="H118" s="3" t="s">
        <v>781</v>
      </c>
    </row>
    <row r="119">
      <c r="E119" s="8">
        <v>20.0</v>
      </c>
      <c r="F119" s="8" t="s">
        <v>782</v>
      </c>
      <c r="G119" s="8">
        <v>2000.0</v>
      </c>
      <c r="H119" s="8">
        <f t="shared" ref="H119:H121" si="23">G119/$G$117</f>
        <v>4</v>
      </c>
    </row>
    <row r="120">
      <c r="E120" s="8">
        <v>40.0</v>
      </c>
      <c r="F120" s="8" t="s">
        <v>783</v>
      </c>
      <c r="G120" s="8">
        <v>4000.0</v>
      </c>
      <c r="H120" s="8">
        <f t="shared" si="23"/>
        <v>8</v>
      </c>
    </row>
    <row r="121">
      <c r="E121" s="8">
        <v>60.0</v>
      </c>
      <c r="F121" s="8" t="s">
        <v>784</v>
      </c>
      <c r="G121" s="8">
        <v>6000.0</v>
      </c>
      <c r="H121" s="8">
        <f t="shared" si="23"/>
        <v>12</v>
      </c>
    </row>
    <row r="124">
      <c r="E124" s="3" t="s">
        <v>785</v>
      </c>
      <c r="G124" s="8" t="s">
        <v>677</v>
      </c>
    </row>
    <row r="125">
      <c r="F125" s="8" t="s">
        <v>742</v>
      </c>
      <c r="G125" s="8">
        <v>100.0</v>
      </c>
    </row>
    <row r="126">
      <c r="E126" s="3" t="s">
        <v>665</v>
      </c>
      <c r="F126" s="3" t="s">
        <v>667</v>
      </c>
      <c r="G126" s="3" t="s">
        <v>685</v>
      </c>
      <c r="H126" s="3" t="s">
        <v>786</v>
      </c>
    </row>
    <row r="127">
      <c r="E127" s="8">
        <v>40.0</v>
      </c>
      <c r="F127" s="8" t="s">
        <v>787</v>
      </c>
      <c r="G127" s="8">
        <v>4000.0</v>
      </c>
      <c r="H127" s="285">
        <f t="shared" ref="H127:H128" si="24">G127/$G$125</f>
        <v>40</v>
      </c>
    </row>
    <row r="128">
      <c r="E128" s="8">
        <v>50.0</v>
      </c>
      <c r="F128" s="8" t="s">
        <v>788</v>
      </c>
      <c r="G128" s="8">
        <v>5000.0</v>
      </c>
      <c r="H128" s="285">
        <f t="shared" si="24"/>
        <v>50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13"/>
  </cols>
  <sheetData>
    <row r="1">
      <c r="A1" s="317"/>
      <c r="B1" s="317"/>
      <c r="C1" s="317"/>
      <c r="D1" s="317"/>
      <c r="E1" s="317"/>
      <c r="F1" s="317"/>
      <c r="G1" s="317"/>
      <c r="H1" s="317"/>
      <c r="I1" s="318"/>
      <c r="J1" s="317"/>
      <c r="K1" s="317"/>
      <c r="L1" s="317"/>
      <c r="M1" s="317"/>
      <c r="N1" s="317"/>
      <c r="O1" s="318"/>
      <c r="P1" s="317"/>
      <c r="Q1" s="317"/>
      <c r="R1" s="317"/>
      <c r="S1" s="317"/>
      <c r="T1" s="317"/>
      <c r="U1" s="317"/>
      <c r="V1" s="317"/>
      <c r="W1" s="317"/>
      <c r="X1" s="317"/>
      <c r="Y1" s="317"/>
      <c r="Z1" s="317"/>
      <c r="AA1" s="317"/>
    </row>
    <row r="2">
      <c r="A2" s="317"/>
      <c r="B2" s="317"/>
      <c r="C2" s="318" t="s">
        <v>789</v>
      </c>
      <c r="D2" s="317"/>
      <c r="E2" s="317"/>
      <c r="F2" s="317"/>
      <c r="G2" s="317"/>
      <c r="H2" s="317"/>
      <c r="I2" s="318"/>
      <c r="J2" s="317"/>
      <c r="K2" s="317"/>
      <c r="L2" s="317"/>
      <c r="M2" s="317"/>
      <c r="N2" s="317"/>
      <c r="O2" s="318"/>
      <c r="P2" s="317"/>
      <c r="Q2" s="317"/>
      <c r="R2" s="317"/>
      <c r="S2" s="317"/>
      <c r="T2" s="317"/>
      <c r="U2" s="317"/>
      <c r="V2" s="317"/>
      <c r="W2" s="317"/>
      <c r="X2" s="317"/>
      <c r="Y2" s="317"/>
      <c r="Z2" s="317"/>
      <c r="AA2" s="317"/>
    </row>
    <row r="3">
      <c r="A3" s="317"/>
      <c r="B3" s="317"/>
      <c r="C3" s="317"/>
      <c r="D3" s="317"/>
      <c r="E3" s="317"/>
      <c r="F3" s="317"/>
      <c r="G3" s="317"/>
      <c r="H3" s="317"/>
      <c r="I3" s="318"/>
      <c r="J3" s="317"/>
      <c r="K3" s="317"/>
      <c r="L3" s="317"/>
      <c r="M3" s="317"/>
      <c r="N3" s="317"/>
      <c r="O3" s="318"/>
      <c r="P3" s="317"/>
      <c r="Q3" s="317"/>
      <c r="R3" s="317"/>
      <c r="S3" s="317"/>
      <c r="T3" s="317"/>
      <c r="U3" s="317"/>
      <c r="V3" s="317"/>
      <c r="W3" s="317"/>
      <c r="X3" s="317"/>
      <c r="Y3" s="317"/>
      <c r="Z3" s="317"/>
      <c r="AA3" s="317"/>
    </row>
    <row r="4">
      <c r="A4" s="318"/>
      <c r="B4" s="318"/>
      <c r="C4" s="318"/>
      <c r="D4" s="317"/>
      <c r="E4" s="317"/>
      <c r="F4" s="317"/>
      <c r="G4" s="319" t="s">
        <v>790</v>
      </c>
      <c r="H4" s="317"/>
      <c r="I4" s="317"/>
      <c r="J4" s="317"/>
      <c r="K4" s="317"/>
      <c r="L4" s="317"/>
      <c r="M4" s="320" t="s">
        <v>791</v>
      </c>
      <c r="N4" s="321"/>
      <c r="O4" s="321"/>
      <c r="P4" s="321"/>
      <c r="Q4" s="321"/>
      <c r="R4" s="317"/>
      <c r="S4" s="317"/>
      <c r="T4" s="317"/>
      <c r="U4" s="317"/>
      <c r="V4" s="317"/>
      <c r="W4" s="317"/>
      <c r="X4" s="317"/>
      <c r="Y4" s="317"/>
      <c r="Z4" s="317"/>
      <c r="AA4" s="317"/>
    </row>
    <row r="5">
      <c r="A5" s="317"/>
      <c r="B5" s="317"/>
      <c r="C5" s="318" t="s">
        <v>792</v>
      </c>
      <c r="D5" s="317"/>
      <c r="E5" s="317"/>
      <c r="F5" s="317"/>
      <c r="G5" s="318" t="s">
        <v>665</v>
      </c>
      <c r="H5" s="318" t="s">
        <v>667</v>
      </c>
      <c r="I5" s="318" t="s">
        <v>685</v>
      </c>
      <c r="J5" s="318" t="s">
        <v>793</v>
      </c>
      <c r="K5" s="318" t="s">
        <v>794</v>
      </c>
      <c r="L5" s="317"/>
      <c r="M5" s="318" t="s">
        <v>665</v>
      </c>
      <c r="N5" s="318" t="s">
        <v>667</v>
      </c>
      <c r="O5" s="318" t="s">
        <v>685</v>
      </c>
      <c r="P5" s="318" t="s">
        <v>793</v>
      </c>
      <c r="Q5" s="318" t="s">
        <v>794</v>
      </c>
      <c r="R5" s="317"/>
      <c r="S5" s="317"/>
      <c r="T5" s="317"/>
      <c r="U5" s="317"/>
      <c r="V5" s="317"/>
      <c r="W5" s="317"/>
      <c r="X5" s="317"/>
      <c r="Y5" s="317"/>
      <c r="Z5" s="317"/>
      <c r="AA5" s="317"/>
    </row>
    <row r="6">
      <c r="A6" s="317"/>
      <c r="B6" s="317"/>
      <c r="C6" s="319"/>
      <c r="D6" s="318"/>
      <c r="E6" s="318"/>
      <c r="F6" s="317"/>
      <c r="G6" s="318">
        <v>30.0</v>
      </c>
      <c r="H6" s="318" t="s">
        <v>670</v>
      </c>
      <c r="I6" s="318">
        <v>30000.0</v>
      </c>
      <c r="J6" s="317">
        <f t="shared" ref="J6:J13" si="1">SUMPRODUCT($B$9:$B$42,$D$9:$D$42)</f>
        <v>0</v>
      </c>
      <c r="K6" s="322">
        <f t="shared" ref="K6:K13" si="2">J6/I6</f>
        <v>0</v>
      </c>
      <c r="L6" s="317"/>
      <c r="M6" s="318">
        <v>40.0</v>
      </c>
      <c r="N6" s="318" t="s">
        <v>748</v>
      </c>
      <c r="O6" s="318">
        <v>4000.0</v>
      </c>
      <c r="P6" s="317">
        <f t="shared" ref="P6:P7" si="3">SUMPRODUCT($B$22,$E$22)</f>
        <v>0</v>
      </c>
      <c r="Q6" s="322">
        <f t="shared" ref="Q6:Q7" si="4">P6/O6</f>
        <v>0</v>
      </c>
      <c r="R6" s="317"/>
      <c r="S6" s="317"/>
      <c r="T6" s="317"/>
      <c r="U6" s="317"/>
      <c r="V6" s="317"/>
      <c r="W6" s="317"/>
      <c r="X6" s="317"/>
      <c r="Y6" s="317"/>
      <c r="Z6" s="317"/>
      <c r="AA6" s="317"/>
    </row>
    <row r="7">
      <c r="A7" s="323"/>
      <c r="B7" s="323" t="s">
        <v>795</v>
      </c>
      <c r="C7" s="319"/>
      <c r="D7" s="319"/>
      <c r="E7" s="319"/>
      <c r="F7" s="317"/>
      <c r="G7" s="318">
        <v>40.0</v>
      </c>
      <c r="H7" s="318" t="s">
        <v>673</v>
      </c>
      <c r="I7" s="318">
        <v>40000.0</v>
      </c>
      <c r="J7" s="317">
        <f t="shared" si="1"/>
        <v>0</v>
      </c>
      <c r="K7" s="322">
        <f t="shared" si="2"/>
        <v>0</v>
      </c>
      <c r="L7" s="317"/>
      <c r="M7" s="318">
        <v>60.0</v>
      </c>
      <c r="N7" s="318" t="s">
        <v>749</v>
      </c>
      <c r="O7" s="318">
        <v>6000.0</v>
      </c>
      <c r="P7" s="317">
        <f t="shared" si="3"/>
        <v>0</v>
      </c>
      <c r="Q7" s="322">
        <f t="shared" si="4"/>
        <v>0</v>
      </c>
      <c r="R7" s="317"/>
      <c r="S7" s="317"/>
      <c r="T7" s="317"/>
      <c r="U7" s="317"/>
      <c r="V7" s="317"/>
      <c r="W7" s="317"/>
      <c r="X7" s="317"/>
      <c r="Y7" s="317"/>
      <c r="Z7" s="317"/>
      <c r="AA7" s="317"/>
    </row>
    <row r="8">
      <c r="A8" s="317"/>
      <c r="B8" s="319" t="s">
        <v>796</v>
      </c>
      <c r="C8" s="319" t="s">
        <v>797</v>
      </c>
      <c r="D8" s="318" t="s">
        <v>677</v>
      </c>
      <c r="E8" s="318" t="s">
        <v>798</v>
      </c>
      <c r="F8" s="317"/>
      <c r="G8" s="318">
        <v>50.0</v>
      </c>
      <c r="H8" s="318" t="s">
        <v>674</v>
      </c>
      <c r="I8" s="318">
        <v>50000.0</v>
      </c>
      <c r="J8" s="317">
        <f t="shared" si="1"/>
        <v>0</v>
      </c>
      <c r="K8" s="322">
        <f t="shared" si="2"/>
        <v>0</v>
      </c>
      <c r="L8" s="317"/>
      <c r="M8" s="317"/>
      <c r="N8" s="317"/>
      <c r="O8" s="317"/>
      <c r="P8" s="317"/>
      <c r="Q8" s="317"/>
      <c r="R8" s="317"/>
      <c r="S8" s="317"/>
      <c r="T8" s="317"/>
      <c r="U8" s="317"/>
      <c r="V8" s="317"/>
      <c r="W8" s="317"/>
      <c r="X8" s="317"/>
      <c r="Y8" s="317"/>
      <c r="Z8" s="317"/>
      <c r="AA8" s="317"/>
    </row>
    <row r="9">
      <c r="A9" s="318"/>
      <c r="B9" s="324">
        <v>0.0</v>
      </c>
      <c r="C9" s="318" t="s">
        <v>691</v>
      </c>
      <c r="D9" s="318">
        <v>12000.0</v>
      </c>
      <c r="E9" s="317"/>
      <c r="F9" s="317"/>
      <c r="G9" s="318">
        <v>60.0</v>
      </c>
      <c r="H9" s="318" t="s">
        <v>675</v>
      </c>
      <c r="I9" s="318">
        <v>60000.0</v>
      </c>
      <c r="J9" s="317">
        <f t="shared" si="1"/>
        <v>0</v>
      </c>
      <c r="K9" s="322">
        <f t="shared" si="2"/>
        <v>0</v>
      </c>
      <c r="L9" s="317"/>
      <c r="M9" s="325" t="s">
        <v>799</v>
      </c>
      <c r="N9" s="326"/>
      <c r="O9" s="326"/>
      <c r="P9" s="326"/>
      <c r="Q9" s="326"/>
      <c r="R9" s="317"/>
      <c r="S9" s="317"/>
      <c r="T9" s="317"/>
      <c r="U9" s="317"/>
      <c r="V9" s="317"/>
      <c r="W9" s="317"/>
      <c r="X9" s="317"/>
      <c r="Y9" s="317"/>
      <c r="Z9" s="317"/>
      <c r="AA9" s="317"/>
    </row>
    <row r="10">
      <c r="A10" s="317"/>
      <c r="B10" s="324">
        <v>0.0</v>
      </c>
      <c r="C10" s="318" t="s">
        <v>693</v>
      </c>
      <c r="D10" s="318">
        <v>6000.0</v>
      </c>
      <c r="E10" s="317"/>
      <c r="F10" s="317"/>
      <c r="G10" s="318">
        <v>70.0</v>
      </c>
      <c r="H10" s="318" t="s">
        <v>678</v>
      </c>
      <c r="I10" s="318">
        <v>70000.0</v>
      </c>
      <c r="J10" s="317">
        <f t="shared" si="1"/>
        <v>0</v>
      </c>
      <c r="K10" s="322">
        <f t="shared" si="2"/>
        <v>0</v>
      </c>
      <c r="L10" s="317"/>
      <c r="M10" s="318" t="s">
        <v>665</v>
      </c>
      <c r="N10" s="318" t="s">
        <v>667</v>
      </c>
      <c r="O10" s="318" t="s">
        <v>685</v>
      </c>
      <c r="P10" s="318" t="s">
        <v>793</v>
      </c>
      <c r="Q10" s="318" t="s">
        <v>794</v>
      </c>
      <c r="R10" s="317"/>
      <c r="S10" s="317"/>
      <c r="T10" s="317"/>
      <c r="U10" s="317"/>
      <c r="V10" s="317"/>
      <c r="W10" s="317"/>
      <c r="X10" s="317"/>
      <c r="Y10" s="317"/>
      <c r="Z10" s="317"/>
      <c r="AA10" s="317"/>
    </row>
    <row r="11">
      <c r="A11" s="317"/>
      <c r="B11" s="324">
        <v>0.0</v>
      </c>
      <c r="C11" s="327" t="s">
        <v>695</v>
      </c>
      <c r="D11" s="318">
        <v>100.0</v>
      </c>
      <c r="E11" s="318">
        <v>100.0</v>
      </c>
      <c r="F11" s="317"/>
      <c r="G11" s="318">
        <v>80.0</v>
      </c>
      <c r="H11" s="318" t="s">
        <v>680</v>
      </c>
      <c r="I11" s="318">
        <v>80000.0</v>
      </c>
      <c r="J11" s="317">
        <f t="shared" si="1"/>
        <v>0</v>
      </c>
      <c r="K11" s="322">
        <f t="shared" si="2"/>
        <v>0</v>
      </c>
      <c r="L11" s="317"/>
      <c r="M11" s="318">
        <v>20.0</v>
      </c>
      <c r="N11" s="318" t="s">
        <v>751</v>
      </c>
      <c r="O11" s="318">
        <v>2000.0</v>
      </c>
      <c r="P11" s="317">
        <f t="shared" ref="P11:P12" si="5">SUMPRODUCT($B$20,$E$20)</f>
        <v>0</v>
      </c>
      <c r="Q11" s="322">
        <f t="shared" ref="Q11:Q12" si="6">P11/O11</f>
        <v>0</v>
      </c>
      <c r="R11" s="317"/>
      <c r="S11" s="317"/>
      <c r="T11" s="317"/>
      <c r="U11" s="317"/>
      <c r="V11" s="317"/>
      <c r="W11" s="317"/>
      <c r="X11" s="317"/>
      <c r="Y11" s="317"/>
      <c r="Z11" s="317"/>
      <c r="AA11" s="317"/>
    </row>
    <row r="12">
      <c r="A12" s="317"/>
      <c r="B12" s="324">
        <v>0.0</v>
      </c>
      <c r="C12" s="328" t="s">
        <v>697</v>
      </c>
      <c r="D12" s="318">
        <v>200.0</v>
      </c>
      <c r="E12" s="318">
        <v>500.0</v>
      </c>
      <c r="F12" s="317"/>
      <c r="G12" s="318">
        <v>90.0</v>
      </c>
      <c r="H12" s="318" t="s">
        <v>682</v>
      </c>
      <c r="I12" s="318">
        <v>90000.0</v>
      </c>
      <c r="J12" s="317">
        <f t="shared" si="1"/>
        <v>0</v>
      </c>
      <c r="K12" s="322">
        <f t="shared" si="2"/>
        <v>0</v>
      </c>
      <c r="L12" s="317"/>
      <c r="M12" s="318">
        <v>40.0</v>
      </c>
      <c r="N12" s="318" t="s">
        <v>752</v>
      </c>
      <c r="O12" s="318">
        <v>4000.0</v>
      </c>
      <c r="P12" s="317">
        <f t="shared" si="5"/>
        <v>0</v>
      </c>
      <c r="Q12" s="322">
        <f t="shared" si="6"/>
        <v>0</v>
      </c>
      <c r="R12" s="317"/>
      <c r="S12" s="317"/>
      <c r="T12" s="317"/>
      <c r="U12" s="317"/>
      <c r="V12" s="317"/>
      <c r="W12" s="317"/>
      <c r="X12" s="317"/>
      <c r="Y12" s="317"/>
      <c r="Z12" s="317"/>
      <c r="AA12" s="317"/>
    </row>
    <row r="13">
      <c r="A13" s="317"/>
      <c r="B13" s="324">
        <v>0.0</v>
      </c>
      <c r="C13" s="329" t="s">
        <v>699</v>
      </c>
      <c r="D13" s="318">
        <v>1000.0</v>
      </c>
      <c r="E13" s="318">
        <v>1000.0</v>
      </c>
      <c r="F13" s="317"/>
      <c r="G13" s="318">
        <v>100.0</v>
      </c>
      <c r="H13" s="318" t="s">
        <v>684</v>
      </c>
      <c r="I13" s="318">
        <v>100000.0</v>
      </c>
      <c r="J13" s="317">
        <f t="shared" si="1"/>
        <v>0</v>
      </c>
      <c r="K13" s="322">
        <f t="shared" si="2"/>
        <v>0</v>
      </c>
      <c r="L13" s="317"/>
      <c r="M13" s="317"/>
      <c r="N13" s="317"/>
      <c r="O13" s="317"/>
      <c r="P13" s="317"/>
      <c r="Q13" s="317"/>
      <c r="R13" s="317"/>
      <c r="S13" s="317"/>
      <c r="T13" s="317"/>
      <c r="U13" s="317"/>
      <c r="V13" s="317"/>
      <c r="W13" s="317"/>
      <c r="X13" s="317"/>
      <c r="Y13" s="317"/>
      <c r="Z13" s="317"/>
      <c r="AA13" s="317"/>
    </row>
    <row r="14">
      <c r="A14" s="317"/>
      <c r="B14" s="324">
        <v>0.0</v>
      </c>
      <c r="C14" s="329" t="s">
        <v>701</v>
      </c>
      <c r="D14" s="318">
        <v>2000.0</v>
      </c>
      <c r="E14" s="318">
        <v>2000.0</v>
      </c>
      <c r="F14" s="317"/>
      <c r="G14" s="317"/>
      <c r="H14" s="317"/>
      <c r="I14" s="317"/>
      <c r="J14" s="317"/>
      <c r="K14" s="317"/>
      <c r="L14" s="317"/>
      <c r="M14" s="330" t="s">
        <v>800</v>
      </c>
      <c r="N14" s="331"/>
      <c r="O14" s="331"/>
      <c r="P14" s="331"/>
      <c r="Q14" s="331"/>
      <c r="R14" s="317"/>
      <c r="S14" s="317"/>
      <c r="T14" s="317"/>
      <c r="U14" s="317"/>
      <c r="V14" s="317"/>
      <c r="W14" s="317"/>
      <c r="X14" s="317"/>
      <c r="Y14" s="317"/>
      <c r="Z14" s="317"/>
      <c r="AA14" s="317"/>
    </row>
    <row r="15">
      <c r="A15" s="317"/>
      <c r="B15" s="324">
        <v>0.0</v>
      </c>
      <c r="C15" s="327" t="s">
        <v>702</v>
      </c>
      <c r="D15" s="318">
        <v>100.0</v>
      </c>
      <c r="E15" s="318">
        <v>100.0</v>
      </c>
      <c r="F15" s="317"/>
      <c r="G15" s="319" t="s">
        <v>664</v>
      </c>
      <c r="H15" s="318"/>
      <c r="I15" s="318"/>
      <c r="J15" s="317"/>
      <c r="K15" s="317"/>
      <c r="L15" s="317"/>
      <c r="M15" s="318" t="s">
        <v>665</v>
      </c>
      <c r="N15" s="318" t="s">
        <v>667</v>
      </c>
      <c r="O15" s="318" t="s">
        <v>685</v>
      </c>
      <c r="P15" s="318" t="s">
        <v>793</v>
      </c>
      <c r="Q15" s="318" t="s">
        <v>794</v>
      </c>
      <c r="R15" s="317"/>
      <c r="S15" s="317"/>
      <c r="T15" s="317"/>
      <c r="U15" s="317"/>
      <c r="V15" s="317"/>
      <c r="W15" s="317"/>
      <c r="X15" s="317"/>
      <c r="Y15" s="317"/>
      <c r="Z15" s="317"/>
      <c r="AA15" s="317"/>
    </row>
    <row r="16">
      <c r="A16" s="317"/>
      <c r="B16" s="324">
        <v>0.0</v>
      </c>
      <c r="C16" s="329" t="s">
        <v>703</v>
      </c>
      <c r="D16" s="318">
        <v>1000.0</v>
      </c>
      <c r="E16" s="318">
        <v>1000.0</v>
      </c>
      <c r="F16" s="317"/>
      <c r="G16" s="332" t="s">
        <v>801</v>
      </c>
      <c r="H16" s="333"/>
      <c r="I16" s="333"/>
      <c r="J16" s="334"/>
      <c r="K16" s="334"/>
      <c r="L16" s="317"/>
      <c r="M16" s="318">
        <v>20.0</v>
      </c>
      <c r="N16" s="318" t="s">
        <v>756</v>
      </c>
      <c r="O16" s="318">
        <v>2000.0</v>
      </c>
      <c r="P16" s="317">
        <f t="shared" ref="P16:P18" si="7">SUMPRODUCT($B$24,$E$24)+SUMPRODUCT($B$32,$E$32)</f>
        <v>0</v>
      </c>
      <c r="Q16" s="322">
        <f t="shared" ref="Q16:Q18" si="8">P16/O16</f>
        <v>0</v>
      </c>
      <c r="R16" s="317"/>
      <c r="S16" s="317"/>
      <c r="T16" s="317"/>
      <c r="U16" s="317"/>
      <c r="V16" s="317"/>
      <c r="W16" s="317"/>
      <c r="X16" s="317"/>
      <c r="Y16" s="317"/>
      <c r="Z16" s="317"/>
      <c r="AA16" s="317"/>
    </row>
    <row r="17">
      <c r="A17" s="317"/>
      <c r="B17" s="324">
        <v>0.0</v>
      </c>
      <c r="C17" s="329" t="s">
        <v>705</v>
      </c>
      <c r="D17" s="318">
        <v>2000.0</v>
      </c>
      <c r="E17" s="318">
        <v>2000.0</v>
      </c>
      <c r="F17" s="317"/>
      <c r="G17" s="318" t="s">
        <v>665</v>
      </c>
      <c r="H17" s="318" t="s">
        <v>667</v>
      </c>
      <c r="I17" s="318" t="s">
        <v>685</v>
      </c>
      <c r="J17" s="318" t="s">
        <v>793</v>
      </c>
      <c r="K17" s="318" t="s">
        <v>794</v>
      </c>
      <c r="L17" s="317"/>
      <c r="M17" s="318">
        <v>40.0</v>
      </c>
      <c r="N17" s="318" t="s">
        <v>757</v>
      </c>
      <c r="O17" s="318">
        <v>4000.0</v>
      </c>
      <c r="P17" s="317">
        <f t="shared" si="7"/>
        <v>0</v>
      </c>
      <c r="Q17" s="322">
        <f t="shared" si="8"/>
        <v>0</v>
      </c>
      <c r="R17" s="317"/>
      <c r="S17" s="317"/>
      <c r="T17" s="317"/>
      <c r="U17" s="317"/>
      <c r="V17" s="317"/>
      <c r="W17" s="317"/>
      <c r="X17" s="317"/>
      <c r="Y17" s="317"/>
      <c r="Z17" s="317"/>
      <c r="AA17" s="317"/>
    </row>
    <row r="18">
      <c r="A18" s="318"/>
      <c r="B18" s="324">
        <v>0.0</v>
      </c>
      <c r="C18" s="327" t="s">
        <v>707</v>
      </c>
      <c r="D18" s="318">
        <v>200.0</v>
      </c>
      <c r="E18" s="318">
        <v>200.0</v>
      </c>
      <c r="F18" s="317"/>
      <c r="G18" s="318">
        <v>10.0</v>
      </c>
      <c r="H18" s="318" t="s">
        <v>688</v>
      </c>
      <c r="I18" s="318">
        <v>1200.0</v>
      </c>
      <c r="J18" s="317">
        <f t="shared" ref="J18:J24" si="9">SUMPRODUCT($B$38:$B$40,$E$38:$E$40)</f>
        <v>0</v>
      </c>
      <c r="K18" s="322">
        <f t="shared" ref="K18:K24" si="10">J18/I18</f>
        <v>0</v>
      </c>
      <c r="L18" s="317"/>
      <c r="M18" s="318">
        <v>60.0</v>
      </c>
      <c r="N18" s="318" t="s">
        <v>758</v>
      </c>
      <c r="O18" s="318">
        <v>6000.0</v>
      </c>
      <c r="P18" s="317">
        <f t="shared" si="7"/>
        <v>0</v>
      </c>
      <c r="Q18" s="322">
        <f t="shared" si="8"/>
        <v>0</v>
      </c>
      <c r="R18" s="317"/>
      <c r="S18" s="317"/>
      <c r="T18" s="317"/>
      <c r="U18" s="317"/>
      <c r="V18" s="317"/>
      <c r="W18" s="317"/>
      <c r="X18" s="317"/>
      <c r="Y18" s="317"/>
      <c r="Z18" s="317"/>
      <c r="AA18" s="317"/>
    </row>
    <row r="19">
      <c r="A19" s="317"/>
      <c r="B19" s="324">
        <v>0.0</v>
      </c>
      <c r="C19" s="335" t="s">
        <v>709</v>
      </c>
      <c r="D19" s="318">
        <v>2000.0</v>
      </c>
      <c r="E19" s="318">
        <v>2000.0</v>
      </c>
      <c r="F19" s="317"/>
      <c r="G19" s="318">
        <v>20.0</v>
      </c>
      <c r="H19" s="318" t="s">
        <v>690</v>
      </c>
      <c r="I19" s="318">
        <v>2000.0</v>
      </c>
      <c r="J19" s="317">
        <f t="shared" si="9"/>
        <v>0</v>
      </c>
      <c r="K19" s="322">
        <f t="shared" si="10"/>
        <v>0</v>
      </c>
      <c r="L19" s="317"/>
      <c r="M19" s="317"/>
      <c r="N19" s="317"/>
      <c r="O19" s="317"/>
      <c r="P19" s="317"/>
      <c r="Q19" s="317"/>
      <c r="R19" s="317"/>
      <c r="S19" s="317"/>
      <c r="T19" s="317"/>
      <c r="U19" s="317"/>
      <c r="V19" s="317"/>
      <c r="W19" s="317"/>
      <c r="X19" s="317"/>
      <c r="Y19" s="317"/>
      <c r="Z19" s="317"/>
      <c r="AA19" s="317"/>
    </row>
    <row r="20">
      <c r="A20" s="317"/>
      <c r="B20" s="324">
        <v>0.0</v>
      </c>
      <c r="C20" s="336" t="s">
        <v>711</v>
      </c>
      <c r="D20" s="318">
        <v>1000.0</v>
      </c>
      <c r="E20" s="318">
        <v>1000.0</v>
      </c>
      <c r="F20" s="317"/>
      <c r="G20" s="318">
        <v>30.0</v>
      </c>
      <c r="H20" s="318" t="s">
        <v>692</v>
      </c>
      <c r="I20" s="318">
        <v>3000.0</v>
      </c>
      <c r="J20" s="317">
        <f t="shared" si="9"/>
        <v>0</v>
      </c>
      <c r="K20" s="322">
        <f t="shared" si="10"/>
        <v>0</v>
      </c>
      <c r="L20" s="317"/>
      <c r="M20" s="337" t="s">
        <v>802</v>
      </c>
      <c r="N20" s="338"/>
      <c r="O20" s="338"/>
      <c r="P20" s="338"/>
      <c r="Q20" s="338"/>
      <c r="R20" s="317"/>
      <c r="S20" s="317"/>
      <c r="T20" s="317"/>
      <c r="U20" s="317"/>
      <c r="V20" s="317"/>
      <c r="W20" s="317"/>
      <c r="X20" s="317"/>
      <c r="Y20" s="317"/>
      <c r="Z20" s="317"/>
      <c r="AA20" s="317"/>
    </row>
    <row r="21">
      <c r="A21" s="323"/>
      <c r="B21" s="324">
        <v>0.0</v>
      </c>
      <c r="C21" s="335" t="s">
        <v>713</v>
      </c>
      <c r="D21" s="318">
        <v>2000.0</v>
      </c>
      <c r="E21" s="318">
        <v>2000.0</v>
      </c>
      <c r="F21" s="317"/>
      <c r="G21" s="318">
        <v>40.0</v>
      </c>
      <c r="H21" s="318" t="s">
        <v>694</v>
      </c>
      <c r="I21" s="318">
        <v>4000.0</v>
      </c>
      <c r="J21" s="317">
        <f t="shared" si="9"/>
        <v>0</v>
      </c>
      <c r="K21" s="322">
        <f t="shared" si="10"/>
        <v>0</v>
      </c>
      <c r="L21" s="317"/>
      <c r="M21" s="323" t="s">
        <v>665</v>
      </c>
      <c r="N21" s="318" t="s">
        <v>667</v>
      </c>
      <c r="O21" s="318" t="s">
        <v>685</v>
      </c>
      <c r="P21" s="318" t="s">
        <v>793</v>
      </c>
      <c r="Q21" s="318" t="s">
        <v>794</v>
      </c>
      <c r="R21" s="317"/>
      <c r="S21" s="317"/>
      <c r="T21" s="317"/>
      <c r="U21" s="317"/>
      <c r="V21" s="317"/>
      <c r="W21" s="317"/>
      <c r="X21" s="317"/>
      <c r="Y21" s="317"/>
      <c r="Z21" s="317"/>
      <c r="AA21" s="317"/>
    </row>
    <row r="22">
      <c r="A22" s="317"/>
      <c r="B22" s="324">
        <v>0.0</v>
      </c>
      <c r="C22" s="339" t="s">
        <v>715</v>
      </c>
      <c r="D22" s="318">
        <v>2000.0</v>
      </c>
      <c r="E22" s="318">
        <v>2000.0</v>
      </c>
      <c r="F22" s="317"/>
      <c r="G22" s="318">
        <v>50.0</v>
      </c>
      <c r="H22" s="318" t="s">
        <v>803</v>
      </c>
      <c r="I22" s="318">
        <v>5000.0</v>
      </c>
      <c r="J22" s="317">
        <f t="shared" si="9"/>
        <v>0</v>
      </c>
      <c r="K22" s="322">
        <f t="shared" si="10"/>
        <v>0</v>
      </c>
      <c r="L22" s="317"/>
      <c r="M22" s="318">
        <v>20.0</v>
      </c>
      <c r="N22" s="318" t="s">
        <v>761</v>
      </c>
      <c r="O22" s="318">
        <v>2000.0</v>
      </c>
      <c r="P22" s="317">
        <f>SUMPRODUCT($B$26,$E$26)</f>
        <v>0</v>
      </c>
      <c r="Q22" s="322">
        <f>P22/O22</f>
        <v>0</v>
      </c>
      <c r="R22" s="317"/>
      <c r="S22" s="317"/>
      <c r="T22" s="317"/>
      <c r="U22" s="317"/>
      <c r="V22" s="317"/>
      <c r="W22" s="317"/>
      <c r="X22" s="317"/>
      <c r="Y22" s="317"/>
      <c r="Z22" s="317"/>
      <c r="AA22" s="317"/>
    </row>
    <row r="23">
      <c r="A23" s="318"/>
      <c r="B23" s="324">
        <v>0.0</v>
      </c>
      <c r="C23" s="318" t="s">
        <v>716</v>
      </c>
      <c r="D23" s="318">
        <v>-2000.0</v>
      </c>
      <c r="E23" s="318"/>
      <c r="F23" s="317"/>
      <c r="G23" s="318">
        <v>60.0</v>
      </c>
      <c r="H23" s="318" t="s">
        <v>698</v>
      </c>
      <c r="I23" s="318">
        <v>6000.0</v>
      </c>
      <c r="J23" s="317">
        <f t="shared" si="9"/>
        <v>0</v>
      </c>
      <c r="K23" s="322">
        <f t="shared" si="10"/>
        <v>0</v>
      </c>
      <c r="L23" s="317"/>
      <c r="M23" s="317"/>
      <c r="N23" s="317"/>
      <c r="O23" s="317"/>
      <c r="P23" s="317"/>
      <c r="Q23" s="322"/>
      <c r="R23" s="317"/>
      <c r="S23" s="317"/>
      <c r="T23" s="317"/>
      <c r="U23" s="317"/>
      <c r="V23" s="317"/>
      <c r="W23" s="317"/>
      <c r="X23" s="317"/>
      <c r="Y23" s="317"/>
      <c r="Z23" s="317"/>
      <c r="AA23" s="317"/>
    </row>
    <row r="24">
      <c r="A24" s="317"/>
      <c r="B24" s="324">
        <v>0.0</v>
      </c>
      <c r="C24" s="340" t="s">
        <v>717</v>
      </c>
      <c r="D24" s="318">
        <v>1000.0</v>
      </c>
      <c r="E24" s="318">
        <v>1000.0</v>
      </c>
      <c r="F24" s="317"/>
      <c r="G24" s="318">
        <v>70.0</v>
      </c>
      <c r="H24" s="318" t="s">
        <v>700</v>
      </c>
      <c r="I24" s="318">
        <v>7000.0</v>
      </c>
      <c r="J24" s="317">
        <f t="shared" si="9"/>
        <v>0</v>
      </c>
      <c r="K24" s="322">
        <f t="shared" si="10"/>
        <v>0</v>
      </c>
      <c r="L24" s="317"/>
      <c r="M24" s="341" t="s">
        <v>804</v>
      </c>
      <c r="N24" s="342"/>
      <c r="O24" s="342"/>
      <c r="P24" s="342"/>
      <c r="Q24" s="343"/>
      <c r="R24" s="317"/>
      <c r="S24" s="317"/>
      <c r="T24" s="317"/>
      <c r="U24" s="317"/>
      <c r="V24" s="317"/>
      <c r="W24" s="317"/>
      <c r="X24" s="317"/>
      <c r="Y24" s="317"/>
      <c r="Z24" s="317"/>
      <c r="AA24" s="317"/>
    </row>
    <row r="25">
      <c r="A25" s="317"/>
      <c r="B25" s="324">
        <v>0.0</v>
      </c>
      <c r="C25" s="344" t="s">
        <v>719</v>
      </c>
      <c r="D25" s="318">
        <v>50.0</v>
      </c>
      <c r="E25" s="318">
        <v>200.0</v>
      </c>
      <c r="F25" s="317"/>
      <c r="G25" s="317"/>
      <c r="H25" s="317"/>
      <c r="I25" s="317"/>
      <c r="J25" s="317"/>
      <c r="K25" s="317"/>
      <c r="L25" s="317"/>
      <c r="M25" s="318" t="s">
        <v>665</v>
      </c>
      <c r="N25" s="318" t="s">
        <v>667</v>
      </c>
      <c r="O25" s="318" t="s">
        <v>685</v>
      </c>
      <c r="P25" s="318" t="s">
        <v>793</v>
      </c>
      <c r="Q25" s="318" t="s">
        <v>794</v>
      </c>
      <c r="R25" s="317"/>
      <c r="S25" s="317"/>
      <c r="T25" s="317"/>
      <c r="U25" s="317"/>
      <c r="V25" s="317"/>
      <c r="W25" s="317"/>
      <c r="X25" s="317"/>
      <c r="Y25" s="317"/>
      <c r="Z25" s="317"/>
      <c r="AA25" s="317"/>
    </row>
    <row r="26">
      <c r="A26" s="317"/>
      <c r="B26" s="324">
        <v>0.0</v>
      </c>
      <c r="C26" s="345" t="s">
        <v>720</v>
      </c>
      <c r="D26" s="318">
        <v>200.0</v>
      </c>
      <c r="E26" s="318">
        <v>200.0</v>
      </c>
      <c r="F26" s="317"/>
      <c r="G26" s="346" t="s">
        <v>805</v>
      </c>
      <c r="H26" s="347"/>
      <c r="I26" s="347"/>
      <c r="J26" s="347"/>
      <c r="K26" s="347"/>
      <c r="L26" s="317"/>
      <c r="M26" s="318">
        <v>10.0</v>
      </c>
      <c r="N26" s="318" t="s">
        <v>765</v>
      </c>
      <c r="O26" s="318">
        <v>1000.0</v>
      </c>
      <c r="P26" s="317">
        <f t="shared" ref="P26:P29" si="11">SUMPRODUCT($B$41,$E$41)+SUMPRODUCT($B$25,$E$25)</f>
        <v>0</v>
      </c>
      <c r="Q26" s="322">
        <f t="shared" ref="Q26:Q29" si="12">P26/O26</f>
        <v>0</v>
      </c>
      <c r="R26" s="317"/>
      <c r="S26" s="317"/>
      <c r="T26" s="317"/>
      <c r="U26" s="317"/>
      <c r="V26" s="317"/>
      <c r="W26" s="317"/>
      <c r="X26" s="317"/>
      <c r="Y26" s="317"/>
      <c r="Z26" s="317"/>
      <c r="AA26" s="317"/>
    </row>
    <row r="27">
      <c r="A27" s="317"/>
      <c r="B27" s="324">
        <v>0.0</v>
      </c>
      <c r="C27" s="327" t="s">
        <v>722</v>
      </c>
      <c r="D27" s="318">
        <v>200.0</v>
      </c>
      <c r="E27" s="318">
        <v>200.0</v>
      </c>
      <c r="F27" s="317"/>
      <c r="G27" s="318" t="s">
        <v>665</v>
      </c>
      <c r="H27" s="318" t="s">
        <v>667</v>
      </c>
      <c r="I27" s="318" t="s">
        <v>685</v>
      </c>
      <c r="J27" s="318" t="s">
        <v>793</v>
      </c>
      <c r="K27" s="318" t="s">
        <v>794</v>
      </c>
      <c r="L27" s="317"/>
      <c r="M27" s="318">
        <v>20.0</v>
      </c>
      <c r="N27" s="318" t="s">
        <v>766</v>
      </c>
      <c r="O27" s="318">
        <v>2000.0</v>
      </c>
      <c r="P27" s="317">
        <f t="shared" si="11"/>
        <v>0</v>
      </c>
      <c r="Q27" s="322">
        <f t="shared" si="12"/>
        <v>0</v>
      </c>
      <c r="R27" s="317"/>
      <c r="S27" s="317"/>
      <c r="T27" s="317"/>
      <c r="U27" s="317"/>
      <c r="V27" s="317"/>
      <c r="W27" s="317"/>
      <c r="X27" s="317"/>
      <c r="Y27" s="317"/>
      <c r="Z27" s="317"/>
      <c r="AA27" s="317"/>
    </row>
    <row r="28">
      <c r="A28" s="318"/>
      <c r="B28" s="324">
        <v>0.0</v>
      </c>
      <c r="C28" s="327" t="s">
        <v>724</v>
      </c>
      <c r="D28" s="318">
        <v>300.0</v>
      </c>
      <c r="E28" s="318">
        <v>300.0</v>
      </c>
      <c r="F28" s="317"/>
      <c r="G28" s="318">
        <v>20.0</v>
      </c>
      <c r="H28" s="318" t="s">
        <v>712</v>
      </c>
      <c r="I28" s="318">
        <v>2000.0</v>
      </c>
      <c r="J28" s="318">
        <f t="shared" ref="J28:J29" si="13">SUMPRODUCT($B$36:$B$37,$E$36:$E$37)</f>
        <v>0</v>
      </c>
      <c r="K28" s="322">
        <f t="shared" ref="K28:K29" si="14">J28/I28</f>
        <v>0</v>
      </c>
      <c r="L28" s="317"/>
      <c r="M28" s="318">
        <v>40.0</v>
      </c>
      <c r="N28" s="318" t="s">
        <v>767</v>
      </c>
      <c r="O28" s="318">
        <v>4000.0</v>
      </c>
      <c r="P28" s="317">
        <f t="shared" si="11"/>
        <v>0</v>
      </c>
      <c r="Q28" s="322">
        <f t="shared" si="12"/>
        <v>0</v>
      </c>
      <c r="R28" s="317"/>
      <c r="S28" s="317"/>
      <c r="T28" s="317"/>
      <c r="U28" s="317"/>
      <c r="V28" s="317"/>
      <c r="W28" s="317"/>
      <c r="X28" s="317"/>
      <c r="Y28" s="317"/>
      <c r="Z28" s="317"/>
      <c r="AA28" s="317"/>
    </row>
    <row r="29">
      <c r="A29" s="317"/>
      <c r="B29" s="324">
        <v>0.0</v>
      </c>
      <c r="C29" s="348" t="s">
        <v>770</v>
      </c>
      <c r="D29" s="318">
        <v>1500.0</v>
      </c>
      <c r="E29" s="318">
        <v>1500.0</v>
      </c>
      <c r="F29" s="317"/>
      <c r="G29" s="318">
        <v>30.0</v>
      </c>
      <c r="H29" s="318" t="s">
        <v>714</v>
      </c>
      <c r="I29" s="318">
        <v>3000.0</v>
      </c>
      <c r="J29" s="318">
        <f t="shared" si="13"/>
        <v>0</v>
      </c>
      <c r="K29" s="322">
        <f t="shared" si="14"/>
        <v>0</v>
      </c>
      <c r="L29" s="317"/>
      <c r="M29" s="318">
        <v>60.0</v>
      </c>
      <c r="N29" s="318" t="s">
        <v>768</v>
      </c>
      <c r="O29" s="318">
        <v>6000.0</v>
      </c>
      <c r="P29" s="317">
        <f t="shared" si="11"/>
        <v>0</v>
      </c>
      <c r="Q29" s="322">
        <f t="shared" si="12"/>
        <v>0</v>
      </c>
      <c r="R29" s="317"/>
      <c r="S29" s="317"/>
      <c r="T29" s="317"/>
      <c r="U29" s="317"/>
      <c r="V29" s="317"/>
      <c r="W29" s="317"/>
      <c r="X29" s="317"/>
      <c r="Y29" s="317"/>
      <c r="Z29" s="317"/>
      <c r="AA29" s="317"/>
    </row>
    <row r="30">
      <c r="A30" s="317"/>
      <c r="B30" s="324">
        <v>0.0</v>
      </c>
      <c r="C30" s="348" t="s">
        <v>728</v>
      </c>
      <c r="D30" s="318">
        <v>200.0</v>
      </c>
      <c r="E30" s="318">
        <v>200.0</v>
      </c>
      <c r="F30" s="317"/>
      <c r="G30" s="349"/>
      <c r="H30" s="317"/>
      <c r="I30" s="317"/>
      <c r="J30" s="317"/>
      <c r="K30" s="317"/>
      <c r="L30" s="317"/>
      <c r="M30" s="317"/>
      <c r="N30" s="317"/>
      <c r="O30" s="317"/>
      <c r="P30" s="317"/>
      <c r="Q30" s="317"/>
      <c r="R30" s="317"/>
      <c r="S30" s="317"/>
      <c r="T30" s="317"/>
      <c r="U30" s="317"/>
      <c r="V30" s="317"/>
      <c r="W30" s="317"/>
      <c r="X30" s="317"/>
      <c r="Y30" s="317"/>
      <c r="Z30" s="317"/>
      <c r="AA30" s="317"/>
    </row>
    <row r="31">
      <c r="A31" s="323"/>
      <c r="B31" s="324">
        <v>0.0</v>
      </c>
      <c r="C31" s="327" t="s">
        <v>729</v>
      </c>
      <c r="D31" s="318">
        <v>100.0</v>
      </c>
      <c r="E31" s="318">
        <v>100.0</v>
      </c>
      <c r="F31" s="317"/>
      <c r="G31" s="350" t="s">
        <v>806</v>
      </c>
      <c r="H31" s="351"/>
      <c r="I31" s="351"/>
      <c r="J31" s="351"/>
      <c r="K31" s="351"/>
      <c r="L31" s="317"/>
      <c r="M31" s="352" t="s">
        <v>807</v>
      </c>
      <c r="N31" s="353"/>
      <c r="O31" s="353"/>
      <c r="P31" s="353"/>
      <c r="Q31" s="353"/>
      <c r="R31" s="317"/>
      <c r="S31" s="317"/>
      <c r="T31" s="317"/>
      <c r="U31" s="317"/>
      <c r="V31" s="317"/>
      <c r="W31" s="317"/>
      <c r="X31" s="317"/>
      <c r="Y31" s="317"/>
      <c r="Z31" s="317"/>
      <c r="AA31" s="317"/>
    </row>
    <row r="32">
      <c r="A32" s="317"/>
      <c r="B32" s="324">
        <v>0.0</v>
      </c>
      <c r="C32" s="340" t="s">
        <v>730</v>
      </c>
      <c r="D32" s="318">
        <v>100.0</v>
      </c>
      <c r="E32" s="318">
        <v>100.0</v>
      </c>
      <c r="F32" s="317"/>
      <c r="G32" s="318" t="s">
        <v>665</v>
      </c>
      <c r="H32" s="318" t="s">
        <v>667</v>
      </c>
      <c r="I32" s="318" t="s">
        <v>685</v>
      </c>
      <c r="J32" s="318" t="s">
        <v>793</v>
      </c>
      <c r="K32" s="318" t="s">
        <v>794</v>
      </c>
      <c r="L32" s="317"/>
      <c r="M32" s="318" t="s">
        <v>665</v>
      </c>
      <c r="N32" s="318" t="s">
        <v>667</v>
      </c>
      <c r="O32" s="318" t="s">
        <v>685</v>
      </c>
      <c r="P32" s="318" t="s">
        <v>793</v>
      </c>
      <c r="Q32" s="318" t="s">
        <v>794</v>
      </c>
      <c r="R32" s="317"/>
      <c r="S32" s="317"/>
      <c r="T32" s="317"/>
      <c r="U32" s="317"/>
      <c r="V32" s="317"/>
      <c r="W32" s="317"/>
      <c r="X32" s="317"/>
      <c r="Y32" s="317"/>
      <c r="Z32" s="317"/>
      <c r="AA32" s="317"/>
    </row>
    <row r="33">
      <c r="A33" s="318"/>
      <c r="B33" s="324">
        <v>0.0</v>
      </c>
      <c r="C33" s="354" t="s">
        <v>732</v>
      </c>
      <c r="D33" s="318">
        <v>500.0</v>
      </c>
      <c r="E33" s="318">
        <v>500.0</v>
      </c>
      <c r="F33" s="317"/>
      <c r="G33" s="318">
        <v>20.0</v>
      </c>
      <c r="H33" s="318" t="s">
        <v>723</v>
      </c>
      <c r="I33" s="318">
        <v>2000.0</v>
      </c>
      <c r="J33" s="317">
        <f t="shared" ref="J33:J35" si="15">SUMPRODUCT($B$12,$E$12)</f>
        <v>0</v>
      </c>
      <c r="K33" s="322">
        <f t="shared" ref="K33:K35" si="16">J33/I33</f>
        <v>0</v>
      </c>
      <c r="L33" s="317"/>
      <c r="M33" s="318">
        <v>20.0</v>
      </c>
      <c r="N33" s="318" t="s">
        <v>774</v>
      </c>
      <c r="O33" s="318">
        <v>2000.0</v>
      </c>
      <c r="P33" s="317">
        <f t="shared" ref="P33:P34" si="17">SUMPRODUCT($B$29,$E$29)+SUMPRODUCT($B$30,$E$30)+SUMPRODUCT($B$34,$E$34)</f>
        <v>0</v>
      </c>
      <c r="Q33" s="322">
        <f t="shared" ref="Q33:Q34" si="18">P33/O33</f>
        <v>0</v>
      </c>
      <c r="R33" s="317"/>
      <c r="S33" s="317"/>
      <c r="T33" s="317"/>
      <c r="U33" s="317"/>
      <c r="V33" s="317"/>
      <c r="W33" s="317"/>
      <c r="X33" s="317"/>
      <c r="Y33" s="317"/>
      <c r="Z33" s="317"/>
      <c r="AA33" s="317"/>
    </row>
    <row r="34">
      <c r="A34" s="317"/>
      <c r="B34" s="324">
        <v>0.0</v>
      </c>
      <c r="C34" s="348" t="s">
        <v>733</v>
      </c>
      <c r="D34" s="318">
        <v>1000.0</v>
      </c>
      <c r="E34" s="318">
        <v>1000.0</v>
      </c>
      <c r="F34" s="317"/>
      <c r="G34" s="318">
        <v>40.0</v>
      </c>
      <c r="H34" s="318" t="s">
        <v>725</v>
      </c>
      <c r="I34" s="318">
        <v>4000.0</v>
      </c>
      <c r="J34" s="317">
        <f t="shared" si="15"/>
        <v>0</v>
      </c>
      <c r="K34" s="322">
        <f t="shared" si="16"/>
        <v>0</v>
      </c>
      <c r="L34" s="317"/>
      <c r="M34" s="318">
        <v>40.0</v>
      </c>
      <c r="N34" s="318" t="s">
        <v>775</v>
      </c>
      <c r="O34" s="318">
        <v>4000.0</v>
      </c>
      <c r="P34" s="317">
        <f t="shared" si="17"/>
        <v>0</v>
      </c>
      <c r="Q34" s="322">
        <f t="shared" si="18"/>
        <v>0</v>
      </c>
      <c r="R34" s="317"/>
      <c r="S34" s="317"/>
      <c r="T34" s="317"/>
      <c r="U34" s="317"/>
      <c r="V34" s="317"/>
      <c r="W34" s="317"/>
      <c r="X34" s="317"/>
      <c r="Y34" s="317"/>
      <c r="Z34" s="317"/>
      <c r="AA34" s="317"/>
    </row>
    <row r="35">
      <c r="A35" s="317"/>
      <c r="B35" s="324">
        <v>0.0</v>
      </c>
      <c r="C35" s="327" t="s">
        <v>735</v>
      </c>
      <c r="D35" s="318">
        <v>1.0</v>
      </c>
      <c r="E35" s="318">
        <v>1.0</v>
      </c>
      <c r="F35" s="317"/>
      <c r="G35" s="318">
        <v>60.0</v>
      </c>
      <c r="H35" s="318" t="s">
        <v>727</v>
      </c>
      <c r="I35" s="318">
        <v>6000.0</v>
      </c>
      <c r="J35" s="317">
        <f t="shared" si="15"/>
        <v>0</v>
      </c>
      <c r="K35" s="322">
        <f t="shared" si="16"/>
        <v>0</v>
      </c>
      <c r="L35" s="317"/>
      <c r="M35" s="317"/>
      <c r="N35" s="317"/>
      <c r="O35" s="317"/>
      <c r="P35" s="317"/>
      <c r="Q35" s="317"/>
      <c r="R35" s="317"/>
      <c r="S35" s="317"/>
      <c r="T35" s="317"/>
      <c r="U35" s="317"/>
      <c r="V35" s="317"/>
      <c r="W35" s="317"/>
      <c r="X35" s="317"/>
      <c r="Y35" s="317"/>
      <c r="Z35" s="317"/>
      <c r="AA35" s="317"/>
    </row>
    <row r="36">
      <c r="A36" s="317"/>
      <c r="B36" s="324">
        <v>0.0</v>
      </c>
      <c r="C36" s="355" t="s">
        <v>706</v>
      </c>
      <c r="D36" s="318">
        <v>100.0</v>
      </c>
      <c r="E36" s="318">
        <v>100.0</v>
      </c>
      <c r="F36" s="317"/>
      <c r="G36" s="317"/>
      <c r="H36" s="317"/>
      <c r="I36" s="317"/>
      <c r="J36" s="317"/>
      <c r="K36" s="317"/>
      <c r="L36" s="317"/>
      <c r="M36" s="356" t="s">
        <v>808</v>
      </c>
      <c r="N36" s="357"/>
      <c r="O36" s="357"/>
      <c r="P36" s="357"/>
      <c r="Q36" s="357"/>
      <c r="R36" s="317"/>
      <c r="S36" s="317"/>
      <c r="T36" s="317"/>
      <c r="U36" s="317"/>
      <c r="V36" s="317"/>
      <c r="W36" s="317"/>
      <c r="X36" s="317"/>
      <c r="Y36" s="317"/>
      <c r="Z36" s="317"/>
      <c r="AA36" s="317"/>
    </row>
    <row r="37">
      <c r="A37" s="317"/>
      <c r="B37" s="324">
        <v>0.0</v>
      </c>
      <c r="C37" s="355" t="s">
        <v>708</v>
      </c>
      <c r="D37" s="318">
        <v>100.0</v>
      </c>
      <c r="E37" s="318">
        <v>100.0</v>
      </c>
      <c r="F37" s="317"/>
      <c r="G37" s="358" t="s">
        <v>809</v>
      </c>
      <c r="H37" s="359"/>
      <c r="I37" s="359"/>
      <c r="J37" s="359"/>
      <c r="K37" s="359"/>
      <c r="L37" s="317"/>
      <c r="M37" s="356" t="s">
        <v>810</v>
      </c>
      <c r="N37" s="357"/>
      <c r="O37" s="357"/>
      <c r="P37" s="357"/>
      <c r="Q37" s="357"/>
      <c r="R37" s="317"/>
      <c r="S37" s="317"/>
      <c r="T37" s="317"/>
      <c r="U37" s="317"/>
      <c r="V37" s="317"/>
      <c r="W37" s="317"/>
      <c r="X37" s="317"/>
      <c r="Y37" s="317"/>
      <c r="Z37" s="317"/>
      <c r="AA37" s="317"/>
    </row>
    <row r="38">
      <c r="A38" s="318"/>
      <c r="B38" s="324">
        <v>0.0</v>
      </c>
      <c r="C38" s="333" t="s">
        <v>738</v>
      </c>
      <c r="D38" s="318">
        <v>200.0</v>
      </c>
      <c r="E38" s="318">
        <v>200.0</v>
      </c>
      <c r="F38" s="317"/>
      <c r="G38" s="318" t="s">
        <v>665</v>
      </c>
      <c r="H38" s="318" t="s">
        <v>667</v>
      </c>
      <c r="I38" s="318" t="s">
        <v>685</v>
      </c>
      <c r="J38" s="318" t="s">
        <v>793</v>
      </c>
      <c r="K38" s="318" t="s">
        <v>794</v>
      </c>
      <c r="L38" s="317"/>
      <c r="M38" s="318" t="s">
        <v>665</v>
      </c>
      <c r="N38" s="318" t="s">
        <v>667</v>
      </c>
      <c r="O38" s="318" t="s">
        <v>685</v>
      </c>
      <c r="P38" s="318" t="s">
        <v>793</v>
      </c>
      <c r="Q38" s="318" t="s">
        <v>794</v>
      </c>
      <c r="R38" s="317"/>
      <c r="S38" s="317"/>
      <c r="T38" s="317"/>
      <c r="U38" s="317"/>
      <c r="V38" s="317"/>
      <c r="W38" s="317"/>
      <c r="X38" s="317"/>
      <c r="Y38" s="317"/>
      <c r="Z38" s="317"/>
      <c r="AA38" s="317"/>
    </row>
    <row r="39">
      <c r="A39" s="317"/>
      <c r="B39" s="324">
        <v>0.0</v>
      </c>
      <c r="C39" s="333" t="s">
        <v>681</v>
      </c>
      <c r="D39" s="318">
        <v>200.0</v>
      </c>
      <c r="E39" s="318">
        <v>200.0</v>
      </c>
      <c r="F39" s="317"/>
      <c r="G39" s="318">
        <v>30.0</v>
      </c>
      <c r="H39" s="318" t="s">
        <v>739</v>
      </c>
      <c r="I39" s="318">
        <v>3000.0</v>
      </c>
      <c r="J39" s="317">
        <f t="shared" ref="J39:J40" si="19">SUMPRODUCT($B$13:$B$14,$E$13:$E$14)+SUMPRODUCT($B$16:$B$17,$E$16:$E$17)</f>
        <v>0</v>
      </c>
      <c r="K39" s="322">
        <f t="shared" ref="K39:K40" si="20">J39/I39</f>
        <v>0</v>
      </c>
      <c r="L39" s="317"/>
      <c r="M39" s="318">
        <v>30.0</v>
      </c>
      <c r="N39" s="318" t="s">
        <v>778</v>
      </c>
      <c r="O39" s="318">
        <v>3000.0</v>
      </c>
      <c r="P39" s="317">
        <f t="shared" ref="P39:P40" si="21">SUMPRODUCT($B$11,$E$11)+SUMPRODUCT($B$15,$E$15)+SUMPRODUCT($B$18,$E$18)+SUMPRODUCT($B$27:$B$28,$E$27:$E$28)+SUMPRODUCT($B$31,$E$31)+SUMPRODUCT($B$35,$E$35)</f>
        <v>0</v>
      </c>
      <c r="Q39" s="322">
        <f t="shared" ref="Q39:Q40" si="22">P39/O39</f>
        <v>0</v>
      </c>
      <c r="R39" s="317"/>
      <c r="S39" s="317"/>
      <c r="T39" s="317"/>
      <c r="U39" s="317"/>
      <c r="V39" s="317"/>
      <c r="W39" s="317"/>
      <c r="X39" s="317"/>
      <c r="Y39" s="317"/>
      <c r="Z39" s="317"/>
      <c r="AA39" s="317"/>
    </row>
    <row r="40">
      <c r="A40" s="317"/>
      <c r="B40" s="324">
        <v>0.0</v>
      </c>
      <c r="C40" s="333" t="s">
        <v>683</v>
      </c>
      <c r="D40" s="318">
        <v>-200.0</v>
      </c>
      <c r="E40" s="318">
        <v>-200.0</v>
      </c>
      <c r="F40" s="317"/>
      <c r="G40" s="318">
        <v>50.0</v>
      </c>
      <c r="H40" s="318" t="s">
        <v>740</v>
      </c>
      <c r="I40" s="318">
        <v>5000.0</v>
      </c>
      <c r="J40" s="317">
        <f t="shared" si="19"/>
        <v>0</v>
      </c>
      <c r="K40" s="322">
        <f t="shared" si="20"/>
        <v>0</v>
      </c>
      <c r="L40" s="317"/>
      <c r="M40" s="318">
        <v>50.0</v>
      </c>
      <c r="N40" s="318" t="s">
        <v>779</v>
      </c>
      <c r="O40" s="318">
        <v>5000.0</v>
      </c>
      <c r="P40" s="317">
        <f t="shared" si="21"/>
        <v>0</v>
      </c>
      <c r="Q40" s="322">
        <f t="shared" si="22"/>
        <v>0</v>
      </c>
      <c r="R40" s="317"/>
      <c r="S40" s="317"/>
      <c r="T40" s="317"/>
      <c r="U40" s="317"/>
      <c r="V40" s="317"/>
      <c r="W40" s="317"/>
      <c r="X40" s="317"/>
      <c r="Y40" s="317"/>
      <c r="Z40" s="317"/>
      <c r="AA40" s="317"/>
    </row>
    <row r="41">
      <c r="A41" s="323"/>
      <c r="B41" s="324">
        <v>0.0</v>
      </c>
      <c r="C41" s="344" t="s">
        <v>741</v>
      </c>
      <c r="D41" s="318">
        <v>2000.0</v>
      </c>
      <c r="E41" s="318">
        <v>2000.0</v>
      </c>
      <c r="F41" s="317"/>
      <c r="G41" s="317"/>
      <c r="H41" s="317"/>
      <c r="I41" s="317"/>
      <c r="J41" s="317"/>
      <c r="K41" s="317"/>
      <c r="L41" s="317"/>
      <c r="M41" s="317"/>
      <c r="N41" s="317"/>
      <c r="O41" s="317"/>
      <c r="P41" s="317"/>
      <c r="Q41" s="317"/>
      <c r="R41" s="317"/>
      <c r="S41" s="317"/>
      <c r="T41" s="317"/>
      <c r="U41" s="317"/>
      <c r="V41" s="317"/>
      <c r="W41" s="317"/>
      <c r="X41" s="317"/>
      <c r="Y41" s="317"/>
      <c r="Z41" s="317"/>
      <c r="AA41" s="317"/>
    </row>
    <row r="42">
      <c r="A42" s="317"/>
      <c r="B42" s="324">
        <v>0.0</v>
      </c>
      <c r="C42" s="360" t="s">
        <v>742</v>
      </c>
      <c r="D42" s="318">
        <v>100.0</v>
      </c>
      <c r="E42" s="318">
        <v>100.0</v>
      </c>
      <c r="F42" s="317"/>
      <c r="G42" s="361" t="s">
        <v>811</v>
      </c>
      <c r="H42" s="362"/>
      <c r="I42" s="362"/>
      <c r="J42" s="362"/>
      <c r="K42" s="362"/>
      <c r="L42" s="317"/>
      <c r="M42" s="363" t="s">
        <v>812</v>
      </c>
      <c r="N42" s="364"/>
      <c r="O42" s="364"/>
      <c r="P42" s="364"/>
      <c r="Q42" s="364"/>
      <c r="R42" s="317"/>
      <c r="S42" s="317"/>
      <c r="T42" s="317"/>
      <c r="U42" s="317"/>
      <c r="V42" s="317"/>
      <c r="W42" s="317"/>
      <c r="X42" s="317"/>
      <c r="Y42" s="317"/>
      <c r="Z42" s="317"/>
      <c r="AA42" s="317"/>
    </row>
    <row r="43">
      <c r="A43" s="318"/>
      <c r="B43" s="317"/>
      <c r="C43" s="317"/>
      <c r="D43" s="317"/>
      <c r="E43" s="317"/>
      <c r="F43" s="317"/>
      <c r="G43" s="318" t="s">
        <v>665</v>
      </c>
      <c r="H43" s="318" t="s">
        <v>667</v>
      </c>
      <c r="I43" s="318" t="s">
        <v>685</v>
      </c>
      <c r="J43" s="318" t="s">
        <v>793</v>
      </c>
      <c r="K43" s="318" t="s">
        <v>794</v>
      </c>
      <c r="L43" s="317"/>
      <c r="M43" s="318" t="s">
        <v>665</v>
      </c>
      <c r="N43" s="318" t="s">
        <v>667</v>
      </c>
      <c r="O43" s="318" t="s">
        <v>685</v>
      </c>
      <c r="P43" s="318" t="s">
        <v>793</v>
      </c>
      <c r="Q43" s="318" t="s">
        <v>794</v>
      </c>
      <c r="R43" s="317"/>
      <c r="S43" s="317"/>
      <c r="T43" s="317"/>
      <c r="U43" s="317"/>
      <c r="V43" s="317"/>
      <c r="W43" s="317"/>
      <c r="X43" s="317"/>
      <c r="Y43" s="317"/>
      <c r="Z43" s="317"/>
      <c r="AA43" s="317"/>
    </row>
    <row r="44">
      <c r="A44" s="317"/>
      <c r="B44" s="317"/>
      <c r="C44" s="318"/>
      <c r="D44" s="317"/>
      <c r="E44" s="317"/>
      <c r="F44" s="317"/>
      <c r="G44" s="318">
        <v>40.0</v>
      </c>
      <c r="H44" s="318" t="s">
        <v>745</v>
      </c>
      <c r="I44" s="318">
        <v>4000.0</v>
      </c>
      <c r="J44" s="317">
        <f t="shared" ref="J44:J45" si="23">SUMPRODUCT($B$19,$E$19)+SUMPRODUCT($B$21,$E$21)</f>
        <v>0</v>
      </c>
      <c r="K44" s="322">
        <f t="shared" ref="K44:K45" si="24">J44/I44</f>
        <v>0</v>
      </c>
      <c r="L44" s="317"/>
      <c r="M44" s="318">
        <v>20.0</v>
      </c>
      <c r="N44" s="318" t="s">
        <v>782</v>
      </c>
      <c r="O44" s="318">
        <v>2000.0</v>
      </c>
      <c r="P44" s="317">
        <f t="shared" ref="P44:P46" si="25">SUMPRODUCT($B$33,$E$33)</f>
        <v>0</v>
      </c>
      <c r="Q44" s="322">
        <f t="shared" ref="Q44:Q46" si="26">P44/O44</f>
        <v>0</v>
      </c>
      <c r="R44" s="317"/>
      <c r="S44" s="317"/>
      <c r="T44" s="317"/>
      <c r="U44" s="317"/>
      <c r="V44" s="317"/>
      <c r="W44" s="317"/>
      <c r="X44" s="317"/>
      <c r="Y44" s="317"/>
      <c r="Z44" s="317"/>
      <c r="AA44" s="317"/>
    </row>
    <row r="45">
      <c r="A45" s="317"/>
      <c r="B45" s="317"/>
      <c r="C45" s="317"/>
      <c r="D45" s="317"/>
      <c r="E45" s="317"/>
      <c r="F45" s="317"/>
      <c r="G45" s="318">
        <v>60.0</v>
      </c>
      <c r="H45" s="318" t="s">
        <v>746</v>
      </c>
      <c r="I45" s="318">
        <v>6000.0</v>
      </c>
      <c r="J45" s="317">
        <f t="shared" si="23"/>
        <v>0</v>
      </c>
      <c r="K45" s="322">
        <f t="shared" si="24"/>
        <v>0</v>
      </c>
      <c r="L45" s="317"/>
      <c r="M45" s="318">
        <v>40.0</v>
      </c>
      <c r="N45" s="318" t="s">
        <v>783</v>
      </c>
      <c r="O45" s="318">
        <v>4000.0</v>
      </c>
      <c r="P45" s="317">
        <f t="shared" si="25"/>
        <v>0</v>
      </c>
      <c r="Q45" s="322">
        <f t="shared" si="26"/>
        <v>0</v>
      </c>
      <c r="R45" s="317"/>
      <c r="S45" s="317"/>
      <c r="T45" s="317"/>
      <c r="U45" s="317"/>
      <c r="V45" s="317"/>
      <c r="W45" s="317"/>
      <c r="X45" s="317"/>
      <c r="Y45" s="317"/>
      <c r="Z45" s="317"/>
      <c r="AA45" s="317"/>
    </row>
    <row r="46">
      <c r="A46" s="317"/>
      <c r="B46" s="317"/>
      <c r="C46" s="317"/>
      <c r="D46" s="317"/>
      <c r="E46" s="317"/>
      <c r="F46" s="317"/>
      <c r="G46" s="317"/>
      <c r="H46" s="317"/>
      <c r="I46" s="317"/>
      <c r="J46" s="317"/>
      <c r="K46" s="317"/>
      <c r="L46" s="317"/>
      <c r="M46" s="318">
        <v>60.0</v>
      </c>
      <c r="N46" s="318" t="s">
        <v>784</v>
      </c>
      <c r="O46" s="318">
        <v>6000.0</v>
      </c>
      <c r="P46" s="317">
        <f t="shared" si="25"/>
        <v>0</v>
      </c>
      <c r="Q46" s="322">
        <f t="shared" si="26"/>
        <v>0</v>
      </c>
      <c r="R46" s="317"/>
      <c r="S46" s="317"/>
      <c r="T46" s="317"/>
      <c r="U46" s="317"/>
      <c r="V46" s="317"/>
      <c r="W46" s="317"/>
      <c r="X46" s="317"/>
      <c r="Y46" s="317"/>
      <c r="Z46" s="317"/>
      <c r="AA46" s="317"/>
    </row>
    <row r="47">
      <c r="A47" s="317"/>
      <c r="B47" s="317"/>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c r="AA47" s="317"/>
    </row>
    <row r="48">
      <c r="A48" s="317"/>
      <c r="B48" s="317"/>
      <c r="C48" s="317"/>
      <c r="D48" s="317"/>
      <c r="E48" s="317"/>
      <c r="F48" s="317"/>
      <c r="G48" s="317"/>
      <c r="H48" s="317"/>
      <c r="I48" s="317"/>
      <c r="J48" s="317"/>
      <c r="K48" s="317"/>
      <c r="L48" s="317"/>
      <c r="M48" s="365" t="s">
        <v>813</v>
      </c>
      <c r="N48" s="366"/>
      <c r="O48" s="366"/>
      <c r="P48" s="366"/>
      <c r="Q48" s="366"/>
      <c r="R48" s="317"/>
      <c r="S48" s="317"/>
      <c r="T48" s="317"/>
      <c r="U48" s="317"/>
      <c r="V48" s="317"/>
      <c r="W48" s="317"/>
      <c r="X48" s="317"/>
      <c r="Y48" s="317"/>
      <c r="Z48" s="317"/>
      <c r="AA48" s="317"/>
    </row>
    <row r="49">
      <c r="A49" s="317"/>
      <c r="B49" s="317"/>
      <c r="C49" s="317"/>
      <c r="D49" s="317"/>
      <c r="E49" s="317"/>
      <c r="F49" s="317"/>
      <c r="G49" s="317"/>
      <c r="H49" s="317"/>
      <c r="I49" s="317"/>
      <c r="J49" s="317"/>
      <c r="K49" s="317"/>
      <c r="L49" s="317"/>
      <c r="M49" s="318" t="s">
        <v>665</v>
      </c>
      <c r="N49" s="318" t="s">
        <v>667</v>
      </c>
      <c r="O49" s="318" t="s">
        <v>685</v>
      </c>
      <c r="P49" s="318" t="s">
        <v>793</v>
      </c>
      <c r="Q49" s="318" t="s">
        <v>794</v>
      </c>
      <c r="R49" s="317"/>
      <c r="S49" s="317"/>
      <c r="T49" s="317"/>
      <c r="U49" s="317"/>
      <c r="V49" s="317"/>
      <c r="W49" s="317"/>
      <c r="X49" s="317"/>
      <c r="Y49" s="317"/>
      <c r="Z49" s="317"/>
      <c r="AA49" s="317"/>
    </row>
    <row r="50">
      <c r="A50" s="317"/>
      <c r="B50" s="317"/>
      <c r="C50" s="317"/>
      <c r="D50" s="317"/>
      <c r="E50" s="317"/>
      <c r="F50" s="317"/>
      <c r="G50" s="317"/>
      <c r="H50" s="317"/>
      <c r="I50" s="317"/>
      <c r="J50" s="317"/>
      <c r="K50" s="317"/>
      <c r="L50" s="317"/>
      <c r="M50" s="318">
        <v>40.0</v>
      </c>
      <c r="N50" s="318" t="s">
        <v>787</v>
      </c>
      <c r="O50" s="318">
        <v>4000.0</v>
      </c>
      <c r="P50" s="317">
        <f t="shared" ref="P50:P51" si="27">SUMPRODUCT($B$42,$E$42)</f>
        <v>0</v>
      </c>
      <c r="Q50" s="322">
        <f t="shared" ref="Q50:Q51" si="28">P50/O50</f>
        <v>0</v>
      </c>
      <c r="R50" s="317"/>
      <c r="S50" s="317"/>
      <c r="T50" s="317"/>
      <c r="U50" s="317"/>
      <c r="V50" s="317"/>
      <c r="W50" s="317"/>
      <c r="X50" s="317"/>
      <c r="Y50" s="317"/>
      <c r="Z50" s="317"/>
      <c r="AA50" s="317"/>
    </row>
    <row r="51">
      <c r="A51" s="317"/>
      <c r="B51" s="317"/>
      <c r="C51" s="317"/>
      <c r="D51" s="317"/>
      <c r="E51" s="317"/>
      <c r="F51" s="317"/>
      <c r="G51" s="317"/>
      <c r="H51" s="317"/>
      <c r="I51" s="317"/>
      <c r="J51" s="317"/>
      <c r="K51" s="317"/>
      <c r="L51" s="317"/>
      <c r="M51" s="318">
        <v>50.0</v>
      </c>
      <c r="N51" s="318" t="s">
        <v>788</v>
      </c>
      <c r="O51" s="318">
        <v>5000.0</v>
      </c>
      <c r="P51" s="317">
        <f t="shared" si="27"/>
        <v>0</v>
      </c>
      <c r="Q51" s="322">
        <f t="shared" si="28"/>
        <v>0</v>
      </c>
      <c r="R51" s="317"/>
      <c r="S51" s="317"/>
      <c r="T51" s="317"/>
      <c r="U51" s="317"/>
      <c r="V51" s="317"/>
      <c r="W51" s="317"/>
      <c r="X51" s="317"/>
      <c r="Y51" s="317"/>
      <c r="Z51" s="317"/>
      <c r="AA51" s="317"/>
    </row>
    <row r="52">
      <c r="A52" s="317"/>
      <c r="B52" s="317"/>
      <c r="C52" s="317"/>
      <c r="D52" s="317"/>
      <c r="E52" s="317"/>
      <c r="F52" s="317"/>
      <c r="G52" s="317"/>
      <c r="H52" s="317"/>
      <c r="I52" s="317"/>
      <c r="J52" s="317"/>
      <c r="K52" s="317"/>
      <c r="L52" s="317"/>
      <c r="M52" s="317"/>
      <c r="N52" s="317"/>
      <c r="O52" s="317"/>
      <c r="P52" s="317"/>
      <c r="Q52" s="317"/>
      <c r="R52" s="317"/>
      <c r="S52" s="317"/>
      <c r="T52" s="317"/>
      <c r="U52" s="317"/>
      <c r="V52" s="317"/>
      <c r="W52" s="317"/>
      <c r="X52" s="317"/>
      <c r="Y52" s="317"/>
      <c r="Z52" s="317"/>
      <c r="AA52" s="317"/>
    </row>
    <row r="53">
      <c r="A53" s="317"/>
      <c r="B53" s="317"/>
      <c r="C53" s="317"/>
      <c r="D53" s="317"/>
      <c r="E53" s="317"/>
      <c r="F53" s="317"/>
      <c r="G53" s="317"/>
      <c r="H53" s="317"/>
      <c r="I53" s="317"/>
      <c r="J53" s="317"/>
      <c r="K53" s="317"/>
      <c r="L53" s="317"/>
      <c r="M53" s="317"/>
      <c r="N53" s="317"/>
      <c r="O53" s="317"/>
      <c r="P53" s="317"/>
      <c r="Q53" s="317"/>
      <c r="R53" s="317"/>
      <c r="S53" s="317"/>
      <c r="T53" s="317"/>
      <c r="U53" s="317"/>
      <c r="V53" s="317"/>
      <c r="W53" s="317"/>
      <c r="X53" s="317"/>
      <c r="Y53" s="317"/>
      <c r="Z53" s="317"/>
      <c r="AA53" s="317"/>
    </row>
    <row r="54">
      <c r="A54" s="317"/>
      <c r="B54" s="317"/>
      <c r="C54" s="317"/>
      <c r="D54" s="317"/>
      <c r="E54" s="317"/>
      <c r="F54" s="317"/>
      <c r="G54" s="317"/>
      <c r="H54" s="317"/>
      <c r="I54" s="317"/>
      <c r="J54" s="317"/>
      <c r="K54" s="317"/>
      <c r="L54" s="317"/>
      <c r="M54" s="317"/>
      <c r="N54" s="317"/>
      <c r="O54" s="317"/>
      <c r="P54" s="317"/>
      <c r="Q54" s="317"/>
      <c r="R54" s="317"/>
      <c r="S54" s="317"/>
      <c r="T54" s="317"/>
      <c r="U54" s="317"/>
      <c r="V54" s="317"/>
      <c r="W54" s="317"/>
      <c r="X54" s="317"/>
      <c r="Y54" s="317"/>
      <c r="Z54" s="317"/>
      <c r="AA54" s="317"/>
    </row>
    <row r="55">
      <c r="A55" s="317"/>
      <c r="B55" s="317"/>
      <c r="C55" s="317"/>
      <c r="D55" s="317"/>
      <c r="E55" s="317"/>
      <c r="F55" s="317"/>
      <c r="G55" s="317"/>
      <c r="H55" s="317"/>
      <c r="I55" s="317"/>
      <c r="J55" s="317"/>
      <c r="K55" s="317"/>
      <c r="L55" s="317"/>
      <c r="M55" s="317"/>
      <c r="N55" s="317"/>
      <c r="O55" s="317"/>
      <c r="P55" s="317"/>
      <c r="Q55" s="317"/>
      <c r="R55" s="317"/>
      <c r="S55" s="317"/>
      <c r="T55" s="317"/>
      <c r="U55" s="317"/>
      <c r="V55" s="317"/>
      <c r="W55" s="317"/>
      <c r="X55" s="317"/>
      <c r="Y55" s="317"/>
      <c r="Z55" s="317"/>
      <c r="AA55" s="317"/>
    </row>
    <row r="56">
      <c r="A56" s="317"/>
      <c r="B56" s="317"/>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row>
    <row r="57">
      <c r="A57" s="317"/>
      <c r="B57" s="317"/>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317"/>
      <c r="AA57" s="317"/>
    </row>
    <row r="58">
      <c r="A58" s="317"/>
      <c r="B58" s="317"/>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317"/>
      <c r="AA58" s="317"/>
    </row>
    <row r="59">
      <c r="A59" s="317"/>
      <c r="B59" s="317"/>
      <c r="C59" s="317"/>
      <c r="D59" s="317"/>
      <c r="E59" s="317"/>
      <c r="F59" s="317"/>
      <c r="G59" s="317"/>
      <c r="H59" s="317"/>
      <c r="I59" s="317"/>
      <c r="J59" s="317"/>
      <c r="K59" s="317"/>
      <c r="L59" s="317"/>
      <c r="M59" s="317"/>
      <c r="N59" s="317"/>
      <c r="O59" s="317"/>
      <c r="P59" s="317"/>
      <c r="Q59" s="317"/>
      <c r="R59" s="317"/>
      <c r="S59" s="317"/>
      <c r="T59" s="317"/>
      <c r="U59" s="317"/>
      <c r="V59" s="317"/>
      <c r="W59" s="317"/>
      <c r="X59" s="317"/>
      <c r="Y59" s="317"/>
      <c r="Z59" s="317"/>
      <c r="AA59" s="317"/>
    </row>
    <row r="60">
      <c r="A60" s="317"/>
      <c r="B60" s="317"/>
      <c r="C60" s="317"/>
      <c r="D60" s="317"/>
      <c r="E60" s="317"/>
      <c r="F60" s="317"/>
      <c r="G60" s="317"/>
      <c r="H60" s="317"/>
      <c r="I60" s="317"/>
      <c r="J60" s="317"/>
      <c r="K60" s="317"/>
      <c r="L60" s="317"/>
      <c r="M60" s="317"/>
      <c r="N60" s="317"/>
      <c r="O60" s="317"/>
      <c r="P60" s="317"/>
      <c r="Q60" s="317"/>
      <c r="R60" s="317"/>
      <c r="S60" s="317"/>
      <c r="T60" s="317"/>
      <c r="U60" s="317"/>
      <c r="V60" s="317"/>
      <c r="W60" s="317"/>
      <c r="X60" s="317"/>
      <c r="Y60" s="317"/>
      <c r="Z60" s="317"/>
      <c r="AA60" s="317"/>
    </row>
    <row r="61">
      <c r="A61" s="317"/>
      <c r="B61" s="317"/>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c r="AA61" s="317"/>
    </row>
    <row r="62">
      <c r="A62" s="317"/>
      <c r="B62" s="317"/>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c r="AA62" s="317"/>
    </row>
    <row r="63">
      <c r="A63" s="317"/>
      <c r="B63" s="317"/>
      <c r="C63" s="317"/>
      <c r="D63" s="317"/>
      <c r="E63" s="317"/>
      <c r="F63" s="317"/>
      <c r="G63" s="317"/>
      <c r="H63" s="317"/>
      <c r="I63" s="317"/>
      <c r="J63" s="317"/>
      <c r="K63" s="317"/>
      <c r="L63" s="317"/>
      <c r="M63" s="317"/>
      <c r="N63" s="317"/>
      <c r="O63" s="317"/>
      <c r="P63" s="317"/>
      <c r="Q63" s="317"/>
      <c r="R63" s="317"/>
      <c r="S63" s="317"/>
      <c r="T63" s="317"/>
      <c r="U63" s="317"/>
      <c r="V63" s="317"/>
      <c r="W63" s="317"/>
      <c r="X63" s="317"/>
      <c r="Y63" s="317"/>
      <c r="Z63" s="317"/>
      <c r="AA63" s="317"/>
    </row>
    <row r="64">
      <c r="A64" s="317"/>
      <c r="B64" s="317"/>
      <c r="C64" s="317"/>
      <c r="D64" s="317"/>
      <c r="E64" s="317"/>
      <c r="F64" s="317"/>
      <c r="G64" s="317"/>
      <c r="H64" s="317"/>
      <c r="I64" s="317"/>
      <c r="J64" s="317"/>
      <c r="K64" s="317"/>
      <c r="L64" s="317"/>
      <c r="M64" s="317"/>
      <c r="N64" s="317"/>
      <c r="O64" s="317"/>
      <c r="P64" s="317"/>
      <c r="Q64" s="317"/>
      <c r="R64" s="317"/>
      <c r="S64" s="317"/>
      <c r="T64" s="317"/>
      <c r="U64" s="317"/>
      <c r="V64" s="317"/>
      <c r="W64" s="317"/>
      <c r="X64" s="317"/>
      <c r="Y64" s="317"/>
      <c r="Z64" s="317"/>
      <c r="AA64" s="317"/>
    </row>
    <row r="65">
      <c r="A65" s="317"/>
      <c r="B65" s="317"/>
      <c r="C65" s="317"/>
      <c r="D65" s="317"/>
      <c r="E65" s="317"/>
      <c r="F65" s="317"/>
      <c r="G65" s="317"/>
      <c r="H65" s="317"/>
      <c r="I65" s="317"/>
      <c r="J65" s="317"/>
      <c r="K65" s="317"/>
      <c r="L65" s="317"/>
      <c r="M65" s="317"/>
      <c r="N65" s="317"/>
      <c r="O65" s="317"/>
      <c r="P65" s="317"/>
      <c r="Q65" s="317"/>
      <c r="R65" s="317"/>
      <c r="S65" s="317"/>
      <c r="T65" s="317"/>
      <c r="U65" s="317"/>
      <c r="V65" s="317"/>
      <c r="W65" s="317"/>
      <c r="X65" s="317"/>
      <c r="Y65" s="317"/>
      <c r="Z65" s="317"/>
      <c r="AA65" s="317"/>
    </row>
    <row r="66">
      <c r="A66" s="317"/>
      <c r="B66" s="317"/>
      <c r="C66" s="317"/>
      <c r="D66" s="317"/>
      <c r="E66" s="317"/>
      <c r="F66" s="317"/>
      <c r="G66" s="317"/>
      <c r="H66" s="317"/>
      <c r="I66" s="317"/>
      <c r="J66" s="317"/>
      <c r="K66" s="317"/>
      <c r="L66" s="317"/>
      <c r="M66" s="317"/>
      <c r="N66" s="317"/>
      <c r="O66" s="317"/>
      <c r="P66" s="317"/>
      <c r="Q66" s="317"/>
      <c r="R66" s="317"/>
      <c r="S66" s="317"/>
      <c r="T66" s="317"/>
      <c r="U66" s="317"/>
      <c r="V66" s="317"/>
      <c r="W66" s="317"/>
      <c r="X66" s="317"/>
      <c r="Y66" s="317"/>
      <c r="Z66" s="317"/>
      <c r="AA66" s="317"/>
    </row>
    <row r="67">
      <c r="A67" s="317"/>
      <c r="B67" s="317"/>
      <c r="C67" s="317"/>
      <c r="D67" s="317"/>
      <c r="E67" s="317"/>
      <c r="F67" s="317"/>
      <c r="G67" s="317"/>
      <c r="H67" s="317"/>
      <c r="I67" s="317"/>
      <c r="J67" s="317"/>
      <c r="K67" s="317"/>
      <c r="L67" s="317"/>
      <c r="M67" s="317"/>
      <c r="N67" s="317"/>
      <c r="O67" s="317"/>
      <c r="P67" s="317"/>
      <c r="Q67" s="317"/>
      <c r="R67" s="317"/>
      <c r="S67" s="317"/>
      <c r="T67" s="317"/>
      <c r="U67" s="317"/>
      <c r="V67" s="317"/>
      <c r="W67" s="317"/>
      <c r="X67" s="317"/>
      <c r="Y67" s="317"/>
      <c r="Z67" s="317"/>
      <c r="AA67" s="317"/>
    </row>
    <row r="68">
      <c r="A68" s="317"/>
      <c r="B68" s="317"/>
      <c r="C68" s="317"/>
      <c r="D68" s="317"/>
      <c r="E68" s="317"/>
      <c r="F68" s="317"/>
      <c r="G68" s="317"/>
      <c r="H68" s="317"/>
      <c r="I68" s="317"/>
      <c r="J68" s="317"/>
      <c r="K68" s="317"/>
      <c r="L68" s="317"/>
      <c r="M68" s="317"/>
      <c r="N68" s="317"/>
      <c r="O68" s="317"/>
      <c r="P68" s="317"/>
      <c r="Q68" s="317"/>
      <c r="R68" s="317"/>
      <c r="S68" s="317"/>
      <c r="T68" s="317"/>
      <c r="U68" s="317"/>
      <c r="V68" s="317"/>
      <c r="W68" s="317"/>
      <c r="X68" s="317"/>
      <c r="Y68" s="317"/>
      <c r="Z68" s="317"/>
      <c r="AA68" s="317"/>
    </row>
    <row r="69">
      <c r="A69" s="317"/>
      <c r="B69" s="317"/>
      <c r="C69" s="317"/>
      <c r="D69" s="317"/>
      <c r="E69" s="317"/>
      <c r="F69" s="317"/>
      <c r="G69" s="317"/>
      <c r="H69" s="317"/>
      <c r="I69" s="317"/>
      <c r="J69" s="317"/>
      <c r="K69" s="317"/>
      <c r="L69" s="317"/>
      <c r="M69" s="317"/>
      <c r="N69" s="317"/>
      <c r="O69" s="317"/>
      <c r="P69" s="317"/>
      <c r="Q69" s="317"/>
      <c r="R69" s="317"/>
      <c r="S69" s="317"/>
      <c r="T69" s="317"/>
      <c r="U69" s="317"/>
      <c r="V69" s="317"/>
      <c r="W69" s="317"/>
      <c r="X69" s="317"/>
      <c r="Y69" s="317"/>
      <c r="Z69" s="317"/>
      <c r="AA69" s="317"/>
    </row>
    <row r="70">
      <c r="A70" s="317"/>
      <c r="B70" s="317"/>
      <c r="C70" s="317"/>
      <c r="D70" s="317"/>
      <c r="E70" s="317"/>
      <c r="F70" s="317"/>
      <c r="G70" s="317"/>
      <c r="H70" s="317"/>
      <c r="I70" s="317"/>
      <c r="J70" s="317"/>
      <c r="K70" s="317"/>
      <c r="L70" s="317"/>
      <c r="M70" s="317"/>
      <c r="N70" s="317"/>
      <c r="O70" s="317"/>
      <c r="P70" s="317"/>
      <c r="Q70" s="317"/>
      <c r="R70" s="317"/>
      <c r="S70" s="317"/>
      <c r="T70" s="317"/>
      <c r="U70" s="317"/>
      <c r="V70" s="317"/>
      <c r="W70" s="317"/>
      <c r="X70" s="317"/>
      <c r="Y70" s="317"/>
      <c r="Z70" s="317"/>
      <c r="AA70" s="317"/>
    </row>
    <row r="71">
      <c r="A71" s="317"/>
      <c r="B71" s="317"/>
      <c r="C71" s="317"/>
      <c r="D71" s="317"/>
      <c r="E71" s="317"/>
      <c r="F71" s="317"/>
      <c r="G71" s="317"/>
      <c r="H71" s="317"/>
      <c r="I71" s="317"/>
      <c r="J71" s="317"/>
      <c r="K71" s="317"/>
      <c r="L71" s="317"/>
      <c r="M71" s="317"/>
      <c r="N71" s="317"/>
      <c r="O71" s="317"/>
      <c r="P71" s="317"/>
      <c r="Q71" s="317"/>
      <c r="R71" s="317"/>
      <c r="S71" s="317"/>
      <c r="T71" s="317"/>
      <c r="U71" s="317"/>
      <c r="V71" s="317"/>
      <c r="W71" s="317"/>
      <c r="X71" s="317"/>
      <c r="Y71" s="317"/>
      <c r="Z71" s="317"/>
      <c r="AA71" s="317"/>
    </row>
    <row r="72">
      <c r="A72" s="317"/>
      <c r="B72" s="317"/>
      <c r="C72" s="317"/>
      <c r="D72" s="317"/>
      <c r="E72" s="317"/>
      <c r="F72" s="317"/>
      <c r="G72" s="317"/>
      <c r="H72" s="317"/>
      <c r="I72" s="317"/>
      <c r="J72" s="317"/>
      <c r="K72" s="317"/>
      <c r="L72" s="317"/>
      <c r="M72" s="317"/>
      <c r="N72" s="317"/>
      <c r="O72" s="317"/>
      <c r="P72" s="317"/>
      <c r="Q72" s="317"/>
      <c r="R72" s="317"/>
      <c r="S72" s="317"/>
      <c r="T72" s="317"/>
      <c r="U72" s="317"/>
      <c r="V72" s="317"/>
      <c r="W72" s="317"/>
      <c r="X72" s="317"/>
      <c r="Y72" s="317"/>
      <c r="Z72" s="317"/>
      <c r="AA72" s="317"/>
    </row>
    <row r="73">
      <c r="A73" s="317"/>
      <c r="B73" s="317"/>
      <c r="C73" s="317"/>
      <c r="D73" s="317"/>
      <c r="E73" s="317"/>
      <c r="F73" s="317"/>
      <c r="G73" s="317"/>
      <c r="H73" s="317"/>
      <c r="I73" s="317"/>
      <c r="J73" s="317"/>
      <c r="K73" s="317"/>
      <c r="L73" s="317"/>
      <c r="M73" s="317"/>
      <c r="N73" s="317"/>
      <c r="O73" s="317"/>
      <c r="P73" s="317"/>
      <c r="Q73" s="317"/>
      <c r="R73" s="317"/>
      <c r="S73" s="317"/>
      <c r="T73" s="317"/>
      <c r="U73" s="317"/>
      <c r="V73" s="317"/>
      <c r="W73" s="317"/>
      <c r="X73" s="317"/>
      <c r="Y73" s="317"/>
      <c r="Z73" s="317"/>
      <c r="AA73" s="317"/>
    </row>
    <row r="74">
      <c r="A74" s="317"/>
      <c r="B74" s="317"/>
      <c r="C74" s="317"/>
      <c r="D74" s="317"/>
      <c r="E74" s="317"/>
      <c r="F74" s="317"/>
      <c r="G74" s="317"/>
      <c r="H74" s="317"/>
      <c r="I74" s="317"/>
      <c r="J74" s="317"/>
      <c r="K74" s="317"/>
      <c r="L74" s="317"/>
      <c r="M74" s="317"/>
      <c r="N74" s="317"/>
      <c r="O74" s="317"/>
      <c r="P74" s="317"/>
      <c r="Q74" s="317"/>
      <c r="R74" s="317"/>
      <c r="S74" s="317"/>
      <c r="T74" s="317"/>
      <c r="U74" s="317"/>
      <c r="V74" s="317"/>
      <c r="W74" s="317"/>
      <c r="X74" s="317"/>
      <c r="Y74" s="317"/>
      <c r="Z74" s="317"/>
      <c r="AA74" s="317"/>
    </row>
    <row r="75">
      <c r="A75" s="317"/>
      <c r="B75" s="317"/>
      <c r="C75" s="317"/>
      <c r="D75" s="317"/>
      <c r="E75" s="317"/>
      <c r="F75" s="317"/>
      <c r="G75" s="317"/>
      <c r="H75" s="317"/>
      <c r="I75" s="317"/>
      <c r="J75" s="317"/>
      <c r="K75" s="317"/>
      <c r="L75" s="317"/>
      <c r="M75" s="317"/>
      <c r="N75" s="317"/>
      <c r="O75" s="317"/>
      <c r="P75" s="317"/>
      <c r="Q75" s="317"/>
      <c r="R75" s="317"/>
      <c r="S75" s="317"/>
      <c r="T75" s="317"/>
      <c r="U75" s="317"/>
      <c r="V75" s="317"/>
      <c r="W75" s="317"/>
      <c r="X75" s="317"/>
      <c r="Y75" s="317"/>
      <c r="Z75" s="317"/>
      <c r="AA75" s="317"/>
    </row>
    <row r="76">
      <c r="A76" s="317"/>
      <c r="B76" s="317"/>
      <c r="C76" s="317"/>
      <c r="D76" s="317"/>
      <c r="E76" s="317"/>
      <c r="F76" s="317"/>
      <c r="G76" s="317"/>
      <c r="H76" s="317"/>
      <c r="I76" s="317"/>
      <c r="J76" s="317"/>
      <c r="K76" s="317"/>
      <c r="L76" s="317"/>
      <c r="M76" s="317"/>
      <c r="N76" s="317"/>
      <c r="O76" s="317"/>
      <c r="P76" s="317"/>
      <c r="Q76" s="317"/>
      <c r="R76" s="317"/>
      <c r="S76" s="317"/>
      <c r="T76" s="317"/>
      <c r="U76" s="317"/>
      <c r="V76" s="317"/>
      <c r="W76" s="317"/>
      <c r="X76" s="317"/>
      <c r="Y76" s="317"/>
      <c r="Z76" s="317"/>
      <c r="AA76" s="317"/>
    </row>
    <row r="77">
      <c r="A77" s="317"/>
      <c r="B77" s="317"/>
      <c r="C77" s="317"/>
      <c r="D77" s="317"/>
      <c r="E77" s="317"/>
      <c r="F77" s="317"/>
      <c r="G77" s="317"/>
      <c r="H77" s="317"/>
      <c r="I77" s="317"/>
      <c r="J77" s="317"/>
      <c r="K77" s="317"/>
      <c r="L77" s="317"/>
      <c r="M77" s="317"/>
      <c r="N77" s="317"/>
      <c r="O77" s="317"/>
      <c r="P77" s="317"/>
      <c r="Q77" s="317"/>
      <c r="R77" s="317"/>
      <c r="S77" s="317"/>
      <c r="T77" s="317"/>
      <c r="U77" s="317"/>
      <c r="V77" s="317"/>
      <c r="W77" s="317"/>
      <c r="X77" s="317"/>
      <c r="Y77" s="317"/>
      <c r="Z77" s="317"/>
      <c r="AA77" s="317"/>
    </row>
    <row r="78">
      <c r="A78" s="317"/>
      <c r="B78" s="317"/>
      <c r="C78" s="317"/>
      <c r="D78" s="317"/>
      <c r="E78" s="317"/>
      <c r="F78" s="317"/>
      <c r="G78" s="317"/>
      <c r="H78" s="317"/>
      <c r="I78" s="317"/>
      <c r="J78" s="317"/>
      <c r="K78" s="317"/>
      <c r="L78" s="317"/>
      <c r="M78" s="317"/>
      <c r="N78" s="317"/>
      <c r="O78" s="317"/>
      <c r="P78" s="317"/>
      <c r="Q78" s="317"/>
      <c r="R78" s="317"/>
      <c r="S78" s="317"/>
      <c r="T78" s="317"/>
      <c r="U78" s="317"/>
      <c r="V78" s="317"/>
      <c r="W78" s="317"/>
      <c r="X78" s="317"/>
      <c r="Y78" s="317"/>
      <c r="Z78" s="317"/>
      <c r="AA78" s="317"/>
    </row>
    <row r="79">
      <c r="A79" s="317"/>
      <c r="B79" s="317"/>
      <c r="C79" s="317"/>
      <c r="D79" s="317"/>
      <c r="E79" s="317"/>
      <c r="F79" s="317"/>
      <c r="G79" s="317"/>
      <c r="H79" s="317"/>
      <c r="I79" s="317"/>
      <c r="J79" s="317"/>
      <c r="K79" s="317"/>
      <c r="L79" s="317"/>
      <c r="M79" s="317"/>
      <c r="N79" s="317"/>
      <c r="O79" s="317"/>
      <c r="P79" s="317"/>
      <c r="Q79" s="317"/>
      <c r="R79" s="317"/>
      <c r="S79" s="317"/>
      <c r="T79" s="317"/>
      <c r="U79" s="317"/>
      <c r="V79" s="317"/>
      <c r="W79" s="317"/>
      <c r="X79" s="317"/>
      <c r="Y79" s="317"/>
      <c r="Z79" s="317"/>
      <c r="AA79" s="317"/>
    </row>
    <row r="80">
      <c r="A80" s="317"/>
      <c r="B80" s="317"/>
      <c r="C80" s="317"/>
      <c r="D80" s="317"/>
      <c r="E80" s="317"/>
      <c r="F80" s="317"/>
      <c r="G80" s="317"/>
      <c r="H80" s="317"/>
      <c r="I80" s="317"/>
      <c r="J80" s="317"/>
      <c r="K80" s="317"/>
      <c r="L80" s="317"/>
      <c r="M80" s="317"/>
      <c r="N80" s="317"/>
      <c r="O80" s="317"/>
      <c r="P80" s="317"/>
      <c r="Q80" s="317"/>
      <c r="R80" s="317"/>
      <c r="S80" s="317"/>
      <c r="T80" s="317"/>
      <c r="U80" s="317"/>
      <c r="V80" s="317"/>
      <c r="W80" s="317"/>
      <c r="X80" s="317"/>
      <c r="Y80" s="317"/>
      <c r="Z80" s="317"/>
      <c r="AA80" s="317"/>
    </row>
    <row r="81">
      <c r="A81" s="317"/>
      <c r="B81" s="317"/>
      <c r="C81" s="317"/>
      <c r="D81" s="317"/>
      <c r="E81" s="317"/>
      <c r="F81" s="317"/>
      <c r="G81" s="317"/>
      <c r="H81" s="317"/>
      <c r="I81" s="317"/>
      <c r="J81" s="317"/>
      <c r="K81" s="317"/>
      <c r="L81" s="317"/>
      <c r="M81" s="317"/>
      <c r="N81" s="317"/>
      <c r="O81" s="317"/>
      <c r="P81" s="317"/>
      <c r="Q81" s="317"/>
      <c r="R81" s="317"/>
      <c r="S81" s="317"/>
      <c r="T81" s="317"/>
      <c r="U81" s="317"/>
      <c r="V81" s="317"/>
      <c r="W81" s="317"/>
      <c r="X81" s="317"/>
      <c r="Y81" s="317"/>
      <c r="Z81" s="317"/>
      <c r="AA81" s="317"/>
    </row>
    <row r="82">
      <c r="A82" s="317"/>
      <c r="B82" s="317"/>
      <c r="C82" s="317"/>
      <c r="D82" s="317"/>
      <c r="E82" s="317"/>
      <c r="F82" s="317"/>
      <c r="G82" s="317"/>
      <c r="H82" s="317"/>
      <c r="I82" s="317"/>
      <c r="J82" s="317"/>
      <c r="K82" s="317"/>
      <c r="L82" s="317"/>
      <c r="M82" s="317"/>
      <c r="N82" s="317"/>
      <c r="O82" s="317"/>
      <c r="P82" s="317"/>
      <c r="Q82" s="317"/>
      <c r="R82" s="317"/>
      <c r="S82" s="317"/>
      <c r="T82" s="317"/>
      <c r="U82" s="317"/>
      <c r="V82" s="317"/>
      <c r="W82" s="317"/>
      <c r="X82" s="317"/>
      <c r="Y82" s="317"/>
      <c r="Z82" s="317"/>
      <c r="AA82" s="317"/>
    </row>
    <row r="83">
      <c r="A83" s="317"/>
      <c r="B83" s="317"/>
      <c r="C83" s="317"/>
      <c r="D83" s="317"/>
      <c r="E83" s="317"/>
      <c r="F83" s="317"/>
      <c r="G83" s="317"/>
      <c r="H83" s="317"/>
      <c r="I83" s="317"/>
      <c r="J83" s="317"/>
      <c r="K83" s="317"/>
      <c r="L83" s="317"/>
      <c r="M83" s="317"/>
      <c r="N83" s="317"/>
      <c r="O83" s="317"/>
      <c r="P83" s="317"/>
      <c r="Q83" s="317"/>
      <c r="R83" s="317"/>
      <c r="S83" s="317"/>
      <c r="T83" s="317"/>
      <c r="U83" s="317"/>
      <c r="V83" s="317"/>
      <c r="W83" s="317"/>
      <c r="X83" s="317"/>
      <c r="Y83" s="317"/>
      <c r="Z83" s="317"/>
      <c r="AA83" s="317"/>
    </row>
    <row r="84">
      <c r="A84" s="317"/>
      <c r="B84" s="317"/>
      <c r="C84" s="317"/>
      <c r="D84" s="317"/>
      <c r="E84" s="317"/>
      <c r="F84" s="317"/>
      <c r="G84" s="317"/>
      <c r="H84" s="317"/>
      <c r="I84" s="317"/>
      <c r="J84" s="317"/>
      <c r="K84" s="317"/>
      <c r="L84" s="317"/>
      <c r="M84" s="317"/>
      <c r="N84" s="317"/>
      <c r="O84" s="317"/>
      <c r="P84" s="317"/>
      <c r="Q84" s="317"/>
      <c r="R84" s="317"/>
      <c r="S84" s="317"/>
      <c r="T84" s="317"/>
      <c r="U84" s="317"/>
      <c r="V84" s="317"/>
      <c r="W84" s="317"/>
      <c r="X84" s="317"/>
      <c r="Y84" s="317"/>
      <c r="Z84" s="317"/>
      <c r="AA84" s="317"/>
    </row>
    <row r="85">
      <c r="A85" s="317"/>
      <c r="B85" s="317"/>
      <c r="C85" s="317"/>
      <c r="D85" s="317"/>
      <c r="E85" s="317"/>
      <c r="F85" s="317"/>
      <c r="G85" s="317"/>
      <c r="H85" s="317"/>
      <c r="I85" s="317"/>
      <c r="J85" s="317"/>
      <c r="K85" s="317"/>
      <c r="L85" s="317"/>
      <c r="M85" s="317"/>
      <c r="N85" s="317"/>
      <c r="O85" s="317"/>
      <c r="P85" s="317"/>
      <c r="Q85" s="317"/>
      <c r="R85" s="317"/>
      <c r="S85" s="317"/>
      <c r="T85" s="317"/>
      <c r="U85" s="317"/>
      <c r="V85" s="317"/>
      <c r="W85" s="317"/>
      <c r="X85" s="317"/>
      <c r="Y85" s="317"/>
      <c r="Z85" s="317"/>
      <c r="AA85" s="317"/>
    </row>
    <row r="86">
      <c r="A86" s="317"/>
      <c r="B86" s="317"/>
      <c r="C86" s="317"/>
      <c r="D86" s="317"/>
      <c r="E86" s="317"/>
      <c r="F86" s="317"/>
      <c r="G86" s="317"/>
      <c r="H86" s="317"/>
      <c r="I86" s="317"/>
      <c r="J86" s="317"/>
      <c r="K86" s="317"/>
      <c r="L86" s="317"/>
      <c r="M86" s="317"/>
      <c r="N86" s="317"/>
      <c r="O86" s="317"/>
      <c r="P86" s="317"/>
      <c r="Q86" s="317"/>
      <c r="R86" s="317"/>
      <c r="S86" s="317"/>
      <c r="T86" s="317"/>
      <c r="U86" s="317"/>
      <c r="V86" s="317"/>
      <c r="W86" s="317"/>
      <c r="X86" s="317"/>
      <c r="Y86" s="317"/>
      <c r="Z86" s="317"/>
      <c r="AA86" s="317"/>
    </row>
    <row r="87">
      <c r="A87" s="317"/>
      <c r="B87" s="317"/>
      <c r="C87" s="317"/>
      <c r="D87" s="317"/>
      <c r="E87" s="317"/>
      <c r="F87" s="317"/>
      <c r="G87" s="317"/>
      <c r="H87" s="317"/>
      <c r="I87" s="317"/>
      <c r="J87" s="317"/>
      <c r="K87" s="317"/>
      <c r="L87" s="317"/>
      <c r="M87" s="317"/>
      <c r="N87" s="317"/>
      <c r="O87" s="317"/>
      <c r="P87" s="317"/>
      <c r="Q87" s="317"/>
      <c r="R87" s="317"/>
      <c r="S87" s="317"/>
      <c r="T87" s="317"/>
      <c r="U87" s="317"/>
      <c r="V87" s="317"/>
      <c r="W87" s="317"/>
      <c r="X87" s="317"/>
      <c r="Y87" s="317"/>
      <c r="Z87" s="317"/>
      <c r="AA87" s="317"/>
    </row>
    <row r="88">
      <c r="A88" s="317"/>
      <c r="B88" s="317"/>
      <c r="C88" s="317"/>
      <c r="D88" s="317"/>
      <c r="E88" s="317"/>
      <c r="F88" s="317"/>
      <c r="G88" s="317"/>
      <c r="H88" s="317"/>
      <c r="I88" s="317"/>
      <c r="J88" s="317"/>
      <c r="K88" s="317"/>
      <c r="L88" s="317"/>
      <c r="M88" s="317"/>
      <c r="N88" s="317"/>
      <c r="O88" s="317"/>
      <c r="P88" s="317"/>
      <c r="Q88" s="317"/>
      <c r="R88" s="317"/>
      <c r="S88" s="317"/>
      <c r="T88" s="317"/>
      <c r="U88" s="317"/>
      <c r="V88" s="317"/>
      <c r="W88" s="317"/>
      <c r="X88" s="317"/>
      <c r="Y88" s="317"/>
      <c r="Z88" s="317"/>
      <c r="AA88" s="317"/>
    </row>
    <row r="89">
      <c r="A89" s="317"/>
      <c r="B89" s="317"/>
      <c r="C89" s="317"/>
      <c r="D89" s="317"/>
      <c r="E89" s="317"/>
      <c r="F89" s="317"/>
      <c r="G89" s="317"/>
      <c r="H89" s="317"/>
      <c r="I89" s="317"/>
      <c r="J89" s="317"/>
      <c r="K89" s="317"/>
      <c r="L89" s="317"/>
      <c r="M89" s="317"/>
      <c r="N89" s="317"/>
      <c r="O89" s="317"/>
      <c r="P89" s="317"/>
      <c r="Q89" s="317"/>
      <c r="R89" s="317"/>
      <c r="S89" s="317"/>
      <c r="T89" s="317"/>
      <c r="U89" s="317"/>
      <c r="V89" s="317"/>
      <c r="W89" s="317"/>
      <c r="X89" s="317"/>
      <c r="Y89" s="317"/>
      <c r="Z89" s="317"/>
      <c r="AA89" s="317"/>
    </row>
    <row r="90">
      <c r="A90" s="317"/>
      <c r="B90" s="317"/>
      <c r="C90" s="317"/>
      <c r="D90" s="317"/>
      <c r="E90" s="317"/>
      <c r="F90" s="317"/>
      <c r="G90" s="317"/>
      <c r="H90" s="317"/>
      <c r="I90" s="317"/>
      <c r="J90" s="317"/>
      <c r="K90" s="317"/>
      <c r="L90" s="317"/>
      <c r="M90" s="317"/>
      <c r="N90" s="317"/>
      <c r="O90" s="317"/>
      <c r="P90" s="317"/>
      <c r="Q90" s="317"/>
      <c r="R90" s="317"/>
      <c r="S90" s="317"/>
      <c r="T90" s="317"/>
      <c r="U90" s="317"/>
      <c r="V90" s="317"/>
      <c r="W90" s="317"/>
      <c r="X90" s="317"/>
      <c r="Y90" s="317"/>
      <c r="Z90" s="317"/>
      <c r="AA90" s="317"/>
    </row>
    <row r="91">
      <c r="A91" s="317"/>
      <c r="B91" s="317"/>
      <c r="C91" s="317"/>
      <c r="D91" s="317"/>
      <c r="E91" s="317"/>
      <c r="F91" s="317"/>
      <c r="G91" s="317"/>
      <c r="H91" s="317"/>
      <c r="I91" s="317"/>
      <c r="J91" s="317"/>
      <c r="K91" s="317"/>
      <c r="L91" s="317"/>
      <c r="M91" s="317"/>
      <c r="N91" s="317"/>
      <c r="O91" s="317"/>
      <c r="P91" s="317"/>
      <c r="Q91" s="317"/>
      <c r="R91" s="317"/>
      <c r="S91" s="317"/>
      <c r="T91" s="317"/>
      <c r="U91" s="317"/>
      <c r="V91" s="317"/>
      <c r="W91" s="317"/>
      <c r="X91" s="317"/>
      <c r="Y91" s="317"/>
      <c r="Z91" s="317"/>
      <c r="AA91" s="317"/>
    </row>
    <row r="92">
      <c r="A92" s="317"/>
      <c r="B92" s="317"/>
      <c r="C92" s="317"/>
      <c r="D92" s="317"/>
      <c r="E92" s="317"/>
      <c r="F92" s="317"/>
      <c r="G92" s="317"/>
      <c r="H92" s="317"/>
      <c r="I92" s="317"/>
      <c r="J92" s="317"/>
      <c r="K92" s="317"/>
      <c r="L92" s="317"/>
      <c r="M92" s="317"/>
      <c r="N92" s="317"/>
      <c r="O92" s="317"/>
      <c r="P92" s="317"/>
      <c r="Q92" s="317"/>
      <c r="R92" s="317"/>
      <c r="S92" s="317"/>
      <c r="T92" s="317"/>
      <c r="U92" s="317"/>
      <c r="V92" s="317"/>
      <c r="W92" s="317"/>
      <c r="X92" s="317"/>
      <c r="Y92" s="317"/>
      <c r="Z92" s="317"/>
      <c r="AA92" s="317"/>
    </row>
    <row r="93">
      <c r="A93" s="317"/>
      <c r="B93" s="317"/>
      <c r="C93" s="317"/>
      <c r="D93" s="317"/>
      <c r="E93" s="317"/>
      <c r="F93" s="317"/>
      <c r="G93" s="317"/>
      <c r="H93" s="317"/>
      <c r="I93" s="317"/>
      <c r="J93" s="317"/>
      <c r="K93" s="317"/>
      <c r="L93" s="317"/>
      <c r="M93" s="317"/>
      <c r="N93" s="317"/>
      <c r="O93" s="317"/>
      <c r="P93" s="317"/>
      <c r="Q93" s="317"/>
      <c r="R93" s="317"/>
      <c r="S93" s="317"/>
      <c r="T93" s="317"/>
      <c r="U93" s="317"/>
      <c r="V93" s="317"/>
      <c r="W93" s="317"/>
      <c r="X93" s="317"/>
      <c r="Y93" s="317"/>
      <c r="Z93" s="317"/>
      <c r="AA93" s="317"/>
    </row>
    <row r="94">
      <c r="A94" s="317"/>
      <c r="B94" s="317"/>
      <c r="C94" s="317"/>
      <c r="D94" s="317"/>
      <c r="E94" s="317"/>
      <c r="F94" s="317"/>
      <c r="G94" s="317"/>
      <c r="H94" s="317"/>
      <c r="I94" s="317"/>
      <c r="J94" s="317"/>
      <c r="K94" s="317"/>
      <c r="L94" s="317"/>
      <c r="M94" s="317"/>
      <c r="N94" s="317"/>
      <c r="O94" s="317"/>
      <c r="P94" s="317"/>
      <c r="Q94" s="317"/>
      <c r="R94" s="317"/>
      <c r="S94" s="317"/>
      <c r="T94" s="317"/>
      <c r="U94" s="317"/>
      <c r="V94" s="317"/>
      <c r="W94" s="317"/>
      <c r="X94" s="317"/>
      <c r="Y94" s="317"/>
      <c r="Z94" s="317"/>
      <c r="AA94" s="317"/>
    </row>
    <row r="95">
      <c r="A95" s="317"/>
      <c r="B95" s="317"/>
      <c r="C95" s="317"/>
      <c r="D95" s="317"/>
      <c r="E95" s="317"/>
      <c r="F95" s="317"/>
      <c r="G95" s="317"/>
      <c r="H95" s="317"/>
      <c r="I95" s="317"/>
      <c r="J95" s="317"/>
      <c r="K95" s="317"/>
      <c r="L95" s="317"/>
      <c r="M95" s="317"/>
      <c r="N95" s="317"/>
      <c r="O95" s="317"/>
      <c r="P95" s="317"/>
      <c r="Q95" s="317"/>
      <c r="R95" s="317"/>
      <c r="S95" s="317"/>
      <c r="T95" s="317"/>
      <c r="U95" s="317"/>
      <c r="V95" s="317"/>
      <c r="W95" s="317"/>
      <c r="X95" s="317"/>
      <c r="Y95" s="317"/>
      <c r="Z95" s="317"/>
      <c r="AA95" s="317"/>
    </row>
    <row r="96">
      <c r="A96" s="317"/>
      <c r="B96" s="317"/>
      <c r="C96" s="317"/>
      <c r="D96" s="317"/>
      <c r="E96" s="317"/>
      <c r="F96" s="317"/>
      <c r="G96" s="317"/>
      <c r="H96" s="317"/>
      <c r="I96" s="317"/>
      <c r="J96" s="317"/>
      <c r="K96" s="317"/>
      <c r="L96" s="317"/>
      <c r="M96" s="317"/>
      <c r="N96" s="317"/>
      <c r="O96" s="317"/>
      <c r="P96" s="317"/>
      <c r="Q96" s="317"/>
      <c r="R96" s="317"/>
      <c r="S96" s="317"/>
      <c r="T96" s="317"/>
      <c r="U96" s="317"/>
      <c r="V96" s="317"/>
      <c r="W96" s="317"/>
      <c r="X96" s="317"/>
      <c r="Y96" s="317"/>
      <c r="Z96" s="317"/>
      <c r="AA96" s="317"/>
    </row>
    <row r="97">
      <c r="A97" s="317"/>
      <c r="B97" s="317"/>
      <c r="C97" s="317"/>
      <c r="D97" s="317"/>
      <c r="E97" s="317"/>
      <c r="F97" s="317"/>
      <c r="G97" s="317"/>
      <c r="H97" s="317"/>
      <c r="I97" s="317"/>
      <c r="J97" s="317"/>
      <c r="K97" s="317"/>
      <c r="L97" s="317"/>
      <c r="M97" s="317"/>
      <c r="N97" s="317"/>
      <c r="O97" s="317"/>
      <c r="P97" s="317"/>
      <c r="Q97" s="317"/>
      <c r="R97" s="317"/>
      <c r="S97" s="317"/>
      <c r="T97" s="317"/>
      <c r="U97" s="317"/>
      <c r="V97" s="317"/>
      <c r="W97" s="317"/>
      <c r="X97" s="317"/>
      <c r="Y97" s="317"/>
      <c r="Z97" s="317"/>
      <c r="AA97" s="317"/>
    </row>
    <row r="98">
      <c r="A98" s="317"/>
      <c r="B98" s="317"/>
      <c r="C98" s="317"/>
      <c r="D98" s="317"/>
      <c r="E98" s="317"/>
      <c r="F98" s="317"/>
      <c r="G98" s="317"/>
      <c r="H98" s="317"/>
      <c r="I98" s="317"/>
      <c r="J98" s="317"/>
      <c r="K98" s="317"/>
      <c r="L98" s="317"/>
      <c r="M98" s="317"/>
      <c r="N98" s="317"/>
      <c r="O98" s="317"/>
      <c r="P98" s="317"/>
      <c r="Q98" s="317"/>
      <c r="R98" s="317"/>
      <c r="S98" s="317"/>
      <c r="T98" s="317"/>
      <c r="U98" s="317"/>
      <c r="V98" s="317"/>
      <c r="W98" s="317"/>
      <c r="X98" s="317"/>
      <c r="Y98" s="317"/>
      <c r="Z98" s="317"/>
      <c r="AA98" s="317"/>
    </row>
    <row r="99">
      <c r="A99" s="317"/>
      <c r="B99" s="317"/>
      <c r="C99" s="317"/>
      <c r="D99" s="317"/>
      <c r="E99" s="317"/>
      <c r="F99" s="317"/>
      <c r="G99" s="317"/>
      <c r="H99" s="317"/>
      <c r="I99" s="317"/>
      <c r="J99" s="317"/>
      <c r="K99" s="317"/>
      <c r="L99" s="317"/>
      <c r="M99" s="317"/>
      <c r="N99" s="317"/>
      <c r="O99" s="317"/>
      <c r="P99" s="317"/>
      <c r="Q99" s="317"/>
      <c r="R99" s="317"/>
      <c r="S99" s="317"/>
      <c r="T99" s="317"/>
      <c r="U99" s="317"/>
      <c r="V99" s="317"/>
      <c r="W99" s="317"/>
      <c r="X99" s="317"/>
      <c r="Y99" s="317"/>
      <c r="Z99" s="317"/>
      <c r="AA99" s="317"/>
    </row>
    <row r="100">
      <c r="A100" s="317"/>
      <c r="B100" s="317"/>
      <c r="C100" s="317"/>
      <c r="D100" s="317"/>
      <c r="E100" s="317"/>
      <c r="F100" s="317"/>
      <c r="G100" s="317"/>
      <c r="H100" s="317"/>
      <c r="I100" s="317"/>
      <c r="J100" s="317"/>
      <c r="K100" s="317"/>
      <c r="L100" s="317"/>
      <c r="M100" s="317"/>
      <c r="N100" s="317"/>
      <c r="O100" s="317"/>
      <c r="P100" s="317"/>
      <c r="Q100" s="317"/>
      <c r="R100" s="317"/>
      <c r="S100" s="317"/>
      <c r="T100" s="317"/>
      <c r="U100" s="317"/>
      <c r="V100" s="317"/>
      <c r="W100" s="317"/>
      <c r="X100" s="317"/>
      <c r="Y100" s="317"/>
      <c r="Z100" s="317"/>
      <c r="AA100" s="317"/>
    </row>
    <row r="101">
      <c r="A101" s="317"/>
      <c r="B101" s="317"/>
      <c r="C101" s="317"/>
      <c r="D101" s="317"/>
      <c r="E101" s="317"/>
      <c r="F101" s="317"/>
      <c r="G101" s="317"/>
      <c r="H101" s="317"/>
      <c r="I101" s="317"/>
      <c r="J101" s="317"/>
      <c r="K101" s="317"/>
      <c r="L101" s="317"/>
      <c r="M101" s="317"/>
      <c r="N101" s="317"/>
      <c r="O101" s="317"/>
      <c r="P101" s="317"/>
      <c r="Q101" s="317"/>
      <c r="R101" s="317"/>
      <c r="S101" s="317"/>
      <c r="T101" s="317"/>
      <c r="U101" s="317"/>
      <c r="V101" s="317"/>
      <c r="W101" s="317"/>
      <c r="X101" s="317"/>
      <c r="Y101" s="317"/>
      <c r="Z101" s="317"/>
      <c r="AA101" s="317"/>
    </row>
    <row r="102">
      <c r="A102" s="317"/>
      <c r="B102" s="317"/>
      <c r="C102" s="317"/>
      <c r="D102" s="317"/>
      <c r="E102" s="317"/>
      <c r="F102" s="317"/>
      <c r="G102" s="317"/>
      <c r="H102" s="317"/>
      <c r="I102" s="317"/>
      <c r="J102" s="317"/>
      <c r="K102" s="317"/>
      <c r="L102" s="317"/>
      <c r="M102" s="317"/>
      <c r="N102" s="317"/>
      <c r="O102" s="317"/>
      <c r="P102" s="317"/>
      <c r="Q102" s="317"/>
      <c r="R102" s="317"/>
      <c r="S102" s="317"/>
      <c r="T102" s="317"/>
      <c r="U102" s="317"/>
      <c r="V102" s="317"/>
      <c r="W102" s="317"/>
      <c r="X102" s="317"/>
      <c r="Y102" s="317"/>
      <c r="Z102" s="317"/>
      <c r="AA102" s="317"/>
    </row>
    <row r="103">
      <c r="A103" s="317"/>
      <c r="B103" s="317"/>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c r="AA103" s="317"/>
    </row>
    <row r="104">
      <c r="A104" s="317"/>
      <c r="B104" s="317"/>
      <c r="C104" s="317"/>
      <c r="D104" s="317"/>
      <c r="E104" s="317"/>
      <c r="F104" s="317"/>
      <c r="G104" s="317"/>
      <c r="H104" s="317"/>
      <c r="I104" s="317"/>
      <c r="J104" s="317"/>
      <c r="K104" s="317"/>
      <c r="L104" s="317"/>
      <c r="M104" s="317"/>
      <c r="N104" s="317"/>
      <c r="O104" s="317"/>
      <c r="P104" s="317"/>
      <c r="Q104" s="317"/>
      <c r="R104" s="317"/>
      <c r="S104" s="317"/>
      <c r="T104" s="317"/>
      <c r="U104" s="317"/>
      <c r="V104" s="317"/>
      <c r="W104" s="317"/>
      <c r="X104" s="317"/>
      <c r="Y104" s="317"/>
      <c r="Z104" s="317"/>
      <c r="AA104" s="317"/>
    </row>
    <row r="105">
      <c r="A105" s="317"/>
      <c r="B105" s="317"/>
      <c r="C105" s="317"/>
      <c r="D105" s="317"/>
      <c r="E105" s="317"/>
      <c r="F105" s="317"/>
      <c r="G105" s="317"/>
      <c r="H105" s="317"/>
      <c r="I105" s="317"/>
      <c r="J105" s="317"/>
      <c r="K105" s="317"/>
      <c r="L105" s="317"/>
      <c r="M105" s="317"/>
      <c r="N105" s="317"/>
      <c r="O105" s="317"/>
      <c r="P105" s="317"/>
      <c r="Q105" s="317"/>
      <c r="R105" s="317"/>
      <c r="S105" s="317"/>
      <c r="T105" s="317"/>
      <c r="U105" s="317"/>
      <c r="V105" s="317"/>
      <c r="W105" s="317"/>
      <c r="X105" s="317"/>
      <c r="Y105" s="317"/>
      <c r="Z105" s="317"/>
      <c r="AA105" s="317"/>
    </row>
    <row r="106">
      <c r="A106" s="317"/>
      <c r="B106" s="317"/>
      <c r="C106" s="317"/>
      <c r="D106" s="317"/>
      <c r="E106" s="317"/>
      <c r="F106" s="317"/>
      <c r="G106" s="317"/>
      <c r="H106" s="317"/>
      <c r="I106" s="317"/>
      <c r="J106" s="317"/>
      <c r="K106" s="317"/>
      <c r="L106" s="317"/>
      <c r="M106" s="317"/>
      <c r="N106" s="317"/>
      <c r="O106" s="317"/>
      <c r="P106" s="317"/>
      <c r="Q106" s="317"/>
      <c r="R106" s="317"/>
      <c r="S106" s="317"/>
      <c r="T106" s="317"/>
      <c r="U106" s="317"/>
      <c r="V106" s="317"/>
      <c r="W106" s="317"/>
      <c r="X106" s="317"/>
      <c r="Y106" s="317"/>
      <c r="Z106" s="317"/>
      <c r="AA106" s="317"/>
    </row>
    <row r="107">
      <c r="A107" s="317"/>
      <c r="B107" s="317"/>
      <c r="C107" s="317"/>
      <c r="D107" s="317"/>
      <c r="E107" s="317"/>
      <c r="F107" s="317"/>
      <c r="G107" s="317"/>
      <c r="H107" s="317"/>
      <c r="I107" s="317"/>
      <c r="J107" s="317"/>
      <c r="K107" s="317"/>
      <c r="L107" s="317"/>
      <c r="M107" s="317"/>
      <c r="N107" s="317"/>
      <c r="O107" s="317"/>
      <c r="P107" s="317"/>
      <c r="Q107" s="317"/>
      <c r="R107" s="317"/>
      <c r="S107" s="317"/>
      <c r="T107" s="317"/>
      <c r="U107" s="317"/>
      <c r="V107" s="317"/>
      <c r="W107" s="317"/>
      <c r="X107" s="317"/>
      <c r="Y107" s="317"/>
      <c r="Z107" s="317"/>
      <c r="AA107" s="317"/>
    </row>
    <row r="108">
      <c r="A108" s="317"/>
      <c r="B108" s="317"/>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row>
    <row r="109">
      <c r="A109" s="317"/>
      <c r="B109" s="317"/>
      <c r="C109" s="317"/>
      <c r="D109" s="317"/>
      <c r="E109" s="317"/>
      <c r="F109" s="317"/>
      <c r="G109" s="317"/>
      <c r="H109" s="317"/>
      <c r="I109" s="317"/>
      <c r="J109" s="317"/>
      <c r="K109" s="317"/>
      <c r="L109" s="317"/>
      <c r="M109" s="317"/>
      <c r="N109" s="317"/>
      <c r="O109" s="317"/>
      <c r="P109" s="317"/>
      <c r="Q109" s="317"/>
      <c r="R109" s="317"/>
      <c r="S109" s="317"/>
      <c r="T109" s="317"/>
      <c r="U109" s="317"/>
      <c r="V109" s="317"/>
      <c r="W109" s="317"/>
      <c r="X109" s="317"/>
      <c r="Y109" s="317"/>
      <c r="Z109" s="317"/>
      <c r="AA109" s="317"/>
    </row>
    <row r="110">
      <c r="A110" s="317"/>
      <c r="B110" s="317"/>
      <c r="C110" s="317"/>
      <c r="D110" s="317"/>
      <c r="E110" s="317"/>
      <c r="F110" s="317"/>
      <c r="G110" s="317"/>
      <c r="H110" s="317"/>
      <c r="I110" s="317"/>
      <c r="J110" s="317"/>
      <c r="K110" s="317"/>
      <c r="L110" s="317"/>
      <c r="M110" s="317"/>
      <c r="N110" s="317"/>
      <c r="O110" s="317"/>
      <c r="P110" s="317"/>
      <c r="Q110" s="317"/>
      <c r="R110" s="317"/>
      <c r="S110" s="317"/>
      <c r="T110" s="317"/>
      <c r="U110" s="317"/>
      <c r="V110" s="317"/>
      <c r="W110" s="317"/>
      <c r="X110" s="317"/>
      <c r="Y110" s="317"/>
      <c r="Z110" s="317"/>
      <c r="AA110" s="317"/>
    </row>
    <row r="111">
      <c r="A111" s="317"/>
      <c r="B111" s="317"/>
      <c r="C111" s="317"/>
      <c r="D111" s="317"/>
      <c r="E111" s="317"/>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row>
    <row r="112">
      <c r="A112" s="317"/>
      <c r="B112" s="317"/>
      <c r="C112" s="317"/>
      <c r="D112" s="317"/>
      <c r="E112" s="317"/>
      <c r="F112" s="317"/>
      <c r="G112" s="317"/>
      <c r="H112" s="317"/>
      <c r="I112" s="317"/>
      <c r="J112" s="317"/>
      <c r="K112" s="317"/>
      <c r="L112" s="317"/>
      <c r="M112" s="317"/>
      <c r="N112" s="317"/>
      <c r="O112" s="317"/>
      <c r="P112" s="317"/>
      <c r="Q112" s="317"/>
      <c r="R112" s="317"/>
      <c r="S112" s="317"/>
      <c r="T112" s="317"/>
      <c r="U112" s="317"/>
      <c r="V112" s="317"/>
      <c r="W112" s="317"/>
      <c r="X112" s="317"/>
      <c r="Y112" s="317"/>
      <c r="Z112" s="317"/>
      <c r="AA112" s="317"/>
    </row>
    <row r="113">
      <c r="A113" s="317"/>
      <c r="B113" s="317"/>
      <c r="C113" s="317"/>
      <c r="D113" s="317"/>
      <c r="E113" s="317"/>
      <c r="F113" s="317"/>
      <c r="G113" s="317"/>
      <c r="H113" s="317"/>
      <c r="I113" s="317"/>
      <c r="J113" s="317"/>
      <c r="K113" s="317"/>
      <c r="L113" s="317"/>
      <c r="M113" s="317"/>
      <c r="N113" s="317"/>
      <c r="O113" s="317"/>
      <c r="P113" s="317"/>
      <c r="Q113" s="317"/>
      <c r="R113" s="317"/>
      <c r="S113" s="317"/>
      <c r="T113" s="317"/>
      <c r="U113" s="317"/>
      <c r="V113" s="317"/>
      <c r="W113" s="317"/>
      <c r="X113" s="317"/>
      <c r="Y113" s="317"/>
      <c r="Z113" s="317"/>
      <c r="AA113" s="317"/>
    </row>
    <row r="114">
      <c r="A114" s="317"/>
      <c r="B114" s="317"/>
      <c r="C114" s="317"/>
      <c r="D114" s="317"/>
      <c r="E114" s="317"/>
      <c r="F114" s="317"/>
      <c r="G114" s="317"/>
      <c r="H114" s="317"/>
      <c r="I114" s="317"/>
      <c r="J114" s="317"/>
      <c r="K114" s="317"/>
      <c r="L114" s="317"/>
      <c r="M114" s="317"/>
      <c r="N114" s="317"/>
      <c r="O114" s="317"/>
      <c r="P114" s="317"/>
      <c r="Q114" s="317"/>
      <c r="R114" s="317"/>
      <c r="S114" s="317"/>
      <c r="T114" s="317"/>
      <c r="U114" s="317"/>
      <c r="V114" s="317"/>
      <c r="W114" s="317"/>
      <c r="X114" s="317"/>
      <c r="Y114" s="317"/>
      <c r="Z114" s="317"/>
      <c r="AA114" s="317"/>
    </row>
    <row r="115">
      <c r="A115" s="317"/>
      <c r="B115" s="317"/>
      <c r="C115" s="317"/>
      <c r="D115" s="317"/>
      <c r="E115" s="317"/>
      <c r="F115" s="317"/>
      <c r="G115" s="317"/>
      <c r="H115" s="317"/>
      <c r="I115" s="317"/>
      <c r="J115" s="317"/>
      <c r="K115" s="317"/>
      <c r="L115" s="317"/>
      <c r="M115" s="317"/>
      <c r="N115" s="317"/>
      <c r="O115" s="317"/>
      <c r="P115" s="317"/>
      <c r="Q115" s="317"/>
      <c r="R115" s="317"/>
      <c r="S115" s="317"/>
      <c r="T115" s="317"/>
      <c r="U115" s="317"/>
      <c r="V115" s="317"/>
      <c r="W115" s="317"/>
      <c r="X115" s="317"/>
      <c r="Y115" s="317"/>
      <c r="Z115" s="317"/>
      <c r="AA115" s="317"/>
    </row>
    <row r="116">
      <c r="A116" s="317"/>
      <c r="B116" s="317"/>
      <c r="C116" s="317"/>
      <c r="D116" s="317"/>
      <c r="E116" s="317"/>
      <c r="F116" s="317"/>
      <c r="G116" s="317"/>
      <c r="H116" s="317"/>
      <c r="I116" s="317"/>
      <c r="J116" s="317"/>
      <c r="K116" s="317"/>
      <c r="L116" s="317"/>
      <c r="M116" s="317"/>
      <c r="N116" s="317"/>
      <c r="O116" s="317"/>
      <c r="P116" s="317"/>
      <c r="Q116" s="317"/>
      <c r="R116" s="317"/>
      <c r="S116" s="317"/>
      <c r="T116" s="317"/>
      <c r="U116" s="317"/>
      <c r="V116" s="317"/>
      <c r="W116" s="317"/>
      <c r="X116" s="317"/>
      <c r="Y116" s="317"/>
      <c r="Z116" s="317"/>
      <c r="AA116" s="317"/>
    </row>
    <row r="117">
      <c r="A117" s="317"/>
      <c r="B117" s="317"/>
      <c r="C117" s="317"/>
      <c r="D117" s="317"/>
      <c r="E117" s="317"/>
      <c r="F117" s="317"/>
      <c r="G117" s="317"/>
      <c r="H117" s="317"/>
      <c r="I117" s="317"/>
      <c r="J117" s="317"/>
      <c r="K117" s="317"/>
      <c r="L117" s="317"/>
      <c r="M117" s="317"/>
      <c r="N117" s="317"/>
      <c r="O117" s="317"/>
      <c r="P117" s="317"/>
      <c r="Q117" s="317"/>
      <c r="R117" s="317"/>
      <c r="S117" s="317"/>
      <c r="T117" s="317"/>
      <c r="U117" s="317"/>
      <c r="V117" s="317"/>
      <c r="W117" s="317"/>
      <c r="X117" s="317"/>
      <c r="Y117" s="317"/>
      <c r="Z117" s="317"/>
      <c r="AA117" s="317"/>
    </row>
    <row r="118">
      <c r="A118" s="317"/>
      <c r="B118" s="317"/>
      <c r="C118" s="317"/>
      <c r="D118" s="317"/>
      <c r="E118" s="317"/>
      <c r="F118" s="317"/>
      <c r="G118" s="317"/>
      <c r="H118" s="317"/>
      <c r="I118" s="317"/>
      <c r="J118" s="317"/>
      <c r="K118" s="317"/>
      <c r="L118" s="317"/>
      <c r="M118" s="317"/>
      <c r="N118" s="317"/>
      <c r="O118" s="317"/>
      <c r="P118" s="317"/>
      <c r="Q118" s="317"/>
      <c r="R118" s="317"/>
      <c r="S118" s="317"/>
      <c r="T118" s="317"/>
      <c r="U118" s="317"/>
      <c r="V118" s="317"/>
      <c r="W118" s="317"/>
      <c r="X118" s="317"/>
      <c r="Y118" s="317"/>
      <c r="Z118" s="317"/>
      <c r="AA118" s="317"/>
    </row>
    <row r="119">
      <c r="A119" s="317"/>
      <c r="B119" s="317"/>
      <c r="C119" s="317"/>
      <c r="D119" s="317"/>
      <c r="E119" s="317"/>
      <c r="F119" s="317"/>
      <c r="G119" s="317"/>
      <c r="H119" s="317"/>
      <c r="I119" s="317"/>
      <c r="J119" s="317"/>
      <c r="K119" s="317"/>
      <c r="L119" s="317"/>
      <c r="M119" s="317"/>
      <c r="N119" s="317"/>
      <c r="O119" s="317"/>
      <c r="P119" s="317"/>
      <c r="Q119" s="317"/>
      <c r="R119" s="317"/>
      <c r="S119" s="317"/>
      <c r="T119" s="317"/>
      <c r="U119" s="317"/>
      <c r="V119" s="317"/>
      <c r="W119" s="317"/>
      <c r="X119" s="317"/>
      <c r="Y119" s="317"/>
      <c r="Z119" s="317"/>
      <c r="AA119" s="317"/>
    </row>
    <row r="120">
      <c r="A120" s="317"/>
      <c r="B120" s="317"/>
      <c r="C120" s="317"/>
      <c r="D120" s="317"/>
      <c r="E120" s="317"/>
      <c r="F120" s="317"/>
      <c r="G120" s="317"/>
      <c r="H120" s="317"/>
      <c r="I120" s="317"/>
      <c r="J120" s="317"/>
      <c r="K120" s="317"/>
      <c r="L120" s="317"/>
      <c r="M120" s="317"/>
      <c r="N120" s="317"/>
      <c r="O120" s="317"/>
      <c r="P120" s="317"/>
      <c r="Q120" s="317"/>
      <c r="R120" s="317"/>
      <c r="S120" s="317"/>
      <c r="T120" s="317"/>
      <c r="U120" s="317"/>
      <c r="V120" s="317"/>
      <c r="W120" s="317"/>
      <c r="X120" s="317"/>
      <c r="Y120" s="317"/>
      <c r="Z120" s="317"/>
      <c r="AA120" s="317"/>
    </row>
    <row r="121">
      <c r="A121" s="317"/>
      <c r="B121" s="317"/>
      <c r="C121" s="317"/>
      <c r="D121" s="317"/>
      <c r="E121" s="317"/>
      <c r="F121" s="317"/>
      <c r="G121" s="317"/>
      <c r="H121" s="317"/>
      <c r="I121" s="317"/>
      <c r="J121" s="317"/>
      <c r="K121" s="317"/>
      <c r="L121" s="317"/>
      <c r="M121" s="317"/>
      <c r="N121" s="317"/>
      <c r="O121" s="317"/>
      <c r="P121" s="317"/>
      <c r="Q121" s="317"/>
      <c r="R121" s="317"/>
      <c r="S121" s="317"/>
      <c r="T121" s="317"/>
      <c r="U121" s="317"/>
      <c r="V121" s="317"/>
      <c r="W121" s="317"/>
      <c r="X121" s="317"/>
      <c r="Y121" s="317"/>
      <c r="Z121" s="317"/>
      <c r="AA121" s="317"/>
    </row>
    <row r="122">
      <c r="A122" s="317"/>
      <c r="B122" s="317"/>
      <c r="C122" s="317"/>
      <c r="D122" s="317"/>
      <c r="E122" s="317"/>
      <c r="F122" s="317"/>
      <c r="G122" s="317"/>
      <c r="H122" s="317"/>
      <c r="I122" s="317"/>
      <c r="J122" s="317"/>
      <c r="K122" s="317"/>
      <c r="L122" s="317"/>
      <c r="M122" s="317"/>
      <c r="N122" s="317"/>
      <c r="O122" s="317"/>
      <c r="P122" s="317"/>
      <c r="Q122" s="317"/>
      <c r="R122" s="317"/>
      <c r="S122" s="317"/>
      <c r="T122" s="317"/>
      <c r="U122" s="317"/>
      <c r="V122" s="317"/>
      <c r="W122" s="317"/>
      <c r="X122" s="317"/>
      <c r="Y122" s="317"/>
      <c r="Z122" s="317"/>
      <c r="AA122" s="317"/>
    </row>
    <row r="123">
      <c r="A123" s="317"/>
      <c r="B123" s="317"/>
      <c r="C123" s="317"/>
      <c r="D123" s="317"/>
      <c r="E123" s="317"/>
      <c r="F123" s="317"/>
      <c r="G123" s="317"/>
      <c r="H123" s="317"/>
      <c r="I123" s="317"/>
      <c r="J123" s="317"/>
      <c r="K123" s="317"/>
      <c r="L123" s="317"/>
      <c r="M123" s="317"/>
      <c r="N123" s="317"/>
      <c r="O123" s="317"/>
      <c r="P123" s="317"/>
      <c r="Q123" s="317"/>
      <c r="R123" s="317"/>
      <c r="S123" s="317"/>
      <c r="T123" s="317"/>
      <c r="U123" s="317"/>
      <c r="V123" s="317"/>
      <c r="W123" s="317"/>
      <c r="X123" s="317"/>
      <c r="Y123" s="317"/>
      <c r="Z123" s="317"/>
      <c r="AA123" s="317"/>
    </row>
    <row r="124">
      <c r="A124" s="317"/>
      <c r="B124" s="317"/>
      <c r="C124" s="317"/>
      <c r="D124" s="317"/>
      <c r="E124" s="317"/>
      <c r="F124" s="317"/>
      <c r="G124" s="317"/>
      <c r="H124" s="317"/>
      <c r="I124" s="317"/>
      <c r="J124" s="317"/>
      <c r="K124" s="317"/>
      <c r="L124" s="317"/>
      <c r="M124" s="317"/>
      <c r="N124" s="317"/>
      <c r="O124" s="317"/>
      <c r="P124" s="317"/>
      <c r="Q124" s="317"/>
      <c r="R124" s="317"/>
      <c r="S124" s="317"/>
      <c r="T124" s="317"/>
      <c r="U124" s="317"/>
      <c r="V124" s="317"/>
      <c r="W124" s="317"/>
      <c r="X124" s="317"/>
      <c r="Y124" s="317"/>
      <c r="Z124" s="317"/>
      <c r="AA124" s="317"/>
    </row>
    <row r="125">
      <c r="A125" s="317"/>
      <c r="B125" s="317"/>
      <c r="C125" s="317"/>
      <c r="D125" s="317"/>
      <c r="E125" s="317"/>
      <c r="F125" s="317"/>
      <c r="G125" s="317"/>
      <c r="H125" s="317"/>
      <c r="I125" s="317"/>
      <c r="J125" s="317"/>
      <c r="K125" s="317"/>
      <c r="L125" s="317"/>
      <c r="M125" s="317"/>
      <c r="N125" s="317"/>
      <c r="O125" s="317"/>
      <c r="P125" s="317"/>
      <c r="Q125" s="317"/>
      <c r="R125" s="317"/>
      <c r="S125" s="317"/>
      <c r="T125" s="317"/>
      <c r="U125" s="317"/>
      <c r="V125" s="317"/>
      <c r="W125" s="317"/>
      <c r="X125" s="317"/>
      <c r="Y125" s="317"/>
      <c r="Z125" s="317"/>
      <c r="AA125" s="317"/>
    </row>
    <row r="126">
      <c r="A126" s="317"/>
      <c r="B126" s="317"/>
      <c r="C126" s="317"/>
      <c r="D126" s="317"/>
      <c r="E126" s="317"/>
      <c r="F126" s="317"/>
      <c r="G126" s="317"/>
      <c r="H126" s="317"/>
      <c r="I126" s="317"/>
      <c r="J126" s="317"/>
      <c r="K126" s="317"/>
      <c r="L126" s="317"/>
      <c r="M126" s="317"/>
      <c r="N126" s="317"/>
      <c r="O126" s="317"/>
      <c r="P126" s="317"/>
      <c r="Q126" s="317"/>
      <c r="R126" s="317"/>
      <c r="S126" s="317"/>
      <c r="T126" s="317"/>
      <c r="U126" s="317"/>
      <c r="V126" s="317"/>
      <c r="W126" s="317"/>
      <c r="X126" s="317"/>
      <c r="Y126" s="317"/>
      <c r="Z126" s="317"/>
      <c r="AA126" s="317"/>
    </row>
    <row r="127">
      <c r="A127" s="317"/>
      <c r="B127" s="317"/>
      <c r="C127" s="317"/>
      <c r="D127" s="317"/>
      <c r="E127" s="317"/>
      <c r="F127" s="317"/>
      <c r="G127" s="317"/>
      <c r="H127" s="317"/>
      <c r="I127" s="317"/>
      <c r="J127" s="317"/>
      <c r="K127" s="317"/>
      <c r="L127" s="317"/>
      <c r="M127" s="317"/>
      <c r="N127" s="317"/>
      <c r="O127" s="317"/>
      <c r="P127" s="317"/>
      <c r="Q127" s="317"/>
      <c r="R127" s="317"/>
      <c r="S127" s="317"/>
      <c r="T127" s="317"/>
      <c r="U127" s="317"/>
      <c r="V127" s="317"/>
      <c r="W127" s="317"/>
      <c r="X127" s="317"/>
      <c r="Y127" s="317"/>
      <c r="Z127" s="317"/>
      <c r="AA127" s="317"/>
    </row>
    <row r="128">
      <c r="A128" s="317"/>
      <c r="B128" s="317"/>
      <c r="C128" s="317"/>
      <c r="D128" s="317"/>
      <c r="E128" s="317"/>
      <c r="F128" s="317"/>
      <c r="G128" s="317"/>
      <c r="H128" s="317"/>
      <c r="I128" s="317"/>
      <c r="J128" s="317"/>
      <c r="K128" s="317"/>
      <c r="L128" s="317"/>
      <c r="M128" s="317"/>
      <c r="N128" s="317"/>
      <c r="O128" s="317"/>
      <c r="P128" s="317"/>
      <c r="Q128" s="317"/>
      <c r="R128" s="317"/>
      <c r="S128" s="317"/>
      <c r="T128" s="317"/>
      <c r="U128" s="317"/>
      <c r="V128" s="317"/>
      <c r="W128" s="317"/>
      <c r="X128" s="317"/>
      <c r="Y128" s="317"/>
      <c r="Z128" s="317"/>
      <c r="AA128" s="317"/>
    </row>
    <row r="129">
      <c r="A129" s="317"/>
      <c r="B129" s="317"/>
      <c r="C129" s="317"/>
      <c r="D129" s="317"/>
      <c r="E129" s="317"/>
      <c r="F129" s="317"/>
      <c r="G129" s="317"/>
      <c r="H129" s="317"/>
      <c r="I129" s="317"/>
      <c r="J129" s="317"/>
      <c r="K129" s="317"/>
      <c r="L129" s="317"/>
      <c r="M129" s="317"/>
      <c r="N129" s="317"/>
      <c r="O129" s="317"/>
      <c r="P129" s="317"/>
      <c r="Q129" s="317"/>
      <c r="R129" s="317"/>
      <c r="S129" s="317"/>
      <c r="T129" s="317"/>
      <c r="U129" s="317"/>
      <c r="V129" s="317"/>
      <c r="W129" s="317"/>
      <c r="X129" s="317"/>
      <c r="Y129" s="317"/>
      <c r="Z129" s="317"/>
      <c r="AA129" s="317"/>
    </row>
    <row r="130">
      <c r="A130" s="317"/>
      <c r="B130" s="317"/>
      <c r="C130" s="317"/>
      <c r="D130" s="317"/>
      <c r="E130" s="317"/>
      <c r="F130" s="317"/>
      <c r="G130" s="317"/>
      <c r="H130" s="317"/>
      <c r="I130" s="317"/>
      <c r="J130" s="317"/>
      <c r="K130" s="317"/>
      <c r="L130" s="317"/>
      <c r="M130" s="317"/>
      <c r="N130" s="317"/>
      <c r="O130" s="317"/>
      <c r="P130" s="317"/>
      <c r="Q130" s="317"/>
      <c r="R130" s="317"/>
      <c r="S130" s="317"/>
      <c r="T130" s="317"/>
      <c r="U130" s="317"/>
      <c r="V130" s="317"/>
      <c r="W130" s="317"/>
      <c r="X130" s="317"/>
      <c r="Y130" s="317"/>
      <c r="Z130" s="317"/>
      <c r="AA130" s="317"/>
    </row>
    <row r="131">
      <c r="A131" s="317"/>
      <c r="B131" s="317"/>
      <c r="C131" s="317"/>
      <c r="D131" s="317"/>
      <c r="E131" s="317"/>
      <c r="F131" s="317"/>
      <c r="G131" s="317"/>
      <c r="H131" s="317"/>
      <c r="I131" s="317"/>
      <c r="J131" s="317"/>
      <c r="K131" s="317"/>
      <c r="L131" s="317"/>
      <c r="M131" s="317"/>
      <c r="N131" s="317"/>
      <c r="O131" s="317"/>
      <c r="P131" s="317"/>
      <c r="Q131" s="317"/>
      <c r="R131" s="317"/>
      <c r="S131" s="317"/>
      <c r="T131" s="317"/>
      <c r="U131" s="317"/>
      <c r="V131" s="317"/>
      <c r="W131" s="317"/>
      <c r="X131" s="317"/>
      <c r="Y131" s="317"/>
      <c r="Z131" s="317"/>
      <c r="AA131" s="317"/>
    </row>
    <row r="132">
      <c r="A132" s="317"/>
      <c r="B132" s="317"/>
      <c r="C132" s="317"/>
      <c r="D132" s="317"/>
      <c r="E132" s="317"/>
      <c r="F132" s="317"/>
      <c r="G132" s="317"/>
      <c r="H132" s="317"/>
      <c r="I132" s="317"/>
      <c r="J132" s="317"/>
      <c r="K132" s="317"/>
      <c r="L132" s="317"/>
      <c r="M132" s="317"/>
      <c r="N132" s="317"/>
      <c r="O132" s="317"/>
      <c r="P132" s="317"/>
      <c r="Q132" s="317"/>
      <c r="R132" s="317"/>
      <c r="S132" s="317"/>
      <c r="T132" s="317"/>
      <c r="U132" s="317"/>
      <c r="V132" s="317"/>
      <c r="W132" s="317"/>
      <c r="X132" s="317"/>
      <c r="Y132" s="317"/>
      <c r="Z132" s="317"/>
      <c r="AA132" s="317"/>
    </row>
    <row r="133">
      <c r="A133" s="317"/>
      <c r="B133" s="317"/>
      <c r="C133" s="317"/>
      <c r="D133" s="317"/>
      <c r="E133" s="317"/>
      <c r="F133" s="317"/>
      <c r="G133" s="317"/>
      <c r="H133" s="317"/>
      <c r="I133" s="317"/>
      <c r="J133" s="317"/>
      <c r="K133" s="317"/>
      <c r="L133" s="317"/>
      <c r="M133" s="317"/>
      <c r="N133" s="317"/>
      <c r="O133" s="317"/>
      <c r="P133" s="317"/>
      <c r="Q133" s="317"/>
      <c r="R133" s="317"/>
      <c r="S133" s="317"/>
      <c r="T133" s="317"/>
      <c r="U133" s="317"/>
      <c r="V133" s="317"/>
      <c r="W133" s="317"/>
      <c r="X133" s="317"/>
      <c r="Y133" s="317"/>
      <c r="Z133" s="317"/>
      <c r="AA133" s="317"/>
    </row>
    <row r="134">
      <c r="A134" s="317"/>
      <c r="B134" s="317"/>
      <c r="C134" s="317"/>
      <c r="D134" s="317"/>
      <c r="E134" s="317"/>
      <c r="F134" s="317"/>
      <c r="G134" s="317"/>
      <c r="H134" s="317"/>
      <c r="I134" s="317"/>
      <c r="J134" s="317"/>
      <c r="K134" s="317"/>
      <c r="L134" s="317"/>
      <c r="M134" s="317"/>
      <c r="N134" s="317"/>
      <c r="O134" s="317"/>
      <c r="P134" s="317"/>
      <c r="Q134" s="317"/>
      <c r="R134" s="317"/>
      <c r="S134" s="317"/>
      <c r="T134" s="317"/>
      <c r="U134" s="317"/>
      <c r="V134" s="317"/>
      <c r="W134" s="317"/>
      <c r="X134" s="317"/>
      <c r="Y134" s="317"/>
      <c r="Z134" s="317"/>
      <c r="AA134" s="317"/>
    </row>
    <row r="135">
      <c r="A135" s="317"/>
      <c r="B135" s="317"/>
      <c r="C135" s="317"/>
      <c r="D135" s="317"/>
      <c r="E135" s="317"/>
      <c r="F135" s="317"/>
      <c r="G135" s="317"/>
      <c r="H135" s="317"/>
      <c r="I135" s="317"/>
      <c r="J135" s="317"/>
      <c r="K135" s="317"/>
      <c r="L135" s="317"/>
      <c r="M135" s="317"/>
      <c r="N135" s="317"/>
      <c r="O135" s="317"/>
      <c r="P135" s="317"/>
      <c r="Q135" s="317"/>
      <c r="R135" s="317"/>
      <c r="S135" s="317"/>
      <c r="T135" s="317"/>
      <c r="U135" s="317"/>
      <c r="V135" s="317"/>
      <c r="W135" s="317"/>
      <c r="X135" s="317"/>
      <c r="Y135" s="317"/>
      <c r="Z135" s="317"/>
      <c r="AA135" s="317"/>
    </row>
    <row r="136">
      <c r="A136" s="317"/>
      <c r="B136" s="317"/>
      <c r="C136" s="317"/>
      <c r="D136" s="317"/>
      <c r="E136" s="317"/>
      <c r="F136" s="317"/>
      <c r="G136" s="317"/>
      <c r="H136" s="317"/>
      <c r="I136" s="317"/>
      <c r="J136" s="317"/>
      <c r="K136" s="317"/>
      <c r="L136" s="317"/>
      <c r="M136" s="317"/>
      <c r="N136" s="317"/>
      <c r="O136" s="317"/>
      <c r="P136" s="317"/>
      <c r="Q136" s="317"/>
      <c r="R136" s="317"/>
      <c r="S136" s="317"/>
      <c r="T136" s="317"/>
      <c r="U136" s="317"/>
      <c r="V136" s="317"/>
      <c r="W136" s="317"/>
      <c r="X136" s="317"/>
      <c r="Y136" s="317"/>
      <c r="Z136" s="317"/>
      <c r="AA136" s="317"/>
    </row>
    <row r="137">
      <c r="A137" s="317"/>
      <c r="B137" s="317"/>
      <c r="C137" s="317"/>
      <c r="D137" s="317"/>
      <c r="E137" s="317"/>
      <c r="F137" s="317"/>
      <c r="G137" s="317"/>
      <c r="H137" s="317"/>
      <c r="I137" s="317"/>
      <c r="J137" s="317"/>
      <c r="K137" s="317"/>
      <c r="L137" s="317"/>
      <c r="M137" s="317"/>
      <c r="N137" s="317"/>
      <c r="O137" s="317"/>
      <c r="P137" s="317"/>
      <c r="Q137" s="317"/>
      <c r="R137" s="317"/>
      <c r="S137" s="317"/>
      <c r="T137" s="317"/>
      <c r="U137" s="317"/>
      <c r="V137" s="317"/>
      <c r="W137" s="317"/>
      <c r="X137" s="317"/>
      <c r="Y137" s="317"/>
      <c r="Z137" s="317"/>
      <c r="AA137" s="317"/>
    </row>
    <row r="138">
      <c r="A138" s="317"/>
      <c r="B138" s="317"/>
      <c r="C138" s="317"/>
      <c r="D138" s="317"/>
      <c r="E138" s="317"/>
      <c r="F138" s="317"/>
      <c r="G138" s="317"/>
      <c r="H138" s="317"/>
      <c r="I138" s="317"/>
      <c r="J138" s="317"/>
      <c r="K138" s="317"/>
      <c r="L138" s="317"/>
      <c r="M138" s="317"/>
      <c r="N138" s="317"/>
      <c r="O138" s="317"/>
      <c r="P138" s="317"/>
      <c r="Q138" s="317"/>
      <c r="R138" s="317"/>
      <c r="S138" s="317"/>
      <c r="T138" s="317"/>
      <c r="U138" s="317"/>
      <c r="V138" s="317"/>
      <c r="W138" s="317"/>
      <c r="X138" s="317"/>
      <c r="Y138" s="317"/>
      <c r="Z138" s="317"/>
      <c r="AA138" s="317"/>
    </row>
    <row r="139">
      <c r="A139" s="317"/>
      <c r="B139" s="317"/>
      <c r="C139" s="317"/>
      <c r="D139" s="317"/>
      <c r="E139" s="317"/>
      <c r="F139" s="317"/>
      <c r="G139" s="317"/>
      <c r="H139" s="317"/>
      <c r="I139" s="317"/>
      <c r="J139" s="317"/>
      <c r="K139" s="317"/>
      <c r="L139" s="317"/>
      <c r="M139" s="317"/>
      <c r="N139" s="317"/>
      <c r="O139" s="317"/>
      <c r="P139" s="317"/>
      <c r="Q139" s="317"/>
      <c r="R139" s="317"/>
      <c r="S139" s="317"/>
      <c r="T139" s="317"/>
      <c r="U139" s="317"/>
      <c r="V139" s="317"/>
      <c r="W139" s="317"/>
      <c r="X139" s="317"/>
      <c r="Y139" s="317"/>
      <c r="Z139" s="317"/>
      <c r="AA139" s="317"/>
    </row>
    <row r="140">
      <c r="A140" s="317"/>
      <c r="B140" s="317"/>
      <c r="C140" s="317"/>
      <c r="D140" s="317"/>
      <c r="E140" s="317"/>
      <c r="F140" s="317"/>
      <c r="G140" s="317"/>
      <c r="H140" s="317"/>
      <c r="I140" s="317"/>
      <c r="J140" s="317"/>
      <c r="K140" s="317"/>
      <c r="L140" s="317"/>
      <c r="M140" s="317"/>
      <c r="N140" s="317"/>
      <c r="O140" s="317"/>
      <c r="P140" s="317"/>
      <c r="Q140" s="317"/>
      <c r="R140" s="317"/>
      <c r="S140" s="317"/>
      <c r="T140" s="317"/>
      <c r="U140" s="317"/>
      <c r="V140" s="317"/>
      <c r="W140" s="317"/>
      <c r="X140" s="317"/>
      <c r="Y140" s="317"/>
      <c r="Z140" s="317"/>
      <c r="AA140" s="317"/>
    </row>
    <row r="141">
      <c r="A141" s="317"/>
      <c r="B141" s="317"/>
      <c r="C141" s="317"/>
      <c r="D141" s="317"/>
      <c r="E141" s="317"/>
      <c r="F141" s="317"/>
      <c r="G141" s="317"/>
      <c r="H141" s="317"/>
      <c r="I141" s="317"/>
      <c r="J141" s="317"/>
      <c r="K141" s="317"/>
      <c r="L141" s="317"/>
      <c r="M141" s="317"/>
      <c r="N141" s="317"/>
      <c r="O141" s="317"/>
      <c r="P141" s="317"/>
      <c r="Q141" s="317"/>
      <c r="R141" s="317"/>
      <c r="S141" s="317"/>
      <c r="T141" s="317"/>
      <c r="U141" s="317"/>
      <c r="V141" s="317"/>
      <c r="W141" s="317"/>
      <c r="X141" s="317"/>
      <c r="Y141" s="317"/>
      <c r="Z141" s="317"/>
      <c r="AA141" s="317"/>
    </row>
    <row r="142">
      <c r="A142" s="317"/>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c r="X142" s="317"/>
      <c r="Y142" s="317"/>
      <c r="Z142" s="317"/>
      <c r="AA142" s="317"/>
    </row>
    <row r="143">
      <c r="A143" s="317"/>
      <c r="B143" s="317"/>
      <c r="C143" s="317"/>
      <c r="D143" s="317"/>
      <c r="E143" s="317"/>
      <c r="F143" s="317"/>
      <c r="G143" s="317"/>
      <c r="H143" s="317"/>
      <c r="I143" s="317"/>
      <c r="J143" s="317"/>
      <c r="K143" s="317"/>
      <c r="L143" s="317"/>
      <c r="M143" s="317"/>
      <c r="N143" s="317"/>
      <c r="O143" s="317"/>
      <c r="P143" s="317"/>
      <c r="Q143" s="317"/>
      <c r="R143" s="317"/>
      <c r="S143" s="317"/>
      <c r="T143" s="317"/>
      <c r="U143" s="317"/>
      <c r="V143" s="317"/>
      <c r="W143" s="317"/>
      <c r="X143" s="317"/>
      <c r="Y143" s="317"/>
      <c r="Z143" s="317"/>
      <c r="AA143" s="317"/>
    </row>
    <row r="144">
      <c r="A144" s="317"/>
      <c r="B144" s="317"/>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c r="AA144" s="317"/>
    </row>
    <row r="145">
      <c r="A145" s="317"/>
      <c r="B145" s="317"/>
      <c r="C145" s="317"/>
      <c r="D145" s="317"/>
      <c r="E145" s="317"/>
      <c r="F145" s="317"/>
      <c r="G145" s="317"/>
      <c r="H145" s="317"/>
      <c r="I145" s="317"/>
      <c r="J145" s="317"/>
      <c r="K145" s="317"/>
      <c r="L145" s="317"/>
      <c r="M145" s="317"/>
      <c r="N145" s="317"/>
      <c r="O145" s="317"/>
      <c r="P145" s="317"/>
      <c r="Q145" s="317"/>
      <c r="R145" s="317"/>
      <c r="S145" s="317"/>
      <c r="T145" s="317"/>
      <c r="U145" s="317"/>
      <c r="V145" s="317"/>
      <c r="W145" s="317"/>
      <c r="X145" s="317"/>
      <c r="Y145" s="317"/>
      <c r="Z145" s="317"/>
      <c r="AA145" s="317"/>
    </row>
    <row r="146">
      <c r="A146" s="317"/>
      <c r="B146" s="317"/>
      <c r="C146" s="317"/>
      <c r="D146" s="317"/>
      <c r="E146" s="317"/>
      <c r="F146" s="317"/>
      <c r="G146" s="317"/>
      <c r="H146" s="317"/>
      <c r="I146" s="317"/>
      <c r="J146" s="317"/>
      <c r="K146" s="317"/>
      <c r="L146" s="317"/>
      <c r="M146" s="317"/>
      <c r="N146" s="317"/>
      <c r="O146" s="317"/>
      <c r="P146" s="317"/>
      <c r="Q146" s="317"/>
      <c r="R146" s="317"/>
      <c r="S146" s="317"/>
      <c r="T146" s="317"/>
      <c r="U146" s="317"/>
      <c r="V146" s="317"/>
      <c r="W146" s="317"/>
      <c r="X146" s="317"/>
      <c r="Y146" s="317"/>
      <c r="Z146" s="317"/>
      <c r="AA146" s="317"/>
    </row>
    <row r="147">
      <c r="A147" s="317"/>
      <c r="B147" s="317"/>
      <c r="C147" s="317"/>
      <c r="D147" s="317"/>
      <c r="E147" s="317"/>
      <c r="F147" s="317"/>
      <c r="G147" s="317"/>
      <c r="H147" s="317"/>
      <c r="I147" s="317"/>
      <c r="J147" s="317"/>
      <c r="K147" s="317"/>
      <c r="L147" s="317"/>
      <c r="M147" s="317"/>
      <c r="N147" s="317"/>
      <c r="O147" s="317"/>
      <c r="P147" s="317"/>
      <c r="Q147" s="317"/>
      <c r="R147" s="317"/>
      <c r="S147" s="317"/>
      <c r="T147" s="317"/>
      <c r="U147" s="317"/>
      <c r="V147" s="317"/>
      <c r="W147" s="317"/>
      <c r="X147" s="317"/>
      <c r="Y147" s="317"/>
      <c r="Z147" s="317"/>
      <c r="AA147" s="317"/>
    </row>
    <row r="148">
      <c r="A148" s="317"/>
      <c r="B148" s="317"/>
      <c r="C148" s="317"/>
      <c r="D148" s="317"/>
      <c r="E148" s="317"/>
      <c r="F148" s="317"/>
      <c r="G148" s="317"/>
      <c r="H148" s="317"/>
      <c r="I148" s="317"/>
      <c r="J148" s="317"/>
      <c r="K148" s="317"/>
      <c r="L148" s="317"/>
      <c r="M148" s="317"/>
      <c r="N148" s="317"/>
      <c r="O148" s="317"/>
      <c r="P148" s="317"/>
      <c r="Q148" s="317"/>
      <c r="R148" s="317"/>
      <c r="S148" s="317"/>
      <c r="T148" s="317"/>
      <c r="U148" s="317"/>
      <c r="V148" s="317"/>
      <c r="W148" s="317"/>
      <c r="X148" s="317"/>
      <c r="Y148" s="317"/>
      <c r="Z148" s="317"/>
      <c r="AA148" s="317"/>
    </row>
    <row r="149">
      <c r="A149" s="317"/>
      <c r="B149" s="317"/>
      <c r="C149" s="317"/>
      <c r="D149" s="317"/>
      <c r="E149" s="317"/>
      <c r="F149" s="317"/>
      <c r="G149" s="317"/>
      <c r="H149" s="317"/>
      <c r="I149" s="317"/>
      <c r="J149" s="317"/>
      <c r="K149" s="317"/>
      <c r="L149" s="317"/>
      <c r="M149" s="317"/>
      <c r="N149" s="317"/>
      <c r="O149" s="317"/>
      <c r="P149" s="317"/>
      <c r="Q149" s="317"/>
      <c r="R149" s="317"/>
      <c r="S149" s="317"/>
      <c r="T149" s="317"/>
      <c r="U149" s="317"/>
      <c r="V149" s="317"/>
      <c r="W149" s="317"/>
      <c r="X149" s="317"/>
      <c r="Y149" s="317"/>
      <c r="Z149" s="317"/>
      <c r="AA149" s="317"/>
    </row>
    <row r="150">
      <c r="A150" s="317"/>
      <c r="B150" s="317"/>
      <c r="C150" s="317"/>
      <c r="D150" s="317"/>
      <c r="E150" s="317"/>
      <c r="F150" s="317"/>
      <c r="G150" s="317"/>
      <c r="H150" s="317"/>
      <c r="I150" s="317"/>
      <c r="J150" s="317"/>
      <c r="K150" s="317"/>
      <c r="L150" s="317"/>
      <c r="M150" s="317"/>
      <c r="N150" s="317"/>
      <c r="O150" s="317"/>
      <c r="P150" s="317"/>
      <c r="Q150" s="317"/>
      <c r="R150" s="317"/>
      <c r="S150" s="317"/>
      <c r="T150" s="317"/>
      <c r="U150" s="317"/>
      <c r="V150" s="317"/>
      <c r="W150" s="317"/>
      <c r="X150" s="317"/>
      <c r="Y150" s="317"/>
      <c r="Z150" s="317"/>
      <c r="AA150" s="317"/>
    </row>
    <row r="151">
      <c r="A151" s="317"/>
      <c r="B151" s="317"/>
      <c r="C151" s="317"/>
      <c r="D151" s="317"/>
      <c r="E151" s="317"/>
      <c r="F151" s="317"/>
      <c r="G151" s="317"/>
      <c r="H151" s="317"/>
      <c r="I151" s="317"/>
      <c r="J151" s="317"/>
      <c r="K151" s="317"/>
      <c r="L151" s="317"/>
      <c r="M151" s="317"/>
      <c r="N151" s="317"/>
      <c r="O151" s="317"/>
      <c r="P151" s="317"/>
      <c r="Q151" s="317"/>
      <c r="R151" s="317"/>
      <c r="S151" s="317"/>
      <c r="T151" s="317"/>
      <c r="U151" s="317"/>
      <c r="V151" s="317"/>
      <c r="W151" s="317"/>
      <c r="X151" s="317"/>
      <c r="Y151" s="317"/>
      <c r="Z151" s="317"/>
      <c r="AA151" s="317"/>
    </row>
    <row r="152">
      <c r="A152" s="317"/>
      <c r="B152" s="317"/>
      <c r="C152" s="317"/>
      <c r="D152" s="317"/>
      <c r="E152" s="317"/>
      <c r="F152" s="317"/>
      <c r="G152" s="317"/>
      <c r="H152" s="317"/>
      <c r="I152" s="317"/>
      <c r="J152" s="317"/>
      <c r="K152" s="317"/>
      <c r="L152" s="317"/>
      <c r="M152" s="317"/>
      <c r="N152" s="317"/>
      <c r="O152" s="317"/>
      <c r="P152" s="317"/>
      <c r="Q152" s="317"/>
      <c r="R152" s="317"/>
      <c r="S152" s="317"/>
      <c r="T152" s="317"/>
      <c r="U152" s="317"/>
      <c r="V152" s="317"/>
      <c r="W152" s="317"/>
      <c r="X152" s="317"/>
      <c r="Y152" s="317"/>
      <c r="Z152" s="317"/>
      <c r="AA152" s="317"/>
    </row>
    <row r="153">
      <c r="A153" s="317"/>
      <c r="B153" s="317"/>
      <c r="C153" s="317"/>
      <c r="D153" s="317"/>
      <c r="E153" s="317"/>
      <c r="F153" s="317"/>
      <c r="G153" s="317"/>
      <c r="H153" s="317"/>
      <c r="I153" s="317"/>
      <c r="J153" s="317"/>
      <c r="K153" s="317"/>
      <c r="L153" s="317"/>
      <c r="M153" s="317"/>
      <c r="N153" s="317"/>
      <c r="O153" s="317"/>
      <c r="P153" s="317"/>
      <c r="Q153" s="317"/>
      <c r="R153" s="317"/>
      <c r="S153" s="317"/>
      <c r="T153" s="317"/>
      <c r="U153" s="317"/>
      <c r="V153" s="317"/>
      <c r="W153" s="317"/>
      <c r="X153" s="317"/>
      <c r="Y153" s="317"/>
      <c r="Z153" s="317"/>
      <c r="AA153" s="317"/>
    </row>
    <row r="154">
      <c r="A154" s="317"/>
      <c r="B154" s="317"/>
      <c r="C154" s="317"/>
      <c r="D154" s="317"/>
      <c r="E154" s="317"/>
      <c r="F154" s="317"/>
      <c r="G154" s="317"/>
      <c r="H154" s="317"/>
      <c r="I154" s="317"/>
      <c r="J154" s="317"/>
      <c r="K154" s="317"/>
      <c r="L154" s="317"/>
      <c r="M154" s="317"/>
      <c r="N154" s="317"/>
      <c r="O154" s="317"/>
      <c r="P154" s="317"/>
      <c r="Q154" s="317"/>
      <c r="R154" s="317"/>
      <c r="S154" s="317"/>
      <c r="T154" s="317"/>
      <c r="U154" s="317"/>
      <c r="V154" s="317"/>
      <c r="W154" s="317"/>
      <c r="X154" s="317"/>
      <c r="Y154" s="317"/>
      <c r="Z154" s="317"/>
      <c r="AA154" s="317"/>
    </row>
    <row r="155">
      <c r="A155" s="317"/>
      <c r="B155" s="317"/>
      <c r="C155" s="317"/>
      <c r="D155" s="317"/>
      <c r="E155" s="317"/>
      <c r="F155" s="317"/>
      <c r="G155" s="317"/>
      <c r="H155" s="317"/>
      <c r="I155" s="317"/>
      <c r="J155" s="317"/>
      <c r="K155" s="317"/>
      <c r="L155" s="317"/>
      <c r="M155" s="317"/>
      <c r="N155" s="317"/>
      <c r="O155" s="317"/>
      <c r="P155" s="317"/>
      <c r="Q155" s="317"/>
      <c r="R155" s="317"/>
      <c r="S155" s="317"/>
      <c r="T155" s="317"/>
      <c r="U155" s="317"/>
      <c r="V155" s="317"/>
      <c r="W155" s="317"/>
      <c r="X155" s="317"/>
      <c r="Y155" s="317"/>
      <c r="Z155" s="317"/>
      <c r="AA155" s="317"/>
    </row>
    <row r="156">
      <c r="A156" s="317"/>
      <c r="B156" s="317"/>
      <c r="C156" s="317"/>
      <c r="D156" s="317"/>
      <c r="E156" s="317"/>
      <c r="F156" s="317"/>
      <c r="G156" s="317"/>
      <c r="H156" s="317"/>
      <c r="I156" s="317"/>
      <c r="J156" s="317"/>
      <c r="K156" s="317"/>
      <c r="L156" s="317"/>
      <c r="M156" s="317"/>
      <c r="N156" s="317"/>
      <c r="O156" s="317"/>
      <c r="P156" s="317"/>
      <c r="Q156" s="317"/>
      <c r="R156" s="317"/>
      <c r="S156" s="317"/>
      <c r="T156" s="317"/>
      <c r="U156" s="317"/>
      <c r="V156" s="317"/>
      <c r="W156" s="317"/>
      <c r="X156" s="317"/>
      <c r="Y156" s="317"/>
      <c r="Z156" s="317"/>
      <c r="AA156" s="317"/>
    </row>
    <row r="157">
      <c r="A157" s="317"/>
      <c r="B157" s="317"/>
      <c r="C157" s="317"/>
      <c r="D157" s="317"/>
      <c r="E157" s="317"/>
      <c r="F157" s="317"/>
      <c r="G157" s="317"/>
      <c r="H157" s="317"/>
      <c r="I157" s="317"/>
      <c r="J157" s="317"/>
      <c r="K157" s="317"/>
      <c r="L157" s="317"/>
      <c r="M157" s="317"/>
      <c r="N157" s="317"/>
      <c r="O157" s="317"/>
      <c r="P157" s="317"/>
      <c r="Q157" s="317"/>
      <c r="R157" s="317"/>
      <c r="S157" s="317"/>
      <c r="T157" s="317"/>
      <c r="U157" s="317"/>
      <c r="V157" s="317"/>
      <c r="W157" s="317"/>
      <c r="X157" s="317"/>
      <c r="Y157" s="317"/>
      <c r="Z157" s="317"/>
      <c r="AA157" s="317"/>
    </row>
    <row r="158">
      <c r="A158" s="317"/>
      <c r="B158" s="317"/>
      <c r="C158" s="317"/>
      <c r="D158" s="317"/>
      <c r="E158" s="317"/>
      <c r="F158" s="317"/>
      <c r="G158" s="317"/>
      <c r="H158" s="317"/>
      <c r="I158" s="317"/>
      <c r="J158" s="317"/>
      <c r="K158" s="317"/>
      <c r="L158" s="317"/>
      <c r="M158" s="317"/>
      <c r="N158" s="317"/>
      <c r="O158" s="317"/>
      <c r="P158" s="317"/>
      <c r="Q158" s="317"/>
      <c r="R158" s="317"/>
      <c r="S158" s="317"/>
      <c r="T158" s="317"/>
      <c r="U158" s="317"/>
      <c r="V158" s="317"/>
      <c r="W158" s="317"/>
      <c r="X158" s="317"/>
      <c r="Y158" s="317"/>
      <c r="Z158" s="317"/>
      <c r="AA158" s="317"/>
    </row>
    <row r="159">
      <c r="A159" s="317"/>
      <c r="B159" s="317"/>
      <c r="C159" s="317"/>
      <c r="D159" s="317"/>
      <c r="E159" s="317"/>
      <c r="F159" s="317"/>
      <c r="G159" s="317"/>
      <c r="H159" s="317"/>
      <c r="I159" s="317"/>
      <c r="J159" s="317"/>
      <c r="K159" s="317"/>
      <c r="L159" s="317"/>
      <c r="M159" s="317"/>
      <c r="N159" s="317"/>
      <c r="O159" s="317"/>
      <c r="P159" s="317"/>
      <c r="Q159" s="317"/>
      <c r="R159" s="317"/>
      <c r="S159" s="317"/>
      <c r="T159" s="317"/>
      <c r="U159" s="317"/>
      <c r="V159" s="317"/>
      <c r="W159" s="317"/>
      <c r="X159" s="317"/>
      <c r="Y159" s="317"/>
      <c r="Z159" s="317"/>
      <c r="AA159" s="317"/>
    </row>
    <row r="160">
      <c r="A160" s="317"/>
      <c r="B160" s="317"/>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c r="AA160" s="317"/>
    </row>
    <row r="161">
      <c r="A161" s="317"/>
      <c r="B161" s="317"/>
      <c r="C161" s="317"/>
      <c r="D161" s="317"/>
      <c r="E161" s="317"/>
      <c r="F161" s="317"/>
      <c r="G161" s="317"/>
      <c r="H161" s="317"/>
      <c r="I161" s="317"/>
      <c r="J161" s="317"/>
      <c r="K161" s="317"/>
      <c r="L161" s="317"/>
      <c r="M161" s="317"/>
      <c r="N161" s="317"/>
      <c r="O161" s="317"/>
      <c r="P161" s="317"/>
      <c r="Q161" s="317"/>
      <c r="R161" s="317"/>
      <c r="S161" s="317"/>
      <c r="T161" s="317"/>
      <c r="U161" s="317"/>
      <c r="V161" s="317"/>
      <c r="W161" s="317"/>
      <c r="X161" s="317"/>
      <c r="Y161" s="317"/>
      <c r="Z161" s="317"/>
      <c r="AA161" s="317"/>
    </row>
    <row r="162">
      <c r="A162" s="317"/>
      <c r="B162" s="317"/>
      <c r="C162" s="317"/>
      <c r="D162" s="317"/>
      <c r="E162" s="317"/>
      <c r="F162" s="317"/>
      <c r="G162" s="317"/>
      <c r="H162" s="317"/>
      <c r="I162" s="317"/>
      <c r="J162" s="317"/>
      <c r="K162" s="317"/>
      <c r="L162" s="317"/>
      <c r="M162" s="317"/>
      <c r="N162" s="317"/>
      <c r="O162" s="317"/>
      <c r="P162" s="317"/>
      <c r="Q162" s="317"/>
      <c r="R162" s="317"/>
      <c r="S162" s="317"/>
      <c r="T162" s="317"/>
      <c r="U162" s="317"/>
      <c r="V162" s="317"/>
      <c r="W162" s="317"/>
      <c r="X162" s="317"/>
      <c r="Y162" s="317"/>
      <c r="Z162" s="317"/>
      <c r="AA162" s="317"/>
    </row>
    <row r="163">
      <c r="A163" s="317"/>
      <c r="B163" s="317"/>
      <c r="C163" s="317"/>
      <c r="D163" s="317"/>
      <c r="E163" s="317"/>
      <c r="F163" s="317"/>
      <c r="G163" s="317"/>
      <c r="H163" s="317"/>
      <c r="I163" s="317"/>
      <c r="J163" s="317"/>
      <c r="K163" s="317"/>
      <c r="L163" s="317"/>
      <c r="M163" s="317"/>
      <c r="N163" s="317"/>
      <c r="O163" s="317"/>
      <c r="P163" s="317"/>
      <c r="Q163" s="317"/>
      <c r="R163" s="317"/>
      <c r="S163" s="317"/>
      <c r="T163" s="317"/>
      <c r="U163" s="317"/>
      <c r="V163" s="317"/>
      <c r="W163" s="317"/>
      <c r="X163" s="317"/>
      <c r="Y163" s="317"/>
      <c r="Z163" s="317"/>
      <c r="AA163" s="317"/>
    </row>
    <row r="164">
      <c r="A164" s="317"/>
      <c r="B164" s="317"/>
      <c r="C164" s="317"/>
      <c r="D164" s="317"/>
      <c r="E164" s="317"/>
      <c r="F164" s="317"/>
      <c r="G164" s="317"/>
      <c r="H164" s="317"/>
      <c r="I164" s="317"/>
      <c r="J164" s="317"/>
      <c r="K164" s="317"/>
      <c r="L164" s="317"/>
      <c r="M164" s="317"/>
      <c r="N164" s="317"/>
      <c r="O164" s="317"/>
      <c r="P164" s="317"/>
      <c r="Q164" s="317"/>
      <c r="R164" s="317"/>
      <c r="S164" s="317"/>
      <c r="T164" s="317"/>
      <c r="U164" s="317"/>
      <c r="V164" s="317"/>
      <c r="W164" s="317"/>
      <c r="X164" s="317"/>
      <c r="Y164" s="317"/>
      <c r="Z164" s="317"/>
      <c r="AA164" s="317"/>
    </row>
    <row r="165">
      <c r="A165" s="317"/>
      <c r="B165" s="317"/>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c r="AA165" s="317"/>
    </row>
    <row r="166">
      <c r="A166" s="317"/>
      <c r="B166" s="317"/>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c r="AA166" s="317"/>
    </row>
    <row r="167">
      <c r="A167" s="317"/>
      <c r="B167" s="317"/>
      <c r="C167" s="317"/>
      <c r="D167" s="317"/>
      <c r="E167" s="317"/>
      <c r="F167" s="317"/>
      <c r="G167" s="317"/>
      <c r="H167" s="317"/>
      <c r="I167" s="317"/>
      <c r="J167" s="317"/>
      <c r="K167" s="317"/>
      <c r="L167" s="317"/>
      <c r="M167" s="317"/>
      <c r="N167" s="317"/>
      <c r="O167" s="317"/>
      <c r="P167" s="317"/>
      <c r="Q167" s="317"/>
      <c r="R167" s="317"/>
      <c r="S167" s="317"/>
      <c r="T167" s="317"/>
      <c r="U167" s="317"/>
      <c r="V167" s="317"/>
      <c r="W167" s="317"/>
      <c r="X167" s="317"/>
      <c r="Y167" s="317"/>
      <c r="Z167" s="317"/>
      <c r="AA167" s="317"/>
    </row>
    <row r="168">
      <c r="A168" s="317"/>
      <c r="B168" s="317"/>
      <c r="C168" s="317"/>
      <c r="D168" s="317"/>
      <c r="E168" s="317"/>
      <c r="F168" s="317"/>
      <c r="G168" s="317"/>
      <c r="H168" s="317"/>
      <c r="I168" s="317"/>
      <c r="J168" s="317"/>
      <c r="K168" s="317"/>
      <c r="L168" s="317"/>
      <c r="M168" s="317"/>
      <c r="N168" s="317"/>
      <c r="O168" s="317"/>
      <c r="P168" s="317"/>
      <c r="Q168" s="317"/>
      <c r="R168" s="317"/>
      <c r="S168" s="317"/>
      <c r="T168" s="317"/>
      <c r="U168" s="317"/>
      <c r="V168" s="317"/>
      <c r="W168" s="317"/>
      <c r="X168" s="317"/>
      <c r="Y168" s="317"/>
      <c r="Z168" s="317"/>
      <c r="AA168" s="317"/>
    </row>
    <row r="169">
      <c r="A169" s="317"/>
      <c r="B169" s="317"/>
      <c r="C169" s="317"/>
      <c r="D169" s="317"/>
      <c r="E169" s="317"/>
      <c r="F169" s="317"/>
      <c r="G169" s="317"/>
      <c r="H169" s="317"/>
      <c r="I169" s="317"/>
      <c r="J169" s="317"/>
      <c r="K169" s="317"/>
      <c r="L169" s="317"/>
      <c r="M169" s="317"/>
      <c r="N169" s="317"/>
      <c r="O169" s="317"/>
      <c r="P169" s="317"/>
      <c r="Q169" s="317"/>
      <c r="R169" s="317"/>
      <c r="S169" s="317"/>
      <c r="T169" s="317"/>
      <c r="U169" s="317"/>
      <c r="V169" s="317"/>
      <c r="W169" s="317"/>
      <c r="X169" s="317"/>
      <c r="Y169" s="317"/>
      <c r="Z169" s="317"/>
      <c r="AA169" s="317"/>
    </row>
    <row r="170">
      <c r="A170" s="317"/>
      <c r="B170" s="317"/>
      <c r="C170" s="317"/>
      <c r="D170" s="317"/>
      <c r="E170" s="317"/>
      <c r="F170" s="317"/>
      <c r="G170" s="317"/>
      <c r="H170" s="317"/>
      <c r="I170" s="317"/>
      <c r="J170" s="317"/>
      <c r="K170" s="317"/>
      <c r="L170" s="317"/>
      <c r="M170" s="317"/>
      <c r="N170" s="317"/>
      <c r="O170" s="317"/>
      <c r="P170" s="317"/>
      <c r="Q170" s="317"/>
      <c r="R170" s="317"/>
      <c r="S170" s="317"/>
      <c r="T170" s="317"/>
      <c r="U170" s="317"/>
      <c r="V170" s="317"/>
      <c r="W170" s="317"/>
      <c r="X170" s="317"/>
      <c r="Y170" s="317"/>
      <c r="Z170" s="317"/>
      <c r="AA170" s="317"/>
    </row>
    <row r="171">
      <c r="A171" s="317"/>
      <c r="B171" s="317"/>
      <c r="C171" s="317"/>
      <c r="D171" s="317"/>
      <c r="E171" s="317"/>
      <c r="F171" s="317"/>
      <c r="G171" s="317"/>
      <c r="H171" s="317"/>
      <c r="I171" s="317"/>
      <c r="J171" s="317"/>
      <c r="K171" s="317"/>
      <c r="L171" s="317"/>
      <c r="M171" s="317"/>
      <c r="N171" s="317"/>
      <c r="O171" s="317"/>
      <c r="P171" s="317"/>
      <c r="Q171" s="317"/>
      <c r="R171" s="317"/>
      <c r="S171" s="317"/>
      <c r="T171" s="317"/>
      <c r="U171" s="317"/>
      <c r="V171" s="317"/>
      <c r="W171" s="317"/>
      <c r="X171" s="317"/>
      <c r="Y171" s="317"/>
      <c r="Z171" s="317"/>
      <c r="AA171" s="317"/>
    </row>
    <row r="172">
      <c r="A172" s="317"/>
      <c r="B172" s="317"/>
      <c r="C172" s="317"/>
      <c r="D172" s="317"/>
      <c r="E172" s="317"/>
      <c r="F172" s="317"/>
      <c r="G172" s="317"/>
      <c r="H172" s="317"/>
      <c r="I172" s="317"/>
      <c r="J172" s="317"/>
      <c r="K172" s="317"/>
      <c r="L172" s="317"/>
      <c r="M172" s="317"/>
      <c r="N172" s="317"/>
      <c r="O172" s="317"/>
      <c r="P172" s="317"/>
      <c r="Q172" s="317"/>
      <c r="R172" s="317"/>
      <c r="S172" s="317"/>
      <c r="T172" s="317"/>
      <c r="U172" s="317"/>
      <c r="V172" s="317"/>
      <c r="W172" s="317"/>
      <c r="X172" s="317"/>
      <c r="Y172" s="317"/>
      <c r="Z172" s="317"/>
      <c r="AA172" s="317"/>
    </row>
    <row r="173">
      <c r="A173" s="317"/>
      <c r="B173" s="317"/>
      <c r="C173" s="317"/>
      <c r="D173" s="317"/>
      <c r="E173" s="317"/>
      <c r="F173" s="317"/>
      <c r="G173" s="317"/>
      <c r="H173" s="317"/>
      <c r="I173" s="317"/>
      <c r="J173" s="317"/>
      <c r="K173" s="317"/>
      <c r="L173" s="317"/>
      <c r="M173" s="317"/>
      <c r="N173" s="317"/>
      <c r="O173" s="317"/>
      <c r="P173" s="317"/>
      <c r="Q173" s="317"/>
      <c r="R173" s="317"/>
      <c r="S173" s="317"/>
      <c r="T173" s="317"/>
      <c r="U173" s="317"/>
      <c r="V173" s="317"/>
      <c r="W173" s="317"/>
      <c r="X173" s="317"/>
      <c r="Y173" s="317"/>
      <c r="Z173" s="317"/>
      <c r="AA173" s="317"/>
    </row>
    <row r="174">
      <c r="A174" s="317"/>
      <c r="B174" s="317"/>
      <c r="C174" s="317"/>
      <c r="D174" s="317"/>
      <c r="E174" s="317"/>
      <c r="F174" s="317"/>
      <c r="G174" s="317"/>
      <c r="H174" s="317"/>
      <c r="I174" s="317"/>
      <c r="J174" s="317"/>
      <c r="K174" s="317"/>
      <c r="L174" s="317"/>
      <c r="M174" s="317"/>
      <c r="N174" s="317"/>
      <c r="O174" s="317"/>
      <c r="P174" s="317"/>
      <c r="Q174" s="317"/>
      <c r="R174" s="317"/>
      <c r="S174" s="317"/>
      <c r="T174" s="317"/>
      <c r="U174" s="317"/>
      <c r="V174" s="317"/>
      <c r="W174" s="317"/>
      <c r="X174" s="317"/>
      <c r="Y174" s="317"/>
      <c r="Z174" s="317"/>
      <c r="AA174" s="317"/>
    </row>
    <row r="175">
      <c r="A175" s="317"/>
      <c r="B175" s="317"/>
      <c r="C175" s="317"/>
      <c r="D175" s="317"/>
      <c r="E175" s="317"/>
      <c r="F175" s="317"/>
      <c r="G175" s="317"/>
      <c r="H175" s="317"/>
      <c r="I175" s="317"/>
      <c r="J175" s="317"/>
      <c r="K175" s="317"/>
      <c r="L175" s="317"/>
      <c r="M175" s="317"/>
      <c r="N175" s="317"/>
      <c r="O175" s="317"/>
      <c r="P175" s="317"/>
      <c r="Q175" s="317"/>
      <c r="R175" s="317"/>
      <c r="S175" s="317"/>
      <c r="T175" s="317"/>
      <c r="U175" s="317"/>
      <c r="V175" s="317"/>
      <c r="W175" s="317"/>
      <c r="X175" s="317"/>
      <c r="Y175" s="317"/>
      <c r="Z175" s="317"/>
      <c r="AA175" s="317"/>
    </row>
    <row r="176">
      <c r="A176" s="317"/>
      <c r="B176" s="317"/>
      <c r="C176" s="317"/>
      <c r="D176" s="317"/>
      <c r="E176" s="317"/>
      <c r="F176" s="317"/>
      <c r="G176" s="317"/>
      <c r="H176" s="317"/>
      <c r="I176" s="317"/>
      <c r="J176" s="317"/>
      <c r="K176" s="317"/>
      <c r="L176" s="317"/>
      <c r="M176" s="317"/>
      <c r="N176" s="317"/>
      <c r="O176" s="317"/>
      <c r="P176" s="317"/>
      <c r="Q176" s="317"/>
      <c r="R176" s="317"/>
      <c r="S176" s="317"/>
      <c r="T176" s="317"/>
      <c r="U176" s="317"/>
      <c r="V176" s="317"/>
      <c r="W176" s="317"/>
      <c r="X176" s="317"/>
      <c r="Y176" s="317"/>
      <c r="Z176" s="317"/>
      <c r="AA176" s="317"/>
    </row>
    <row r="177">
      <c r="A177" s="317"/>
      <c r="B177" s="317"/>
      <c r="C177" s="317"/>
      <c r="D177" s="317"/>
      <c r="E177" s="317"/>
      <c r="F177" s="317"/>
      <c r="G177" s="317"/>
      <c r="H177" s="317"/>
      <c r="I177" s="317"/>
      <c r="J177" s="317"/>
      <c r="K177" s="317"/>
      <c r="L177" s="317"/>
      <c r="M177" s="317"/>
      <c r="N177" s="317"/>
      <c r="O177" s="317"/>
      <c r="P177" s="317"/>
      <c r="Q177" s="317"/>
      <c r="R177" s="317"/>
      <c r="S177" s="317"/>
      <c r="T177" s="317"/>
      <c r="U177" s="317"/>
      <c r="V177" s="317"/>
      <c r="W177" s="317"/>
      <c r="X177" s="317"/>
      <c r="Y177" s="317"/>
      <c r="Z177" s="317"/>
      <c r="AA177" s="317"/>
    </row>
    <row r="178">
      <c r="A178" s="317"/>
      <c r="B178" s="317"/>
      <c r="C178" s="317"/>
      <c r="D178" s="317"/>
      <c r="E178" s="317"/>
      <c r="F178" s="317"/>
      <c r="G178" s="317"/>
      <c r="H178" s="317"/>
      <c r="I178" s="317"/>
      <c r="J178" s="317"/>
      <c r="K178" s="317"/>
      <c r="L178" s="317"/>
      <c r="M178" s="317"/>
      <c r="N178" s="317"/>
      <c r="O178" s="317"/>
      <c r="P178" s="317"/>
      <c r="Q178" s="317"/>
      <c r="R178" s="317"/>
      <c r="S178" s="317"/>
      <c r="T178" s="317"/>
      <c r="U178" s="317"/>
      <c r="V178" s="317"/>
      <c r="W178" s="317"/>
      <c r="X178" s="317"/>
      <c r="Y178" s="317"/>
      <c r="Z178" s="317"/>
      <c r="AA178" s="317"/>
    </row>
    <row r="179">
      <c r="A179" s="317"/>
      <c r="B179" s="317"/>
      <c r="C179" s="317"/>
      <c r="D179" s="317"/>
      <c r="E179" s="317"/>
      <c r="F179" s="317"/>
      <c r="G179" s="317"/>
      <c r="H179" s="317"/>
      <c r="I179" s="317"/>
      <c r="J179" s="317"/>
      <c r="K179" s="317"/>
      <c r="L179" s="317"/>
      <c r="M179" s="317"/>
      <c r="N179" s="317"/>
      <c r="O179" s="317"/>
      <c r="P179" s="317"/>
      <c r="Q179" s="317"/>
      <c r="R179" s="317"/>
      <c r="S179" s="317"/>
      <c r="T179" s="317"/>
      <c r="U179" s="317"/>
      <c r="V179" s="317"/>
      <c r="W179" s="317"/>
      <c r="X179" s="317"/>
      <c r="Y179" s="317"/>
      <c r="Z179" s="317"/>
      <c r="AA179" s="317"/>
    </row>
    <row r="180">
      <c r="A180" s="317"/>
      <c r="B180" s="317"/>
      <c r="C180" s="317"/>
      <c r="D180" s="317"/>
      <c r="E180" s="317"/>
      <c r="F180" s="317"/>
      <c r="G180" s="317"/>
      <c r="H180" s="317"/>
      <c r="I180" s="317"/>
      <c r="J180" s="317"/>
      <c r="K180" s="317"/>
      <c r="L180" s="317"/>
      <c r="M180" s="317"/>
      <c r="N180" s="317"/>
      <c r="O180" s="317"/>
      <c r="P180" s="317"/>
      <c r="Q180" s="317"/>
      <c r="R180" s="317"/>
      <c r="S180" s="317"/>
      <c r="T180" s="317"/>
      <c r="U180" s="317"/>
      <c r="V180" s="317"/>
      <c r="W180" s="317"/>
      <c r="X180" s="317"/>
      <c r="Y180" s="317"/>
      <c r="Z180" s="317"/>
      <c r="AA180" s="317"/>
    </row>
    <row r="181">
      <c r="A181" s="317"/>
      <c r="B181" s="317"/>
      <c r="C181" s="317"/>
      <c r="D181" s="317"/>
      <c r="E181" s="317"/>
      <c r="F181" s="317"/>
      <c r="G181" s="317"/>
      <c r="H181" s="317"/>
      <c r="I181" s="317"/>
      <c r="J181" s="317"/>
      <c r="K181" s="317"/>
      <c r="L181" s="317"/>
      <c r="M181" s="317"/>
      <c r="N181" s="317"/>
      <c r="O181" s="317"/>
      <c r="P181" s="317"/>
      <c r="Q181" s="317"/>
      <c r="R181" s="317"/>
      <c r="S181" s="317"/>
      <c r="T181" s="317"/>
      <c r="U181" s="317"/>
      <c r="V181" s="317"/>
      <c r="W181" s="317"/>
      <c r="X181" s="317"/>
      <c r="Y181" s="317"/>
      <c r="Z181" s="317"/>
      <c r="AA181" s="317"/>
    </row>
    <row r="182">
      <c r="A182" s="317"/>
      <c r="B182" s="317"/>
      <c r="C182" s="317"/>
      <c r="D182" s="317"/>
      <c r="E182" s="317"/>
      <c r="F182" s="317"/>
      <c r="G182" s="317"/>
      <c r="H182" s="317"/>
      <c r="I182" s="317"/>
      <c r="J182" s="317"/>
      <c r="K182" s="317"/>
      <c r="L182" s="317"/>
      <c r="M182" s="317"/>
      <c r="N182" s="317"/>
      <c r="O182" s="317"/>
      <c r="P182" s="317"/>
      <c r="Q182" s="317"/>
      <c r="R182" s="317"/>
      <c r="S182" s="317"/>
      <c r="T182" s="317"/>
      <c r="U182" s="317"/>
      <c r="V182" s="317"/>
      <c r="W182" s="317"/>
      <c r="X182" s="317"/>
      <c r="Y182" s="317"/>
      <c r="Z182" s="317"/>
      <c r="AA182" s="317"/>
    </row>
    <row r="183">
      <c r="A183" s="317"/>
      <c r="B183" s="317"/>
      <c r="C183" s="317"/>
      <c r="D183" s="317"/>
      <c r="E183" s="317"/>
      <c r="F183" s="317"/>
      <c r="G183" s="317"/>
      <c r="H183" s="317"/>
      <c r="I183" s="317"/>
      <c r="J183" s="317"/>
      <c r="K183" s="317"/>
      <c r="L183" s="317"/>
      <c r="M183" s="317"/>
      <c r="N183" s="317"/>
      <c r="O183" s="317"/>
      <c r="P183" s="317"/>
      <c r="Q183" s="317"/>
      <c r="R183" s="317"/>
      <c r="S183" s="317"/>
      <c r="T183" s="317"/>
      <c r="U183" s="317"/>
      <c r="V183" s="317"/>
      <c r="W183" s="317"/>
      <c r="X183" s="317"/>
      <c r="Y183" s="317"/>
      <c r="Z183" s="317"/>
      <c r="AA183" s="317"/>
    </row>
    <row r="184">
      <c r="A184" s="317"/>
      <c r="B184" s="317"/>
      <c r="C184" s="317"/>
      <c r="D184" s="317"/>
      <c r="E184" s="317"/>
      <c r="F184" s="317"/>
      <c r="G184" s="317"/>
      <c r="H184" s="317"/>
      <c r="I184" s="317"/>
      <c r="J184" s="317"/>
      <c r="K184" s="317"/>
      <c r="L184" s="317"/>
      <c r="M184" s="317"/>
      <c r="N184" s="317"/>
      <c r="O184" s="317"/>
      <c r="P184" s="317"/>
      <c r="Q184" s="317"/>
      <c r="R184" s="317"/>
      <c r="S184" s="317"/>
      <c r="T184" s="317"/>
      <c r="U184" s="317"/>
      <c r="V184" s="317"/>
      <c r="W184" s="317"/>
      <c r="X184" s="317"/>
      <c r="Y184" s="317"/>
      <c r="Z184" s="317"/>
      <c r="AA184" s="317"/>
    </row>
    <row r="185">
      <c r="A185" s="317"/>
      <c r="B185" s="317"/>
      <c r="C185" s="317"/>
      <c r="D185" s="317"/>
      <c r="E185" s="317"/>
      <c r="F185" s="317"/>
      <c r="G185" s="317"/>
      <c r="H185" s="317"/>
      <c r="I185" s="317"/>
      <c r="J185" s="317"/>
      <c r="K185" s="317"/>
      <c r="L185" s="317"/>
      <c r="M185" s="317"/>
      <c r="N185" s="317"/>
      <c r="O185" s="317"/>
      <c r="P185" s="317"/>
      <c r="Q185" s="317"/>
      <c r="R185" s="317"/>
      <c r="S185" s="317"/>
      <c r="T185" s="317"/>
      <c r="U185" s="317"/>
      <c r="V185" s="317"/>
      <c r="W185" s="317"/>
      <c r="X185" s="317"/>
      <c r="Y185" s="317"/>
      <c r="Z185" s="317"/>
      <c r="AA185" s="317"/>
    </row>
    <row r="186">
      <c r="A186" s="317"/>
      <c r="B186" s="317"/>
      <c r="C186" s="317"/>
      <c r="D186" s="317"/>
      <c r="E186" s="317"/>
      <c r="F186" s="317"/>
      <c r="G186" s="317"/>
      <c r="H186" s="317"/>
      <c r="I186" s="317"/>
      <c r="J186" s="317"/>
      <c r="K186" s="317"/>
      <c r="L186" s="317"/>
      <c r="M186" s="317"/>
      <c r="N186" s="317"/>
      <c r="O186" s="317"/>
      <c r="P186" s="317"/>
      <c r="Q186" s="317"/>
      <c r="R186" s="317"/>
      <c r="S186" s="317"/>
      <c r="T186" s="317"/>
      <c r="U186" s="317"/>
      <c r="V186" s="317"/>
      <c r="W186" s="317"/>
      <c r="X186" s="317"/>
      <c r="Y186" s="317"/>
      <c r="Z186" s="317"/>
      <c r="AA186" s="317"/>
    </row>
    <row r="187">
      <c r="A187" s="317"/>
      <c r="B187" s="317"/>
      <c r="C187" s="317"/>
      <c r="D187" s="317"/>
      <c r="E187" s="317"/>
      <c r="F187" s="317"/>
      <c r="G187" s="317"/>
      <c r="H187" s="317"/>
      <c r="I187" s="317"/>
      <c r="J187" s="317"/>
      <c r="K187" s="317"/>
      <c r="L187" s="317"/>
      <c r="M187" s="317"/>
      <c r="N187" s="317"/>
      <c r="O187" s="317"/>
      <c r="P187" s="317"/>
      <c r="Q187" s="317"/>
      <c r="R187" s="317"/>
      <c r="S187" s="317"/>
      <c r="T187" s="317"/>
      <c r="U187" s="317"/>
      <c r="V187" s="317"/>
      <c r="W187" s="317"/>
      <c r="X187" s="317"/>
      <c r="Y187" s="317"/>
      <c r="Z187" s="317"/>
      <c r="AA187" s="317"/>
    </row>
    <row r="188">
      <c r="A188" s="317"/>
      <c r="B188" s="317"/>
      <c r="C188" s="317"/>
      <c r="D188" s="317"/>
      <c r="E188" s="317"/>
      <c r="F188" s="317"/>
      <c r="G188" s="317"/>
      <c r="H188" s="317"/>
      <c r="I188" s="317"/>
      <c r="J188" s="317"/>
      <c r="K188" s="317"/>
      <c r="L188" s="317"/>
      <c r="M188" s="317"/>
      <c r="N188" s="317"/>
      <c r="O188" s="317"/>
      <c r="P188" s="317"/>
      <c r="Q188" s="317"/>
      <c r="R188" s="317"/>
      <c r="S188" s="317"/>
      <c r="T188" s="317"/>
      <c r="U188" s="317"/>
      <c r="V188" s="317"/>
      <c r="W188" s="317"/>
      <c r="X188" s="317"/>
      <c r="Y188" s="317"/>
      <c r="Z188" s="317"/>
      <c r="AA188" s="317"/>
    </row>
    <row r="189">
      <c r="A189" s="317"/>
      <c r="B189" s="317"/>
      <c r="C189" s="317"/>
      <c r="D189" s="317"/>
      <c r="E189" s="317"/>
      <c r="F189" s="317"/>
      <c r="G189" s="317"/>
      <c r="H189" s="317"/>
      <c r="I189" s="317"/>
      <c r="J189" s="317"/>
      <c r="K189" s="317"/>
      <c r="L189" s="317"/>
      <c r="M189" s="317"/>
      <c r="N189" s="317"/>
      <c r="O189" s="317"/>
      <c r="P189" s="317"/>
      <c r="Q189" s="317"/>
      <c r="R189" s="317"/>
      <c r="S189" s="317"/>
      <c r="T189" s="317"/>
      <c r="U189" s="317"/>
      <c r="V189" s="317"/>
      <c r="W189" s="317"/>
      <c r="X189" s="317"/>
      <c r="Y189" s="317"/>
      <c r="Z189" s="317"/>
      <c r="AA189" s="317"/>
    </row>
    <row r="190">
      <c r="A190" s="317"/>
      <c r="B190" s="317"/>
      <c r="C190" s="317"/>
      <c r="D190" s="317"/>
      <c r="E190" s="317"/>
      <c r="F190" s="317"/>
      <c r="G190" s="317"/>
      <c r="H190" s="317"/>
      <c r="I190" s="317"/>
      <c r="J190" s="317"/>
      <c r="K190" s="317"/>
      <c r="L190" s="317"/>
      <c r="M190" s="317"/>
      <c r="N190" s="317"/>
      <c r="O190" s="317"/>
      <c r="P190" s="317"/>
      <c r="Q190" s="317"/>
      <c r="R190" s="317"/>
      <c r="S190" s="317"/>
      <c r="T190" s="317"/>
      <c r="U190" s="317"/>
      <c r="V190" s="317"/>
      <c r="W190" s="317"/>
      <c r="X190" s="317"/>
      <c r="Y190" s="317"/>
      <c r="Z190" s="317"/>
      <c r="AA190" s="317"/>
    </row>
    <row r="191">
      <c r="A191" s="317"/>
      <c r="B191" s="317"/>
      <c r="C191" s="317"/>
      <c r="D191" s="317"/>
      <c r="E191" s="317"/>
      <c r="F191" s="317"/>
      <c r="G191" s="317"/>
      <c r="H191" s="317"/>
      <c r="I191" s="317"/>
      <c r="J191" s="317"/>
      <c r="K191" s="317"/>
      <c r="L191" s="317"/>
      <c r="M191" s="317"/>
      <c r="N191" s="317"/>
      <c r="O191" s="317"/>
      <c r="P191" s="317"/>
      <c r="Q191" s="317"/>
      <c r="R191" s="317"/>
      <c r="S191" s="317"/>
      <c r="T191" s="317"/>
      <c r="U191" s="317"/>
      <c r="V191" s="317"/>
      <c r="W191" s="317"/>
      <c r="X191" s="317"/>
      <c r="Y191" s="317"/>
      <c r="Z191" s="317"/>
      <c r="AA191" s="317"/>
    </row>
    <row r="192">
      <c r="A192" s="317"/>
      <c r="B192" s="317"/>
      <c r="C192" s="317"/>
      <c r="D192" s="317"/>
      <c r="E192" s="317"/>
      <c r="F192" s="317"/>
      <c r="G192" s="317"/>
      <c r="H192" s="317"/>
      <c r="I192" s="317"/>
      <c r="J192" s="317"/>
      <c r="K192" s="317"/>
      <c r="L192" s="317"/>
      <c r="M192" s="317"/>
      <c r="N192" s="317"/>
      <c r="O192" s="317"/>
      <c r="P192" s="317"/>
      <c r="Q192" s="317"/>
      <c r="R192" s="317"/>
      <c r="S192" s="317"/>
      <c r="T192" s="317"/>
      <c r="U192" s="317"/>
      <c r="V192" s="317"/>
      <c r="W192" s="317"/>
      <c r="X192" s="317"/>
      <c r="Y192" s="317"/>
      <c r="Z192" s="317"/>
      <c r="AA192" s="317"/>
    </row>
    <row r="193">
      <c r="A193" s="317"/>
      <c r="B193" s="317"/>
      <c r="C193" s="317"/>
      <c r="D193" s="317"/>
      <c r="E193" s="317"/>
      <c r="F193" s="317"/>
      <c r="G193" s="317"/>
      <c r="H193" s="317"/>
      <c r="I193" s="317"/>
      <c r="J193" s="317"/>
      <c r="K193" s="317"/>
      <c r="L193" s="317"/>
      <c r="M193" s="317"/>
      <c r="N193" s="317"/>
      <c r="O193" s="317"/>
      <c r="P193" s="317"/>
      <c r="Q193" s="317"/>
      <c r="R193" s="317"/>
      <c r="S193" s="317"/>
      <c r="T193" s="317"/>
      <c r="U193" s="317"/>
      <c r="V193" s="317"/>
      <c r="W193" s="317"/>
      <c r="X193" s="317"/>
      <c r="Y193" s="317"/>
      <c r="Z193" s="317"/>
      <c r="AA193" s="317"/>
    </row>
    <row r="194">
      <c r="A194" s="317"/>
      <c r="B194" s="317"/>
      <c r="C194" s="317"/>
      <c r="D194" s="317"/>
      <c r="E194" s="317"/>
      <c r="F194" s="317"/>
      <c r="G194" s="317"/>
      <c r="H194" s="317"/>
      <c r="I194" s="317"/>
      <c r="J194" s="317"/>
      <c r="K194" s="317"/>
      <c r="L194" s="317"/>
      <c r="M194" s="317"/>
      <c r="N194" s="317"/>
      <c r="O194" s="317"/>
      <c r="P194" s="317"/>
      <c r="Q194" s="317"/>
      <c r="R194" s="317"/>
      <c r="S194" s="317"/>
      <c r="T194" s="317"/>
      <c r="U194" s="317"/>
      <c r="V194" s="317"/>
      <c r="W194" s="317"/>
      <c r="X194" s="317"/>
      <c r="Y194" s="317"/>
      <c r="Z194" s="317"/>
      <c r="AA194" s="317"/>
    </row>
    <row r="195">
      <c r="A195" s="317"/>
      <c r="B195" s="317"/>
      <c r="C195" s="317"/>
      <c r="D195" s="317"/>
      <c r="E195" s="317"/>
      <c r="F195" s="317"/>
      <c r="G195" s="317"/>
      <c r="H195" s="317"/>
      <c r="I195" s="317"/>
      <c r="J195" s="317"/>
      <c r="K195" s="317"/>
      <c r="L195" s="317"/>
      <c r="M195" s="317"/>
      <c r="N195" s="317"/>
      <c r="O195" s="317"/>
      <c r="P195" s="317"/>
      <c r="Q195" s="317"/>
      <c r="R195" s="317"/>
      <c r="S195" s="317"/>
      <c r="T195" s="317"/>
      <c r="U195" s="317"/>
      <c r="V195" s="317"/>
      <c r="W195" s="317"/>
      <c r="X195" s="317"/>
      <c r="Y195" s="317"/>
      <c r="Z195" s="317"/>
      <c r="AA195" s="317"/>
    </row>
    <row r="196">
      <c r="A196" s="317"/>
      <c r="B196" s="317"/>
      <c r="C196" s="317"/>
      <c r="D196" s="317"/>
      <c r="E196" s="317"/>
      <c r="F196" s="317"/>
      <c r="G196" s="317"/>
      <c r="H196" s="317"/>
      <c r="I196" s="317"/>
      <c r="J196" s="317"/>
      <c r="K196" s="317"/>
      <c r="L196" s="317"/>
      <c r="M196" s="317"/>
      <c r="N196" s="317"/>
      <c r="O196" s="317"/>
      <c r="P196" s="317"/>
      <c r="Q196" s="317"/>
      <c r="R196" s="317"/>
      <c r="S196" s="317"/>
      <c r="T196" s="317"/>
      <c r="U196" s="317"/>
      <c r="V196" s="317"/>
      <c r="W196" s="317"/>
      <c r="X196" s="317"/>
      <c r="Y196" s="317"/>
      <c r="Z196" s="317"/>
      <c r="AA196" s="317"/>
    </row>
    <row r="197">
      <c r="A197" s="317"/>
      <c r="B197" s="317"/>
      <c r="C197" s="317"/>
      <c r="D197" s="317"/>
      <c r="E197" s="317"/>
      <c r="F197" s="317"/>
      <c r="G197" s="317"/>
      <c r="H197" s="317"/>
      <c r="I197" s="317"/>
      <c r="J197" s="317"/>
      <c r="K197" s="317"/>
      <c r="L197" s="317"/>
      <c r="M197" s="317"/>
      <c r="N197" s="317"/>
      <c r="O197" s="317"/>
      <c r="P197" s="317"/>
      <c r="Q197" s="317"/>
      <c r="R197" s="317"/>
      <c r="S197" s="317"/>
      <c r="T197" s="317"/>
      <c r="U197" s="317"/>
      <c r="V197" s="317"/>
      <c r="W197" s="317"/>
      <c r="X197" s="317"/>
      <c r="Y197" s="317"/>
      <c r="Z197" s="317"/>
      <c r="AA197" s="317"/>
    </row>
    <row r="198">
      <c r="A198" s="317"/>
      <c r="B198" s="317"/>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row>
    <row r="199">
      <c r="A199" s="317"/>
      <c r="B199" s="317"/>
      <c r="C199" s="317"/>
      <c r="D199" s="317"/>
      <c r="E199" s="317"/>
      <c r="F199" s="317"/>
      <c r="G199" s="317"/>
      <c r="H199" s="317"/>
      <c r="I199" s="317"/>
      <c r="J199" s="317"/>
      <c r="K199" s="317"/>
      <c r="L199" s="317"/>
      <c r="M199" s="317"/>
      <c r="N199" s="317"/>
      <c r="O199" s="317"/>
      <c r="P199" s="317"/>
      <c r="Q199" s="317"/>
      <c r="R199" s="317"/>
      <c r="S199" s="317"/>
      <c r="T199" s="317"/>
      <c r="U199" s="317"/>
      <c r="V199" s="317"/>
      <c r="W199" s="317"/>
      <c r="X199" s="317"/>
      <c r="Y199" s="317"/>
      <c r="Z199" s="317"/>
      <c r="AA199" s="317"/>
    </row>
    <row r="200">
      <c r="A200" s="317"/>
      <c r="B200" s="317"/>
      <c r="C200" s="317"/>
      <c r="D200" s="317"/>
      <c r="E200" s="317"/>
      <c r="F200" s="317"/>
      <c r="G200" s="317"/>
      <c r="H200" s="317"/>
      <c r="I200" s="317"/>
      <c r="J200" s="317"/>
      <c r="K200" s="317"/>
      <c r="L200" s="317"/>
      <c r="M200" s="317"/>
      <c r="N200" s="317"/>
      <c r="O200" s="317"/>
      <c r="P200" s="317"/>
      <c r="Q200" s="317"/>
      <c r="R200" s="317"/>
      <c r="S200" s="317"/>
      <c r="T200" s="317"/>
      <c r="U200" s="317"/>
      <c r="V200" s="317"/>
      <c r="W200" s="317"/>
      <c r="X200" s="317"/>
      <c r="Y200" s="317"/>
      <c r="Z200" s="317"/>
      <c r="AA200" s="317"/>
    </row>
    <row r="201">
      <c r="A201" s="317"/>
      <c r="B201" s="317"/>
      <c r="C201" s="317"/>
      <c r="D201" s="317"/>
      <c r="E201" s="317"/>
      <c r="F201" s="317"/>
      <c r="G201" s="317"/>
      <c r="H201" s="317"/>
      <c r="I201" s="317"/>
      <c r="J201" s="317"/>
      <c r="K201" s="317"/>
      <c r="L201" s="317"/>
      <c r="M201" s="317"/>
      <c r="N201" s="317"/>
      <c r="O201" s="317"/>
      <c r="P201" s="317"/>
      <c r="Q201" s="317"/>
      <c r="R201" s="317"/>
      <c r="S201" s="317"/>
      <c r="T201" s="317"/>
      <c r="U201" s="317"/>
      <c r="V201" s="317"/>
      <c r="W201" s="317"/>
      <c r="X201" s="317"/>
      <c r="Y201" s="317"/>
      <c r="Z201" s="317"/>
      <c r="AA201" s="317"/>
    </row>
    <row r="202">
      <c r="A202" s="317"/>
      <c r="B202" s="317"/>
      <c r="C202" s="317"/>
      <c r="D202" s="317"/>
      <c r="E202" s="317"/>
      <c r="F202" s="317"/>
      <c r="G202" s="317"/>
      <c r="H202" s="317"/>
      <c r="I202" s="317"/>
      <c r="J202" s="317"/>
      <c r="K202" s="317"/>
      <c r="L202" s="317"/>
      <c r="M202" s="317"/>
      <c r="N202" s="317"/>
      <c r="O202" s="317"/>
      <c r="P202" s="317"/>
      <c r="Q202" s="317"/>
      <c r="R202" s="317"/>
      <c r="S202" s="317"/>
      <c r="T202" s="317"/>
      <c r="U202" s="317"/>
      <c r="V202" s="317"/>
      <c r="W202" s="317"/>
      <c r="X202" s="317"/>
      <c r="Y202" s="317"/>
      <c r="Z202" s="317"/>
      <c r="AA202" s="317"/>
    </row>
    <row r="203">
      <c r="A203" s="317"/>
      <c r="B203" s="317"/>
      <c r="C203" s="317"/>
      <c r="D203" s="317"/>
      <c r="E203" s="317"/>
      <c r="F203" s="317"/>
      <c r="G203" s="317"/>
      <c r="H203" s="317"/>
      <c r="I203" s="317"/>
      <c r="J203" s="317"/>
      <c r="K203" s="317"/>
      <c r="L203" s="317"/>
      <c r="M203" s="317"/>
      <c r="N203" s="317"/>
      <c r="O203" s="317"/>
      <c r="P203" s="317"/>
      <c r="Q203" s="317"/>
      <c r="R203" s="317"/>
      <c r="S203" s="317"/>
      <c r="T203" s="317"/>
      <c r="U203" s="317"/>
      <c r="V203" s="317"/>
      <c r="W203" s="317"/>
      <c r="X203" s="317"/>
      <c r="Y203" s="317"/>
      <c r="Z203" s="317"/>
      <c r="AA203" s="317"/>
    </row>
    <row r="204">
      <c r="A204" s="317"/>
      <c r="B204" s="317"/>
      <c r="C204" s="317"/>
      <c r="D204" s="317"/>
      <c r="E204" s="317"/>
      <c r="F204" s="317"/>
      <c r="G204" s="317"/>
      <c r="H204" s="317"/>
      <c r="I204" s="317"/>
      <c r="J204" s="317"/>
      <c r="K204" s="317"/>
      <c r="L204" s="317"/>
      <c r="M204" s="317"/>
      <c r="N204" s="317"/>
      <c r="O204" s="317"/>
      <c r="P204" s="317"/>
      <c r="Q204" s="317"/>
      <c r="R204" s="317"/>
      <c r="S204" s="317"/>
      <c r="T204" s="317"/>
      <c r="U204" s="317"/>
      <c r="V204" s="317"/>
      <c r="W204" s="317"/>
      <c r="X204" s="317"/>
      <c r="Y204" s="317"/>
      <c r="Z204" s="317"/>
      <c r="AA204" s="317"/>
    </row>
    <row r="205">
      <c r="A205" s="317"/>
      <c r="B205" s="317"/>
      <c r="C205" s="317"/>
      <c r="D205" s="317"/>
      <c r="E205" s="317"/>
      <c r="F205" s="317"/>
      <c r="G205" s="317"/>
      <c r="H205" s="317"/>
      <c r="I205" s="317"/>
      <c r="J205" s="317"/>
      <c r="K205" s="317"/>
      <c r="L205" s="317"/>
      <c r="M205" s="317"/>
      <c r="N205" s="317"/>
      <c r="O205" s="317"/>
      <c r="P205" s="317"/>
      <c r="Q205" s="317"/>
      <c r="R205" s="317"/>
      <c r="S205" s="317"/>
      <c r="T205" s="317"/>
      <c r="U205" s="317"/>
      <c r="V205" s="317"/>
      <c r="W205" s="317"/>
      <c r="X205" s="317"/>
      <c r="Y205" s="317"/>
      <c r="Z205" s="317"/>
      <c r="AA205" s="317"/>
    </row>
    <row r="206">
      <c r="A206" s="317"/>
      <c r="B206" s="317"/>
      <c r="C206" s="317"/>
      <c r="D206" s="317"/>
      <c r="E206" s="317"/>
      <c r="F206" s="317"/>
      <c r="G206" s="317"/>
      <c r="H206" s="317"/>
      <c r="I206" s="317"/>
      <c r="J206" s="317"/>
      <c r="K206" s="317"/>
      <c r="L206" s="317"/>
      <c r="M206" s="317"/>
      <c r="N206" s="317"/>
      <c r="O206" s="317"/>
      <c r="P206" s="317"/>
      <c r="Q206" s="317"/>
      <c r="R206" s="317"/>
      <c r="S206" s="317"/>
      <c r="T206" s="317"/>
      <c r="U206" s="317"/>
      <c r="V206" s="317"/>
      <c r="W206" s="317"/>
      <c r="X206" s="317"/>
      <c r="Y206" s="317"/>
      <c r="Z206" s="317"/>
      <c r="AA206" s="317"/>
    </row>
    <row r="207">
      <c r="A207" s="317"/>
      <c r="B207" s="317"/>
      <c r="C207" s="317"/>
      <c r="D207" s="317"/>
      <c r="E207" s="317"/>
      <c r="F207" s="317"/>
      <c r="G207" s="317"/>
      <c r="H207" s="317"/>
      <c r="I207" s="317"/>
      <c r="J207" s="317"/>
      <c r="K207" s="317"/>
      <c r="L207" s="317"/>
      <c r="M207" s="317"/>
      <c r="N207" s="317"/>
      <c r="O207" s="317"/>
      <c r="P207" s="317"/>
      <c r="Q207" s="317"/>
      <c r="R207" s="317"/>
      <c r="S207" s="317"/>
      <c r="T207" s="317"/>
      <c r="U207" s="317"/>
      <c r="V207" s="317"/>
      <c r="W207" s="317"/>
      <c r="X207" s="317"/>
      <c r="Y207" s="317"/>
      <c r="Z207" s="317"/>
      <c r="AA207" s="317"/>
    </row>
    <row r="208">
      <c r="A208" s="317"/>
      <c r="B208" s="317"/>
      <c r="C208" s="317"/>
      <c r="D208" s="317"/>
      <c r="E208" s="317"/>
      <c r="F208" s="317"/>
      <c r="G208" s="317"/>
      <c r="H208" s="317"/>
      <c r="I208" s="317"/>
      <c r="J208" s="317"/>
      <c r="K208" s="317"/>
      <c r="L208" s="317"/>
      <c r="M208" s="317"/>
      <c r="N208" s="317"/>
      <c r="O208" s="317"/>
      <c r="P208" s="317"/>
      <c r="Q208" s="317"/>
      <c r="R208" s="317"/>
      <c r="S208" s="317"/>
      <c r="T208" s="317"/>
      <c r="U208" s="317"/>
      <c r="V208" s="317"/>
      <c r="W208" s="317"/>
      <c r="X208" s="317"/>
      <c r="Y208" s="317"/>
      <c r="Z208" s="317"/>
      <c r="AA208" s="317"/>
    </row>
    <row r="209">
      <c r="A209" s="317"/>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7"/>
      <c r="X209" s="317"/>
      <c r="Y209" s="317"/>
      <c r="Z209" s="317"/>
      <c r="AA209" s="317"/>
    </row>
    <row r="210">
      <c r="A210" s="317"/>
      <c r="B210" s="317"/>
      <c r="C210" s="317"/>
      <c r="D210" s="317"/>
      <c r="E210" s="317"/>
      <c r="F210" s="317"/>
      <c r="G210" s="317"/>
      <c r="H210" s="317"/>
      <c r="I210" s="317"/>
      <c r="J210" s="317"/>
      <c r="K210" s="317"/>
      <c r="L210" s="317"/>
      <c r="M210" s="317"/>
      <c r="N210" s="317"/>
      <c r="O210" s="317"/>
      <c r="P210" s="317"/>
      <c r="Q210" s="317"/>
      <c r="R210" s="317"/>
      <c r="S210" s="317"/>
      <c r="T210" s="317"/>
      <c r="U210" s="317"/>
      <c r="V210" s="317"/>
      <c r="W210" s="317"/>
      <c r="X210" s="317"/>
      <c r="Y210" s="317"/>
      <c r="Z210" s="317"/>
      <c r="AA210" s="317"/>
    </row>
    <row r="211">
      <c r="A211" s="317"/>
      <c r="B211" s="317"/>
      <c r="C211" s="317"/>
      <c r="D211" s="317"/>
      <c r="E211" s="317"/>
      <c r="F211" s="317"/>
      <c r="G211" s="317"/>
      <c r="H211" s="317"/>
      <c r="I211" s="317"/>
      <c r="J211" s="317"/>
      <c r="K211" s="317"/>
      <c r="L211" s="317"/>
      <c r="M211" s="317"/>
      <c r="N211" s="317"/>
      <c r="O211" s="317"/>
      <c r="P211" s="317"/>
      <c r="Q211" s="317"/>
      <c r="R211" s="317"/>
      <c r="S211" s="317"/>
      <c r="T211" s="317"/>
      <c r="U211" s="317"/>
      <c r="V211" s="317"/>
      <c r="W211" s="317"/>
      <c r="X211" s="317"/>
      <c r="Y211" s="317"/>
      <c r="Z211" s="317"/>
      <c r="AA211" s="317"/>
    </row>
    <row r="212">
      <c r="A212" s="317"/>
      <c r="B212" s="317"/>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row>
    <row r="213">
      <c r="A213" s="317"/>
      <c r="B213" s="317"/>
      <c r="C213" s="317"/>
      <c r="D213" s="317"/>
      <c r="E213" s="317"/>
      <c r="F213" s="317"/>
      <c r="G213" s="317"/>
      <c r="H213" s="317"/>
      <c r="I213" s="317"/>
      <c r="J213" s="317"/>
      <c r="K213" s="317"/>
      <c r="L213" s="317"/>
      <c r="M213" s="317"/>
      <c r="N213" s="317"/>
      <c r="O213" s="317"/>
      <c r="P213" s="317"/>
      <c r="Q213" s="317"/>
      <c r="R213" s="317"/>
      <c r="S213" s="317"/>
      <c r="T213" s="317"/>
      <c r="U213" s="317"/>
      <c r="V213" s="317"/>
      <c r="W213" s="317"/>
      <c r="X213" s="317"/>
      <c r="Y213" s="317"/>
      <c r="Z213" s="317"/>
      <c r="AA213" s="317"/>
    </row>
    <row r="214">
      <c r="A214" s="317"/>
      <c r="B214" s="317"/>
      <c r="C214" s="317"/>
      <c r="D214" s="317"/>
      <c r="E214" s="317"/>
      <c r="F214" s="317"/>
      <c r="G214" s="317"/>
      <c r="H214" s="317"/>
      <c r="I214" s="317"/>
      <c r="J214" s="317"/>
      <c r="K214" s="317"/>
      <c r="L214" s="317"/>
      <c r="M214" s="317"/>
      <c r="N214" s="317"/>
      <c r="O214" s="317"/>
      <c r="P214" s="317"/>
      <c r="Q214" s="317"/>
      <c r="R214" s="317"/>
      <c r="S214" s="317"/>
      <c r="T214" s="317"/>
      <c r="U214" s="317"/>
      <c r="V214" s="317"/>
      <c r="W214" s="317"/>
      <c r="X214" s="317"/>
      <c r="Y214" s="317"/>
      <c r="Z214" s="317"/>
      <c r="AA214" s="317"/>
    </row>
    <row r="215">
      <c r="A215" s="317"/>
      <c r="B215" s="317"/>
      <c r="C215" s="317"/>
      <c r="D215" s="317"/>
      <c r="E215" s="317"/>
      <c r="F215" s="317"/>
      <c r="G215" s="317"/>
      <c r="H215" s="317"/>
      <c r="I215" s="317"/>
      <c r="J215" s="317"/>
      <c r="K215" s="317"/>
      <c r="L215" s="317"/>
      <c r="M215" s="317"/>
      <c r="N215" s="317"/>
      <c r="O215" s="317"/>
      <c r="P215" s="317"/>
      <c r="Q215" s="317"/>
      <c r="R215" s="317"/>
      <c r="S215" s="317"/>
      <c r="T215" s="317"/>
      <c r="U215" s="317"/>
      <c r="V215" s="317"/>
      <c r="W215" s="317"/>
      <c r="X215" s="317"/>
      <c r="Y215" s="317"/>
      <c r="Z215" s="317"/>
      <c r="AA215" s="317"/>
    </row>
    <row r="216">
      <c r="A216" s="317"/>
      <c r="B216" s="317"/>
      <c r="C216" s="317"/>
      <c r="D216" s="317"/>
      <c r="E216" s="317"/>
      <c r="F216" s="317"/>
      <c r="G216" s="317"/>
      <c r="H216" s="317"/>
      <c r="I216" s="317"/>
      <c r="J216" s="317"/>
      <c r="K216" s="317"/>
      <c r="L216" s="317"/>
      <c r="M216" s="317"/>
      <c r="N216" s="317"/>
      <c r="O216" s="317"/>
      <c r="P216" s="317"/>
      <c r="Q216" s="317"/>
      <c r="R216" s="317"/>
      <c r="S216" s="317"/>
      <c r="T216" s="317"/>
      <c r="U216" s="317"/>
      <c r="V216" s="317"/>
      <c r="W216" s="317"/>
      <c r="X216" s="317"/>
      <c r="Y216" s="317"/>
      <c r="Z216" s="317"/>
      <c r="AA216" s="317"/>
    </row>
    <row r="217">
      <c r="A217" s="317"/>
      <c r="B217" s="317"/>
      <c r="C217" s="317"/>
      <c r="D217" s="317"/>
      <c r="E217" s="317"/>
      <c r="F217" s="317"/>
      <c r="G217" s="317"/>
      <c r="H217" s="317"/>
      <c r="I217" s="317"/>
      <c r="J217" s="317"/>
      <c r="K217" s="317"/>
      <c r="L217" s="317"/>
      <c r="M217" s="317"/>
      <c r="N217" s="317"/>
      <c r="O217" s="317"/>
      <c r="P217" s="317"/>
      <c r="Q217" s="317"/>
      <c r="R217" s="317"/>
      <c r="S217" s="317"/>
      <c r="T217" s="317"/>
      <c r="U217" s="317"/>
      <c r="V217" s="317"/>
      <c r="W217" s="317"/>
      <c r="X217" s="317"/>
      <c r="Y217" s="317"/>
      <c r="Z217" s="317"/>
      <c r="AA217" s="317"/>
    </row>
    <row r="218">
      <c r="A218" s="317"/>
      <c r="B218" s="317"/>
      <c r="C218" s="317"/>
      <c r="D218" s="317"/>
      <c r="E218" s="317"/>
      <c r="F218" s="317"/>
      <c r="G218" s="317"/>
      <c r="H218" s="317"/>
      <c r="I218" s="317"/>
      <c r="J218" s="317"/>
      <c r="K218" s="317"/>
      <c r="L218" s="317"/>
      <c r="M218" s="317"/>
      <c r="N218" s="317"/>
      <c r="O218" s="317"/>
      <c r="P218" s="317"/>
      <c r="Q218" s="317"/>
      <c r="R218" s="317"/>
      <c r="S218" s="317"/>
      <c r="T218" s="317"/>
      <c r="U218" s="317"/>
      <c r="V218" s="317"/>
      <c r="W218" s="317"/>
      <c r="X218" s="317"/>
      <c r="Y218" s="317"/>
      <c r="Z218" s="317"/>
      <c r="AA218" s="317"/>
    </row>
    <row r="219">
      <c r="A219" s="317"/>
      <c r="B219" s="317"/>
      <c r="C219" s="317"/>
      <c r="D219" s="317"/>
      <c r="E219" s="317"/>
      <c r="F219" s="317"/>
      <c r="G219" s="317"/>
      <c r="H219" s="317"/>
      <c r="I219" s="317"/>
      <c r="J219" s="317"/>
      <c r="K219" s="317"/>
      <c r="L219" s="317"/>
      <c r="M219" s="317"/>
      <c r="N219" s="317"/>
      <c r="O219" s="317"/>
      <c r="P219" s="317"/>
      <c r="Q219" s="317"/>
      <c r="R219" s="317"/>
      <c r="S219" s="317"/>
      <c r="T219" s="317"/>
      <c r="U219" s="317"/>
      <c r="V219" s="317"/>
      <c r="W219" s="317"/>
      <c r="X219" s="317"/>
      <c r="Y219" s="317"/>
      <c r="Z219" s="317"/>
      <c r="AA219" s="317"/>
    </row>
    <row r="220">
      <c r="A220" s="317"/>
      <c r="B220" s="317"/>
      <c r="C220" s="317"/>
      <c r="D220" s="317"/>
      <c r="E220" s="317"/>
      <c r="F220" s="317"/>
      <c r="G220" s="317"/>
      <c r="H220" s="317"/>
      <c r="I220" s="317"/>
      <c r="J220" s="317"/>
      <c r="K220" s="317"/>
      <c r="L220" s="317"/>
      <c r="M220" s="317"/>
      <c r="N220" s="317"/>
      <c r="O220" s="317"/>
      <c r="P220" s="317"/>
      <c r="Q220" s="317"/>
      <c r="R220" s="317"/>
      <c r="S220" s="317"/>
      <c r="T220" s="317"/>
      <c r="U220" s="317"/>
      <c r="V220" s="317"/>
      <c r="W220" s="317"/>
      <c r="X220" s="317"/>
      <c r="Y220" s="317"/>
      <c r="Z220" s="317"/>
      <c r="AA220" s="317"/>
    </row>
    <row r="221">
      <c r="A221" s="317"/>
      <c r="B221" s="317"/>
      <c r="C221" s="317"/>
      <c r="D221" s="317"/>
      <c r="E221" s="317"/>
      <c r="F221" s="317"/>
      <c r="G221" s="317"/>
      <c r="H221" s="317"/>
      <c r="I221" s="317"/>
      <c r="J221" s="317"/>
      <c r="K221" s="317"/>
      <c r="L221" s="317"/>
      <c r="M221" s="317"/>
      <c r="N221" s="317"/>
      <c r="O221" s="317"/>
      <c r="P221" s="317"/>
      <c r="Q221" s="317"/>
      <c r="R221" s="317"/>
      <c r="S221" s="317"/>
      <c r="T221" s="317"/>
      <c r="U221" s="317"/>
      <c r="V221" s="317"/>
      <c r="W221" s="317"/>
      <c r="X221" s="317"/>
      <c r="Y221" s="317"/>
      <c r="Z221" s="317"/>
      <c r="AA221" s="317"/>
    </row>
    <row r="222">
      <c r="A222" s="317"/>
      <c r="B222" s="317"/>
      <c r="C222" s="317"/>
      <c r="D222" s="317"/>
      <c r="E222" s="317"/>
      <c r="F222" s="317"/>
      <c r="G222" s="317"/>
      <c r="H222" s="317"/>
      <c r="I222" s="317"/>
      <c r="J222" s="317"/>
      <c r="K222" s="317"/>
      <c r="L222" s="317"/>
      <c r="M222" s="317"/>
      <c r="N222" s="317"/>
      <c r="O222" s="317"/>
      <c r="P222" s="317"/>
      <c r="Q222" s="317"/>
      <c r="R222" s="317"/>
      <c r="S222" s="317"/>
      <c r="T222" s="317"/>
      <c r="U222" s="317"/>
      <c r="V222" s="317"/>
      <c r="W222" s="317"/>
      <c r="X222" s="317"/>
      <c r="Y222" s="317"/>
      <c r="Z222" s="317"/>
      <c r="AA222" s="317"/>
    </row>
    <row r="223">
      <c r="A223" s="317"/>
      <c r="B223" s="317"/>
      <c r="C223" s="317"/>
      <c r="D223" s="317"/>
      <c r="E223" s="317"/>
      <c r="F223" s="317"/>
      <c r="G223" s="317"/>
      <c r="H223" s="317"/>
      <c r="I223" s="317"/>
      <c r="J223" s="317"/>
      <c r="K223" s="317"/>
      <c r="L223" s="317"/>
      <c r="M223" s="317"/>
      <c r="N223" s="317"/>
      <c r="O223" s="317"/>
      <c r="P223" s="317"/>
      <c r="Q223" s="317"/>
      <c r="R223" s="317"/>
      <c r="S223" s="317"/>
      <c r="T223" s="317"/>
      <c r="U223" s="317"/>
      <c r="V223" s="317"/>
      <c r="W223" s="317"/>
      <c r="X223" s="317"/>
      <c r="Y223" s="317"/>
      <c r="Z223" s="317"/>
      <c r="AA223" s="317"/>
    </row>
    <row r="224">
      <c r="A224" s="317"/>
      <c r="B224" s="317"/>
      <c r="C224" s="317"/>
      <c r="D224" s="317"/>
      <c r="E224" s="317"/>
      <c r="F224" s="317"/>
      <c r="G224" s="317"/>
      <c r="H224" s="317"/>
      <c r="I224" s="317"/>
      <c r="J224" s="317"/>
      <c r="K224" s="317"/>
      <c r="L224" s="317"/>
      <c r="M224" s="317"/>
      <c r="N224" s="317"/>
      <c r="O224" s="317"/>
      <c r="P224" s="317"/>
      <c r="Q224" s="317"/>
      <c r="R224" s="317"/>
      <c r="S224" s="317"/>
      <c r="T224" s="317"/>
      <c r="U224" s="317"/>
      <c r="V224" s="317"/>
      <c r="W224" s="317"/>
      <c r="X224" s="317"/>
      <c r="Y224" s="317"/>
      <c r="Z224" s="317"/>
      <c r="AA224" s="317"/>
    </row>
    <row r="225">
      <c r="A225" s="317"/>
      <c r="B225" s="317"/>
      <c r="C225" s="317"/>
      <c r="D225" s="317"/>
      <c r="E225" s="317"/>
      <c r="F225" s="317"/>
      <c r="G225" s="317"/>
      <c r="H225" s="317"/>
      <c r="I225" s="317"/>
      <c r="J225" s="317"/>
      <c r="K225" s="317"/>
      <c r="L225" s="317"/>
      <c r="M225" s="317"/>
      <c r="N225" s="317"/>
      <c r="O225" s="317"/>
      <c r="P225" s="317"/>
      <c r="Q225" s="317"/>
      <c r="R225" s="317"/>
      <c r="S225" s="317"/>
      <c r="T225" s="317"/>
      <c r="U225" s="317"/>
      <c r="V225" s="317"/>
      <c r="W225" s="317"/>
      <c r="X225" s="317"/>
      <c r="Y225" s="317"/>
      <c r="Z225" s="317"/>
      <c r="AA225" s="317"/>
    </row>
    <row r="226">
      <c r="A226" s="317"/>
      <c r="B226" s="317"/>
      <c r="C226" s="317"/>
      <c r="D226" s="317"/>
      <c r="E226" s="317"/>
      <c r="F226" s="317"/>
      <c r="G226" s="317"/>
      <c r="H226" s="317"/>
      <c r="I226" s="317"/>
      <c r="J226" s="317"/>
      <c r="K226" s="317"/>
      <c r="L226" s="317"/>
      <c r="M226" s="317"/>
      <c r="N226" s="317"/>
      <c r="O226" s="317"/>
      <c r="P226" s="317"/>
      <c r="Q226" s="317"/>
      <c r="R226" s="317"/>
      <c r="S226" s="317"/>
      <c r="T226" s="317"/>
      <c r="U226" s="317"/>
      <c r="V226" s="317"/>
      <c r="W226" s="317"/>
      <c r="X226" s="317"/>
      <c r="Y226" s="317"/>
      <c r="Z226" s="317"/>
      <c r="AA226" s="317"/>
    </row>
    <row r="227">
      <c r="A227" s="317"/>
      <c r="B227" s="317"/>
      <c r="C227" s="317"/>
      <c r="D227" s="317"/>
      <c r="E227" s="317"/>
      <c r="F227" s="317"/>
      <c r="G227" s="317"/>
      <c r="H227" s="317"/>
      <c r="I227" s="317"/>
      <c r="J227" s="317"/>
      <c r="K227" s="317"/>
      <c r="L227" s="317"/>
      <c r="M227" s="317"/>
      <c r="N227" s="317"/>
      <c r="O227" s="317"/>
      <c r="P227" s="317"/>
      <c r="Q227" s="317"/>
      <c r="R227" s="317"/>
      <c r="S227" s="317"/>
      <c r="T227" s="317"/>
      <c r="U227" s="317"/>
      <c r="V227" s="317"/>
      <c r="W227" s="317"/>
      <c r="X227" s="317"/>
      <c r="Y227" s="317"/>
      <c r="Z227" s="317"/>
      <c r="AA227" s="317"/>
    </row>
    <row r="228">
      <c r="A228" s="317"/>
      <c r="B228" s="317"/>
      <c r="C228" s="317"/>
      <c r="D228" s="317"/>
      <c r="E228" s="317"/>
      <c r="F228" s="317"/>
      <c r="G228" s="317"/>
      <c r="H228" s="317"/>
      <c r="I228" s="317"/>
      <c r="J228" s="317"/>
      <c r="K228" s="317"/>
      <c r="L228" s="317"/>
      <c r="M228" s="317"/>
      <c r="N228" s="317"/>
      <c r="O228" s="317"/>
      <c r="P228" s="317"/>
      <c r="Q228" s="317"/>
      <c r="R228" s="317"/>
      <c r="S228" s="317"/>
      <c r="T228" s="317"/>
      <c r="U228" s="317"/>
      <c r="V228" s="317"/>
      <c r="W228" s="317"/>
      <c r="X228" s="317"/>
      <c r="Y228" s="317"/>
      <c r="Z228" s="317"/>
      <c r="AA228" s="317"/>
    </row>
    <row r="229">
      <c r="A229" s="317"/>
      <c r="B229" s="317"/>
      <c r="C229" s="317"/>
      <c r="D229" s="317"/>
      <c r="E229" s="317"/>
      <c r="F229" s="317"/>
      <c r="G229" s="317"/>
      <c r="H229" s="317"/>
      <c r="I229" s="317"/>
      <c r="J229" s="317"/>
      <c r="K229" s="317"/>
      <c r="L229" s="317"/>
      <c r="M229" s="317"/>
      <c r="N229" s="317"/>
      <c r="O229" s="317"/>
      <c r="P229" s="317"/>
      <c r="Q229" s="317"/>
      <c r="R229" s="317"/>
      <c r="S229" s="317"/>
      <c r="T229" s="317"/>
      <c r="U229" s="317"/>
      <c r="V229" s="317"/>
      <c r="W229" s="317"/>
      <c r="X229" s="317"/>
      <c r="Y229" s="317"/>
      <c r="Z229" s="317"/>
      <c r="AA229" s="317"/>
    </row>
    <row r="230">
      <c r="A230" s="317"/>
      <c r="B230" s="317"/>
      <c r="C230" s="317"/>
      <c r="D230" s="317"/>
      <c r="E230" s="317"/>
      <c r="F230" s="317"/>
      <c r="G230" s="317"/>
      <c r="H230" s="317"/>
      <c r="I230" s="317"/>
      <c r="J230" s="317"/>
      <c r="K230" s="317"/>
      <c r="L230" s="317"/>
      <c r="M230" s="317"/>
      <c r="N230" s="317"/>
      <c r="O230" s="317"/>
      <c r="P230" s="317"/>
      <c r="Q230" s="317"/>
      <c r="R230" s="317"/>
      <c r="S230" s="317"/>
      <c r="T230" s="317"/>
      <c r="U230" s="317"/>
      <c r="V230" s="317"/>
      <c r="W230" s="317"/>
      <c r="X230" s="317"/>
      <c r="Y230" s="317"/>
      <c r="Z230" s="317"/>
      <c r="AA230" s="317"/>
    </row>
    <row r="231">
      <c r="A231" s="317"/>
      <c r="B231" s="317"/>
      <c r="C231" s="317"/>
      <c r="D231" s="317"/>
      <c r="E231" s="317"/>
      <c r="F231" s="317"/>
      <c r="G231" s="317"/>
      <c r="H231" s="317"/>
      <c r="I231" s="317"/>
      <c r="J231" s="317"/>
      <c r="K231" s="317"/>
      <c r="L231" s="317"/>
      <c r="M231" s="317"/>
      <c r="N231" s="317"/>
      <c r="O231" s="317"/>
      <c r="P231" s="317"/>
      <c r="Q231" s="317"/>
      <c r="R231" s="317"/>
      <c r="S231" s="317"/>
      <c r="T231" s="317"/>
      <c r="U231" s="317"/>
      <c r="V231" s="317"/>
      <c r="W231" s="317"/>
      <c r="X231" s="317"/>
      <c r="Y231" s="317"/>
      <c r="Z231" s="317"/>
      <c r="AA231" s="317"/>
    </row>
    <row r="232">
      <c r="A232" s="317"/>
      <c r="B232" s="317"/>
      <c r="C232" s="317"/>
      <c r="D232" s="317"/>
      <c r="E232" s="317"/>
      <c r="F232" s="317"/>
      <c r="G232" s="317"/>
      <c r="H232" s="317"/>
      <c r="I232" s="317"/>
      <c r="J232" s="317"/>
      <c r="K232" s="317"/>
      <c r="L232" s="317"/>
      <c r="M232" s="317"/>
      <c r="N232" s="317"/>
      <c r="O232" s="317"/>
      <c r="P232" s="317"/>
      <c r="Q232" s="317"/>
      <c r="R232" s="317"/>
      <c r="S232" s="317"/>
      <c r="T232" s="317"/>
      <c r="U232" s="317"/>
      <c r="V232" s="317"/>
      <c r="W232" s="317"/>
      <c r="X232" s="317"/>
      <c r="Y232" s="317"/>
      <c r="Z232" s="317"/>
      <c r="AA232" s="317"/>
    </row>
    <row r="233">
      <c r="A233" s="317"/>
      <c r="B233" s="317"/>
      <c r="C233" s="317"/>
      <c r="D233" s="317"/>
      <c r="E233" s="317"/>
      <c r="F233" s="317"/>
      <c r="G233" s="317"/>
      <c r="H233" s="317"/>
      <c r="I233" s="317"/>
      <c r="J233" s="317"/>
      <c r="K233" s="317"/>
      <c r="L233" s="317"/>
      <c r="M233" s="317"/>
      <c r="N233" s="317"/>
      <c r="O233" s="317"/>
      <c r="P233" s="317"/>
      <c r="Q233" s="317"/>
      <c r="R233" s="317"/>
      <c r="S233" s="317"/>
      <c r="T233" s="317"/>
      <c r="U233" s="317"/>
      <c r="V233" s="317"/>
      <c r="W233" s="317"/>
      <c r="X233" s="317"/>
      <c r="Y233" s="317"/>
      <c r="Z233" s="317"/>
      <c r="AA233" s="317"/>
    </row>
    <row r="234">
      <c r="A234" s="317"/>
      <c r="B234" s="317"/>
      <c r="C234" s="317"/>
      <c r="D234" s="317"/>
      <c r="E234" s="317"/>
      <c r="F234" s="317"/>
      <c r="G234" s="317"/>
      <c r="H234" s="317"/>
      <c r="I234" s="317"/>
      <c r="J234" s="317"/>
      <c r="K234" s="317"/>
      <c r="L234" s="317"/>
      <c r="M234" s="317"/>
      <c r="N234" s="317"/>
      <c r="O234" s="317"/>
      <c r="P234" s="317"/>
      <c r="Q234" s="317"/>
      <c r="R234" s="317"/>
      <c r="S234" s="317"/>
      <c r="T234" s="317"/>
      <c r="U234" s="317"/>
      <c r="V234" s="317"/>
      <c r="W234" s="317"/>
      <c r="X234" s="317"/>
      <c r="Y234" s="317"/>
      <c r="Z234" s="317"/>
      <c r="AA234" s="317"/>
    </row>
    <row r="235">
      <c r="A235" s="317"/>
      <c r="B235" s="317"/>
      <c r="C235" s="317"/>
      <c r="D235" s="317"/>
      <c r="E235" s="317"/>
      <c r="F235" s="317"/>
      <c r="G235" s="317"/>
      <c r="H235" s="317"/>
      <c r="I235" s="317"/>
      <c r="J235" s="317"/>
      <c r="K235" s="317"/>
      <c r="L235" s="317"/>
      <c r="M235" s="317"/>
      <c r="N235" s="317"/>
      <c r="O235" s="317"/>
      <c r="P235" s="317"/>
      <c r="Q235" s="317"/>
      <c r="R235" s="317"/>
      <c r="S235" s="317"/>
      <c r="T235" s="317"/>
      <c r="U235" s="317"/>
      <c r="V235" s="317"/>
      <c r="W235" s="317"/>
      <c r="X235" s="317"/>
      <c r="Y235" s="317"/>
      <c r="Z235" s="317"/>
      <c r="AA235" s="317"/>
    </row>
    <row r="236">
      <c r="A236" s="317"/>
      <c r="B236" s="317"/>
      <c r="C236" s="317"/>
      <c r="D236" s="317"/>
      <c r="E236" s="317"/>
      <c r="F236" s="317"/>
      <c r="G236" s="317"/>
      <c r="H236" s="317"/>
      <c r="I236" s="317"/>
      <c r="J236" s="317"/>
      <c r="K236" s="317"/>
      <c r="L236" s="317"/>
      <c r="M236" s="317"/>
      <c r="N236" s="317"/>
      <c r="O236" s="317"/>
      <c r="P236" s="317"/>
      <c r="Q236" s="317"/>
      <c r="R236" s="317"/>
      <c r="S236" s="317"/>
      <c r="T236" s="317"/>
      <c r="U236" s="317"/>
      <c r="V236" s="317"/>
      <c r="W236" s="317"/>
      <c r="X236" s="317"/>
      <c r="Y236" s="317"/>
      <c r="Z236" s="317"/>
      <c r="AA236" s="317"/>
    </row>
    <row r="237">
      <c r="A237" s="317"/>
      <c r="B237" s="317"/>
      <c r="C237" s="317"/>
      <c r="D237" s="317"/>
      <c r="E237" s="317"/>
      <c r="F237" s="317"/>
      <c r="G237" s="317"/>
      <c r="H237" s="317"/>
      <c r="I237" s="317"/>
      <c r="J237" s="317"/>
      <c r="K237" s="317"/>
      <c r="L237" s="317"/>
      <c r="M237" s="317"/>
      <c r="N237" s="317"/>
      <c r="O237" s="317"/>
      <c r="P237" s="317"/>
      <c r="Q237" s="317"/>
      <c r="R237" s="317"/>
      <c r="S237" s="317"/>
      <c r="T237" s="317"/>
      <c r="U237" s="317"/>
      <c r="V237" s="317"/>
      <c r="W237" s="317"/>
      <c r="X237" s="317"/>
      <c r="Y237" s="317"/>
      <c r="Z237" s="317"/>
      <c r="AA237" s="317"/>
    </row>
    <row r="238">
      <c r="A238" s="317"/>
      <c r="B238" s="317"/>
      <c r="C238" s="317"/>
      <c r="D238" s="317"/>
      <c r="E238" s="317"/>
      <c r="F238" s="317"/>
      <c r="G238" s="317"/>
      <c r="H238" s="317"/>
      <c r="I238" s="317"/>
      <c r="J238" s="317"/>
      <c r="K238" s="317"/>
      <c r="L238" s="317"/>
      <c r="M238" s="317"/>
      <c r="N238" s="317"/>
      <c r="O238" s="317"/>
      <c r="P238" s="317"/>
      <c r="Q238" s="317"/>
      <c r="R238" s="317"/>
      <c r="S238" s="317"/>
      <c r="T238" s="317"/>
      <c r="U238" s="317"/>
      <c r="V238" s="317"/>
      <c r="W238" s="317"/>
      <c r="X238" s="317"/>
      <c r="Y238" s="317"/>
      <c r="Z238" s="317"/>
      <c r="AA238" s="317"/>
    </row>
    <row r="239">
      <c r="A239" s="317"/>
      <c r="B239" s="317"/>
      <c r="C239" s="317"/>
      <c r="D239" s="317"/>
      <c r="E239" s="317"/>
      <c r="F239" s="317"/>
      <c r="G239" s="317"/>
      <c r="H239" s="317"/>
      <c r="I239" s="317"/>
      <c r="J239" s="317"/>
      <c r="K239" s="317"/>
      <c r="L239" s="317"/>
      <c r="M239" s="317"/>
      <c r="N239" s="317"/>
      <c r="O239" s="317"/>
      <c r="P239" s="317"/>
      <c r="Q239" s="317"/>
      <c r="R239" s="317"/>
      <c r="S239" s="317"/>
      <c r="T239" s="317"/>
      <c r="U239" s="317"/>
      <c r="V239" s="317"/>
      <c r="W239" s="317"/>
      <c r="X239" s="317"/>
      <c r="Y239" s="317"/>
      <c r="Z239" s="317"/>
      <c r="AA239" s="317"/>
    </row>
    <row r="240">
      <c r="A240" s="317"/>
      <c r="B240" s="317"/>
      <c r="C240" s="317"/>
      <c r="D240" s="317"/>
      <c r="E240" s="317"/>
      <c r="F240" s="317"/>
      <c r="G240" s="317"/>
      <c r="H240" s="317"/>
      <c r="I240" s="317"/>
      <c r="J240" s="317"/>
      <c r="K240" s="317"/>
      <c r="L240" s="317"/>
      <c r="M240" s="317"/>
      <c r="N240" s="317"/>
      <c r="O240" s="317"/>
      <c r="P240" s="317"/>
      <c r="Q240" s="317"/>
      <c r="R240" s="317"/>
      <c r="S240" s="317"/>
      <c r="T240" s="317"/>
      <c r="U240" s="317"/>
      <c r="V240" s="317"/>
      <c r="W240" s="317"/>
      <c r="X240" s="317"/>
      <c r="Y240" s="317"/>
      <c r="Z240" s="317"/>
      <c r="AA240" s="317"/>
    </row>
    <row r="241">
      <c r="A241" s="317"/>
      <c r="B241" s="317"/>
      <c r="C241" s="317"/>
      <c r="D241" s="317"/>
      <c r="E241" s="317"/>
      <c r="F241" s="317"/>
      <c r="G241" s="317"/>
      <c r="H241" s="317"/>
      <c r="I241" s="317"/>
      <c r="J241" s="317"/>
      <c r="K241" s="317"/>
      <c r="L241" s="317"/>
      <c r="M241" s="317"/>
      <c r="N241" s="317"/>
      <c r="O241" s="317"/>
      <c r="P241" s="317"/>
      <c r="Q241" s="317"/>
      <c r="R241" s="317"/>
      <c r="S241" s="317"/>
      <c r="T241" s="317"/>
      <c r="U241" s="317"/>
      <c r="V241" s="317"/>
      <c r="W241" s="317"/>
      <c r="X241" s="317"/>
      <c r="Y241" s="317"/>
      <c r="Z241" s="317"/>
      <c r="AA241" s="317"/>
    </row>
    <row r="242">
      <c r="A242" s="317"/>
      <c r="B242" s="317"/>
      <c r="C242" s="317"/>
      <c r="D242" s="317"/>
      <c r="E242" s="317"/>
      <c r="F242" s="317"/>
      <c r="G242" s="317"/>
      <c r="H242" s="317"/>
      <c r="I242" s="317"/>
      <c r="J242" s="317"/>
      <c r="K242" s="317"/>
      <c r="L242" s="317"/>
      <c r="M242" s="317"/>
      <c r="N242" s="317"/>
      <c r="O242" s="317"/>
      <c r="P242" s="317"/>
      <c r="Q242" s="317"/>
      <c r="R242" s="317"/>
      <c r="S242" s="317"/>
      <c r="T242" s="317"/>
      <c r="U242" s="317"/>
      <c r="V242" s="317"/>
      <c r="W242" s="317"/>
      <c r="X242" s="317"/>
      <c r="Y242" s="317"/>
      <c r="Z242" s="317"/>
      <c r="AA242" s="317"/>
    </row>
    <row r="243">
      <c r="A243" s="317"/>
      <c r="B243" s="317"/>
      <c r="C243" s="317"/>
      <c r="D243" s="317"/>
      <c r="E243" s="317"/>
      <c r="F243" s="317"/>
      <c r="G243" s="317"/>
      <c r="H243" s="317"/>
      <c r="I243" s="317"/>
      <c r="J243" s="317"/>
      <c r="K243" s="317"/>
      <c r="L243" s="317"/>
      <c r="M243" s="317"/>
      <c r="N243" s="317"/>
      <c r="O243" s="317"/>
      <c r="P243" s="317"/>
      <c r="Q243" s="317"/>
      <c r="R243" s="317"/>
      <c r="S243" s="317"/>
      <c r="T243" s="317"/>
      <c r="U243" s="317"/>
      <c r="V243" s="317"/>
      <c r="W243" s="317"/>
      <c r="X243" s="317"/>
      <c r="Y243" s="317"/>
      <c r="Z243" s="317"/>
      <c r="AA243" s="317"/>
    </row>
    <row r="244">
      <c r="A244" s="317"/>
      <c r="B244" s="317"/>
      <c r="C244" s="317"/>
      <c r="D244" s="317"/>
      <c r="E244" s="317"/>
      <c r="F244" s="317"/>
      <c r="G244" s="317"/>
      <c r="H244" s="317"/>
      <c r="I244" s="317"/>
      <c r="J244" s="317"/>
      <c r="K244" s="317"/>
      <c r="L244" s="317"/>
      <c r="M244" s="317"/>
      <c r="N244" s="317"/>
      <c r="O244" s="317"/>
      <c r="P244" s="317"/>
      <c r="Q244" s="317"/>
      <c r="R244" s="317"/>
      <c r="S244" s="317"/>
      <c r="T244" s="317"/>
      <c r="U244" s="317"/>
      <c r="V244" s="317"/>
      <c r="W244" s="317"/>
      <c r="X244" s="317"/>
      <c r="Y244" s="317"/>
      <c r="Z244" s="317"/>
      <c r="AA244" s="317"/>
    </row>
    <row r="245">
      <c r="A245" s="317"/>
      <c r="B245" s="317"/>
      <c r="C245" s="317"/>
      <c r="D245" s="317"/>
      <c r="E245" s="317"/>
      <c r="F245" s="317"/>
      <c r="G245" s="317"/>
      <c r="H245" s="317"/>
      <c r="I245" s="317"/>
      <c r="J245" s="317"/>
      <c r="K245" s="317"/>
      <c r="L245" s="317"/>
      <c r="M245" s="317"/>
      <c r="N245" s="317"/>
      <c r="O245" s="317"/>
      <c r="P245" s="317"/>
      <c r="Q245" s="317"/>
      <c r="R245" s="317"/>
      <c r="S245" s="317"/>
      <c r="T245" s="317"/>
      <c r="U245" s="317"/>
      <c r="V245" s="317"/>
      <c r="W245" s="317"/>
      <c r="X245" s="317"/>
      <c r="Y245" s="317"/>
      <c r="Z245" s="317"/>
      <c r="AA245" s="317"/>
    </row>
    <row r="246">
      <c r="A246" s="317"/>
      <c r="B246" s="317"/>
      <c r="C246" s="317"/>
      <c r="D246" s="317"/>
      <c r="E246" s="317"/>
      <c r="F246" s="317"/>
      <c r="G246" s="317"/>
      <c r="H246" s="317"/>
      <c r="I246" s="317"/>
      <c r="J246" s="317"/>
      <c r="K246" s="317"/>
      <c r="L246" s="317"/>
      <c r="M246" s="317"/>
      <c r="N246" s="317"/>
      <c r="O246" s="317"/>
      <c r="P246" s="317"/>
      <c r="Q246" s="317"/>
      <c r="R246" s="317"/>
      <c r="S246" s="317"/>
      <c r="T246" s="317"/>
      <c r="U246" s="317"/>
      <c r="V246" s="317"/>
      <c r="W246" s="317"/>
      <c r="X246" s="317"/>
      <c r="Y246" s="317"/>
      <c r="Z246" s="317"/>
      <c r="AA246" s="317"/>
    </row>
    <row r="247">
      <c r="A247" s="317"/>
      <c r="B247" s="317"/>
      <c r="C247" s="317"/>
      <c r="D247" s="317"/>
      <c r="E247" s="317"/>
      <c r="F247" s="317"/>
      <c r="G247" s="317"/>
      <c r="H247" s="317"/>
      <c r="I247" s="317"/>
      <c r="J247" s="317"/>
      <c r="K247" s="317"/>
      <c r="L247" s="317"/>
      <c r="M247" s="317"/>
      <c r="N247" s="317"/>
      <c r="O247" s="317"/>
      <c r="P247" s="317"/>
      <c r="Q247" s="317"/>
      <c r="R247" s="317"/>
      <c r="S247" s="317"/>
      <c r="T247" s="317"/>
      <c r="U247" s="317"/>
      <c r="V247" s="317"/>
      <c r="W247" s="317"/>
      <c r="X247" s="317"/>
      <c r="Y247" s="317"/>
      <c r="Z247" s="317"/>
      <c r="AA247" s="317"/>
    </row>
    <row r="248">
      <c r="A248" s="317"/>
      <c r="B248" s="317"/>
      <c r="C248" s="317"/>
      <c r="D248" s="317"/>
      <c r="E248" s="317"/>
      <c r="F248" s="317"/>
      <c r="G248" s="317"/>
      <c r="H248" s="317"/>
      <c r="I248" s="317"/>
      <c r="J248" s="317"/>
      <c r="K248" s="317"/>
      <c r="L248" s="317"/>
      <c r="M248" s="317"/>
      <c r="N248" s="317"/>
      <c r="O248" s="317"/>
      <c r="P248" s="317"/>
      <c r="Q248" s="317"/>
      <c r="R248" s="317"/>
      <c r="S248" s="317"/>
      <c r="T248" s="317"/>
      <c r="U248" s="317"/>
      <c r="V248" s="317"/>
      <c r="W248" s="317"/>
      <c r="X248" s="317"/>
      <c r="Y248" s="317"/>
      <c r="Z248" s="317"/>
      <c r="AA248" s="317"/>
    </row>
    <row r="249">
      <c r="A249" s="317"/>
      <c r="B249" s="317"/>
      <c r="C249" s="317"/>
      <c r="D249" s="317"/>
      <c r="E249" s="317"/>
      <c r="F249" s="317"/>
      <c r="G249" s="317"/>
      <c r="H249" s="317"/>
      <c r="I249" s="317"/>
      <c r="J249" s="317"/>
      <c r="K249" s="317"/>
      <c r="L249" s="317"/>
      <c r="M249" s="317"/>
      <c r="N249" s="317"/>
      <c r="O249" s="317"/>
      <c r="P249" s="317"/>
      <c r="Q249" s="317"/>
      <c r="R249" s="317"/>
      <c r="S249" s="317"/>
      <c r="T249" s="317"/>
      <c r="U249" s="317"/>
      <c r="V249" s="317"/>
      <c r="W249" s="317"/>
      <c r="X249" s="317"/>
      <c r="Y249" s="317"/>
      <c r="Z249" s="317"/>
      <c r="AA249" s="317"/>
    </row>
    <row r="250">
      <c r="A250" s="317"/>
      <c r="B250" s="317"/>
      <c r="C250" s="317"/>
      <c r="D250" s="317"/>
      <c r="E250" s="317"/>
      <c r="F250" s="317"/>
      <c r="G250" s="317"/>
      <c r="H250" s="317"/>
      <c r="I250" s="317"/>
      <c r="J250" s="317"/>
      <c r="K250" s="317"/>
      <c r="L250" s="317"/>
      <c r="M250" s="317"/>
      <c r="N250" s="317"/>
      <c r="O250" s="317"/>
      <c r="P250" s="317"/>
      <c r="Q250" s="317"/>
      <c r="R250" s="317"/>
      <c r="S250" s="317"/>
      <c r="T250" s="317"/>
      <c r="U250" s="317"/>
      <c r="V250" s="317"/>
      <c r="W250" s="317"/>
      <c r="X250" s="317"/>
      <c r="Y250" s="317"/>
      <c r="Z250" s="317"/>
      <c r="AA250" s="317"/>
    </row>
    <row r="251">
      <c r="A251" s="317"/>
      <c r="B251" s="317"/>
      <c r="C251" s="317"/>
      <c r="D251" s="317"/>
      <c r="E251" s="317"/>
      <c r="F251" s="317"/>
      <c r="G251" s="317"/>
      <c r="H251" s="317"/>
      <c r="I251" s="317"/>
      <c r="J251" s="317"/>
      <c r="K251" s="317"/>
      <c r="L251" s="317"/>
      <c r="M251" s="317"/>
      <c r="N251" s="317"/>
      <c r="O251" s="317"/>
      <c r="P251" s="317"/>
      <c r="Q251" s="317"/>
      <c r="R251" s="317"/>
      <c r="S251" s="317"/>
      <c r="T251" s="317"/>
      <c r="U251" s="317"/>
      <c r="V251" s="317"/>
      <c r="W251" s="317"/>
      <c r="X251" s="317"/>
      <c r="Y251" s="317"/>
      <c r="Z251" s="317"/>
      <c r="AA251" s="317"/>
    </row>
    <row r="252">
      <c r="A252" s="317"/>
      <c r="B252" s="317"/>
      <c r="C252" s="317"/>
      <c r="D252" s="317"/>
      <c r="E252" s="317"/>
      <c r="F252" s="317"/>
      <c r="G252" s="317"/>
      <c r="H252" s="317"/>
      <c r="I252" s="317"/>
      <c r="J252" s="317"/>
      <c r="K252" s="317"/>
      <c r="L252" s="317"/>
      <c r="M252" s="317"/>
      <c r="N252" s="317"/>
      <c r="O252" s="317"/>
      <c r="P252" s="317"/>
      <c r="Q252" s="317"/>
      <c r="R252" s="317"/>
      <c r="S252" s="317"/>
      <c r="T252" s="317"/>
      <c r="U252" s="317"/>
      <c r="V252" s="317"/>
      <c r="W252" s="317"/>
      <c r="X252" s="317"/>
      <c r="Y252" s="317"/>
      <c r="Z252" s="317"/>
      <c r="AA252" s="317"/>
    </row>
    <row r="253">
      <c r="A253" s="317"/>
      <c r="B253" s="317"/>
      <c r="C253" s="317"/>
      <c r="D253" s="317"/>
      <c r="E253" s="317"/>
      <c r="F253" s="317"/>
      <c r="G253" s="317"/>
      <c r="H253" s="317"/>
      <c r="I253" s="317"/>
      <c r="J253" s="317"/>
      <c r="K253" s="317"/>
      <c r="L253" s="317"/>
      <c r="M253" s="317"/>
      <c r="N253" s="317"/>
      <c r="O253" s="317"/>
      <c r="P253" s="317"/>
      <c r="Q253" s="317"/>
      <c r="R253" s="317"/>
      <c r="S253" s="317"/>
      <c r="T253" s="317"/>
      <c r="U253" s="317"/>
      <c r="V253" s="317"/>
      <c r="W253" s="317"/>
      <c r="X253" s="317"/>
      <c r="Y253" s="317"/>
      <c r="Z253" s="317"/>
      <c r="AA253" s="317"/>
    </row>
    <row r="254">
      <c r="A254" s="317"/>
      <c r="B254" s="317"/>
      <c r="C254" s="317"/>
      <c r="D254" s="317"/>
      <c r="E254" s="317"/>
      <c r="F254" s="317"/>
      <c r="G254" s="317"/>
      <c r="H254" s="317"/>
      <c r="I254" s="317"/>
      <c r="J254" s="317"/>
      <c r="K254" s="317"/>
      <c r="L254" s="317"/>
      <c r="M254" s="317"/>
      <c r="N254" s="317"/>
      <c r="O254" s="317"/>
      <c r="P254" s="317"/>
      <c r="Q254" s="317"/>
      <c r="R254" s="317"/>
      <c r="S254" s="317"/>
      <c r="T254" s="317"/>
      <c r="U254" s="317"/>
      <c r="V254" s="317"/>
      <c r="W254" s="317"/>
      <c r="X254" s="317"/>
      <c r="Y254" s="317"/>
      <c r="Z254" s="317"/>
      <c r="AA254" s="317"/>
    </row>
    <row r="255">
      <c r="A255" s="317"/>
      <c r="B255" s="317"/>
      <c r="C255" s="317"/>
      <c r="D255" s="317"/>
      <c r="E255" s="317"/>
      <c r="F255" s="317"/>
      <c r="G255" s="317"/>
      <c r="H255" s="317"/>
      <c r="I255" s="317"/>
      <c r="J255" s="317"/>
      <c r="K255" s="317"/>
      <c r="L255" s="317"/>
      <c r="M255" s="317"/>
      <c r="N255" s="317"/>
      <c r="O255" s="317"/>
      <c r="P255" s="317"/>
      <c r="Q255" s="317"/>
      <c r="R255" s="317"/>
      <c r="S255" s="317"/>
      <c r="T255" s="317"/>
      <c r="U255" s="317"/>
      <c r="V255" s="317"/>
      <c r="W255" s="317"/>
      <c r="X255" s="317"/>
      <c r="Y255" s="317"/>
      <c r="Z255" s="317"/>
      <c r="AA255" s="317"/>
    </row>
    <row r="256">
      <c r="A256" s="317"/>
      <c r="B256" s="317"/>
      <c r="C256" s="317"/>
      <c r="D256" s="317"/>
      <c r="E256" s="317"/>
      <c r="F256" s="317"/>
      <c r="G256" s="317"/>
      <c r="H256" s="317"/>
      <c r="I256" s="317"/>
      <c r="J256" s="317"/>
      <c r="K256" s="317"/>
      <c r="L256" s="317"/>
      <c r="M256" s="317"/>
      <c r="N256" s="317"/>
      <c r="O256" s="317"/>
      <c r="P256" s="317"/>
      <c r="Q256" s="317"/>
      <c r="R256" s="317"/>
      <c r="S256" s="317"/>
      <c r="T256" s="317"/>
      <c r="U256" s="317"/>
      <c r="V256" s="317"/>
      <c r="W256" s="317"/>
      <c r="X256" s="317"/>
      <c r="Y256" s="317"/>
      <c r="Z256" s="317"/>
      <c r="AA256" s="317"/>
    </row>
    <row r="257">
      <c r="A257" s="317"/>
      <c r="B257" s="317"/>
      <c r="C257" s="317"/>
      <c r="D257" s="317"/>
      <c r="E257" s="317"/>
      <c r="F257" s="317"/>
      <c r="G257" s="317"/>
      <c r="H257" s="317"/>
      <c r="I257" s="317"/>
      <c r="J257" s="317"/>
      <c r="K257" s="317"/>
      <c r="L257" s="317"/>
      <c r="M257" s="317"/>
      <c r="N257" s="317"/>
      <c r="O257" s="317"/>
      <c r="P257" s="317"/>
      <c r="Q257" s="317"/>
      <c r="R257" s="317"/>
      <c r="S257" s="317"/>
      <c r="T257" s="317"/>
      <c r="U257" s="317"/>
      <c r="V257" s="317"/>
      <c r="W257" s="317"/>
      <c r="X257" s="317"/>
      <c r="Y257" s="317"/>
      <c r="Z257" s="317"/>
      <c r="AA257" s="317"/>
    </row>
    <row r="258">
      <c r="A258" s="317"/>
      <c r="B258" s="317"/>
      <c r="C258" s="317"/>
      <c r="D258" s="317"/>
      <c r="E258" s="317"/>
      <c r="F258" s="317"/>
      <c r="G258" s="317"/>
      <c r="H258" s="317"/>
      <c r="I258" s="317"/>
      <c r="J258" s="317"/>
      <c r="K258" s="317"/>
      <c r="L258" s="317"/>
      <c r="M258" s="317"/>
      <c r="N258" s="317"/>
      <c r="O258" s="317"/>
      <c r="P258" s="317"/>
      <c r="Q258" s="317"/>
      <c r="R258" s="317"/>
      <c r="S258" s="317"/>
      <c r="T258" s="317"/>
      <c r="U258" s="317"/>
      <c r="V258" s="317"/>
      <c r="W258" s="317"/>
      <c r="X258" s="317"/>
      <c r="Y258" s="317"/>
      <c r="Z258" s="317"/>
      <c r="AA258" s="317"/>
    </row>
    <row r="259">
      <c r="A259" s="317"/>
      <c r="B259" s="317"/>
      <c r="C259" s="317"/>
      <c r="D259" s="317"/>
      <c r="E259" s="317"/>
      <c r="F259" s="317"/>
      <c r="G259" s="317"/>
      <c r="H259" s="317"/>
      <c r="I259" s="317"/>
      <c r="J259" s="317"/>
      <c r="K259" s="317"/>
      <c r="L259" s="317"/>
      <c r="M259" s="317"/>
      <c r="N259" s="317"/>
      <c r="O259" s="317"/>
      <c r="P259" s="317"/>
      <c r="Q259" s="317"/>
      <c r="R259" s="317"/>
      <c r="S259" s="317"/>
      <c r="T259" s="317"/>
      <c r="U259" s="317"/>
      <c r="V259" s="317"/>
      <c r="W259" s="317"/>
      <c r="X259" s="317"/>
      <c r="Y259" s="317"/>
      <c r="Z259" s="317"/>
      <c r="AA259" s="317"/>
    </row>
    <row r="260">
      <c r="A260" s="317"/>
      <c r="B260" s="317"/>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row>
    <row r="261">
      <c r="A261" s="317"/>
      <c r="B261" s="317"/>
      <c r="C261" s="317"/>
      <c r="D261" s="317"/>
      <c r="E261" s="317"/>
      <c r="F261" s="317"/>
      <c r="G261" s="317"/>
      <c r="H261" s="317"/>
      <c r="I261" s="317"/>
      <c r="J261" s="317"/>
      <c r="K261" s="317"/>
      <c r="L261" s="317"/>
      <c r="M261" s="317"/>
      <c r="N261" s="317"/>
      <c r="O261" s="317"/>
      <c r="P261" s="317"/>
      <c r="Q261" s="317"/>
      <c r="R261" s="317"/>
      <c r="S261" s="317"/>
      <c r="T261" s="317"/>
      <c r="U261" s="317"/>
      <c r="V261" s="317"/>
      <c r="W261" s="317"/>
      <c r="X261" s="317"/>
      <c r="Y261" s="317"/>
      <c r="Z261" s="317"/>
      <c r="AA261" s="317"/>
    </row>
    <row r="262">
      <c r="A262" s="317"/>
      <c r="B262" s="317"/>
      <c r="C262" s="317"/>
      <c r="D262" s="317"/>
      <c r="E262" s="317"/>
      <c r="F262" s="317"/>
      <c r="G262" s="317"/>
      <c r="H262" s="317"/>
      <c r="I262" s="317"/>
      <c r="J262" s="317"/>
      <c r="K262" s="317"/>
      <c r="L262" s="317"/>
      <c r="M262" s="317"/>
      <c r="N262" s="317"/>
      <c r="O262" s="317"/>
      <c r="P262" s="317"/>
      <c r="Q262" s="317"/>
      <c r="R262" s="317"/>
      <c r="S262" s="317"/>
      <c r="T262" s="317"/>
      <c r="U262" s="317"/>
      <c r="V262" s="317"/>
      <c r="W262" s="317"/>
      <c r="X262" s="317"/>
      <c r="Y262" s="317"/>
      <c r="Z262" s="317"/>
      <c r="AA262" s="317"/>
    </row>
    <row r="263">
      <c r="A263" s="317"/>
      <c r="B263" s="317"/>
      <c r="C263" s="317"/>
      <c r="D263" s="317"/>
      <c r="E263" s="317"/>
      <c r="F263" s="317"/>
      <c r="G263" s="317"/>
      <c r="H263" s="317"/>
      <c r="I263" s="317"/>
      <c r="J263" s="317"/>
      <c r="K263" s="317"/>
      <c r="L263" s="317"/>
      <c r="M263" s="317"/>
      <c r="N263" s="317"/>
      <c r="O263" s="317"/>
      <c r="P263" s="317"/>
      <c r="Q263" s="317"/>
      <c r="R263" s="317"/>
      <c r="S263" s="317"/>
      <c r="T263" s="317"/>
      <c r="U263" s="317"/>
      <c r="V263" s="317"/>
      <c r="W263" s="317"/>
      <c r="X263" s="317"/>
      <c r="Y263" s="317"/>
      <c r="Z263" s="317"/>
      <c r="AA263" s="317"/>
    </row>
    <row r="264">
      <c r="A264" s="317"/>
      <c r="B264" s="317"/>
      <c r="C264" s="317"/>
      <c r="D264" s="317"/>
      <c r="E264" s="317"/>
      <c r="F264" s="317"/>
      <c r="G264" s="317"/>
      <c r="H264" s="317"/>
      <c r="I264" s="317"/>
      <c r="J264" s="317"/>
      <c r="K264" s="317"/>
      <c r="L264" s="317"/>
      <c r="M264" s="317"/>
      <c r="N264" s="317"/>
      <c r="O264" s="317"/>
      <c r="P264" s="317"/>
      <c r="Q264" s="317"/>
      <c r="R264" s="317"/>
      <c r="S264" s="317"/>
      <c r="T264" s="317"/>
      <c r="U264" s="317"/>
      <c r="V264" s="317"/>
      <c r="W264" s="317"/>
      <c r="X264" s="317"/>
      <c r="Y264" s="317"/>
      <c r="Z264" s="317"/>
      <c r="AA264" s="317"/>
    </row>
    <row r="265">
      <c r="A265" s="317"/>
      <c r="B265" s="317"/>
      <c r="C265" s="317"/>
      <c r="D265" s="317"/>
      <c r="E265" s="317"/>
      <c r="F265" s="317"/>
      <c r="G265" s="317"/>
      <c r="H265" s="317"/>
      <c r="I265" s="317"/>
      <c r="J265" s="317"/>
      <c r="K265" s="317"/>
      <c r="L265" s="317"/>
      <c r="M265" s="317"/>
      <c r="N265" s="317"/>
      <c r="O265" s="317"/>
      <c r="P265" s="317"/>
      <c r="Q265" s="317"/>
      <c r="R265" s="317"/>
      <c r="S265" s="317"/>
      <c r="T265" s="317"/>
      <c r="U265" s="317"/>
      <c r="V265" s="317"/>
      <c r="W265" s="317"/>
      <c r="X265" s="317"/>
      <c r="Y265" s="317"/>
      <c r="Z265" s="317"/>
      <c r="AA265" s="317"/>
    </row>
    <row r="266">
      <c r="A266" s="317"/>
      <c r="B266" s="317"/>
      <c r="C266" s="317"/>
      <c r="D266" s="317"/>
      <c r="E266" s="317"/>
      <c r="F266" s="317"/>
      <c r="G266" s="317"/>
      <c r="H266" s="317"/>
      <c r="I266" s="317"/>
      <c r="J266" s="317"/>
      <c r="K266" s="317"/>
      <c r="L266" s="317"/>
      <c r="M266" s="317"/>
      <c r="N266" s="317"/>
      <c r="O266" s="317"/>
      <c r="P266" s="317"/>
      <c r="Q266" s="317"/>
      <c r="R266" s="317"/>
      <c r="S266" s="317"/>
      <c r="T266" s="317"/>
      <c r="U266" s="317"/>
      <c r="V266" s="317"/>
      <c r="W266" s="317"/>
      <c r="X266" s="317"/>
      <c r="Y266" s="317"/>
      <c r="Z266" s="317"/>
      <c r="AA266" s="317"/>
    </row>
    <row r="267">
      <c r="A267" s="317"/>
      <c r="B267" s="317"/>
      <c r="C267" s="317"/>
      <c r="D267" s="317"/>
      <c r="E267" s="317"/>
      <c r="F267" s="317"/>
      <c r="G267" s="317"/>
      <c r="H267" s="317"/>
      <c r="I267" s="317"/>
      <c r="J267" s="317"/>
      <c r="K267" s="317"/>
      <c r="L267" s="317"/>
      <c r="M267" s="317"/>
      <c r="N267" s="317"/>
      <c r="O267" s="317"/>
      <c r="P267" s="317"/>
      <c r="Q267" s="317"/>
      <c r="R267" s="317"/>
      <c r="S267" s="317"/>
      <c r="T267" s="317"/>
      <c r="U267" s="317"/>
      <c r="V267" s="317"/>
      <c r="W267" s="317"/>
      <c r="X267" s="317"/>
      <c r="Y267" s="317"/>
      <c r="Z267" s="317"/>
      <c r="AA267" s="317"/>
    </row>
    <row r="268">
      <c r="A268" s="317"/>
      <c r="B268" s="317"/>
      <c r="C268" s="317"/>
      <c r="D268" s="317"/>
      <c r="E268" s="317"/>
      <c r="F268" s="317"/>
      <c r="G268" s="317"/>
      <c r="H268" s="317"/>
      <c r="I268" s="317"/>
      <c r="J268" s="317"/>
      <c r="K268" s="317"/>
      <c r="L268" s="317"/>
      <c r="M268" s="317"/>
      <c r="N268" s="317"/>
      <c r="O268" s="317"/>
      <c r="P268" s="317"/>
      <c r="Q268" s="317"/>
      <c r="R268" s="317"/>
      <c r="S268" s="317"/>
      <c r="T268" s="317"/>
      <c r="U268" s="317"/>
      <c r="V268" s="317"/>
      <c r="W268" s="317"/>
      <c r="X268" s="317"/>
      <c r="Y268" s="317"/>
      <c r="Z268" s="317"/>
      <c r="AA268" s="317"/>
    </row>
    <row r="269">
      <c r="A269" s="317"/>
      <c r="B269" s="317"/>
      <c r="C269" s="317"/>
      <c r="D269" s="317"/>
      <c r="E269" s="317"/>
      <c r="F269" s="317"/>
      <c r="G269" s="317"/>
      <c r="H269" s="317"/>
      <c r="I269" s="317"/>
      <c r="J269" s="317"/>
      <c r="K269" s="317"/>
      <c r="L269" s="317"/>
      <c r="M269" s="317"/>
      <c r="N269" s="317"/>
      <c r="O269" s="317"/>
      <c r="P269" s="317"/>
      <c r="Q269" s="317"/>
      <c r="R269" s="317"/>
      <c r="S269" s="317"/>
      <c r="T269" s="317"/>
      <c r="U269" s="317"/>
      <c r="V269" s="317"/>
      <c r="W269" s="317"/>
      <c r="X269" s="317"/>
      <c r="Y269" s="317"/>
      <c r="Z269" s="317"/>
      <c r="AA269" s="317"/>
    </row>
    <row r="270">
      <c r="A270" s="317"/>
      <c r="B270" s="317"/>
      <c r="C270" s="317"/>
      <c r="D270" s="317"/>
      <c r="E270" s="317"/>
      <c r="F270" s="317"/>
      <c r="G270" s="317"/>
      <c r="H270" s="317"/>
      <c r="I270" s="317"/>
      <c r="J270" s="317"/>
      <c r="K270" s="317"/>
      <c r="L270" s="317"/>
      <c r="M270" s="317"/>
      <c r="N270" s="317"/>
      <c r="O270" s="317"/>
      <c r="P270" s="317"/>
      <c r="Q270" s="317"/>
      <c r="R270" s="317"/>
      <c r="S270" s="317"/>
      <c r="T270" s="317"/>
      <c r="U270" s="317"/>
      <c r="V270" s="317"/>
      <c r="W270" s="317"/>
      <c r="X270" s="317"/>
      <c r="Y270" s="317"/>
      <c r="Z270" s="317"/>
      <c r="AA270" s="317"/>
    </row>
    <row r="271">
      <c r="A271" s="317"/>
      <c r="B271" s="317"/>
      <c r="C271" s="317"/>
      <c r="D271" s="317"/>
      <c r="E271" s="317"/>
      <c r="F271" s="317"/>
      <c r="G271" s="317"/>
      <c r="H271" s="317"/>
      <c r="I271" s="317"/>
      <c r="J271" s="317"/>
      <c r="K271" s="317"/>
      <c r="L271" s="317"/>
      <c r="M271" s="317"/>
      <c r="N271" s="317"/>
      <c r="O271" s="317"/>
      <c r="P271" s="317"/>
      <c r="Q271" s="317"/>
      <c r="R271" s="317"/>
      <c r="S271" s="317"/>
      <c r="T271" s="317"/>
      <c r="U271" s="317"/>
      <c r="V271" s="317"/>
      <c r="W271" s="317"/>
      <c r="X271" s="317"/>
      <c r="Y271" s="317"/>
      <c r="Z271" s="317"/>
      <c r="AA271" s="317"/>
    </row>
    <row r="272">
      <c r="A272" s="317"/>
      <c r="B272" s="317"/>
      <c r="C272" s="317"/>
      <c r="D272" s="317"/>
      <c r="E272" s="317"/>
      <c r="F272" s="317"/>
      <c r="G272" s="317"/>
      <c r="H272" s="317"/>
      <c r="I272" s="317"/>
      <c r="J272" s="317"/>
      <c r="K272" s="317"/>
      <c r="L272" s="317"/>
      <c r="M272" s="317"/>
      <c r="N272" s="317"/>
      <c r="O272" s="317"/>
      <c r="P272" s="317"/>
      <c r="Q272" s="317"/>
      <c r="R272" s="317"/>
      <c r="S272" s="317"/>
      <c r="T272" s="317"/>
      <c r="U272" s="317"/>
      <c r="V272" s="317"/>
      <c r="W272" s="317"/>
      <c r="X272" s="317"/>
      <c r="Y272" s="317"/>
      <c r="Z272" s="317"/>
      <c r="AA272" s="317"/>
    </row>
    <row r="273">
      <c r="A273" s="317"/>
      <c r="B273" s="317"/>
      <c r="C273" s="317"/>
      <c r="D273" s="317"/>
      <c r="E273" s="317"/>
      <c r="F273" s="317"/>
      <c r="G273" s="317"/>
      <c r="H273" s="317"/>
      <c r="I273" s="317"/>
      <c r="J273" s="317"/>
      <c r="K273" s="317"/>
      <c r="L273" s="317"/>
      <c r="M273" s="317"/>
      <c r="N273" s="317"/>
      <c r="O273" s="317"/>
      <c r="P273" s="317"/>
      <c r="Q273" s="317"/>
      <c r="R273" s="317"/>
      <c r="S273" s="317"/>
      <c r="T273" s="317"/>
      <c r="U273" s="317"/>
      <c r="V273" s="317"/>
      <c r="W273" s="317"/>
      <c r="X273" s="317"/>
      <c r="Y273" s="317"/>
      <c r="Z273" s="317"/>
      <c r="AA273" s="317"/>
    </row>
    <row r="274">
      <c r="A274" s="317"/>
      <c r="B274" s="317"/>
      <c r="C274" s="317"/>
      <c r="D274" s="317"/>
      <c r="E274" s="317"/>
      <c r="F274" s="317"/>
      <c r="G274" s="317"/>
      <c r="H274" s="317"/>
      <c r="I274" s="317"/>
      <c r="J274" s="317"/>
      <c r="K274" s="317"/>
      <c r="L274" s="317"/>
      <c r="M274" s="317"/>
      <c r="N274" s="317"/>
      <c r="O274" s="317"/>
      <c r="P274" s="317"/>
      <c r="Q274" s="317"/>
      <c r="R274" s="317"/>
      <c r="S274" s="317"/>
      <c r="T274" s="317"/>
      <c r="U274" s="317"/>
      <c r="V274" s="317"/>
      <c r="W274" s="317"/>
      <c r="X274" s="317"/>
      <c r="Y274" s="317"/>
      <c r="Z274" s="317"/>
      <c r="AA274" s="317"/>
    </row>
    <row r="275">
      <c r="A275" s="317"/>
      <c r="B275" s="317"/>
      <c r="C275" s="317"/>
      <c r="D275" s="317"/>
      <c r="E275" s="317"/>
      <c r="F275" s="317"/>
      <c r="G275" s="317"/>
      <c r="H275" s="317"/>
      <c r="I275" s="317"/>
      <c r="J275" s="317"/>
      <c r="K275" s="317"/>
      <c r="L275" s="317"/>
      <c r="M275" s="317"/>
      <c r="N275" s="317"/>
      <c r="O275" s="317"/>
      <c r="P275" s="317"/>
      <c r="Q275" s="317"/>
      <c r="R275" s="317"/>
      <c r="S275" s="317"/>
      <c r="T275" s="317"/>
      <c r="U275" s="317"/>
      <c r="V275" s="317"/>
      <c r="W275" s="317"/>
      <c r="X275" s="317"/>
      <c r="Y275" s="317"/>
      <c r="Z275" s="317"/>
      <c r="AA275" s="317"/>
    </row>
    <row r="276">
      <c r="A276" s="317"/>
      <c r="B276" s="317"/>
      <c r="C276" s="317"/>
      <c r="D276" s="317"/>
      <c r="E276" s="317"/>
      <c r="F276" s="317"/>
      <c r="G276" s="317"/>
      <c r="H276" s="317"/>
      <c r="I276" s="317"/>
      <c r="J276" s="317"/>
      <c r="K276" s="317"/>
      <c r="L276" s="317"/>
      <c r="M276" s="317"/>
      <c r="N276" s="317"/>
      <c r="O276" s="317"/>
      <c r="P276" s="317"/>
      <c r="Q276" s="317"/>
      <c r="R276" s="317"/>
      <c r="S276" s="317"/>
      <c r="T276" s="317"/>
      <c r="U276" s="317"/>
      <c r="V276" s="317"/>
      <c r="W276" s="317"/>
      <c r="X276" s="317"/>
      <c r="Y276" s="317"/>
      <c r="Z276" s="317"/>
      <c r="AA276" s="317"/>
    </row>
    <row r="277">
      <c r="A277" s="317"/>
      <c r="B277" s="317"/>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row>
    <row r="278">
      <c r="A278" s="317"/>
      <c r="B278" s="317"/>
      <c r="C278" s="317"/>
      <c r="D278" s="317"/>
      <c r="E278" s="317"/>
      <c r="F278" s="317"/>
      <c r="G278" s="317"/>
      <c r="H278" s="317"/>
      <c r="I278" s="317"/>
      <c r="J278" s="317"/>
      <c r="K278" s="317"/>
      <c r="L278" s="317"/>
      <c r="M278" s="317"/>
      <c r="N278" s="317"/>
      <c r="O278" s="317"/>
      <c r="P278" s="317"/>
      <c r="Q278" s="317"/>
      <c r="R278" s="317"/>
      <c r="S278" s="317"/>
      <c r="T278" s="317"/>
      <c r="U278" s="317"/>
      <c r="V278" s="317"/>
      <c r="W278" s="317"/>
      <c r="X278" s="317"/>
      <c r="Y278" s="317"/>
      <c r="Z278" s="317"/>
      <c r="AA278" s="317"/>
    </row>
    <row r="279">
      <c r="A279" s="317"/>
      <c r="B279" s="317"/>
      <c r="C279" s="317"/>
      <c r="D279" s="317"/>
      <c r="E279" s="317"/>
      <c r="F279" s="317"/>
      <c r="G279" s="317"/>
      <c r="H279" s="317"/>
      <c r="I279" s="317"/>
      <c r="J279" s="317"/>
      <c r="K279" s="317"/>
      <c r="L279" s="317"/>
      <c r="M279" s="317"/>
      <c r="N279" s="317"/>
      <c r="O279" s="317"/>
      <c r="P279" s="317"/>
      <c r="Q279" s="317"/>
      <c r="R279" s="317"/>
      <c r="S279" s="317"/>
      <c r="T279" s="317"/>
      <c r="U279" s="317"/>
      <c r="V279" s="317"/>
      <c r="W279" s="317"/>
      <c r="X279" s="317"/>
      <c r="Y279" s="317"/>
      <c r="Z279" s="317"/>
      <c r="AA279" s="317"/>
    </row>
    <row r="280">
      <c r="A280" s="317"/>
      <c r="B280" s="317"/>
      <c r="C280" s="317"/>
      <c r="D280" s="317"/>
      <c r="E280" s="317"/>
      <c r="F280" s="317"/>
      <c r="G280" s="317"/>
      <c r="H280" s="317"/>
      <c r="I280" s="317"/>
      <c r="J280" s="317"/>
      <c r="K280" s="317"/>
      <c r="L280" s="317"/>
      <c r="M280" s="317"/>
      <c r="N280" s="317"/>
      <c r="O280" s="317"/>
      <c r="P280" s="317"/>
      <c r="Q280" s="317"/>
      <c r="R280" s="317"/>
      <c r="S280" s="317"/>
      <c r="T280" s="317"/>
      <c r="U280" s="317"/>
      <c r="V280" s="317"/>
      <c r="W280" s="317"/>
      <c r="X280" s="317"/>
      <c r="Y280" s="317"/>
      <c r="Z280" s="317"/>
      <c r="AA280" s="317"/>
    </row>
    <row r="281">
      <c r="A281" s="317"/>
      <c r="B281" s="317"/>
      <c r="C281" s="317"/>
      <c r="D281" s="317"/>
      <c r="E281" s="317"/>
      <c r="F281" s="317"/>
      <c r="G281" s="317"/>
      <c r="H281" s="317"/>
      <c r="I281" s="317"/>
      <c r="J281" s="317"/>
      <c r="K281" s="317"/>
      <c r="L281" s="317"/>
      <c r="M281" s="317"/>
      <c r="N281" s="317"/>
      <c r="O281" s="317"/>
      <c r="P281" s="317"/>
      <c r="Q281" s="317"/>
      <c r="R281" s="317"/>
      <c r="S281" s="317"/>
      <c r="T281" s="317"/>
      <c r="U281" s="317"/>
      <c r="V281" s="317"/>
      <c r="W281" s="317"/>
      <c r="X281" s="317"/>
      <c r="Y281" s="317"/>
      <c r="Z281" s="317"/>
      <c r="AA281" s="317"/>
    </row>
    <row r="282">
      <c r="A282" s="317"/>
      <c r="B282" s="317"/>
      <c r="C282" s="317"/>
      <c r="D282" s="317"/>
      <c r="E282" s="317"/>
      <c r="F282" s="317"/>
      <c r="G282" s="317"/>
      <c r="H282" s="317"/>
      <c r="I282" s="317"/>
      <c r="J282" s="317"/>
      <c r="K282" s="317"/>
      <c r="L282" s="317"/>
      <c r="M282" s="317"/>
      <c r="N282" s="317"/>
      <c r="O282" s="317"/>
      <c r="P282" s="317"/>
      <c r="Q282" s="317"/>
      <c r="R282" s="317"/>
      <c r="S282" s="317"/>
      <c r="T282" s="317"/>
      <c r="U282" s="317"/>
      <c r="V282" s="317"/>
      <c r="W282" s="317"/>
      <c r="X282" s="317"/>
      <c r="Y282" s="317"/>
      <c r="Z282" s="317"/>
      <c r="AA282" s="317"/>
    </row>
    <row r="283">
      <c r="A283" s="317"/>
      <c r="B283" s="317"/>
      <c r="C283" s="317"/>
      <c r="D283" s="317"/>
      <c r="E283" s="317"/>
      <c r="F283" s="317"/>
      <c r="G283" s="317"/>
      <c r="H283" s="317"/>
      <c r="I283" s="317"/>
      <c r="J283" s="317"/>
      <c r="K283" s="317"/>
      <c r="L283" s="317"/>
      <c r="M283" s="317"/>
      <c r="N283" s="317"/>
      <c r="O283" s="317"/>
      <c r="P283" s="317"/>
      <c r="Q283" s="317"/>
      <c r="R283" s="317"/>
      <c r="S283" s="317"/>
      <c r="T283" s="317"/>
      <c r="U283" s="317"/>
      <c r="V283" s="317"/>
      <c r="W283" s="317"/>
      <c r="X283" s="317"/>
      <c r="Y283" s="317"/>
      <c r="Z283" s="317"/>
      <c r="AA283" s="317"/>
    </row>
    <row r="284">
      <c r="A284" s="317"/>
      <c r="B284" s="317"/>
      <c r="C284" s="317"/>
      <c r="D284" s="317"/>
      <c r="E284" s="317"/>
      <c r="F284" s="317"/>
      <c r="G284" s="317"/>
      <c r="H284" s="317"/>
      <c r="I284" s="317"/>
      <c r="J284" s="317"/>
      <c r="K284" s="317"/>
      <c r="L284" s="317"/>
      <c r="M284" s="317"/>
      <c r="N284" s="317"/>
      <c r="O284" s="317"/>
      <c r="P284" s="317"/>
      <c r="Q284" s="317"/>
      <c r="R284" s="317"/>
      <c r="S284" s="317"/>
      <c r="T284" s="317"/>
      <c r="U284" s="317"/>
      <c r="V284" s="317"/>
      <c r="W284" s="317"/>
      <c r="X284" s="317"/>
      <c r="Y284" s="317"/>
      <c r="Z284" s="317"/>
      <c r="AA284" s="317"/>
    </row>
    <row r="285">
      <c r="A285" s="317"/>
      <c r="B285" s="317"/>
      <c r="C285" s="317"/>
      <c r="D285" s="317"/>
      <c r="E285" s="317"/>
      <c r="F285" s="317"/>
      <c r="G285" s="317"/>
      <c r="H285" s="317"/>
      <c r="I285" s="317"/>
      <c r="J285" s="317"/>
      <c r="K285" s="317"/>
      <c r="L285" s="317"/>
      <c r="M285" s="317"/>
      <c r="N285" s="317"/>
      <c r="O285" s="317"/>
      <c r="P285" s="317"/>
      <c r="Q285" s="317"/>
      <c r="R285" s="317"/>
      <c r="S285" s="317"/>
      <c r="T285" s="317"/>
      <c r="U285" s="317"/>
      <c r="V285" s="317"/>
      <c r="W285" s="317"/>
      <c r="X285" s="317"/>
      <c r="Y285" s="317"/>
      <c r="Z285" s="317"/>
      <c r="AA285" s="317"/>
    </row>
    <row r="286">
      <c r="A286" s="317"/>
      <c r="B286" s="317"/>
      <c r="C286" s="317"/>
      <c r="D286" s="317"/>
      <c r="E286" s="317"/>
      <c r="F286" s="317"/>
      <c r="G286" s="317"/>
      <c r="H286" s="317"/>
      <c r="I286" s="317"/>
      <c r="J286" s="317"/>
      <c r="K286" s="317"/>
      <c r="L286" s="317"/>
      <c r="M286" s="317"/>
      <c r="N286" s="317"/>
      <c r="O286" s="317"/>
      <c r="P286" s="317"/>
      <c r="Q286" s="317"/>
      <c r="R286" s="317"/>
      <c r="S286" s="317"/>
      <c r="T286" s="317"/>
      <c r="U286" s="317"/>
      <c r="V286" s="317"/>
      <c r="W286" s="317"/>
      <c r="X286" s="317"/>
      <c r="Y286" s="317"/>
      <c r="Z286" s="317"/>
      <c r="AA286" s="317"/>
    </row>
    <row r="287">
      <c r="A287" s="317"/>
      <c r="B287" s="317"/>
      <c r="C287" s="317"/>
      <c r="D287" s="317"/>
      <c r="E287" s="317"/>
      <c r="F287" s="317"/>
      <c r="G287" s="317"/>
      <c r="H287" s="317"/>
      <c r="I287" s="317"/>
      <c r="J287" s="317"/>
      <c r="K287" s="317"/>
      <c r="L287" s="317"/>
      <c r="M287" s="317"/>
      <c r="N287" s="317"/>
      <c r="O287" s="317"/>
      <c r="P287" s="317"/>
      <c r="Q287" s="317"/>
      <c r="R287" s="317"/>
      <c r="S287" s="317"/>
      <c r="T287" s="317"/>
      <c r="U287" s="317"/>
      <c r="V287" s="317"/>
      <c r="W287" s="317"/>
      <c r="X287" s="317"/>
      <c r="Y287" s="317"/>
      <c r="Z287" s="317"/>
      <c r="AA287" s="317"/>
    </row>
    <row r="288">
      <c r="A288" s="317"/>
      <c r="B288" s="317"/>
      <c r="C288" s="317"/>
      <c r="D288" s="317"/>
      <c r="E288" s="317"/>
      <c r="F288" s="317"/>
      <c r="G288" s="317"/>
      <c r="H288" s="317"/>
      <c r="I288" s="317"/>
      <c r="J288" s="317"/>
      <c r="K288" s="317"/>
      <c r="L288" s="317"/>
      <c r="M288" s="317"/>
      <c r="N288" s="317"/>
      <c r="O288" s="317"/>
      <c r="P288" s="317"/>
      <c r="Q288" s="317"/>
      <c r="R288" s="317"/>
      <c r="S288" s="317"/>
      <c r="T288" s="317"/>
      <c r="U288" s="317"/>
      <c r="V288" s="317"/>
      <c r="W288" s="317"/>
      <c r="X288" s="317"/>
      <c r="Y288" s="317"/>
      <c r="Z288" s="317"/>
      <c r="AA288" s="317"/>
    </row>
    <row r="289">
      <c r="A289" s="317"/>
      <c r="B289" s="317"/>
      <c r="C289" s="317"/>
      <c r="D289" s="317"/>
      <c r="E289" s="317"/>
      <c r="F289" s="317"/>
      <c r="G289" s="317"/>
      <c r="H289" s="317"/>
      <c r="I289" s="317"/>
      <c r="J289" s="317"/>
      <c r="K289" s="317"/>
      <c r="L289" s="317"/>
      <c r="M289" s="317"/>
      <c r="N289" s="317"/>
      <c r="O289" s="317"/>
      <c r="P289" s="317"/>
      <c r="Q289" s="317"/>
      <c r="R289" s="317"/>
      <c r="S289" s="317"/>
      <c r="T289" s="317"/>
      <c r="U289" s="317"/>
      <c r="V289" s="317"/>
      <c r="W289" s="317"/>
      <c r="X289" s="317"/>
      <c r="Y289" s="317"/>
      <c r="Z289" s="317"/>
      <c r="AA289" s="317"/>
    </row>
    <row r="290">
      <c r="A290" s="317"/>
      <c r="B290" s="317"/>
      <c r="C290" s="317"/>
      <c r="D290" s="317"/>
      <c r="E290" s="317"/>
      <c r="F290" s="317"/>
      <c r="G290" s="317"/>
      <c r="H290" s="317"/>
      <c r="I290" s="317"/>
      <c r="J290" s="317"/>
      <c r="K290" s="317"/>
      <c r="L290" s="317"/>
      <c r="M290" s="317"/>
      <c r="N290" s="317"/>
      <c r="O290" s="317"/>
      <c r="P290" s="317"/>
      <c r="Q290" s="317"/>
      <c r="R290" s="317"/>
      <c r="S290" s="317"/>
      <c r="T290" s="317"/>
      <c r="U290" s="317"/>
      <c r="V290" s="317"/>
      <c r="W290" s="317"/>
      <c r="X290" s="317"/>
      <c r="Y290" s="317"/>
      <c r="Z290" s="317"/>
      <c r="AA290" s="317"/>
    </row>
    <row r="291">
      <c r="A291" s="317"/>
      <c r="B291" s="317"/>
      <c r="C291" s="317"/>
      <c r="D291" s="317"/>
      <c r="E291" s="317"/>
      <c r="F291" s="317"/>
      <c r="G291" s="317"/>
      <c r="H291" s="317"/>
      <c r="I291" s="317"/>
      <c r="J291" s="317"/>
      <c r="K291" s="317"/>
      <c r="L291" s="317"/>
      <c r="M291" s="317"/>
      <c r="N291" s="317"/>
      <c r="O291" s="317"/>
      <c r="P291" s="317"/>
      <c r="Q291" s="317"/>
      <c r="R291" s="317"/>
      <c r="S291" s="317"/>
      <c r="T291" s="317"/>
      <c r="U291" s="317"/>
      <c r="V291" s="317"/>
      <c r="W291" s="317"/>
      <c r="X291" s="317"/>
      <c r="Y291" s="317"/>
      <c r="Z291" s="317"/>
      <c r="AA291" s="317"/>
    </row>
    <row r="292">
      <c r="A292" s="317"/>
      <c r="B292" s="317"/>
      <c r="C292" s="317"/>
      <c r="D292" s="317"/>
      <c r="E292" s="317"/>
      <c r="F292" s="317"/>
      <c r="G292" s="317"/>
      <c r="H292" s="317"/>
      <c r="I292" s="317"/>
      <c r="J292" s="317"/>
      <c r="K292" s="317"/>
      <c r="L292" s="317"/>
      <c r="M292" s="317"/>
      <c r="N292" s="317"/>
      <c r="O292" s="317"/>
      <c r="P292" s="317"/>
      <c r="Q292" s="317"/>
      <c r="R292" s="317"/>
      <c r="S292" s="317"/>
      <c r="T292" s="317"/>
      <c r="U292" s="317"/>
      <c r="V292" s="317"/>
      <c r="W292" s="317"/>
      <c r="X292" s="317"/>
      <c r="Y292" s="317"/>
      <c r="Z292" s="317"/>
      <c r="AA292" s="317"/>
    </row>
    <row r="293">
      <c r="A293" s="317"/>
      <c r="B293" s="317"/>
      <c r="C293" s="317"/>
      <c r="D293" s="317"/>
      <c r="E293" s="317"/>
      <c r="F293" s="317"/>
      <c r="G293" s="317"/>
      <c r="H293" s="317"/>
      <c r="I293" s="317"/>
      <c r="J293" s="317"/>
      <c r="K293" s="317"/>
      <c r="L293" s="317"/>
      <c r="M293" s="317"/>
      <c r="N293" s="317"/>
      <c r="O293" s="317"/>
      <c r="P293" s="317"/>
      <c r="Q293" s="317"/>
      <c r="R293" s="317"/>
      <c r="S293" s="317"/>
      <c r="T293" s="317"/>
      <c r="U293" s="317"/>
      <c r="V293" s="317"/>
      <c r="W293" s="317"/>
      <c r="X293" s="317"/>
      <c r="Y293" s="317"/>
      <c r="Z293" s="317"/>
      <c r="AA293" s="317"/>
    </row>
    <row r="294">
      <c r="A294" s="317"/>
      <c r="B294" s="317"/>
      <c r="C294" s="317"/>
      <c r="D294" s="317"/>
      <c r="E294" s="317"/>
      <c r="F294" s="317"/>
      <c r="G294" s="317"/>
      <c r="H294" s="317"/>
      <c r="I294" s="317"/>
      <c r="J294" s="317"/>
      <c r="K294" s="317"/>
      <c r="L294" s="317"/>
      <c r="M294" s="317"/>
      <c r="N294" s="317"/>
      <c r="O294" s="317"/>
      <c r="P294" s="317"/>
      <c r="Q294" s="317"/>
      <c r="R294" s="317"/>
      <c r="S294" s="317"/>
      <c r="T294" s="317"/>
      <c r="U294" s="317"/>
      <c r="V294" s="317"/>
      <c r="W294" s="317"/>
      <c r="X294" s="317"/>
      <c r="Y294" s="317"/>
      <c r="Z294" s="317"/>
      <c r="AA294" s="317"/>
    </row>
    <row r="295">
      <c r="A295" s="317"/>
      <c r="B295" s="317"/>
      <c r="C295" s="317"/>
      <c r="D295" s="317"/>
      <c r="E295" s="317"/>
      <c r="F295" s="317"/>
      <c r="G295" s="317"/>
      <c r="H295" s="317"/>
      <c r="I295" s="317"/>
      <c r="J295" s="317"/>
      <c r="K295" s="317"/>
      <c r="L295" s="317"/>
      <c r="M295" s="317"/>
      <c r="N295" s="317"/>
      <c r="O295" s="317"/>
      <c r="P295" s="317"/>
      <c r="Q295" s="317"/>
      <c r="R295" s="317"/>
      <c r="S295" s="317"/>
      <c r="T295" s="317"/>
      <c r="U295" s="317"/>
      <c r="V295" s="317"/>
      <c r="W295" s="317"/>
      <c r="X295" s="317"/>
      <c r="Y295" s="317"/>
      <c r="Z295" s="317"/>
      <c r="AA295" s="317"/>
    </row>
    <row r="296">
      <c r="A296" s="317"/>
      <c r="B296" s="317"/>
      <c r="C296" s="317"/>
      <c r="D296" s="317"/>
      <c r="E296" s="317"/>
      <c r="F296" s="317"/>
      <c r="G296" s="317"/>
      <c r="H296" s="317"/>
      <c r="I296" s="317"/>
      <c r="J296" s="317"/>
      <c r="K296" s="317"/>
      <c r="L296" s="317"/>
      <c r="M296" s="317"/>
      <c r="N296" s="317"/>
      <c r="O296" s="317"/>
      <c r="P296" s="317"/>
      <c r="Q296" s="317"/>
      <c r="R296" s="317"/>
      <c r="S296" s="317"/>
      <c r="T296" s="317"/>
      <c r="U296" s="317"/>
      <c r="V296" s="317"/>
      <c r="W296" s="317"/>
      <c r="X296" s="317"/>
      <c r="Y296" s="317"/>
      <c r="Z296" s="317"/>
      <c r="AA296" s="317"/>
    </row>
    <row r="297">
      <c r="A297" s="317"/>
      <c r="B297" s="317"/>
      <c r="C297" s="317"/>
      <c r="D297" s="317"/>
      <c r="E297" s="317"/>
      <c r="F297" s="317"/>
      <c r="G297" s="317"/>
      <c r="H297" s="317"/>
      <c r="I297" s="317"/>
      <c r="J297" s="317"/>
      <c r="K297" s="317"/>
      <c r="L297" s="317"/>
      <c r="M297" s="317"/>
      <c r="N297" s="317"/>
      <c r="O297" s="317"/>
      <c r="P297" s="317"/>
      <c r="Q297" s="317"/>
      <c r="R297" s="317"/>
      <c r="S297" s="317"/>
      <c r="T297" s="317"/>
      <c r="U297" s="317"/>
      <c r="V297" s="317"/>
      <c r="W297" s="317"/>
      <c r="X297" s="317"/>
      <c r="Y297" s="317"/>
      <c r="Z297" s="317"/>
      <c r="AA297" s="317"/>
    </row>
    <row r="298">
      <c r="A298" s="317"/>
      <c r="B298" s="317"/>
      <c r="C298" s="317"/>
      <c r="D298" s="317"/>
      <c r="E298" s="317"/>
      <c r="F298" s="317"/>
      <c r="G298" s="317"/>
      <c r="H298" s="317"/>
      <c r="I298" s="317"/>
      <c r="J298" s="317"/>
      <c r="K298" s="317"/>
      <c r="L298" s="317"/>
      <c r="M298" s="317"/>
      <c r="N298" s="317"/>
      <c r="O298" s="317"/>
      <c r="P298" s="317"/>
      <c r="Q298" s="317"/>
      <c r="R298" s="317"/>
      <c r="S298" s="317"/>
      <c r="T298" s="317"/>
      <c r="U298" s="317"/>
      <c r="V298" s="317"/>
      <c r="W298" s="317"/>
      <c r="X298" s="317"/>
      <c r="Y298" s="317"/>
      <c r="Z298" s="317"/>
      <c r="AA298" s="317"/>
    </row>
    <row r="299">
      <c r="A299" s="317"/>
      <c r="B299" s="317"/>
      <c r="C299" s="317"/>
      <c r="D299" s="317"/>
      <c r="E299" s="317"/>
      <c r="F299" s="317"/>
      <c r="G299" s="317"/>
      <c r="H299" s="317"/>
      <c r="I299" s="317"/>
      <c r="J299" s="317"/>
      <c r="K299" s="317"/>
      <c r="L299" s="317"/>
      <c r="M299" s="317"/>
      <c r="N299" s="317"/>
      <c r="O299" s="317"/>
      <c r="P299" s="317"/>
      <c r="Q299" s="317"/>
      <c r="R299" s="317"/>
      <c r="S299" s="317"/>
      <c r="T299" s="317"/>
      <c r="U299" s="317"/>
      <c r="V299" s="317"/>
      <c r="W299" s="317"/>
      <c r="X299" s="317"/>
      <c r="Y299" s="317"/>
      <c r="Z299" s="317"/>
      <c r="AA299" s="317"/>
    </row>
    <row r="300">
      <c r="A300" s="317"/>
      <c r="B300" s="317"/>
      <c r="C300" s="317"/>
      <c r="D300" s="317"/>
      <c r="E300" s="317"/>
      <c r="F300" s="317"/>
      <c r="G300" s="317"/>
      <c r="H300" s="317"/>
      <c r="I300" s="317"/>
      <c r="J300" s="317"/>
      <c r="K300" s="317"/>
      <c r="L300" s="317"/>
      <c r="M300" s="317"/>
      <c r="N300" s="317"/>
      <c r="O300" s="317"/>
      <c r="P300" s="317"/>
      <c r="Q300" s="317"/>
      <c r="R300" s="317"/>
      <c r="S300" s="317"/>
      <c r="T300" s="317"/>
      <c r="U300" s="317"/>
      <c r="V300" s="317"/>
      <c r="W300" s="317"/>
      <c r="X300" s="317"/>
      <c r="Y300" s="317"/>
      <c r="Z300" s="317"/>
      <c r="AA300" s="317"/>
    </row>
    <row r="301">
      <c r="A301" s="317"/>
      <c r="B301" s="317"/>
      <c r="C301" s="317"/>
      <c r="D301" s="317"/>
      <c r="E301" s="317"/>
      <c r="F301" s="317"/>
      <c r="G301" s="317"/>
      <c r="H301" s="317"/>
      <c r="I301" s="317"/>
      <c r="J301" s="317"/>
      <c r="K301" s="317"/>
      <c r="L301" s="317"/>
      <c r="M301" s="317"/>
      <c r="N301" s="317"/>
      <c r="O301" s="317"/>
      <c r="P301" s="317"/>
      <c r="Q301" s="317"/>
      <c r="R301" s="317"/>
      <c r="S301" s="317"/>
      <c r="T301" s="317"/>
      <c r="U301" s="317"/>
      <c r="V301" s="317"/>
      <c r="W301" s="317"/>
      <c r="X301" s="317"/>
      <c r="Y301" s="317"/>
      <c r="Z301" s="317"/>
      <c r="AA301" s="317"/>
    </row>
    <row r="302">
      <c r="A302" s="317"/>
      <c r="B302" s="317"/>
      <c r="C302" s="317"/>
      <c r="D302" s="317"/>
      <c r="E302" s="317"/>
      <c r="F302" s="317"/>
      <c r="G302" s="317"/>
      <c r="H302" s="317"/>
      <c r="I302" s="317"/>
      <c r="J302" s="317"/>
      <c r="K302" s="317"/>
      <c r="L302" s="317"/>
      <c r="M302" s="317"/>
      <c r="N302" s="317"/>
      <c r="O302" s="317"/>
      <c r="P302" s="317"/>
      <c r="Q302" s="317"/>
      <c r="R302" s="317"/>
      <c r="S302" s="317"/>
      <c r="T302" s="317"/>
      <c r="U302" s="317"/>
      <c r="V302" s="317"/>
      <c r="W302" s="317"/>
      <c r="X302" s="317"/>
      <c r="Y302" s="317"/>
      <c r="Z302" s="317"/>
      <c r="AA302" s="317"/>
    </row>
    <row r="303">
      <c r="A303" s="317"/>
      <c r="B303" s="317"/>
      <c r="C303" s="317"/>
      <c r="D303" s="317"/>
      <c r="E303" s="317"/>
      <c r="F303" s="317"/>
      <c r="G303" s="317"/>
      <c r="H303" s="317"/>
      <c r="I303" s="317"/>
      <c r="J303" s="317"/>
      <c r="K303" s="317"/>
      <c r="L303" s="317"/>
      <c r="M303" s="317"/>
      <c r="N303" s="317"/>
      <c r="O303" s="317"/>
      <c r="P303" s="317"/>
      <c r="Q303" s="317"/>
      <c r="R303" s="317"/>
      <c r="S303" s="317"/>
      <c r="T303" s="317"/>
      <c r="U303" s="317"/>
      <c r="V303" s="317"/>
      <c r="W303" s="317"/>
      <c r="X303" s="317"/>
      <c r="Y303" s="317"/>
      <c r="Z303" s="317"/>
      <c r="AA303" s="317"/>
    </row>
    <row r="304">
      <c r="A304" s="317"/>
      <c r="B304" s="317"/>
      <c r="C304" s="317"/>
      <c r="D304" s="317"/>
      <c r="E304" s="317"/>
      <c r="F304" s="317"/>
      <c r="G304" s="317"/>
      <c r="H304" s="317"/>
      <c r="I304" s="317"/>
      <c r="J304" s="317"/>
      <c r="K304" s="317"/>
      <c r="L304" s="317"/>
      <c r="M304" s="317"/>
      <c r="N304" s="317"/>
      <c r="O304" s="317"/>
      <c r="P304" s="317"/>
      <c r="Q304" s="317"/>
      <c r="R304" s="317"/>
      <c r="S304" s="317"/>
      <c r="T304" s="317"/>
      <c r="U304" s="317"/>
      <c r="V304" s="317"/>
      <c r="W304" s="317"/>
      <c r="X304" s="317"/>
      <c r="Y304" s="317"/>
      <c r="Z304" s="317"/>
      <c r="AA304" s="317"/>
    </row>
    <row r="305">
      <c r="A305" s="317"/>
      <c r="B305" s="317"/>
      <c r="C305" s="317"/>
      <c r="D305" s="317"/>
      <c r="E305" s="317"/>
      <c r="F305" s="317"/>
      <c r="G305" s="317"/>
      <c r="H305" s="317"/>
      <c r="I305" s="317"/>
      <c r="J305" s="317"/>
      <c r="K305" s="317"/>
      <c r="L305" s="317"/>
      <c r="M305" s="317"/>
      <c r="N305" s="317"/>
      <c r="O305" s="317"/>
      <c r="P305" s="317"/>
      <c r="Q305" s="317"/>
      <c r="R305" s="317"/>
      <c r="S305" s="317"/>
      <c r="T305" s="317"/>
      <c r="U305" s="317"/>
      <c r="V305" s="317"/>
      <c r="W305" s="317"/>
      <c r="X305" s="317"/>
      <c r="Y305" s="317"/>
      <c r="Z305" s="317"/>
      <c r="AA305" s="317"/>
    </row>
    <row r="306">
      <c r="A306" s="317"/>
      <c r="B306" s="317"/>
      <c r="C306" s="317"/>
      <c r="D306" s="317"/>
      <c r="E306" s="317"/>
      <c r="F306" s="317"/>
      <c r="G306" s="317"/>
      <c r="H306" s="317"/>
      <c r="I306" s="317"/>
      <c r="J306" s="317"/>
      <c r="K306" s="317"/>
      <c r="L306" s="317"/>
      <c r="M306" s="317"/>
      <c r="N306" s="317"/>
      <c r="O306" s="317"/>
      <c r="P306" s="317"/>
      <c r="Q306" s="317"/>
      <c r="R306" s="317"/>
      <c r="S306" s="317"/>
      <c r="T306" s="317"/>
      <c r="U306" s="317"/>
      <c r="V306" s="317"/>
      <c r="W306" s="317"/>
      <c r="X306" s="317"/>
      <c r="Y306" s="317"/>
      <c r="Z306" s="317"/>
      <c r="AA306" s="317"/>
    </row>
    <row r="307">
      <c r="A307" s="317"/>
      <c r="B307" s="317"/>
      <c r="C307" s="317"/>
      <c r="D307" s="317"/>
      <c r="E307" s="317"/>
      <c r="F307" s="317"/>
      <c r="G307" s="317"/>
      <c r="H307" s="317"/>
      <c r="I307" s="317"/>
      <c r="J307" s="317"/>
      <c r="K307" s="317"/>
      <c r="L307" s="317"/>
      <c r="M307" s="317"/>
      <c r="N307" s="317"/>
      <c r="O307" s="317"/>
      <c r="P307" s="317"/>
      <c r="Q307" s="317"/>
      <c r="R307" s="317"/>
      <c r="S307" s="317"/>
      <c r="T307" s="317"/>
      <c r="U307" s="317"/>
      <c r="V307" s="317"/>
      <c r="W307" s="317"/>
      <c r="X307" s="317"/>
      <c r="Y307" s="317"/>
      <c r="Z307" s="317"/>
      <c r="AA307" s="317"/>
    </row>
    <row r="308">
      <c r="A308" s="317"/>
      <c r="B308" s="317"/>
      <c r="C308" s="317"/>
      <c r="D308" s="317"/>
      <c r="E308" s="317"/>
      <c r="F308" s="317"/>
      <c r="G308" s="317"/>
      <c r="H308" s="317"/>
      <c r="I308" s="317"/>
      <c r="J308" s="317"/>
      <c r="K308" s="317"/>
      <c r="L308" s="317"/>
      <c r="M308" s="317"/>
      <c r="N308" s="317"/>
      <c r="O308" s="317"/>
      <c r="P308" s="317"/>
      <c r="Q308" s="317"/>
      <c r="R308" s="317"/>
      <c r="S308" s="317"/>
      <c r="T308" s="317"/>
      <c r="U308" s="317"/>
      <c r="V308" s="317"/>
      <c r="W308" s="317"/>
      <c r="X308" s="317"/>
      <c r="Y308" s="317"/>
      <c r="Z308" s="317"/>
      <c r="AA308" s="317"/>
    </row>
    <row r="309">
      <c r="A309" s="317"/>
      <c r="B309" s="317"/>
      <c r="C309" s="317"/>
      <c r="D309" s="317"/>
      <c r="E309" s="317"/>
      <c r="F309" s="317"/>
      <c r="G309" s="317"/>
      <c r="H309" s="317"/>
      <c r="I309" s="317"/>
      <c r="J309" s="317"/>
      <c r="K309" s="317"/>
      <c r="L309" s="317"/>
      <c r="M309" s="317"/>
      <c r="N309" s="317"/>
      <c r="O309" s="317"/>
      <c r="P309" s="317"/>
      <c r="Q309" s="317"/>
      <c r="R309" s="317"/>
      <c r="S309" s="317"/>
      <c r="T309" s="317"/>
      <c r="U309" s="317"/>
      <c r="V309" s="317"/>
      <c r="W309" s="317"/>
      <c r="X309" s="317"/>
      <c r="Y309" s="317"/>
      <c r="Z309" s="317"/>
      <c r="AA309" s="317"/>
    </row>
    <row r="310">
      <c r="A310" s="317"/>
      <c r="B310" s="317"/>
      <c r="C310" s="317"/>
      <c r="D310" s="317"/>
      <c r="E310" s="317"/>
      <c r="F310" s="317"/>
      <c r="G310" s="317"/>
      <c r="H310" s="317"/>
      <c r="I310" s="317"/>
      <c r="J310" s="317"/>
      <c r="K310" s="317"/>
      <c r="L310" s="317"/>
      <c r="M310" s="317"/>
      <c r="N310" s="317"/>
      <c r="O310" s="317"/>
      <c r="P310" s="317"/>
      <c r="Q310" s="317"/>
      <c r="R310" s="317"/>
      <c r="S310" s="317"/>
      <c r="T310" s="317"/>
      <c r="U310" s="317"/>
      <c r="V310" s="317"/>
      <c r="W310" s="317"/>
      <c r="X310" s="317"/>
      <c r="Y310" s="317"/>
      <c r="Z310" s="317"/>
      <c r="AA310" s="317"/>
    </row>
    <row r="311">
      <c r="A311" s="317"/>
      <c r="B311" s="317"/>
      <c r="C311" s="317"/>
      <c r="D311" s="317"/>
      <c r="E311" s="317"/>
      <c r="F311" s="317"/>
      <c r="G311" s="317"/>
      <c r="H311" s="317"/>
      <c r="I311" s="317"/>
      <c r="J311" s="317"/>
      <c r="K311" s="317"/>
      <c r="L311" s="317"/>
      <c r="M311" s="317"/>
      <c r="N311" s="317"/>
      <c r="O311" s="317"/>
      <c r="P311" s="317"/>
      <c r="Q311" s="317"/>
      <c r="R311" s="317"/>
      <c r="S311" s="317"/>
      <c r="T311" s="317"/>
      <c r="U311" s="317"/>
      <c r="V311" s="317"/>
      <c r="W311" s="317"/>
      <c r="X311" s="317"/>
      <c r="Y311" s="317"/>
      <c r="Z311" s="317"/>
      <c r="AA311" s="317"/>
    </row>
    <row r="312">
      <c r="A312" s="317"/>
      <c r="B312" s="317"/>
      <c r="C312" s="317"/>
      <c r="D312" s="317"/>
      <c r="E312" s="317"/>
      <c r="F312" s="317"/>
      <c r="G312" s="317"/>
      <c r="H312" s="317"/>
      <c r="I312" s="317"/>
      <c r="J312" s="317"/>
      <c r="K312" s="317"/>
      <c r="L312" s="317"/>
      <c r="M312" s="317"/>
      <c r="N312" s="317"/>
      <c r="O312" s="317"/>
      <c r="P312" s="317"/>
      <c r="Q312" s="317"/>
      <c r="R312" s="317"/>
      <c r="S312" s="317"/>
      <c r="T312" s="317"/>
      <c r="U312" s="317"/>
      <c r="V312" s="317"/>
      <c r="W312" s="317"/>
      <c r="X312" s="317"/>
      <c r="Y312" s="317"/>
      <c r="Z312" s="317"/>
      <c r="AA312" s="317"/>
    </row>
    <row r="313">
      <c r="A313" s="317"/>
      <c r="B313" s="317"/>
      <c r="C313" s="317"/>
      <c r="D313" s="317"/>
      <c r="E313" s="317"/>
      <c r="F313" s="317"/>
      <c r="G313" s="317"/>
      <c r="H313" s="317"/>
      <c r="I313" s="317"/>
      <c r="J313" s="317"/>
      <c r="K313" s="317"/>
      <c r="L313" s="317"/>
      <c r="M313" s="317"/>
      <c r="N313" s="317"/>
      <c r="O313" s="317"/>
      <c r="P313" s="317"/>
      <c r="Q313" s="317"/>
      <c r="R313" s="317"/>
      <c r="S313" s="317"/>
      <c r="T313" s="317"/>
      <c r="U313" s="317"/>
      <c r="V313" s="317"/>
      <c r="W313" s="317"/>
      <c r="X313" s="317"/>
      <c r="Y313" s="317"/>
      <c r="Z313" s="317"/>
      <c r="AA313" s="317"/>
    </row>
    <row r="314">
      <c r="A314" s="317"/>
      <c r="B314" s="317"/>
      <c r="C314" s="317"/>
      <c r="D314" s="317"/>
      <c r="E314" s="317"/>
      <c r="F314" s="317"/>
      <c r="G314" s="317"/>
      <c r="H314" s="317"/>
      <c r="I314" s="317"/>
      <c r="J314" s="317"/>
      <c r="K314" s="317"/>
      <c r="L314" s="317"/>
      <c r="M314" s="317"/>
      <c r="N314" s="317"/>
      <c r="O314" s="317"/>
      <c r="P314" s="317"/>
      <c r="Q314" s="317"/>
      <c r="R314" s="317"/>
      <c r="S314" s="317"/>
      <c r="T314" s="317"/>
      <c r="U314" s="317"/>
      <c r="V314" s="317"/>
      <c r="W314" s="317"/>
      <c r="X314" s="317"/>
      <c r="Y314" s="317"/>
      <c r="Z314" s="317"/>
      <c r="AA314" s="317"/>
    </row>
    <row r="315">
      <c r="A315" s="317"/>
      <c r="B315" s="317"/>
      <c r="C315" s="317"/>
      <c r="D315" s="317"/>
      <c r="E315" s="317"/>
      <c r="F315" s="317"/>
      <c r="G315" s="317"/>
      <c r="H315" s="317"/>
      <c r="I315" s="317"/>
      <c r="J315" s="317"/>
      <c r="K315" s="317"/>
      <c r="L315" s="317"/>
      <c r="M315" s="317"/>
      <c r="N315" s="317"/>
      <c r="O315" s="317"/>
      <c r="P315" s="317"/>
      <c r="Q315" s="317"/>
      <c r="R315" s="317"/>
      <c r="S315" s="317"/>
      <c r="T315" s="317"/>
      <c r="U315" s="317"/>
      <c r="V315" s="317"/>
      <c r="W315" s="317"/>
      <c r="X315" s="317"/>
      <c r="Y315" s="317"/>
      <c r="Z315" s="317"/>
      <c r="AA315" s="317"/>
    </row>
    <row r="316">
      <c r="A316" s="317"/>
      <c r="B316" s="317"/>
      <c r="C316" s="317"/>
      <c r="D316" s="317"/>
      <c r="E316" s="317"/>
      <c r="F316" s="317"/>
      <c r="G316" s="317"/>
      <c r="H316" s="317"/>
      <c r="I316" s="317"/>
      <c r="J316" s="317"/>
      <c r="K316" s="317"/>
      <c r="L316" s="317"/>
      <c r="M316" s="317"/>
      <c r="N316" s="317"/>
      <c r="O316" s="317"/>
      <c r="P316" s="317"/>
      <c r="Q316" s="317"/>
      <c r="R316" s="317"/>
      <c r="S316" s="317"/>
      <c r="T316" s="317"/>
      <c r="U316" s="317"/>
      <c r="V316" s="317"/>
      <c r="W316" s="317"/>
      <c r="X316" s="317"/>
      <c r="Y316" s="317"/>
      <c r="Z316" s="317"/>
      <c r="AA316" s="317"/>
    </row>
    <row r="317">
      <c r="A317" s="317"/>
      <c r="B317" s="317"/>
      <c r="C317" s="317"/>
      <c r="D317" s="317"/>
      <c r="E317" s="317"/>
      <c r="F317" s="317"/>
      <c r="G317" s="317"/>
      <c r="H317" s="317"/>
      <c r="I317" s="317"/>
      <c r="J317" s="317"/>
      <c r="K317" s="317"/>
      <c r="L317" s="317"/>
      <c r="M317" s="317"/>
      <c r="N317" s="317"/>
      <c r="O317" s="317"/>
      <c r="P317" s="317"/>
      <c r="Q317" s="317"/>
      <c r="R317" s="317"/>
      <c r="S317" s="317"/>
      <c r="T317" s="317"/>
      <c r="U317" s="317"/>
      <c r="V317" s="317"/>
      <c r="W317" s="317"/>
      <c r="X317" s="317"/>
      <c r="Y317" s="317"/>
      <c r="Z317" s="317"/>
      <c r="AA317" s="317"/>
    </row>
    <row r="318">
      <c r="A318" s="317"/>
      <c r="B318" s="317"/>
      <c r="C318" s="317"/>
      <c r="D318" s="317"/>
      <c r="E318" s="317"/>
      <c r="F318" s="317"/>
      <c r="G318" s="317"/>
      <c r="H318" s="317"/>
      <c r="I318" s="317"/>
      <c r="J318" s="317"/>
      <c r="K318" s="317"/>
      <c r="L318" s="317"/>
      <c r="M318" s="317"/>
      <c r="N318" s="317"/>
      <c r="O318" s="317"/>
      <c r="P318" s="317"/>
      <c r="Q318" s="317"/>
      <c r="R318" s="317"/>
      <c r="S318" s="317"/>
      <c r="T318" s="317"/>
      <c r="U318" s="317"/>
      <c r="V318" s="317"/>
      <c r="W318" s="317"/>
      <c r="X318" s="317"/>
      <c r="Y318" s="317"/>
      <c r="Z318" s="317"/>
      <c r="AA318" s="317"/>
    </row>
    <row r="319">
      <c r="A319" s="317"/>
      <c r="B319" s="317"/>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row>
    <row r="320">
      <c r="A320" s="317"/>
      <c r="B320" s="317"/>
      <c r="C320" s="317"/>
      <c r="D320" s="317"/>
      <c r="E320" s="317"/>
      <c r="F320" s="317"/>
      <c r="G320" s="317"/>
      <c r="H320" s="317"/>
      <c r="I320" s="317"/>
      <c r="J320" s="317"/>
      <c r="K320" s="317"/>
      <c r="L320" s="317"/>
      <c r="M320" s="317"/>
      <c r="N320" s="317"/>
      <c r="O320" s="317"/>
      <c r="P320" s="317"/>
      <c r="Q320" s="317"/>
      <c r="R320" s="317"/>
      <c r="S320" s="317"/>
      <c r="T320" s="317"/>
      <c r="U320" s="317"/>
      <c r="V320" s="317"/>
      <c r="W320" s="317"/>
      <c r="X320" s="317"/>
      <c r="Y320" s="317"/>
      <c r="Z320" s="317"/>
      <c r="AA320" s="317"/>
    </row>
    <row r="321">
      <c r="A321" s="317"/>
      <c r="B321" s="317"/>
      <c r="C321" s="317"/>
      <c r="D321" s="317"/>
      <c r="E321" s="317"/>
      <c r="F321" s="317"/>
      <c r="G321" s="317"/>
      <c r="H321" s="317"/>
      <c r="I321" s="317"/>
      <c r="J321" s="317"/>
      <c r="K321" s="317"/>
      <c r="L321" s="317"/>
      <c r="M321" s="317"/>
      <c r="N321" s="317"/>
      <c r="O321" s="317"/>
      <c r="P321" s="317"/>
      <c r="Q321" s="317"/>
      <c r="R321" s="317"/>
      <c r="S321" s="317"/>
      <c r="T321" s="317"/>
      <c r="U321" s="317"/>
      <c r="V321" s="317"/>
      <c r="W321" s="317"/>
      <c r="X321" s="317"/>
      <c r="Y321" s="317"/>
      <c r="Z321" s="317"/>
      <c r="AA321" s="317"/>
    </row>
    <row r="322">
      <c r="A322" s="317"/>
      <c r="B322" s="317"/>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row>
    <row r="323">
      <c r="A323" s="317"/>
      <c r="B323" s="317"/>
      <c r="C323" s="317"/>
      <c r="D323" s="317"/>
      <c r="E323" s="317"/>
      <c r="F323" s="317"/>
      <c r="G323" s="317"/>
      <c r="H323" s="317"/>
      <c r="I323" s="317"/>
      <c r="J323" s="317"/>
      <c r="K323" s="317"/>
      <c r="L323" s="317"/>
      <c r="M323" s="317"/>
      <c r="N323" s="317"/>
      <c r="O323" s="317"/>
      <c r="P323" s="317"/>
      <c r="Q323" s="317"/>
      <c r="R323" s="317"/>
      <c r="S323" s="317"/>
      <c r="T323" s="317"/>
      <c r="U323" s="317"/>
      <c r="V323" s="317"/>
      <c r="W323" s="317"/>
      <c r="X323" s="317"/>
      <c r="Y323" s="317"/>
      <c r="Z323" s="317"/>
      <c r="AA323" s="317"/>
    </row>
    <row r="324">
      <c r="A324" s="317"/>
      <c r="B324" s="317"/>
      <c r="C324" s="317"/>
      <c r="D324" s="317"/>
      <c r="E324" s="317"/>
      <c r="F324" s="317"/>
      <c r="G324" s="317"/>
      <c r="H324" s="317"/>
      <c r="I324" s="317"/>
      <c r="J324" s="317"/>
      <c r="K324" s="317"/>
      <c r="L324" s="317"/>
      <c r="M324" s="317"/>
      <c r="N324" s="317"/>
      <c r="O324" s="317"/>
      <c r="P324" s="317"/>
      <c r="Q324" s="317"/>
      <c r="R324" s="317"/>
      <c r="S324" s="317"/>
      <c r="T324" s="317"/>
      <c r="U324" s="317"/>
      <c r="V324" s="317"/>
      <c r="W324" s="317"/>
      <c r="X324" s="317"/>
      <c r="Y324" s="317"/>
      <c r="Z324" s="317"/>
      <c r="AA324" s="317"/>
    </row>
    <row r="325">
      <c r="A325" s="317"/>
      <c r="B325" s="317"/>
      <c r="C325" s="317"/>
      <c r="D325" s="317"/>
      <c r="E325" s="317"/>
      <c r="F325" s="317"/>
      <c r="G325" s="317"/>
      <c r="H325" s="317"/>
      <c r="I325" s="317"/>
      <c r="J325" s="317"/>
      <c r="K325" s="317"/>
      <c r="L325" s="317"/>
      <c r="M325" s="317"/>
      <c r="N325" s="317"/>
      <c r="O325" s="317"/>
      <c r="P325" s="317"/>
      <c r="Q325" s="317"/>
      <c r="R325" s="317"/>
      <c r="S325" s="317"/>
      <c r="T325" s="317"/>
      <c r="U325" s="317"/>
      <c r="V325" s="317"/>
      <c r="W325" s="317"/>
      <c r="X325" s="317"/>
      <c r="Y325" s="317"/>
      <c r="Z325" s="317"/>
      <c r="AA325" s="317"/>
    </row>
    <row r="326">
      <c r="A326" s="317"/>
      <c r="B326" s="317"/>
      <c r="C326" s="317"/>
      <c r="D326" s="317"/>
      <c r="E326" s="317"/>
      <c r="F326" s="317"/>
      <c r="G326" s="317"/>
      <c r="H326" s="317"/>
      <c r="I326" s="317"/>
      <c r="J326" s="317"/>
      <c r="K326" s="317"/>
      <c r="L326" s="317"/>
      <c r="M326" s="317"/>
      <c r="N326" s="317"/>
      <c r="O326" s="317"/>
      <c r="P326" s="317"/>
      <c r="Q326" s="317"/>
      <c r="R326" s="317"/>
      <c r="S326" s="317"/>
      <c r="T326" s="317"/>
      <c r="U326" s="317"/>
      <c r="V326" s="317"/>
      <c r="W326" s="317"/>
      <c r="X326" s="317"/>
      <c r="Y326" s="317"/>
      <c r="Z326" s="317"/>
      <c r="AA326" s="317"/>
    </row>
    <row r="327">
      <c r="A327" s="317"/>
      <c r="B327" s="317"/>
      <c r="C327" s="317"/>
      <c r="D327" s="317"/>
      <c r="E327" s="317"/>
      <c r="F327" s="317"/>
      <c r="G327" s="317"/>
      <c r="H327" s="317"/>
      <c r="I327" s="317"/>
      <c r="J327" s="317"/>
      <c r="K327" s="317"/>
      <c r="L327" s="317"/>
      <c r="M327" s="317"/>
      <c r="N327" s="317"/>
      <c r="O327" s="317"/>
      <c r="P327" s="317"/>
      <c r="Q327" s="317"/>
      <c r="R327" s="317"/>
      <c r="S327" s="317"/>
      <c r="T327" s="317"/>
      <c r="U327" s="317"/>
      <c r="V327" s="317"/>
      <c r="W327" s="317"/>
      <c r="X327" s="317"/>
      <c r="Y327" s="317"/>
      <c r="Z327" s="317"/>
      <c r="AA327" s="317"/>
    </row>
    <row r="328">
      <c r="A328" s="317"/>
      <c r="B328" s="317"/>
      <c r="C328" s="317"/>
      <c r="D328" s="317"/>
      <c r="E328" s="317"/>
      <c r="F328" s="317"/>
      <c r="G328" s="317"/>
      <c r="H328" s="317"/>
      <c r="I328" s="317"/>
      <c r="J328" s="317"/>
      <c r="K328" s="317"/>
      <c r="L328" s="317"/>
      <c r="M328" s="317"/>
      <c r="N328" s="317"/>
      <c r="O328" s="317"/>
      <c r="P328" s="317"/>
      <c r="Q328" s="317"/>
      <c r="R328" s="317"/>
      <c r="S328" s="317"/>
      <c r="T328" s="317"/>
      <c r="U328" s="317"/>
      <c r="V328" s="317"/>
      <c r="W328" s="317"/>
      <c r="X328" s="317"/>
      <c r="Y328" s="317"/>
      <c r="Z328" s="317"/>
      <c r="AA328" s="317"/>
    </row>
    <row r="329">
      <c r="A329" s="317"/>
      <c r="B329" s="317"/>
      <c r="C329" s="317"/>
      <c r="D329" s="317"/>
      <c r="E329" s="317"/>
      <c r="F329" s="317"/>
      <c r="G329" s="317"/>
      <c r="H329" s="317"/>
      <c r="I329" s="317"/>
      <c r="J329" s="317"/>
      <c r="K329" s="317"/>
      <c r="L329" s="317"/>
      <c r="M329" s="317"/>
      <c r="N329" s="317"/>
      <c r="O329" s="317"/>
      <c r="P329" s="317"/>
      <c r="Q329" s="317"/>
      <c r="R329" s="317"/>
      <c r="S329" s="317"/>
      <c r="T329" s="317"/>
      <c r="U329" s="317"/>
      <c r="V329" s="317"/>
      <c r="W329" s="317"/>
      <c r="X329" s="317"/>
      <c r="Y329" s="317"/>
      <c r="Z329" s="317"/>
      <c r="AA329" s="317"/>
    </row>
    <row r="330">
      <c r="A330" s="317"/>
      <c r="B330" s="317"/>
      <c r="C330" s="317"/>
      <c r="D330" s="317"/>
      <c r="E330" s="317"/>
      <c r="F330" s="317"/>
      <c r="G330" s="317"/>
      <c r="H330" s="317"/>
      <c r="I330" s="317"/>
      <c r="J330" s="317"/>
      <c r="K330" s="317"/>
      <c r="L330" s="317"/>
      <c r="M330" s="317"/>
      <c r="N330" s="317"/>
      <c r="O330" s="317"/>
      <c r="P330" s="317"/>
      <c r="Q330" s="317"/>
      <c r="R330" s="317"/>
      <c r="S330" s="317"/>
      <c r="T330" s="317"/>
      <c r="U330" s="317"/>
      <c r="V330" s="317"/>
      <c r="W330" s="317"/>
      <c r="X330" s="317"/>
      <c r="Y330" s="317"/>
      <c r="Z330" s="317"/>
      <c r="AA330" s="317"/>
    </row>
    <row r="331">
      <c r="A331" s="317"/>
      <c r="B331" s="317"/>
      <c r="C331" s="317"/>
      <c r="D331" s="317"/>
      <c r="E331" s="317"/>
      <c r="F331" s="317"/>
      <c r="G331" s="317"/>
      <c r="H331" s="317"/>
      <c r="I331" s="317"/>
      <c r="J331" s="317"/>
      <c r="K331" s="317"/>
      <c r="L331" s="317"/>
      <c r="M331" s="317"/>
      <c r="N331" s="317"/>
      <c r="O331" s="317"/>
      <c r="P331" s="317"/>
      <c r="Q331" s="317"/>
      <c r="R331" s="317"/>
      <c r="S331" s="317"/>
      <c r="T331" s="317"/>
      <c r="U331" s="317"/>
      <c r="V331" s="317"/>
      <c r="W331" s="317"/>
      <c r="X331" s="317"/>
      <c r="Y331" s="317"/>
      <c r="Z331" s="317"/>
      <c r="AA331" s="317"/>
    </row>
    <row r="332">
      <c r="A332" s="317"/>
      <c r="B332" s="317"/>
      <c r="C332" s="317"/>
      <c r="D332" s="317"/>
      <c r="E332" s="317"/>
      <c r="F332" s="317"/>
      <c r="G332" s="317"/>
      <c r="H332" s="317"/>
      <c r="I332" s="317"/>
      <c r="J332" s="317"/>
      <c r="K332" s="317"/>
      <c r="L332" s="317"/>
      <c r="M332" s="317"/>
      <c r="N332" s="317"/>
      <c r="O332" s="317"/>
      <c r="P332" s="317"/>
      <c r="Q332" s="317"/>
      <c r="R332" s="317"/>
      <c r="S332" s="317"/>
      <c r="T332" s="317"/>
      <c r="U332" s="317"/>
      <c r="V332" s="317"/>
      <c r="W332" s="317"/>
      <c r="X332" s="317"/>
      <c r="Y332" s="317"/>
      <c r="Z332" s="317"/>
      <c r="AA332" s="317"/>
    </row>
    <row r="333">
      <c r="A333" s="317"/>
      <c r="B333" s="317"/>
      <c r="C333" s="317"/>
      <c r="D333" s="317"/>
      <c r="E333" s="317"/>
      <c r="F333" s="317"/>
      <c r="G333" s="317"/>
      <c r="H333" s="317"/>
      <c r="I333" s="317"/>
      <c r="J333" s="317"/>
      <c r="K333" s="317"/>
      <c r="L333" s="317"/>
      <c r="M333" s="317"/>
      <c r="N333" s="317"/>
      <c r="O333" s="317"/>
      <c r="P333" s="317"/>
      <c r="Q333" s="317"/>
      <c r="R333" s="317"/>
      <c r="S333" s="317"/>
      <c r="T333" s="317"/>
      <c r="U333" s="317"/>
      <c r="V333" s="317"/>
      <c r="W333" s="317"/>
      <c r="X333" s="317"/>
      <c r="Y333" s="317"/>
      <c r="Z333" s="317"/>
      <c r="AA333" s="317"/>
    </row>
    <row r="334">
      <c r="A334" s="317"/>
      <c r="B334" s="317"/>
      <c r="C334" s="317"/>
      <c r="D334" s="317"/>
      <c r="E334" s="317"/>
      <c r="F334" s="317"/>
      <c r="G334" s="317"/>
      <c r="H334" s="317"/>
      <c r="I334" s="317"/>
      <c r="J334" s="317"/>
      <c r="K334" s="317"/>
      <c r="L334" s="317"/>
      <c r="M334" s="317"/>
      <c r="N334" s="317"/>
      <c r="O334" s="317"/>
      <c r="P334" s="317"/>
      <c r="Q334" s="317"/>
      <c r="R334" s="317"/>
      <c r="S334" s="317"/>
      <c r="T334" s="317"/>
      <c r="U334" s="317"/>
      <c r="V334" s="317"/>
      <c r="W334" s="317"/>
      <c r="X334" s="317"/>
      <c r="Y334" s="317"/>
      <c r="Z334" s="317"/>
      <c r="AA334" s="317"/>
    </row>
    <row r="335">
      <c r="A335" s="317"/>
      <c r="B335" s="317"/>
      <c r="C335" s="317"/>
      <c r="D335" s="317"/>
      <c r="E335" s="317"/>
      <c r="F335" s="317"/>
      <c r="G335" s="317"/>
      <c r="H335" s="317"/>
      <c r="I335" s="317"/>
      <c r="J335" s="317"/>
      <c r="K335" s="317"/>
      <c r="L335" s="317"/>
      <c r="M335" s="317"/>
      <c r="N335" s="317"/>
      <c r="O335" s="317"/>
      <c r="P335" s="317"/>
      <c r="Q335" s="317"/>
      <c r="R335" s="317"/>
      <c r="S335" s="317"/>
      <c r="T335" s="317"/>
      <c r="U335" s="317"/>
      <c r="V335" s="317"/>
      <c r="W335" s="317"/>
      <c r="X335" s="317"/>
      <c r="Y335" s="317"/>
      <c r="Z335" s="317"/>
      <c r="AA335" s="317"/>
    </row>
    <row r="336">
      <c r="A336" s="317"/>
      <c r="B336" s="317"/>
      <c r="C336" s="317"/>
      <c r="D336" s="317"/>
      <c r="E336" s="317"/>
      <c r="F336" s="317"/>
      <c r="G336" s="317"/>
      <c r="H336" s="317"/>
      <c r="I336" s="317"/>
      <c r="J336" s="317"/>
      <c r="K336" s="317"/>
      <c r="L336" s="317"/>
      <c r="M336" s="317"/>
      <c r="N336" s="317"/>
      <c r="O336" s="317"/>
      <c r="P336" s="317"/>
      <c r="Q336" s="317"/>
      <c r="R336" s="317"/>
      <c r="S336" s="317"/>
      <c r="T336" s="317"/>
      <c r="U336" s="317"/>
      <c r="V336" s="317"/>
      <c r="W336" s="317"/>
      <c r="X336" s="317"/>
      <c r="Y336" s="317"/>
      <c r="Z336" s="317"/>
      <c r="AA336" s="317"/>
    </row>
    <row r="337">
      <c r="A337" s="317"/>
      <c r="B337" s="317"/>
      <c r="C337" s="317"/>
      <c r="D337" s="317"/>
      <c r="E337" s="317"/>
      <c r="F337" s="317"/>
      <c r="G337" s="317"/>
      <c r="H337" s="317"/>
      <c r="I337" s="317"/>
      <c r="J337" s="317"/>
      <c r="K337" s="317"/>
      <c r="L337" s="317"/>
      <c r="M337" s="317"/>
      <c r="N337" s="317"/>
      <c r="O337" s="317"/>
      <c r="P337" s="317"/>
      <c r="Q337" s="317"/>
      <c r="R337" s="317"/>
      <c r="S337" s="317"/>
      <c r="T337" s="317"/>
      <c r="U337" s="317"/>
      <c r="V337" s="317"/>
      <c r="W337" s="317"/>
      <c r="X337" s="317"/>
      <c r="Y337" s="317"/>
      <c r="Z337" s="317"/>
      <c r="AA337" s="317"/>
    </row>
    <row r="338">
      <c r="A338" s="317"/>
      <c r="B338" s="317"/>
      <c r="C338" s="317"/>
      <c r="D338" s="317"/>
      <c r="E338" s="317"/>
      <c r="F338" s="317"/>
      <c r="G338" s="317"/>
      <c r="H338" s="317"/>
      <c r="I338" s="317"/>
      <c r="J338" s="317"/>
      <c r="K338" s="317"/>
      <c r="L338" s="317"/>
      <c r="M338" s="317"/>
      <c r="N338" s="317"/>
      <c r="O338" s="317"/>
      <c r="P338" s="317"/>
      <c r="Q338" s="317"/>
      <c r="R338" s="317"/>
      <c r="S338" s="317"/>
      <c r="T338" s="317"/>
      <c r="U338" s="317"/>
      <c r="V338" s="317"/>
      <c r="W338" s="317"/>
      <c r="X338" s="317"/>
      <c r="Y338" s="317"/>
      <c r="Z338" s="317"/>
      <c r="AA338" s="317"/>
    </row>
    <row r="339">
      <c r="A339" s="317"/>
      <c r="B339" s="317"/>
      <c r="C339" s="317"/>
      <c r="D339" s="317"/>
      <c r="E339" s="317"/>
      <c r="F339" s="317"/>
      <c r="G339" s="317"/>
      <c r="H339" s="317"/>
      <c r="I339" s="317"/>
      <c r="J339" s="317"/>
      <c r="K339" s="317"/>
      <c r="L339" s="317"/>
      <c r="M339" s="317"/>
      <c r="N339" s="317"/>
      <c r="O339" s="317"/>
      <c r="P339" s="317"/>
      <c r="Q339" s="317"/>
      <c r="R339" s="317"/>
      <c r="S339" s="317"/>
      <c r="T339" s="317"/>
      <c r="U339" s="317"/>
      <c r="V339" s="317"/>
      <c r="W339" s="317"/>
      <c r="X339" s="317"/>
      <c r="Y339" s="317"/>
      <c r="Z339" s="317"/>
      <c r="AA339" s="317"/>
    </row>
    <row r="340">
      <c r="A340" s="317"/>
      <c r="B340" s="317"/>
      <c r="C340" s="317"/>
      <c r="D340" s="317"/>
      <c r="E340" s="317"/>
      <c r="F340" s="317"/>
      <c r="G340" s="317"/>
      <c r="H340" s="317"/>
      <c r="I340" s="317"/>
      <c r="J340" s="317"/>
      <c r="K340" s="317"/>
      <c r="L340" s="317"/>
      <c r="M340" s="317"/>
      <c r="N340" s="317"/>
      <c r="O340" s="317"/>
      <c r="P340" s="317"/>
      <c r="Q340" s="317"/>
      <c r="R340" s="317"/>
      <c r="S340" s="317"/>
      <c r="T340" s="317"/>
      <c r="U340" s="317"/>
      <c r="V340" s="317"/>
      <c r="W340" s="317"/>
      <c r="X340" s="317"/>
      <c r="Y340" s="317"/>
      <c r="Z340" s="317"/>
      <c r="AA340" s="317"/>
    </row>
    <row r="341">
      <c r="A341" s="317"/>
      <c r="B341" s="317"/>
      <c r="C341" s="317"/>
      <c r="D341" s="317"/>
      <c r="E341" s="317"/>
      <c r="F341" s="317"/>
      <c r="G341" s="317"/>
      <c r="H341" s="317"/>
      <c r="I341" s="317"/>
      <c r="J341" s="317"/>
      <c r="K341" s="317"/>
      <c r="L341" s="317"/>
      <c r="M341" s="317"/>
      <c r="N341" s="317"/>
      <c r="O341" s="317"/>
      <c r="P341" s="317"/>
      <c r="Q341" s="317"/>
      <c r="R341" s="317"/>
      <c r="S341" s="317"/>
      <c r="T341" s="317"/>
      <c r="U341" s="317"/>
      <c r="V341" s="317"/>
      <c r="W341" s="317"/>
      <c r="X341" s="317"/>
      <c r="Y341" s="317"/>
      <c r="Z341" s="317"/>
      <c r="AA341" s="317"/>
    </row>
    <row r="342">
      <c r="A342" s="317"/>
      <c r="B342" s="317"/>
      <c r="C342" s="317"/>
      <c r="D342" s="317"/>
      <c r="E342" s="317"/>
      <c r="F342" s="317"/>
      <c r="G342" s="317"/>
      <c r="H342" s="317"/>
      <c r="I342" s="317"/>
      <c r="J342" s="317"/>
      <c r="K342" s="317"/>
      <c r="L342" s="317"/>
      <c r="M342" s="317"/>
      <c r="N342" s="317"/>
      <c r="O342" s="317"/>
      <c r="P342" s="317"/>
      <c r="Q342" s="317"/>
      <c r="R342" s="317"/>
      <c r="S342" s="317"/>
      <c r="T342" s="317"/>
      <c r="U342" s="317"/>
      <c r="V342" s="317"/>
      <c r="W342" s="317"/>
      <c r="X342" s="317"/>
      <c r="Y342" s="317"/>
      <c r="Z342" s="317"/>
      <c r="AA342" s="317"/>
    </row>
    <row r="343">
      <c r="A343" s="317"/>
      <c r="B343" s="317"/>
      <c r="C343" s="317"/>
      <c r="D343" s="317"/>
      <c r="E343" s="317"/>
      <c r="F343" s="317"/>
      <c r="G343" s="317"/>
      <c r="H343" s="317"/>
      <c r="I343" s="317"/>
      <c r="J343" s="317"/>
      <c r="K343" s="317"/>
      <c r="L343" s="317"/>
      <c r="M343" s="317"/>
      <c r="N343" s="317"/>
      <c r="O343" s="317"/>
      <c r="P343" s="317"/>
      <c r="Q343" s="317"/>
      <c r="R343" s="317"/>
      <c r="S343" s="317"/>
      <c r="T343" s="317"/>
      <c r="U343" s="317"/>
      <c r="V343" s="317"/>
      <c r="W343" s="317"/>
      <c r="X343" s="317"/>
      <c r="Y343" s="317"/>
      <c r="Z343" s="317"/>
      <c r="AA343" s="317"/>
    </row>
    <row r="344">
      <c r="A344" s="317"/>
      <c r="B344" s="317"/>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row>
    <row r="345">
      <c r="A345" s="317"/>
      <c r="B345" s="317"/>
      <c r="C345" s="317"/>
      <c r="D345" s="317"/>
      <c r="E345" s="317"/>
      <c r="F345" s="317"/>
      <c r="G345" s="317"/>
      <c r="H345" s="317"/>
      <c r="I345" s="317"/>
      <c r="J345" s="317"/>
      <c r="K345" s="317"/>
      <c r="L345" s="317"/>
      <c r="M345" s="317"/>
      <c r="N345" s="317"/>
      <c r="O345" s="317"/>
      <c r="P345" s="317"/>
      <c r="Q345" s="317"/>
      <c r="R345" s="317"/>
      <c r="S345" s="317"/>
      <c r="T345" s="317"/>
      <c r="U345" s="317"/>
      <c r="V345" s="317"/>
      <c r="W345" s="317"/>
      <c r="X345" s="317"/>
      <c r="Y345" s="317"/>
      <c r="Z345" s="317"/>
      <c r="AA345" s="317"/>
    </row>
    <row r="346">
      <c r="A346" s="317"/>
      <c r="B346" s="317"/>
      <c r="C346" s="317"/>
      <c r="D346" s="317"/>
      <c r="E346" s="317"/>
      <c r="F346" s="317"/>
      <c r="G346" s="317"/>
      <c r="H346" s="317"/>
      <c r="I346" s="317"/>
      <c r="J346" s="317"/>
      <c r="K346" s="317"/>
      <c r="L346" s="317"/>
      <c r="M346" s="317"/>
      <c r="N346" s="317"/>
      <c r="O346" s="317"/>
      <c r="P346" s="317"/>
      <c r="Q346" s="317"/>
      <c r="R346" s="317"/>
      <c r="S346" s="317"/>
      <c r="T346" s="317"/>
      <c r="U346" s="317"/>
      <c r="V346" s="317"/>
      <c r="W346" s="317"/>
      <c r="X346" s="317"/>
      <c r="Y346" s="317"/>
      <c r="Z346" s="317"/>
      <c r="AA346" s="317"/>
    </row>
    <row r="347">
      <c r="A347" s="317"/>
      <c r="B347" s="317"/>
      <c r="C347" s="317"/>
      <c r="D347" s="317"/>
      <c r="E347" s="317"/>
      <c r="F347" s="317"/>
      <c r="G347" s="317"/>
      <c r="H347" s="317"/>
      <c r="I347" s="317"/>
      <c r="J347" s="317"/>
      <c r="K347" s="317"/>
      <c r="L347" s="317"/>
      <c r="M347" s="317"/>
      <c r="N347" s="317"/>
      <c r="O347" s="317"/>
      <c r="P347" s="317"/>
      <c r="Q347" s="317"/>
      <c r="R347" s="317"/>
      <c r="S347" s="317"/>
      <c r="T347" s="317"/>
      <c r="U347" s="317"/>
      <c r="V347" s="317"/>
      <c r="W347" s="317"/>
      <c r="X347" s="317"/>
      <c r="Y347" s="317"/>
      <c r="Z347" s="317"/>
      <c r="AA347" s="317"/>
    </row>
    <row r="348">
      <c r="A348" s="317"/>
      <c r="B348" s="317"/>
      <c r="C348" s="317"/>
      <c r="D348" s="317"/>
      <c r="E348" s="317"/>
      <c r="F348" s="317"/>
      <c r="G348" s="317"/>
      <c r="H348" s="317"/>
      <c r="I348" s="317"/>
      <c r="J348" s="317"/>
      <c r="K348" s="317"/>
      <c r="L348" s="317"/>
      <c r="M348" s="317"/>
      <c r="N348" s="317"/>
      <c r="O348" s="317"/>
      <c r="P348" s="317"/>
      <c r="Q348" s="317"/>
      <c r="R348" s="317"/>
      <c r="S348" s="317"/>
      <c r="T348" s="317"/>
      <c r="U348" s="317"/>
      <c r="V348" s="317"/>
      <c r="W348" s="317"/>
      <c r="X348" s="317"/>
      <c r="Y348" s="317"/>
      <c r="Z348" s="317"/>
      <c r="AA348" s="317"/>
    </row>
    <row r="349">
      <c r="A349" s="317"/>
      <c r="B349" s="317"/>
      <c r="C349" s="317"/>
      <c r="D349" s="317"/>
      <c r="E349" s="317"/>
      <c r="F349" s="317"/>
      <c r="G349" s="317"/>
      <c r="H349" s="317"/>
      <c r="I349" s="317"/>
      <c r="J349" s="317"/>
      <c r="K349" s="317"/>
      <c r="L349" s="317"/>
      <c r="M349" s="317"/>
      <c r="N349" s="317"/>
      <c r="O349" s="317"/>
      <c r="P349" s="317"/>
      <c r="Q349" s="317"/>
      <c r="R349" s="317"/>
      <c r="S349" s="317"/>
      <c r="T349" s="317"/>
      <c r="U349" s="317"/>
      <c r="V349" s="317"/>
      <c r="W349" s="317"/>
      <c r="X349" s="317"/>
      <c r="Y349" s="317"/>
      <c r="Z349" s="317"/>
      <c r="AA349" s="317"/>
    </row>
    <row r="350">
      <c r="A350" s="317"/>
      <c r="B350" s="317"/>
      <c r="C350" s="317"/>
      <c r="D350" s="317"/>
      <c r="E350" s="317"/>
      <c r="F350" s="317"/>
      <c r="G350" s="317"/>
      <c r="H350" s="317"/>
      <c r="I350" s="317"/>
      <c r="J350" s="317"/>
      <c r="K350" s="317"/>
      <c r="L350" s="317"/>
      <c r="M350" s="317"/>
      <c r="N350" s="317"/>
      <c r="O350" s="317"/>
      <c r="P350" s="317"/>
      <c r="Q350" s="317"/>
      <c r="R350" s="317"/>
      <c r="S350" s="317"/>
      <c r="T350" s="317"/>
      <c r="U350" s="317"/>
      <c r="V350" s="317"/>
      <c r="W350" s="317"/>
      <c r="X350" s="317"/>
      <c r="Y350" s="317"/>
      <c r="Z350" s="317"/>
      <c r="AA350" s="317"/>
    </row>
    <row r="351">
      <c r="A351" s="317"/>
      <c r="B351" s="317"/>
      <c r="C351" s="317"/>
      <c r="D351" s="317"/>
      <c r="E351" s="317"/>
      <c r="F351" s="317"/>
      <c r="G351" s="317"/>
      <c r="H351" s="317"/>
      <c r="I351" s="317"/>
      <c r="J351" s="317"/>
      <c r="K351" s="317"/>
      <c r="L351" s="317"/>
      <c r="M351" s="317"/>
      <c r="N351" s="317"/>
      <c r="O351" s="317"/>
      <c r="P351" s="317"/>
      <c r="Q351" s="317"/>
      <c r="R351" s="317"/>
      <c r="S351" s="317"/>
      <c r="T351" s="317"/>
      <c r="U351" s="317"/>
      <c r="V351" s="317"/>
      <c r="W351" s="317"/>
      <c r="X351" s="317"/>
      <c r="Y351" s="317"/>
      <c r="Z351" s="317"/>
      <c r="AA351" s="317"/>
    </row>
    <row r="352">
      <c r="A352" s="317"/>
      <c r="B352" s="317"/>
      <c r="C352" s="317"/>
      <c r="D352" s="317"/>
      <c r="E352" s="317"/>
      <c r="F352" s="317"/>
      <c r="G352" s="317"/>
      <c r="H352" s="317"/>
      <c r="I352" s="317"/>
      <c r="J352" s="317"/>
      <c r="K352" s="317"/>
      <c r="L352" s="317"/>
      <c r="M352" s="317"/>
      <c r="N352" s="317"/>
      <c r="O352" s="317"/>
      <c r="P352" s="317"/>
      <c r="Q352" s="317"/>
      <c r="R352" s="317"/>
      <c r="S352" s="317"/>
      <c r="T352" s="317"/>
      <c r="U352" s="317"/>
      <c r="V352" s="317"/>
      <c r="W352" s="317"/>
      <c r="X352" s="317"/>
      <c r="Y352" s="317"/>
      <c r="Z352" s="317"/>
      <c r="AA352" s="317"/>
    </row>
    <row r="353">
      <c r="A353" s="317"/>
      <c r="B353" s="317"/>
      <c r="C353" s="317"/>
      <c r="D353" s="317"/>
      <c r="E353" s="317"/>
      <c r="F353" s="317"/>
      <c r="G353" s="317"/>
      <c r="H353" s="317"/>
      <c r="I353" s="317"/>
      <c r="J353" s="317"/>
      <c r="K353" s="317"/>
      <c r="L353" s="317"/>
      <c r="M353" s="317"/>
      <c r="N353" s="317"/>
      <c r="O353" s="317"/>
      <c r="P353" s="317"/>
      <c r="Q353" s="317"/>
      <c r="R353" s="317"/>
      <c r="S353" s="317"/>
      <c r="T353" s="317"/>
      <c r="U353" s="317"/>
      <c r="V353" s="317"/>
      <c r="W353" s="317"/>
      <c r="X353" s="317"/>
      <c r="Y353" s="317"/>
      <c r="Z353" s="317"/>
      <c r="AA353" s="317"/>
    </row>
    <row r="354">
      <c r="A354" s="317"/>
      <c r="B354" s="317"/>
      <c r="C354" s="317"/>
      <c r="D354" s="317"/>
      <c r="E354" s="317"/>
      <c r="F354" s="317"/>
      <c r="G354" s="317"/>
      <c r="H354" s="317"/>
      <c r="I354" s="317"/>
      <c r="J354" s="317"/>
      <c r="K354" s="317"/>
      <c r="L354" s="317"/>
      <c r="M354" s="317"/>
      <c r="N354" s="317"/>
      <c r="O354" s="317"/>
      <c r="P354" s="317"/>
      <c r="Q354" s="317"/>
      <c r="R354" s="317"/>
      <c r="S354" s="317"/>
      <c r="T354" s="317"/>
      <c r="U354" s="317"/>
      <c r="V354" s="317"/>
      <c r="W354" s="317"/>
      <c r="X354" s="317"/>
      <c r="Y354" s="317"/>
      <c r="Z354" s="317"/>
      <c r="AA354" s="317"/>
    </row>
    <row r="355">
      <c r="A355" s="317"/>
      <c r="B355" s="317"/>
      <c r="C355" s="317"/>
      <c r="D355" s="317"/>
      <c r="E355" s="317"/>
      <c r="F355" s="317"/>
      <c r="G355" s="317"/>
      <c r="H355" s="317"/>
      <c r="I355" s="317"/>
      <c r="J355" s="317"/>
      <c r="K355" s="317"/>
      <c r="L355" s="317"/>
      <c r="M355" s="317"/>
      <c r="N355" s="317"/>
      <c r="O355" s="317"/>
      <c r="P355" s="317"/>
      <c r="Q355" s="317"/>
      <c r="R355" s="317"/>
      <c r="S355" s="317"/>
      <c r="T355" s="317"/>
      <c r="U355" s="317"/>
      <c r="V355" s="317"/>
      <c r="W355" s="317"/>
      <c r="X355" s="317"/>
      <c r="Y355" s="317"/>
      <c r="Z355" s="317"/>
      <c r="AA355" s="317"/>
    </row>
    <row r="356">
      <c r="A356" s="317"/>
      <c r="B356" s="317"/>
      <c r="C356" s="317"/>
      <c r="D356" s="317"/>
      <c r="E356" s="317"/>
      <c r="F356" s="317"/>
      <c r="G356" s="317"/>
      <c r="H356" s="317"/>
      <c r="I356" s="317"/>
      <c r="J356" s="317"/>
      <c r="K356" s="317"/>
      <c r="L356" s="317"/>
      <c r="M356" s="317"/>
      <c r="N356" s="317"/>
      <c r="O356" s="317"/>
      <c r="P356" s="317"/>
      <c r="Q356" s="317"/>
      <c r="R356" s="317"/>
      <c r="S356" s="317"/>
      <c r="T356" s="317"/>
      <c r="U356" s="317"/>
      <c r="V356" s="317"/>
      <c r="W356" s="317"/>
      <c r="X356" s="317"/>
      <c r="Y356" s="317"/>
      <c r="Z356" s="317"/>
      <c r="AA356" s="317"/>
    </row>
    <row r="357">
      <c r="A357" s="317"/>
      <c r="B357" s="317"/>
      <c r="C357" s="317"/>
      <c r="D357" s="317"/>
      <c r="E357" s="317"/>
      <c r="F357" s="317"/>
      <c r="G357" s="317"/>
      <c r="H357" s="317"/>
      <c r="I357" s="317"/>
      <c r="J357" s="317"/>
      <c r="K357" s="317"/>
      <c r="L357" s="317"/>
      <c r="M357" s="317"/>
      <c r="N357" s="317"/>
      <c r="O357" s="317"/>
      <c r="P357" s="317"/>
      <c r="Q357" s="317"/>
      <c r="R357" s="317"/>
      <c r="S357" s="317"/>
      <c r="T357" s="317"/>
      <c r="U357" s="317"/>
      <c r="V357" s="317"/>
      <c r="W357" s="317"/>
      <c r="X357" s="317"/>
      <c r="Y357" s="317"/>
      <c r="Z357" s="317"/>
      <c r="AA357" s="317"/>
    </row>
    <row r="358">
      <c r="A358" s="317"/>
      <c r="B358" s="317"/>
      <c r="C358" s="317"/>
      <c r="D358" s="317"/>
      <c r="E358" s="317"/>
      <c r="F358" s="317"/>
      <c r="G358" s="317"/>
      <c r="H358" s="317"/>
      <c r="I358" s="317"/>
      <c r="J358" s="317"/>
      <c r="K358" s="317"/>
      <c r="L358" s="317"/>
      <c r="M358" s="317"/>
      <c r="N358" s="317"/>
      <c r="O358" s="317"/>
      <c r="P358" s="317"/>
      <c r="Q358" s="317"/>
      <c r="R358" s="317"/>
      <c r="S358" s="317"/>
      <c r="T358" s="317"/>
      <c r="U358" s="317"/>
      <c r="V358" s="317"/>
      <c r="W358" s="317"/>
      <c r="X358" s="317"/>
      <c r="Y358" s="317"/>
      <c r="Z358" s="317"/>
      <c r="AA358" s="317"/>
    </row>
    <row r="359">
      <c r="A359" s="317"/>
      <c r="B359" s="317"/>
      <c r="C359" s="317"/>
      <c r="D359" s="317"/>
      <c r="E359" s="317"/>
      <c r="F359" s="317"/>
      <c r="G359" s="317"/>
      <c r="H359" s="317"/>
      <c r="I359" s="317"/>
      <c r="J359" s="317"/>
      <c r="K359" s="317"/>
      <c r="L359" s="317"/>
      <c r="M359" s="317"/>
      <c r="N359" s="317"/>
      <c r="O359" s="317"/>
      <c r="P359" s="317"/>
      <c r="Q359" s="317"/>
      <c r="R359" s="317"/>
      <c r="S359" s="317"/>
      <c r="T359" s="317"/>
      <c r="U359" s="317"/>
      <c r="V359" s="317"/>
      <c r="W359" s="317"/>
      <c r="X359" s="317"/>
      <c r="Y359" s="317"/>
      <c r="Z359" s="317"/>
      <c r="AA359" s="317"/>
    </row>
    <row r="360">
      <c r="A360" s="317"/>
      <c r="B360" s="317"/>
      <c r="C360" s="317"/>
      <c r="D360" s="317"/>
      <c r="E360" s="317"/>
      <c r="F360" s="317"/>
      <c r="G360" s="317"/>
      <c r="H360" s="317"/>
      <c r="I360" s="317"/>
      <c r="J360" s="317"/>
      <c r="K360" s="317"/>
      <c r="L360" s="317"/>
      <c r="M360" s="317"/>
      <c r="N360" s="317"/>
      <c r="O360" s="317"/>
      <c r="P360" s="317"/>
      <c r="Q360" s="317"/>
      <c r="R360" s="317"/>
      <c r="S360" s="317"/>
      <c r="T360" s="317"/>
      <c r="U360" s="317"/>
      <c r="V360" s="317"/>
      <c r="W360" s="317"/>
      <c r="X360" s="317"/>
      <c r="Y360" s="317"/>
      <c r="Z360" s="317"/>
      <c r="AA360" s="317"/>
    </row>
    <row r="361">
      <c r="A361" s="317"/>
      <c r="B361" s="317"/>
      <c r="C361" s="317"/>
      <c r="D361" s="317"/>
      <c r="E361" s="317"/>
      <c r="F361" s="317"/>
      <c r="G361" s="317"/>
      <c r="H361" s="317"/>
      <c r="I361" s="317"/>
      <c r="J361" s="317"/>
      <c r="K361" s="317"/>
      <c r="L361" s="317"/>
      <c r="M361" s="317"/>
      <c r="N361" s="317"/>
      <c r="O361" s="317"/>
      <c r="P361" s="317"/>
      <c r="Q361" s="317"/>
      <c r="R361" s="317"/>
      <c r="S361" s="317"/>
      <c r="T361" s="317"/>
      <c r="U361" s="317"/>
      <c r="V361" s="317"/>
      <c r="W361" s="317"/>
      <c r="X361" s="317"/>
      <c r="Y361" s="317"/>
      <c r="Z361" s="317"/>
      <c r="AA361" s="317"/>
    </row>
    <row r="362">
      <c r="A362" s="317"/>
      <c r="B362" s="317"/>
      <c r="C362" s="317"/>
      <c r="D362" s="317"/>
      <c r="E362" s="317"/>
      <c r="F362" s="317"/>
      <c r="G362" s="317"/>
      <c r="H362" s="317"/>
      <c r="I362" s="317"/>
      <c r="J362" s="317"/>
      <c r="K362" s="317"/>
      <c r="L362" s="317"/>
      <c r="M362" s="317"/>
      <c r="N362" s="317"/>
      <c r="O362" s="317"/>
      <c r="P362" s="317"/>
      <c r="Q362" s="317"/>
      <c r="R362" s="317"/>
      <c r="S362" s="317"/>
      <c r="T362" s="317"/>
      <c r="U362" s="317"/>
      <c r="V362" s="317"/>
      <c r="W362" s="317"/>
      <c r="X362" s="317"/>
      <c r="Y362" s="317"/>
      <c r="Z362" s="317"/>
      <c r="AA362" s="317"/>
    </row>
    <row r="363">
      <c r="A363" s="317"/>
      <c r="B363" s="317"/>
      <c r="C363" s="317"/>
      <c r="D363" s="317"/>
      <c r="E363" s="317"/>
      <c r="F363" s="317"/>
      <c r="G363" s="317"/>
      <c r="H363" s="317"/>
      <c r="I363" s="317"/>
      <c r="J363" s="317"/>
      <c r="K363" s="317"/>
      <c r="L363" s="317"/>
      <c r="M363" s="317"/>
      <c r="N363" s="317"/>
      <c r="O363" s="317"/>
      <c r="P363" s="317"/>
      <c r="Q363" s="317"/>
      <c r="R363" s="317"/>
      <c r="S363" s="317"/>
      <c r="T363" s="317"/>
      <c r="U363" s="317"/>
      <c r="V363" s="317"/>
      <c r="W363" s="317"/>
      <c r="X363" s="317"/>
      <c r="Y363" s="317"/>
      <c r="Z363" s="317"/>
      <c r="AA363" s="317"/>
    </row>
    <row r="364">
      <c r="A364" s="317"/>
      <c r="B364" s="317"/>
      <c r="C364" s="317"/>
      <c r="D364" s="317"/>
      <c r="E364" s="317"/>
      <c r="F364" s="317"/>
      <c r="G364" s="317"/>
      <c r="H364" s="317"/>
      <c r="I364" s="317"/>
      <c r="J364" s="317"/>
      <c r="K364" s="317"/>
      <c r="L364" s="317"/>
      <c r="M364" s="317"/>
      <c r="N364" s="317"/>
      <c r="O364" s="317"/>
      <c r="P364" s="317"/>
      <c r="Q364" s="317"/>
      <c r="R364" s="317"/>
      <c r="S364" s="317"/>
      <c r="T364" s="317"/>
      <c r="U364" s="317"/>
      <c r="V364" s="317"/>
      <c r="W364" s="317"/>
      <c r="X364" s="317"/>
      <c r="Y364" s="317"/>
      <c r="Z364" s="317"/>
      <c r="AA364" s="317"/>
    </row>
    <row r="365">
      <c r="A365" s="317"/>
      <c r="B365" s="317"/>
      <c r="C365" s="317"/>
      <c r="D365" s="317"/>
      <c r="E365" s="317"/>
      <c r="F365" s="317"/>
      <c r="G365" s="317"/>
      <c r="H365" s="317"/>
      <c r="I365" s="317"/>
      <c r="J365" s="317"/>
      <c r="K365" s="317"/>
      <c r="L365" s="317"/>
      <c r="M365" s="317"/>
      <c r="N365" s="317"/>
      <c r="O365" s="317"/>
      <c r="P365" s="317"/>
      <c r="Q365" s="317"/>
      <c r="R365" s="317"/>
      <c r="S365" s="317"/>
      <c r="T365" s="317"/>
      <c r="U365" s="317"/>
      <c r="V365" s="317"/>
      <c r="W365" s="317"/>
      <c r="X365" s="317"/>
      <c r="Y365" s="317"/>
      <c r="Z365" s="317"/>
      <c r="AA365" s="317"/>
    </row>
    <row r="366">
      <c r="A366" s="317"/>
      <c r="B366" s="317"/>
      <c r="C366" s="317"/>
      <c r="D366" s="317"/>
      <c r="E366" s="317"/>
      <c r="F366" s="317"/>
      <c r="G366" s="317"/>
      <c r="H366" s="317"/>
      <c r="I366" s="317"/>
      <c r="J366" s="317"/>
      <c r="K366" s="317"/>
      <c r="L366" s="317"/>
      <c r="M366" s="317"/>
      <c r="N366" s="317"/>
      <c r="O366" s="317"/>
      <c r="P366" s="317"/>
      <c r="Q366" s="317"/>
      <c r="R366" s="317"/>
      <c r="S366" s="317"/>
      <c r="T366" s="317"/>
      <c r="U366" s="317"/>
      <c r="V366" s="317"/>
      <c r="W366" s="317"/>
      <c r="X366" s="317"/>
      <c r="Y366" s="317"/>
      <c r="Z366" s="317"/>
      <c r="AA366" s="317"/>
    </row>
    <row r="367">
      <c r="A367" s="317"/>
      <c r="B367" s="317"/>
      <c r="C367" s="317"/>
      <c r="D367" s="317"/>
      <c r="E367" s="317"/>
      <c r="F367" s="317"/>
      <c r="G367" s="317"/>
      <c r="H367" s="317"/>
      <c r="I367" s="317"/>
      <c r="J367" s="317"/>
      <c r="K367" s="317"/>
      <c r="L367" s="317"/>
      <c r="M367" s="317"/>
      <c r="N367" s="317"/>
      <c r="O367" s="317"/>
      <c r="P367" s="317"/>
      <c r="Q367" s="317"/>
      <c r="R367" s="317"/>
      <c r="S367" s="317"/>
      <c r="T367" s="317"/>
      <c r="U367" s="317"/>
      <c r="V367" s="317"/>
      <c r="W367" s="317"/>
      <c r="X367" s="317"/>
      <c r="Y367" s="317"/>
      <c r="Z367" s="317"/>
      <c r="AA367" s="317"/>
    </row>
    <row r="368">
      <c r="A368" s="317"/>
      <c r="B368" s="317"/>
      <c r="C368" s="317"/>
      <c r="D368" s="317"/>
      <c r="E368" s="317"/>
      <c r="F368" s="317"/>
      <c r="G368" s="317"/>
      <c r="H368" s="317"/>
      <c r="I368" s="317"/>
      <c r="J368" s="317"/>
      <c r="K368" s="317"/>
      <c r="L368" s="317"/>
      <c r="M368" s="317"/>
      <c r="N368" s="317"/>
      <c r="O368" s="317"/>
      <c r="P368" s="317"/>
      <c r="Q368" s="317"/>
      <c r="R368" s="317"/>
      <c r="S368" s="317"/>
      <c r="T368" s="317"/>
      <c r="U368" s="317"/>
      <c r="V368" s="317"/>
      <c r="W368" s="317"/>
      <c r="X368" s="317"/>
      <c r="Y368" s="317"/>
      <c r="Z368" s="317"/>
      <c r="AA368" s="317"/>
    </row>
    <row r="369">
      <c r="A369" s="317"/>
      <c r="B369" s="317"/>
      <c r="C369" s="317"/>
      <c r="D369" s="317"/>
      <c r="E369" s="317"/>
      <c r="F369" s="317"/>
      <c r="G369" s="317"/>
      <c r="H369" s="317"/>
      <c r="I369" s="317"/>
      <c r="J369" s="317"/>
      <c r="K369" s="317"/>
      <c r="L369" s="317"/>
      <c r="M369" s="317"/>
      <c r="N369" s="317"/>
      <c r="O369" s="317"/>
      <c r="P369" s="317"/>
      <c r="Q369" s="317"/>
      <c r="R369" s="317"/>
      <c r="S369" s="317"/>
      <c r="T369" s="317"/>
      <c r="U369" s="317"/>
      <c r="V369" s="317"/>
      <c r="W369" s="317"/>
      <c r="X369" s="317"/>
      <c r="Y369" s="317"/>
      <c r="Z369" s="317"/>
      <c r="AA369" s="317"/>
    </row>
    <row r="370">
      <c r="A370" s="317"/>
      <c r="B370" s="317"/>
      <c r="C370" s="317"/>
      <c r="D370" s="317"/>
      <c r="E370" s="317"/>
      <c r="F370" s="317"/>
      <c r="G370" s="317"/>
      <c r="H370" s="317"/>
      <c r="I370" s="317"/>
      <c r="J370" s="317"/>
      <c r="K370" s="317"/>
      <c r="L370" s="317"/>
      <c r="M370" s="317"/>
      <c r="N370" s="317"/>
      <c r="O370" s="317"/>
      <c r="P370" s="317"/>
      <c r="Q370" s="317"/>
      <c r="R370" s="317"/>
      <c r="S370" s="317"/>
      <c r="T370" s="317"/>
      <c r="U370" s="317"/>
      <c r="V370" s="317"/>
      <c r="W370" s="317"/>
      <c r="X370" s="317"/>
      <c r="Y370" s="317"/>
      <c r="Z370" s="317"/>
      <c r="AA370" s="317"/>
    </row>
    <row r="371">
      <c r="A371" s="317"/>
      <c r="B371" s="317"/>
      <c r="C371" s="317"/>
      <c r="D371" s="317"/>
      <c r="E371" s="317"/>
      <c r="F371" s="317"/>
      <c r="G371" s="317"/>
      <c r="H371" s="317"/>
      <c r="I371" s="317"/>
      <c r="J371" s="317"/>
      <c r="K371" s="317"/>
      <c r="L371" s="317"/>
      <c r="M371" s="317"/>
      <c r="N371" s="317"/>
      <c r="O371" s="317"/>
      <c r="P371" s="317"/>
      <c r="Q371" s="317"/>
      <c r="R371" s="317"/>
      <c r="S371" s="317"/>
      <c r="T371" s="317"/>
      <c r="U371" s="317"/>
      <c r="V371" s="317"/>
      <c r="W371" s="317"/>
      <c r="X371" s="317"/>
      <c r="Y371" s="317"/>
      <c r="Z371" s="317"/>
      <c r="AA371" s="317"/>
    </row>
    <row r="372">
      <c r="A372" s="317"/>
      <c r="B372" s="317"/>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row>
    <row r="373">
      <c r="A373" s="317"/>
      <c r="B373" s="317"/>
      <c r="C373" s="317"/>
      <c r="D373" s="317"/>
      <c r="E373" s="317"/>
      <c r="F373" s="317"/>
      <c r="G373" s="317"/>
      <c r="H373" s="317"/>
      <c r="I373" s="317"/>
      <c r="J373" s="317"/>
      <c r="K373" s="317"/>
      <c r="L373" s="317"/>
      <c r="M373" s="317"/>
      <c r="N373" s="317"/>
      <c r="O373" s="317"/>
      <c r="P373" s="317"/>
      <c r="Q373" s="317"/>
      <c r="R373" s="317"/>
      <c r="S373" s="317"/>
      <c r="T373" s="317"/>
      <c r="U373" s="317"/>
      <c r="V373" s="317"/>
      <c r="W373" s="317"/>
      <c r="X373" s="317"/>
      <c r="Y373" s="317"/>
      <c r="Z373" s="317"/>
      <c r="AA373" s="317"/>
    </row>
    <row r="374">
      <c r="A374" s="317"/>
      <c r="B374" s="317"/>
      <c r="C374" s="317"/>
      <c r="D374" s="317"/>
      <c r="E374" s="317"/>
      <c r="F374" s="317"/>
      <c r="G374" s="317"/>
      <c r="H374" s="317"/>
      <c r="I374" s="317"/>
      <c r="J374" s="317"/>
      <c r="K374" s="317"/>
      <c r="L374" s="317"/>
      <c r="M374" s="317"/>
      <c r="N374" s="317"/>
      <c r="O374" s="317"/>
      <c r="P374" s="317"/>
      <c r="Q374" s="317"/>
      <c r="R374" s="317"/>
      <c r="S374" s="317"/>
      <c r="T374" s="317"/>
      <c r="U374" s="317"/>
      <c r="V374" s="317"/>
      <c r="W374" s="317"/>
      <c r="X374" s="317"/>
      <c r="Y374" s="317"/>
      <c r="Z374" s="317"/>
      <c r="AA374" s="317"/>
    </row>
    <row r="375">
      <c r="A375" s="317"/>
      <c r="B375" s="317"/>
      <c r="C375" s="317"/>
      <c r="D375" s="317"/>
      <c r="E375" s="317"/>
      <c r="F375" s="317"/>
      <c r="G375" s="317"/>
      <c r="H375" s="317"/>
      <c r="I375" s="317"/>
      <c r="J375" s="317"/>
      <c r="K375" s="317"/>
      <c r="L375" s="317"/>
      <c r="M375" s="317"/>
      <c r="N375" s="317"/>
      <c r="O375" s="317"/>
      <c r="P375" s="317"/>
      <c r="Q375" s="317"/>
      <c r="R375" s="317"/>
      <c r="S375" s="317"/>
      <c r="T375" s="317"/>
      <c r="U375" s="317"/>
      <c r="V375" s="317"/>
      <c r="W375" s="317"/>
      <c r="X375" s="317"/>
      <c r="Y375" s="317"/>
      <c r="Z375" s="317"/>
      <c r="AA375" s="317"/>
    </row>
    <row r="376">
      <c r="A376" s="317"/>
      <c r="B376" s="317"/>
      <c r="C376" s="317"/>
      <c r="D376" s="317"/>
      <c r="E376" s="317"/>
      <c r="F376" s="317"/>
      <c r="G376" s="317"/>
      <c r="H376" s="317"/>
      <c r="I376" s="317"/>
      <c r="J376" s="317"/>
      <c r="K376" s="317"/>
      <c r="L376" s="317"/>
      <c r="M376" s="317"/>
      <c r="N376" s="317"/>
      <c r="O376" s="317"/>
      <c r="P376" s="317"/>
      <c r="Q376" s="317"/>
      <c r="R376" s="317"/>
      <c r="S376" s="317"/>
      <c r="T376" s="317"/>
      <c r="U376" s="317"/>
      <c r="V376" s="317"/>
      <c r="W376" s="317"/>
      <c r="X376" s="317"/>
      <c r="Y376" s="317"/>
      <c r="Z376" s="317"/>
      <c r="AA376" s="317"/>
    </row>
    <row r="377">
      <c r="A377" s="317"/>
      <c r="B377" s="317"/>
      <c r="C377" s="317"/>
      <c r="D377" s="317"/>
      <c r="E377" s="317"/>
      <c r="F377" s="317"/>
      <c r="G377" s="317"/>
      <c r="H377" s="317"/>
      <c r="I377" s="317"/>
      <c r="J377" s="317"/>
      <c r="K377" s="317"/>
      <c r="L377" s="317"/>
      <c r="M377" s="317"/>
      <c r="N377" s="317"/>
      <c r="O377" s="317"/>
      <c r="P377" s="317"/>
      <c r="Q377" s="317"/>
      <c r="R377" s="317"/>
      <c r="S377" s="317"/>
      <c r="T377" s="317"/>
      <c r="U377" s="317"/>
      <c r="V377" s="317"/>
      <c r="W377" s="317"/>
      <c r="X377" s="317"/>
      <c r="Y377" s="317"/>
      <c r="Z377" s="317"/>
      <c r="AA377" s="317"/>
    </row>
    <row r="378">
      <c r="A378" s="317"/>
      <c r="B378" s="317"/>
      <c r="C378" s="317"/>
      <c r="D378" s="317"/>
      <c r="E378" s="317"/>
      <c r="F378" s="317"/>
      <c r="G378" s="317"/>
      <c r="H378" s="317"/>
      <c r="I378" s="317"/>
      <c r="J378" s="317"/>
      <c r="K378" s="317"/>
      <c r="L378" s="317"/>
      <c r="M378" s="317"/>
      <c r="N378" s="317"/>
      <c r="O378" s="317"/>
      <c r="P378" s="317"/>
      <c r="Q378" s="317"/>
      <c r="R378" s="317"/>
      <c r="S378" s="317"/>
      <c r="T378" s="317"/>
      <c r="U378" s="317"/>
      <c r="V378" s="317"/>
      <c r="W378" s="317"/>
      <c r="X378" s="317"/>
      <c r="Y378" s="317"/>
      <c r="Z378" s="317"/>
      <c r="AA378" s="317"/>
    </row>
    <row r="379">
      <c r="A379" s="317"/>
      <c r="B379" s="317"/>
      <c r="C379" s="317"/>
      <c r="D379" s="317"/>
      <c r="E379" s="317"/>
      <c r="F379" s="317"/>
      <c r="G379" s="317"/>
      <c r="H379" s="317"/>
      <c r="I379" s="317"/>
      <c r="J379" s="317"/>
      <c r="K379" s="317"/>
      <c r="L379" s="317"/>
      <c r="M379" s="317"/>
      <c r="N379" s="317"/>
      <c r="O379" s="317"/>
      <c r="P379" s="317"/>
      <c r="Q379" s="317"/>
      <c r="R379" s="317"/>
      <c r="S379" s="317"/>
      <c r="T379" s="317"/>
      <c r="U379" s="317"/>
      <c r="V379" s="317"/>
      <c r="W379" s="317"/>
      <c r="X379" s="317"/>
      <c r="Y379" s="317"/>
      <c r="Z379" s="317"/>
      <c r="AA379" s="317"/>
    </row>
    <row r="380">
      <c r="A380" s="317"/>
      <c r="B380" s="317"/>
      <c r="C380" s="317"/>
      <c r="D380" s="317"/>
      <c r="E380" s="317"/>
      <c r="F380" s="317"/>
      <c r="G380" s="317"/>
      <c r="H380" s="317"/>
      <c r="I380" s="317"/>
      <c r="J380" s="317"/>
      <c r="K380" s="317"/>
      <c r="L380" s="317"/>
      <c r="M380" s="317"/>
      <c r="N380" s="317"/>
      <c r="O380" s="317"/>
      <c r="P380" s="317"/>
      <c r="Q380" s="317"/>
      <c r="R380" s="317"/>
      <c r="S380" s="317"/>
      <c r="T380" s="317"/>
      <c r="U380" s="317"/>
      <c r="V380" s="317"/>
      <c r="W380" s="317"/>
      <c r="X380" s="317"/>
      <c r="Y380" s="317"/>
      <c r="Z380" s="317"/>
      <c r="AA380" s="317"/>
    </row>
    <row r="381">
      <c r="A381" s="317"/>
      <c r="B381" s="317"/>
      <c r="C381" s="317"/>
      <c r="D381" s="317"/>
      <c r="E381" s="317"/>
      <c r="F381" s="317"/>
      <c r="G381" s="317"/>
      <c r="H381" s="317"/>
      <c r="I381" s="317"/>
      <c r="J381" s="317"/>
      <c r="K381" s="317"/>
      <c r="L381" s="317"/>
      <c r="M381" s="317"/>
      <c r="N381" s="317"/>
      <c r="O381" s="317"/>
      <c r="P381" s="317"/>
      <c r="Q381" s="317"/>
      <c r="R381" s="317"/>
      <c r="S381" s="317"/>
      <c r="T381" s="317"/>
      <c r="U381" s="317"/>
      <c r="V381" s="317"/>
      <c r="W381" s="317"/>
      <c r="X381" s="317"/>
      <c r="Y381" s="317"/>
      <c r="Z381" s="317"/>
      <c r="AA381" s="317"/>
    </row>
    <row r="382">
      <c r="A382" s="317"/>
      <c r="B382" s="317"/>
      <c r="C382" s="317"/>
      <c r="D382" s="317"/>
      <c r="E382" s="317"/>
      <c r="F382" s="317"/>
      <c r="G382" s="317"/>
      <c r="H382" s="317"/>
      <c r="I382" s="317"/>
      <c r="J382" s="317"/>
      <c r="K382" s="317"/>
      <c r="L382" s="317"/>
      <c r="M382" s="317"/>
      <c r="N382" s="317"/>
      <c r="O382" s="317"/>
      <c r="P382" s="317"/>
      <c r="Q382" s="317"/>
      <c r="R382" s="317"/>
      <c r="S382" s="317"/>
      <c r="T382" s="317"/>
      <c r="U382" s="317"/>
      <c r="V382" s="317"/>
      <c r="W382" s="317"/>
      <c r="X382" s="317"/>
      <c r="Y382" s="317"/>
      <c r="Z382" s="317"/>
      <c r="AA382" s="317"/>
    </row>
    <row r="383">
      <c r="A383" s="317"/>
      <c r="B383" s="317"/>
      <c r="C383" s="317"/>
      <c r="D383" s="317"/>
      <c r="E383" s="317"/>
      <c r="F383" s="317"/>
      <c r="G383" s="317"/>
      <c r="H383" s="317"/>
      <c r="I383" s="317"/>
      <c r="J383" s="317"/>
      <c r="K383" s="317"/>
      <c r="L383" s="317"/>
      <c r="M383" s="317"/>
      <c r="N383" s="317"/>
      <c r="O383" s="317"/>
      <c r="P383" s="317"/>
      <c r="Q383" s="317"/>
      <c r="R383" s="317"/>
      <c r="S383" s="317"/>
      <c r="T383" s="317"/>
      <c r="U383" s="317"/>
      <c r="V383" s="317"/>
      <c r="W383" s="317"/>
      <c r="X383" s="317"/>
      <c r="Y383" s="317"/>
      <c r="Z383" s="317"/>
      <c r="AA383" s="317"/>
    </row>
    <row r="384">
      <c r="A384" s="317"/>
      <c r="B384" s="317"/>
      <c r="C384" s="317"/>
      <c r="D384" s="317"/>
      <c r="E384" s="317"/>
      <c r="F384" s="317"/>
      <c r="G384" s="317"/>
      <c r="H384" s="317"/>
      <c r="I384" s="317"/>
      <c r="J384" s="317"/>
      <c r="K384" s="317"/>
      <c r="L384" s="317"/>
      <c r="M384" s="317"/>
      <c r="N384" s="317"/>
      <c r="O384" s="317"/>
      <c r="P384" s="317"/>
      <c r="Q384" s="317"/>
      <c r="R384" s="317"/>
      <c r="S384" s="317"/>
      <c r="T384" s="317"/>
      <c r="U384" s="317"/>
      <c r="V384" s="317"/>
      <c r="W384" s="317"/>
      <c r="X384" s="317"/>
      <c r="Y384" s="317"/>
      <c r="Z384" s="317"/>
      <c r="AA384" s="317"/>
    </row>
    <row r="385">
      <c r="A385" s="317"/>
      <c r="B385" s="317"/>
      <c r="C385" s="317"/>
      <c r="D385" s="317"/>
      <c r="E385" s="317"/>
      <c r="F385" s="317"/>
      <c r="G385" s="317"/>
      <c r="H385" s="317"/>
      <c r="I385" s="317"/>
      <c r="J385" s="317"/>
      <c r="K385" s="317"/>
      <c r="L385" s="317"/>
      <c r="M385" s="317"/>
      <c r="N385" s="317"/>
      <c r="O385" s="317"/>
      <c r="P385" s="317"/>
      <c r="Q385" s="317"/>
      <c r="R385" s="317"/>
      <c r="S385" s="317"/>
      <c r="T385" s="317"/>
      <c r="U385" s="317"/>
      <c r="V385" s="317"/>
      <c r="W385" s="317"/>
      <c r="X385" s="317"/>
      <c r="Y385" s="317"/>
      <c r="Z385" s="317"/>
      <c r="AA385" s="317"/>
    </row>
    <row r="386">
      <c r="A386" s="317"/>
      <c r="B386" s="317"/>
      <c r="C386" s="317"/>
      <c r="D386" s="317"/>
      <c r="E386" s="317"/>
      <c r="F386" s="317"/>
      <c r="G386" s="317"/>
      <c r="H386" s="317"/>
      <c r="I386" s="317"/>
      <c r="J386" s="317"/>
      <c r="K386" s="317"/>
      <c r="L386" s="317"/>
      <c r="M386" s="317"/>
      <c r="N386" s="317"/>
      <c r="O386" s="317"/>
      <c r="P386" s="317"/>
      <c r="Q386" s="317"/>
      <c r="R386" s="317"/>
      <c r="S386" s="317"/>
      <c r="T386" s="317"/>
      <c r="U386" s="317"/>
      <c r="V386" s="317"/>
      <c r="W386" s="317"/>
      <c r="X386" s="317"/>
      <c r="Y386" s="317"/>
      <c r="Z386" s="317"/>
      <c r="AA386" s="317"/>
    </row>
    <row r="387">
      <c r="A387" s="317"/>
      <c r="B387" s="317"/>
      <c r="C387" s="317"/>
      <c r="D387" s="317"/>
      <c r="E387" s="317"/>
      <c r="F387" s="317"/>
      <c r="G387" s="317"/>
      <c r="H387" s="317"/>
      <c r="I387" s="317"/>
      <c r="J387" s="317"/>
      <c r="K387" s="317"/>
      <c r="L387" s="317"/>
      <c r="M387" s="317"/>
      <c r="N387" s="317"/>
      <c r="O387" s="317"/>
      <c r="P387" s="317"/>
      <c r="Q387" s="317"/>
      <c r="R387" s="317"/>
      <c r="S387" s="317"/>
      <c r="T387" s="317"/>
      <c r="U387" s="317"/>
      <c r="V387" s="317"/>
      <c r="W387" s="317"/>
      <c r="X387" s="317"/>
      <c r="Y387" s="317"/>
      <c r="Z387" s="317"/>
      <c r="AA387" s="317"/>
    </row>
    <row r="388">
      <c r="A388" s="317"/>
      <c r="B388" s="317"/>
      <c r="C388" s="317"/>
      <c r="D388" s="317"/>
      <c r="E388" s="317"/>
      <c r="F388" s="317"/>
      <c r="G388" s="317"/>
      <c r="H388" s="317"/>
      <c r="I388" s="317"/>
      <c r="J388" s="317"/>
      <c r="K388" s="317"/>
      <c r="L388" s="317"/>
      <c r="M388" s="317"/>
      <c r="N388" s="317"/>
      <c r="O388" s="317"/>
      <c r="P388" s="317"/>
      <c r="Q388" s="317"/>
      <c r="R388" s="317"/>
      <c r="S388" s="317"/>
      <c r="T388" s="317"/>
      <c r="U388" s="317"/>
      <c r="V388" s="317"/>
      <c r="W388" s="317"/>
      <c r="X388" s="317"/>
      <c r="Y388" s="317"/>
      <c r="Z388" s="317"/>
      <c r="AA388" s="317"/>
    </row>
    <row r="389">
      <c r="A389" s="317"/>
      <c r="B389" s="317"/>
      <c r="C389" s="317"/>
      <c r="D389" s="317"/>
      <c r="E389" s="317"/>
      <c r="F389" s="317"/>
      <c r="G389" s="317"/>
      <c r="H389" s="317"/>
      <c r="I389" s="317"/>
      <c r="J389" s="317"/>
      <c r="K389" s="317"/>
      <c r="L389" s="317"/>
      <c r="M389" s="317"/>
      <c r="N389" s="317"/>
      <c r="O389" s="317"/>
      <c r="P389" s="317"/>
      <c r="Q389" s="317"/>
      <c r="R389" s="317"/>
      <c r="S389" s="317"/>
      <c r="T389" s="317"/>
      <c r="U389" s="317"/>
      <c r="V389" s="317"/>
      <c r="W389" s="317"/>
      <c r="X389" s="317"/>
      <c r="Y389" s="317"/>
      <c r="Z389" s="317"/>
      <c r="AA389" s="317"/>
    </row>
    <row r="390">
      <c r="A390" s="317"/>
      <c r="B390" s="317"/>
      <c r="C390" s="317"/>
      <c r="D390" s="317"/>
      <c r="E390" s="317"/>
      <c r="F390" s="317"/>
      <c r="G390" s="317"/>
      <c r="H390" s="317"/>
      <c r="I390" s="317"/>
      <c r="J390" s="317"/>
      <c r="K390" s="317"/>
      <c r="L390" s="317"/>
      <c r="M390" s="317"/>
      <c r="N390" s="317"/>
      <c r="O390" s="317"/>
      <c r="P390" s="317"/>
      <c r="Q390" s="317"/>
      <c r="R390" s="317"/>
      <c r="S390" s="317"/>
      <c r="T390" s="317"/>
      <c r="U390" s="317"/>
      <c r="V390" s="317"/>
      <c r="W390" s="317"/>
      <c r="X390" s="317"/>
      <c r="Y390" s="317"/>
      <c r="Z390" s="317"/>
      <c r="AA390" s="317"/>
    </row>
    <row r="391">
      <c r="A391" s="317"/>
      <c r="B391" s="317"/>
      <c r="C391" s="317"/>
      <c r="D391" s="317"/>
      <c r="E391" s="317"/>
      <c r="F391" s="317"/>
      <c r="G391" s="317"/>
      <c r="H391" s="317"/>
      <c r="I391" s="317"/>
      <c r="J391" s="317"/>
      <c r="K391" s="317"/>
      <c r="L391" s="317"/>
      <c r="M391" s="317"/>
      <c r="N391" s="317"/>
      <c r="O391" s="317"/>
      <c r="P391" s="317"/>
      <c r="Q391" s="317"/>
      <c r="R391" s="317"/>
      <c r="S391" s="317"/>
      <c r="T391" s="317"/>
      <c r="U391" s="317"/>
      <c r="V391" s="317"/>
      <c r="W391" s="317"/>
      <c r="X391" s="317"/>
      <c r="Y391" s="317"/>
      <c r="Z391" s="317"/>
      <c r="AA391" s="317"/>
    </row>
    <row r="392">
      <c r="A392" s="317"/>
      <c r="B392" s="317"/>
      <c r="C392" s="317"/>
      <c r="D392" s="317"/>
      <c r="E392" s="317"/>
      <c r="F392" s="317"/>
      <c r="G392" s="317"/>
      <c r="H392" s="317"/>
      <c r="I392" s="317"/>
      <c r="J392" s="317"/>
      <c r="K392" s="317"/>
      <c r="L392" s="317"/>
      <c r="M392" s="317"/>
      <c r="N392" s="317"/>
      <c r="O392" s="317"/>
      <c r="P392" s="317"/>
      <c r="Q392" s="317"/>
      <c r="R392" s="317"/>
      <c r="S392" s="317"/>
      <c r="T392" s="317"/>
      <c r="U392" s="317"/>
      <c r="V392" s="317"/>
      <c r="W392" s="317"/>
      <c r="X392" s="317"/>
      <c r="Y392" s="317"/>
      <c r="Z392" s="317"/>
      <c r="AA392" s="317"/>
    </row>
    <row r="393">
      <c r="A393" s="317"/>
      <c r="B393" s="317"/>
      <c r="C393" s="317"/>
      <c r="D393" s="317"/>
      <c r="E393" s="317"/>
      <c r="F393" s="317"/>
      <c r="G393" s="317"/>
      <c r="H393" s="317"/>
      <c r="I393" s="317"/>
      <c r="J393" s="317"/>
      <c r="K393" s="317"/>
      <c r="L393" s="317"/>
      <c r="M393" s="317"/>
      <c r="N393" s="317"/>
      <c r="O393" s="317"/>
      <c r="P393" s="317"/>
      <c r="Q393" s="317"/>
      <c r="R393" s="317"/>
      <c r="S393" s="317"/>
      <c r="T393" s="317"/>
      <c r="U393" s="317"/>
      <c r="V393" s="317"/>
      <c r="W393" s="317"/>
      <c r="X393" s="317"/>
      <c r="Y393" s="317"/>
      <c r="Z393" s="317"/>
      <c r="AA393" s="317"/>
    </row>
    <row r="394">
      <c r="A394" s="317"/>
      <c r="B394" s="317"/>
      <c r="C394" s="317"/>
      <c r="D394" s="317"/>
      <c r="E394" s="317"/>
      <c r="F394" s="317"/>
      <c r="G394" s="317"/>
      <c r="H394" s="317"/>
      <c r="I394" s="317"/>
      <c r="J394" s="317"/>
      <c r="K394" s="317"/>
      <c r="L394" s="317"/>
      <c r="M394" s="317"/>
      <c r="N394" s="317"/>
      <c r="O394" s="317"/>
      <c r="P394" s="317"/>
      <c r="Q394" s="317"/>
      <c r="R394" s="317"/>
      <c r="S394" s="317"/>
      <c r="T394" s="317"/>
      <c r="U394" s="317"/>
      <c r="V394" s="317"/>
      <c r="W394" s="317"/>
      <c r="X394" s="317"/>
      <c r="Y394" s="317"/>
      <c r="Z394" s="317"/>
      <c r="AA394" s="317"/>
    </row>
    <row r="395">
      <c r="A395" s="317"/>
      <c r="B395" s="317"/>
      <c r="C395" s="317"/>
      <c r="D395" s="317"/>
      <c r="E395" s="317"/>
      <c r="F395" s="317"/>
      <c r="G395" s="317"/>
      <c r="H395" s="317"/>
      <c r="I395" s="317"/>
      <c r="J395" s="317"/>
      <c r="K395" s="317"/>
      <c r="L395" s="317"/>
      <c r="M395" s="317"/>
      <c r="N395" s="317"/>
      <c r="O395" s="317"/>
      <c r="P395" s="317"/>
      <c r="Q395" s="317"/>
      <c r="R395" s="317"/>
      <c r="S395" s="317"/>
      <c r="T395" s="317"/>
      <c r="U395" s="317"/>
      <c r="V395" s="317"/>
      <c r="W395" s="317"/>
      <c r="X395" s="317"/>
      <c r="Y395" s="317"/>
      <c r="Z395" s="317"/>
      <c r="AA395" s="317"/>
    </row>
    <row r="396">
      <c r="A396" s="317"/>
      <c r="B396" s="317"/>
      <c r="C396" s="317"/>
      <c r="D396" s="317"/>
      <c r="E396" s="317"/>
      <c r="F396" s="317"/>
      <c r="G396" s="317"/>
      <c r="H396" s="317"/>
      <c r="I396" s="317"/>
      <c r="J396" s="317"/>
      <c r="K396" s="317"/>
      <c r="L396" s="317"/>
      <c r="M396" s="317"/>
      <c r="N396" s="317"/>
      <c r="O396" s="317"/>
      <c r="P396" s="317"/>
      <c r="Q396" s="317"/>
      <c r="R396" s="317"/>
      <c r="S396" s="317"/>
      <c r="T396" s="317"/>
      <c r="U396" s="317"/>
      <c r="V396" s="317"/>
      <c r="W396" s="317"/>
      <c r="X396" s="317"/>
      <c r="Y396" s="317"/>
      <c r="Z396" s="317"/>
      <c r="AA396" s="317"/>
    </row>
    <row r="397">
      <c r="A397" s="317"/>
      <c r="B397" s="317"/>
      <c r="C397" s="317"/>
      <c r="D397" s="317"/>
      <c r="E397" s="317"/>
      <c r="F397" s="317"/>
      <c r="G397" s="317"/>
      <c r="H397" s="317"/>
      <c r="I397" s="317"/>
      <c r="J397" s="317"/>
      <c r="K397" s="317"/>
      <c r="L397" s="317"/>
      <c r="M397" s="317"/>
      <c r="N397" s="317"/>
      <c r="O397" s="317"/>
      <c r="P397" s="317"/>
      <c r="Q397" s="317"/>
      <c r="R397" s="317"/>
      <c r="S397" s="317"/>
      <c r="T397" s="317"/>
      <c r="U397" s="317"/>
      <c r="V397" s="317"/>
      <c r="W397" s="317"/>
      <c r="X397" s="317"/>
      <c r="Y397" s="317"/>
      <c r="Z397" s="317"/>
      <c r="AA397" s="317"/>
    </row>
    <row r="398">
      <c r="A398" s="317"/>
      <c r="B398" s="317"/>
      <c r="C398" s="317"/>
      <c r="D398" s="317"/>
      <c r="E398" s="317"/>
      <c r="F398" s="317"/>
      <c r="G398" s="317"/>
      <c r="H398" s="317"/>
      <c r="I398" s="317"/>
      <c r="J398" s="317"/>
      <c r="K398" s="317"/>
      <c r="L398" s="317"/>
      <c r="M398" s="317"/>
      <c r="N398" s="317"/>
      <c r="O398" s="317"/>
      <c r="P398" s="317"/>
      <c r="Q398" s="317"/>
      <c r="R398" s="317"/>
      <c r="S398" s="317"/>
      <c r="T398" s="317"/>
      <c r="U398" s="317"/>
      <c r="V398" s="317"/>
      <c r="W398" s="317"/>
      <c r="X398" s="317"/>
      <c r="Y398" s="317"/>
      <c r="Z398" s="317"/>
      <c r="AA398" s="317"/>
    </row>
    <row r="399">
      <c r="A399" s="317"/>
      <c r="B399" s="317"/>
      <c r="C399" s="317"/>
      <c r="D399" s="317"/>
      <c r="E399" s="317"/>
      <c r="F399" s="317"/>
      <c r="G399" s="317"/>
      <c r="H399" s="317"/>
      <c r="I399" s="317"/>
      <c r="J399" s="317"/>
      <c r="K399" s="317"/>
      <c r="L399" s="317"/>
      <c r="M399" s="317"/>
      <c r="N399" s="317"/>
      <c r="O399" s="317"/>
      <c r="P399" s="317"/>
      <c r="Q399" s="317"/>
      <c r="R399" s="317"/>
      <c r="S399" s="317"/>
      <c r="T399" s="317"/>
      <c r="U399" s="317"/>
      <c r="V399" s="317"/>
      <c r="W399" s="317"/>
      <c r="X399" s="317"/>
      <c r="Y399" s="317"/>
      <c r="Z399" s="317"/>
      <c r="AA399" s="317"/>
    </row>
    <row r="400">
      <c r="A400" s="317"/>
      <c r="B400" s="317"/>
      <c r="C400" s="317"/>
      <c r="D400" s="317"/>
      <c r="E400" s="317"/>
      <c r="F400" s="317"/>
      <c r="G400" s="317"/>
      <c r="H400" s="317"/>
      <c r="I400" s="317"/>
      <c r="J400" s="317"/>
      <c r="K400" s="317"/>
      <c r="L400" s="317"/>
      <c r="M400" s="317"/>
      <c r="N400" s="317"/>
      <c r="O400" s="317"/>
      <c r="P400" s="317"/>
      <c r="Q400" s="317"/>
      <c r="R400" s="317"/>
      <c r="S400" s="317"/>
      <c r="T400" s="317"/>
      <c r="U400" s="317"/>
      <c r="V400" s="317"/>
      <c r="W400" s="317"/>
      <c r="X400" s="317"/>
      <c r="Y400" s="317"/>
      <c r="Z400" s="317"/>
      <c r="AA400" s="317"/>
    </row>
    <row r="401">
      <c r="A401" s="317"/>
      <c r="B401" s="317"/>
      <c r="C401" s="317"/>
      <c r="D401" s="317"/>
      <c r="E401" s="317"/>
      <c r="F401" s="317"/>
      <c r="G401" s="317"/>
      <c r="H401" s="317"/>
      <c r="I401" s="317"/>
      <c r="J401" s="317"/>
      <c r="K401" s="317"/>
      <c r="L401" s="317"/>
      <c r="M401" s="317"/>
      <c r="N401" s="317"/>
      <c r="O401" s="317"/>
      <c r="P401" s="317"/>
      <c r="Q401" s="317"/>
      <c r="R401" s="317"/>
      <c r="S401" s="317"/>
      <c r="T401" s="317"/>
      <c r="U401" s="317"/>
      <c r="V401" s="317"/>
      <c r="W401" s="317"/>
      <c r="X401" s="317"/>
      <c r="Y401" s="317"/>
      <c r="Z401" s="317"/>
      <c r="AA401" s="317"/>
    </row>
    <row r="402">
      <c r="A402" s="317"/>
      <c r="B402" s="317"/>
      <c r="C402" s="317"/>
      <c r="D402" s="317"/>
      <c r="E402" s="317"/>
      <c r="F402" s="317"/>
      <c r="G402" s="317"/>
      <c r="H402" s="317"/>
      <c r="I402" s="317"/>
      <c r="J402" s="317"/>
      <c r="K402" s="317"/>
      <c r="L402" s="317"/>
      <c r="M402" s="317"/>
      <c r="N402" s="317"/>
      <c r="O402" s="317"/>
      <c r="P402" s="317"/>
      <c r="Q402" s="317"/>
      <c r="R402" s="317"/>
      <c r="S402" s="317"/>
      <c r="T402" s="317"/>
      <c r="U402" s="317"/>
      <c r="V402" s="317"/>
      <c r="W402" s="317"/>
      <c r="X402" s="317"/>
      <c r="Y402" s="317"/>
      <c r="Z402" s="317"/>
      <c r="AA402" s="317"/>
    </row>
    <row r="403">
      <c r="A403" s="317"/>
      <c r="B403" s="317"/>
      <c r="C403" s="317"/>
      <c r="D403" s="317"/>
      <c r="E403" s="317"/>
      <c r="F403" s="317"/>
      <c r="G403" s="317"/>
      <c r="H403" s="317"/>
      <c r="I403" s="317"/>
      <c r="J403" s="317"/>
      <c r="K403" s="317"/>
      <c r="L403" s="317"/>
      <c r="M403" s="317"/>
      <c r="N403" s="317"/>
      <c r="O403" s="317"/>
      <c r="P403" s="317"/>
      <c r="Q403" s="317"/>
      <c r="R403" s="317"/>
      <c r="S403" s="317"/>
      <c r="T403" s="317"/>
      <c r="U403" s="317"/>
      <c r="V403" s="317"/>
      <c r="W403" s="317"/>
      <c r="X403" s="317"/>
      <c r="Y403" s="317"/>
      <c r="Z403" s="317"/>
      <c r="AA403" s="317"/>
    </row>
    <row r="404">
      <c r="A404" s="317"/>
      <c r="B404" s="317"/>
      <c r="C404" s="317"/>
      <c r="D404" s="317"/>
      <c r="E404" s="317"/>
      <c r="F404" s="317"/>
      <c r="G404" s="317"/>
      <c r="H404" s="317"/>
      <c r="I404" s="317"/>
      <c r="J404" s="317"/>
      <c r="K404" s="317"/>
      <c r="L404" s="317"/>
      <c r="M404" s="317"/>
      <c r="N404" s="317"/>
      <c r="O404" s="317"/>
      <c r="P404" s="317"/>
      <c r="Q404" s="317"/>
      <c r="R404" s="317"/>
      <c r="S404" s="317"/>
      <c r="T404" s="317"/>
      <c r="U404" s="317"/>
      <c r="V404" s="317"/>
      <c r="W404" s="317"/>
      <c r="X404" s="317"/>
      <c r="Y404" s="317"/>
      <c r="Z404" s="317"/>
      <c r="AA404" s="317"/>
    </row>
    <row r="405">
      <c r="A405" s="317"/>
      <c r="B405" s="317"/>
      <c r="C405" s="317"/>
      <c r="D405" s="317"/>
      <c r="E405" s="317"/>
      <c r="F405" s="317"/>
      <c r="G405" s="317"/>
      <c r="H405" s="317"/>
      <c r="I405" s="317"/>
      <c r="J405" s="317"/>
      <c r="K405" s="317"/>
      <c r="L405" s="317"/>
      <c r="M405" s="317"/>
      <c r="N405" s="317"/>
      <c r="O405" s="317"/>
      <c r="P405" s="317"/>
      <c r="Q405" s="317"/>
      <c r="R405" s="317"/>
      <c r="S405" s="317"/>
      <c r="T405" s="317"/>
      <c r="U405" s="317"/>
      <c r="V405" s="317"/>
      <c r="W405" s="317"/>
      <c r="X405" s="317"/>
      <c r="Y405" s="317"/>
      <c r="Z405" s="317"/>
      <c r="AA405" s="317"/>
    </row>
    <row r="406">
      <c r="A406" s="317"/>
      <c r="B406" s="317"/>
      <c r="C406" s="317"/>
      <c r="D406" s="317"/>
      <c r="E406" s="317"/>
      <c r="F406" s="317"/>
      <c r="G406" s="317"/>
      <c r="H406" s="317"/>
      <c r="I406" s="317"/>
      <c r="J406" s="317"/>
      <c r="K406" s="317"/>
      <c r="L406" s="317"/>
      <c r="M406" s="317"/>
      <c r="N406" s="317"/>
      <c r="O406" s="317"/>
      <c r="P406" s="317"/>
      <c r="Q406" s="317"/>
      <c r="R406" s="317"/>
      <c r="S406" s="317"/>
      <c r="T406" s="317"/>
      <c r="U406" s="317"/>
      <c r="V406" s="317"/>
      <c r="W406" s="317"/>
      <c r="X406" s="317"/>
      <c r="Y406" s="317"/>
      <c r="Z406" s="317"/>
      <c r="AA406" s="317"/>
    </row>
    <row r="407">
      <c r="A407" s="317"/>
      <c r="B407" s="317"/>
      <c r="C407" s="317"/>
      <c r="D407" s="317"/>
      <c r="E407" s="317"/>
      <c r="F407" s="317"/>
      <c r="G407" s="317"/>
      <c r="H407" s="317"/>
      <c r="I407" s="317"/>
      <c r="J407" s="317"/>
      <c r="K407" s="317"/>
      <c r="L407" s="317"/>
      <c r="M407" s="317"/>
      <c r="N407" s="317"/>
      <c r="O407" s="317"/>
      <c r="P407" s="317"/>
      <c r="Q407" s="317"/>
      <c r="R407" s="317"/>
      <c r="S407" s="317"/>
      <c r="T407" s="317"/>
      <c r="U407" s="317"/>
      <c r="V407" s="317"/>
      <c r="W407" s="317"/>
      <c r="X407" s="317"/>
      <c r="Y407" s="317"/>
      <c r="Z407" s="317"/>
      <c r="AA407" s="317"/>
    </row>
    <row r="408">
      <c r="A408" s="317"/>
      <c r="B408" s="317"/>
      <c r="C408" s="317"/>
      <c r="D408" s="317"/>
      <c r="E408" s="317"/>
      <c r="F408" s="317"/>
      <c r="G408" s="317"/>
      <c r="H408" s="317"/>
      <c r="I408" s="317"/>
      <c r="J408" s="317"/>
      <c r="K408" s="317"/>
      <c r="L408" s="317"/>
      <c r="M408" s="317"/>
      <c r="N408" s="317"/>
      <c r="O408" s="317"/>
      <c r="P408" s="317"/>
      <c r="Q408" s="317"/>
      <c r="R408" s="317"/>
      <c r="S408" s="317"/>
      <c r="T408" s="317"/>
      <c r="U408" s="317"/>
      <c r="V408" s="317"/>
      <c r="W408" s="317"/>
      <c r="X408" s="317"/>
      <c r="Y408" s="317"/>
      <c r="Z408" s="317"/>
      <c r="AA408" s="317"/>
    </row>
    <row r="409">
      <c r="A409" s="317"/>
      <c r="B409" s="317"/>
      <c r="C409" s="317"/>
      <c r="D409" s="317"/>
      <c r="E409" s="317"/>
      <c r="F409" s="317"/>
      <c r="G409" s="317"/>
      <c r="H409" s="317"/>
      <c r="I409" s="317"/>
      <c r="J409" s="317"/>
      <c r="K409" s="317"/>
      <c r="L409" s="317"/>
      <c r="M409" s="317"/>
      <c r="N409" s="317"/>
      <c r="O409" s="317"/>
      <c r="P409" s="317"/>
      <c r="Q409" s="317"/>
      <c r="R409" s="317"/>
      <c r="S409" s="317"/>
      <c r="T409" s="317"/>
      <c r="U409" s="317"/>
      <c r="V409" s="317"/>
      <c r="W409" s="317"/>
      <c r="X409" s="317"/>
      <c r="Y409" s="317"/>
      <c r="Z409" s="317"/>
      <c r="AA409" s="317"/>
    </row>
    <row r="410">
      <c r="A410" s="317"/>
      <c r="B410" s="317"/>
      <c r="C410" s="317"/>
      <c r="D410" s="317"/>
      <c r="E410" s="317"/>
      <c r="F410" s="317"/>
      <c r="G410" s="317"/>
      <c r="H410" s="317"/>
      <c r="I410" s="317"/>
      <c r="J410" s="317"/>
      <c r="K410" s="317"/>
      <c r="L410" s="317"/>
      <c r="M410" s="317"/>
      <c r="N410" s="317"/>
      <c r="O410" s="317"/>
      <c r="P410" s="317"/>
      <c r="Q410" s="317"/>
      <c r="R410" s="317"/>
      <c r="S410" s="317"/>
      <c r="T410" s="317"/>
      <c r="U410" s="317"/>
      <c r="V410" s="317"/>
      <c r="W410" s="317"/>
      <c r="X410" s="317"/>
      <c r="Y410" s="317"/>
      <c r="Z410" s="317"/>
      <c r="AA410" s="317"/>
    </row>
    <row r="411">
      <c r="A411" s="317"/>
      <c r="B411" s="317"/>
      <c r="C411" s="317"/>
      <c r="D411" s="317"/>
      <c r="E411" s="317"/>
      <c r="F411" s="317"/>
      <c r="G411" s="317"/>
      <c r="H411" s="317"/>
      <c r="I411" s="317"/>
      <c r="J411" s="317"/>
      <c r="K411" s="317"/>
      <c r="L411" s="317"/>
      <c r="M411" s="317"/>
      <c r="N411" s="317"/>
      <c r="O411" s="317"/>
      <c r="P411" s="317"/>
      <c r="Q411" s="317"/>
      <c r="R411" s="317"/>
      <c r="S411" s="317"/>
      <c r="T411" s="317"/>
      <c r="U411" s="317"/>
      <c r="V411" s="317"/>
      <c r="W411" s="317"/>
      <c r="X411" s="317"/>
      <c r="Y411" s="317"/>
      <c r="Z411" s="317"/>
      <c r="AA411" s="317"/>
    </row>
    <row r="412">
      <c r="A412" s="317"/>
      <c r="B412" s="317"/>
      <c r="C412" s="317"/>
      <c r="D412" s="317"/>
      <c r="E412" s="317"/>
      <c r="F412" s="317"/>
      <c r="G412" s="317"/>
      <c r="H412" s="317"/>
      <c r="I412" s="317"/>
      <c r="J412" s="317"/>
      <c r="K412" s="317"/>
      <c r="L412" s="317"/>
      <c r="M412" s="317"/>
      <c r="N412" s="317"/>
      <c r="O412" s="317"/>
      <c r="P412" s="317"/>
      <c r="Q412" s="317"/>
      <c r="R412" s="317"/>
      <c r="S412" s="317"/>
      <c r="T412" s="317"/>
      <c r="U412" s="317"/>
      <c r="V412" s="317"/>
      <c r="W412" s="317"/>
      <c r="X412" s="317"/>
      <c r="Y412" s="317"/>
      <c r="Z412" s="317"/>
      <c r="AA412" s="317"/>
    </row>
    <row r="413">
      <c r="A413" s="317"/>
      <c r="B413" s="317"/>
      <c r="C413" s="317"/>
      <c r="D413" s="317"/>
      <c r="E413" s="317"/>
      <c r="F413" s="317"/>
      <c r="G413" s="317"/>
      <c r="H413" s="317"/>
      <c r="I413" s="317"/>
      <c r="J413" s="317"/>
      <c r="K413" s="317"/>
      <c r="L413" s="317"/>
      <c r="M413" s="317"/>
      <c r="N413" s="317"/>
      <c r="O413" s="317"/>
      <c r="P413" s="317"/>
      <c r="Q413" s="317"/>
      <c r="R413" s="317"/>
      <c r="S413" s="317"/>
      <c r="T413" s="317"/>
      <c r="U413" s="317"/>
      <c r="V413" s="317"/>
      <c r="W413" s="317"/>
      <c r="X413" s="317"/>
      <c r="Y413" s="317"/>
      <c r="Z413" s="317"/>
      <c r="AA413" s="317"/>
    </row>
    <row r="414">
      <c r="A414" s="317"/>
      <c r="B414" s="317"/>
      <c r="C414" s="317"/>
      <c r="D414" s="317"/>
      <c r="E414" s="317"/>
      <c r="F414" s="317"/>
      <c r="G414" s="317"/>
      <c r="H414" s="317"/>
      <c r="I414" s="317"/>
      <c r="J414" s="317"/>
      <c r="K414" s="317"/>
      <c r="L414" s="317"/>
      <c r="M414" s="317"/>
      <c r="N414" s="317"/>
      <c r="O414" s="317"/>
      <c r="P414" s="317"/>
      <c r="Q414" s="317"/>
      <c r="R414" s="317"/>
      <c r="S414" s="317"/>
      <c r="T414" s="317"/>
      <c r="U414" s="317"/>
      <c r="V414" s="317"/>
      <c r="W414" s="317"/>
      <c r="X414" s="317"/>
      <c r="Y414" s="317"/>
      <c r="Z414" s="317"/>
      <c r="AA414" s="317"/>
    </row>
    <row r="415">
      <c r="A415" s="317"/>
      <c r="B415" s="317"/>
      <c r="C415" s="317"/>
      <c r="D415" s="317"/>
      <c r="E415" s="317"/>
      <c r="F415" s="317"/>
      <c r="G415" s="317"/>
      <c r="H415" s="317"/>
      <c r="I415" s="317"/>
      <c r="J415" s="317"/>
      <c r="K415" s="317"/>
      <c r="L415" s="317"/>
      <c r="M415" s="317"/>
      <c r="N415" s="317"/>
      <c r="O415" s="317"/>
      <c r="P415" s="317"/>
      <c r="Q415" s="317"/>
      <c r="R415" s="317"/>
      <c r="S415" s="317"/>
      <c r="T415" s="317"/>
      <c r="U415" s="317"/>
      <c r="V415" s="317"/>
      <c r="W415" s="317"/>
      <c r="X415" s="317"/>
      <c r="Y415" s="317"/>
      <c r="Z415" s="317"/>
      <c r="AA415" s="317"/>
    </row>
    <row r="416">
      <c r="A416" s="317"/>
      <c r="B416" s="317"/>
      <c r="C416" s="317"/>
      <c r="D416" s="317"/>
      <c r="E416" s="317"/>
      <c r="F416" s="317"/>
      <c r="G416" s="317"/>
      <c r="H416" s="317"/>
      <c r="I416" s="317"/>
      <c r="J416" s="317"/>
      <c r="K416" s="317"/>
      <c r="L416" s="317"/>
      <c r="M416" s="317"/>
      <c r="N416" s="317"/>
      <c r="O416" s="317"/>
      <c r="P416" s="317"/>
      <c r="Q416" s="317"/>
      <c r="R416" s="317"/>
      <c r="S416" s="317"/>
      <c r="T416" s="317"/>
      <c r="U416" s="317"/>
      <c r="V416" s="317"/>
      <c r="W416" s="317"/>
      <c r="X416" s="317"/>
      <c r="Y416" s="317"/>
      <c r="Z416" s="317"/>
      <c r="AA416" s="317"/>
    </row>
    <row r="417">
      <c r="A417" s="317"/>
      <c r="B417" s="317"/>
      <c r="C417" s="317"/>
      <c r="D417" s="317"/>
      <c r="E417" s="317"/>
      <c r="F417" s="317"/>
      <c r="G417" s="317"/>
      <c r="H417" s="317"/>
      <c r="I417" s="317"/>
      <c r="J417" s="317"/>
      <c r="K417" s="317"/>
      <c r="L417" s="317"/>
      <c r="M417" s="317"/>
      <c r="N417" s="317"/>
      <c r="O417" s="317"/>
      <c r="P417" s="317"/>
      <c r="Q417" s="317"/>
      <c r="R417" s="317"/>
      <c r="S417" s="317"/>
      <c r="T417" s="317"/>
      <c r="U417" s="317"/>
      <c r="V417" s="317"/>
      <c r="W417" s="317"/>
      <c r="X417" s="317"/>
      <c r="Y417" s="317"/>
      <c r="Z417" s="317"/>
      <c r="AA417" s="317"/>
    </row>
    <row r="418">
      <c r="A418" s="317"/>
      <c r="B418" s="317"/>
      <c r="C418" s="317"/>
      <c r="D418" s="317"/>
      <c r="E418" s="317"/>
      <c r="F418" s="317"/>
      <c r="G418" s="317"/>
      <c r="H418" s="317"/>
      <c r="I418" s="317"/>
      <c r="J418" s="317"/>
      <c r="K418" s="317"/>
      <c r="L418" s="317"/>
      <c r="M418" s="317"/>
      <c r="N418" s="317"/>
      <c r="O418" s="317"/>
      <c r="P418" s="317"/>
      <c r="Q418" s="317"/>
      <c r="R418" s="317"/>
      <c r="S418" s="317"/>
      <c r="T418" s="317"/>
      <c r="U418" s="317"/>
      <c r="V418" s="317"/>
      <c r="W418" s="317"/>
      <c r="X418" s="317"/>
      <c r="Y418" s="317"/>
      <c r="Z418" s="317"/>
      <c r="AA418" s="317"/>
    </row>
    <row r="419">
      <c r="A419" s="317"/>
      <c r="B419" s="317"/>
      <c r="C419" s="317"/>
      <c r="D419" s="317"/>
      <c r="E419" s="317"/>
      <c r="F419" s="317"/>
      <c r="G419" s="317"/>
      <c r="H419" s="317"/>
      <c r="I419" s="317"/>
      <c r="J419" s="317"/>
      <c r="K419" s="317"/>
      <c r="L419" s="317"/>
      <c r="M419" s="317"/>
      <c r="N419" s="317"/>
      <c r="O419" s="317"/>
      <c r="P419" s="317"/>
      <c r="Q419" s="317"/>
      <c r="R419" s="317"/>
      <c r="S419" s="317"/>
      <c r="T419" s="317"/>
      <c r="U419" s="317"/>
      <c r="V419" s="317"/>
      <c r="W419" s="317"/>
      <c r="X419" s="317"/>
      <c r="Y419" s="317"/>
      <c r="Z419" s="317"/>
      <c r="AA419" s="317"/>
    </row>
    <row r="420">
      <c r="A420" s="317"/>
      <c r="B420" s="317"/>
      <c r="C420" s="317"/>
      <c r="D420" s="317"/>
      <c r="E420" s="317"/>
      <c r="F420" s="317"/>
      <c r="G420" s="317"/>
      <c r="H420" s="317"/>
      <c r="I420" s="317"/>
      <c r="J420" s="317"/>
      <c r="K420" s="317"/>
      <c r="L420" s="317"/>
      <c r="M420" s="317"/>
      <c r="N420" s="317"/>
      <c r="O420" s="317"/>
      <c r="P420" s="317"/>
      <c r="Q420" s="317"/>
      <c r="R420" s="317"/>
      <c r="S420" s="317"/>
      <c r="T420" s="317"/>
      <c r="U420" s="317"/>
      <c r="V420" s="317"/>
      <c r="W420" s="317"/>
      <c r="X420" s="317"/>
      <c r="Y420" s="317"/>
      <c r="Z420" s="317"/>
      <c r="AA420" s="317"/>
    </row>
    <row r="421">
      <c r="A421" s="317"/>
      <c r="B421" s="317"/>
      <c r="C421" s="317"/>
      <c r="D421" s="317"/>
      <c r="E421" s="317"/>
      <c r="F421" s="317"/>
      <c r="G421" s="317"/>
      <c r="H421" s="317"/>
      <c r="I421" s="317"/>
      <c r="J421" s="317"/>
      <c r="K421" s="317"/>
      <c r="L421" s="317"/>
      <c r="M421" s="317"/>
      <c r="N421" s="317"/>
      <c r="O421" s="317"/>
      <c r="P421" s="317"/>
      <c r="Q421" s="317"/>
      <c r="R421" s="317"/>
      <c r="S421" s="317"/>
      <c r="T421" s="317"/>
      <c r="U421" s="317"/>
      <c r="V421" s="317"/>
      <c r="W421" s="317"/>
      <c r="X421" s="317"/>
      <c r="Y421" s="317"/>
      <c r="Z421" s="317"/>
      <c r="AA421" s="317"/>
    </row>
    <row r="422">
      <c r="A422" s="317"/>
      <c r="B422" s="317"/>
      <c r="C422" s="317"/>
      <c r="D422" s="317"/>
      <c r="E422" s="317"/>
      <c r="F422" s="317"/>
      <c r="G422" s="317"/>
      <c r="H422" s="317"/>
      <c r="I422" s="317"/>
      <c r="J422" s="317"/>
      <c r="K422" s="317"/>
      <c r="L422" s="317"/>
      <c r="M422" s="317"/>
      <c r="N422" s="317"/>
      <c r="O422" s="317"/>
      <c r="P422" s="317"/>
      <c r="Q422" s="317"/>
      <c r="R422" s="317"/>
      <c r="S422" s="317"/>
      <c r="T422" s="317"/>
      <c r="U422" s="317"/>
      <c r="V422" s="317"/>
      <c r="W422" s="317"/>
      <c r="X422" s="317"/>
      <c r="Y422" s="317"/>
      <c r="Z422" s="317"/>
      <c r="AA422" s="317"/>
    </row>
    <row r="423">
      <c r="A423" s="317"/>
      <c r="B423" s="317"/>
      <c r="C423" s="317"/>
      <c r="D423" s="317"/>
      <c r="E423" s="317"/>
      <c r="F423" s="317"/>
      <c r="G423" s="317"/>
      <c r="H423" s="317"/>
      <c r="I423" s="317"/>
      <c r="J423" s="317"/>
      <c r="K423" s="317"/>
      <c r="L423" s="317"/>
      <c r="M423" s="317"/>
      <c r="N423" s="317"/>
      <c r="O423" s="317"/>
      <c r="P423" s="317"/>
      <c r="Q423" s="317"/>
      <c r="R423" s="317"/>
      <c r="S423" s="317"/>
      <c r="T423" s="317"/>
      <c r="U423" s="317"/>
      <c r="V423" s="317"/>
      <c r="W423" s="317"/>
      <c r="X423" s="317"/>
      <c r="Y423" s="317"/>
      <c r="Z423" s="317"/>
      <c r="AA423" s="317"/>
    </row>
    <row r="424">
      <c r="A424" s="317"/>
      <c r="B424" s="317"/>
      <c r="C424" s="317"/>
      <c r="D424" s="317"/>
      <c r="E424" s="317"/>
      <c r="F424" s="317"/>
      <c r="G424" s="317"/>
      <c r="H424" s="317"/>
      <c r="I424" s="317"/>
      <c r="J424" s="317"/>
      <c r="K424" s="317"/>
      <c r="L424" s="317"/>
      <c r="M424" s="317"/>
      <c r="N424" s="317"/>
      <c r="O424" s="317"/>
      <c r="P424" s="317"/>
      <c r="Q424" s="317"/>
      <c r="R424" s="317"/>
      <c r="S424" s="317"/>
      <c r="T424" s="317"/>
      <c r="U424" s="317"/>
      <c r="V424" s="317"/>
      <c r="W424" s="317"/>
      <c r="X424" s="317"/>
      <c r="Y424" s="317"/>
      <c r="Z424" s="317"/>
      <c r="AA424" s="317"/>
    </row>
    <row r="425">
      <c r="A425" s="317"/>
      <c r="B425" s="317"/>
      <c r="C425" s="317"/>
      <c r="D425" s="317"/>
      <c r="E425" s="317"/>
      <c r="F425" s="317"/>
      <c r="G425" s="317"/>
      <c r="H425" s="317"/>
      <c r="I425" s="317"/>
      <c r="J425" s="317"/>
      <c r="K425" s="317"/>
      <c r="L425" s="317"/>
      <c r="M425" s="317"/>
      <c r="N425" s="317"/>
      <c r="O425" s="317"/>
      <c r="P425" s="317"/>
      <c r="Q425" s="317"/>
      <c r="R425" s="317"/>
      <c r="S425" s="317"/>
      <c r="T425" s="317"/>
      <c r="U425" s="317"/>
      <c r="V425" s="317"/>
      <c r="W425" s="317"/>
      <c r="X425" s="317"/>
      <c r="Y425" s="317"/>
      <c r="Z425" s="317"/>
      <c r="AA425" s="317"/>
    </row>
    <row r="426">
      <c r="A426" s="317"/>
      <c r="B426" s="317"/>
      <c r="C426" s="317"/>
      <c r="D426" s="317"/>
      <c r="E426" s="317"/>
      <c r="F426" s="317"/>
      <c r="G426" s="317"/>
      <c r="H426" s="317"/>
      <c r="I426" s="317"/>
      <c r="J426" s="317"/>
      <c r="K426" s="317"/>
      <c r="L426" s="317"/>
      <c r="M426" s="317"/>
      <c r="N426" s="317"/>
      <c r="O426" s="317"/>
      <c r="P426" s="317"/>
      <c r="Q426" s="317"/>
      <c r="R426" s="317"/>
      <c r="S426" s="317"/>
      <c r="T426" s="317"/>
      <c r="U426" s="317"/>
      <c r="V426" s="317"/>
      <c r="W426" s="317"/>
      <c r="X426" s="317"/>
      <c r="Y426" s="317"/>
      <c r="Z426" s="317"/>
      <c r="AA426" s="317"/>
    </row>
    <row r="427">
      <c r="A427" s="317"/>
      <c r="B427" s="317"/>
      <c r="C427" s="317"/>
      <c r="D427" s="317"/>
      <c r="E427" s="317"/>
      <c r="F427" s="317"/>
      <c r="G427" s="317"/>
      <c r="H427" s="317"/>
      <c r="I427" s="317"/>
      <c r="J427" s="317"/>
      <c r="K427" s="317"/>
      <c r="L427" s="317"/>
      <c r="M427" s="317"/>
      <c r="N427" s="317"/>
      <c r="O427" s="317"/>
      <c r="P427" s="317"/>
      <c r="Q427" s="317"/>
      <c r="R427" s="317"/>
      <c r="S427" s="317"/>
      <c r="T427" s="317"/>
      <c r="U427" s="317"/>
      <c r="V427" s="317"/>
      <c r="W427" s="317"/>
      <c r="X427" s="317"/>
      <c r="Y427" s="317"/>
      <c r="Z427" s="317"/>
      <c r="AA427" s="317"/>
    </row>
    <row r="428">
      <c r="A428" s="317"/>
      <c r="B428" s="317"/>
      <c r="C428" s="317"/>
      <c r="D428" s="317"/>
      <c r="E428" s="317"/>
      <c r="F428" s="317"/>
      <c r="G428" s="317"/>
      <c r="H428" s="317"/>
      <c r="I428" s="317"/>
      <c r="J428" s="317"/>
      <c r="K428" s="317"/>
      <c r="L428" s="317"/>
      <c r="M428" s="317"/>
      <c r="N428" s="317"/>
      <c r="O428" s="317"/>
      <c r="P428" s="317"/>
      <c r="Q428" s="317"/>
      <c r="R428" s="317"/>
      <c r="S428" s="317"/>
      <c r="T428" s="317"/>
      <c r="U428" s="317"/>
      <c r="V428" s="317"/>
      <c r="W428" s="317"/>
      <c r="X428" s="317"/>
      <c r="Y428" s="317"/>
      <c r="Z428" s="317"/>
      <c r="AA428" s="317"/>
    </row>
    <row r="429">
      <c r="A429" s="317"/>
      <c r="B429" s="317"/>
      <c r="C429" s="317"/>
      <c r="D429" s="317"/>
      <c r="E429" s="317"/>
      <c r="F429" s="317"/>
      <c r="G429" s="317"/>
      <c r="H429" s="317"/>
      <c r="I429" s="317"/>
      <c r="J429" s="317"/>
      <c r="K429" s="317"/>
      <c r="L429" s="317"/>
      <c r="M429" s="317"/>
      <c r="N429" s="317"/>
      <c r="O429" s="317"/>
      <c r="P429" s="317"/>
      <c r="Q429" s="317"/>
      <c r="R429" s="317"/>
      <c r="S429" s="317"/>
      <c r="T429" s="317"/>
      <c r="U429" s="317"/>
      <c r="V429" s="317"/>
      <c r="W429" s="317"/>
      <c r="X429" s="317"/>
      <c r="Y429" s="317"/>
      <c r="Z429" s="317"/>
      <c r="AA429" s="317"/>
    </row>
    <row r="430">
      <c r="A430" s="317"/>
      <c r="B430" s="317"/>
      <c r="C430" s="317"/>
      <c r="D430" s="317"/>
      <c r="E430" s="317"/>
      <c r="F430" s="317"/>
      <c r="G430" s="317"/>
      <c r="H430" s="317"/>
      <c r="I430" s="317"/>
      <c r="J430" s="317"/>
      <c r="K430" s="317"/>
      <c r="L430" s="317"/>
      <c r="M430" s="317"/>
      <c r="N430" s="317"/>
      <c r="O430" s="317"/>
      <c r="P430" s="317"/>
      <c r="Q430" s="317"/>
      <c r="R430" s="317"/>
      <c r="S430" s="317"/>
      <c r="T430" s="317"/>
      <c r="U430" s="317"/>
      <c r="V430" s="317"/>
      <c r="W430" s="317"/>
      <c r="X430" s="317"/>
      <c r="Y430" s="317"/>
      <c r="Z430" s="317"/>
      <c r="AA430" s="317"/>
    </row>
    <row r="431">
      <c r="A431" s="317"/>
      <c r="B431" s="317"/>
      <c r="C431" s="317"/>
      <c r="D431" s="317"/>
      <c r="E431" s="317"/>
      <c r="F431" s="317"/>
      <c r="G431" s="317"/>
      <c r="H431" s="317"/>
      <c r="I431" s="317"/>
      <c r="J431" s="317"/>
      <c r="K431" s="317"/>
      <c r="L431" s="317"/>
      <c r="M431" s="317"/>
      <c r="N431" s="317"/>
      <c r="O431" s="317"/>
      <c r="P431" s="317"/>
      <c r="Q431" s="317"/>
      <c r="R431" s="317"/>
      <c r="S431" s="317"/>
      <c r="T431" s="317"/>
      <c r="U431" s="317"/>
      <c r="V431" s="317"/>
      <c r="W431" s="317"/>
      <c r="X431" s="317"/>
      <c r="Y431" s="317"/>
      <c r="Z431" s="317"/>
      <c r="AA431" s="317"/>
    </row>
    <row r="432">
      <c r="A432" s="317"/>
      <c r="B432" s="317"/>
      <c r="C432" s="317"/>
      <c r="D432" s="317"/>
      <c r="E432" s="317"/>
      <c r="F432" s="317"/>
      <c r="G432" s="317"/>
      <c r="H432" s="317"/>
      <c r="I432" s="317"/>
      <c r="J432" s="317"/>
      <c r="K432" s="317"/>
      <c r="L432" s="317"/>
      <c r="M432" s="317"/>
      <c r="N432" s="317"/>
      <c r="O432" s="317"/>
      <c r="P432" s="317"/>
      <c r="Q432" s="317"/>
      <c r="R432" s="317"/>
      <c r="S432" s="317"/>
      <c r="T432" s="317"/>
      <c r="U432" s="317"/>
      <c r="V432" s="317"/>
      <c r="W432" s="317"/>
      <c r="X432" s="317"/>
      <c r="Y432" s="317"/>
      <c r="Z432" s="317"/>
      <c r="AA432" s="317"/>
    </row>
    <row r="433">
      <c r="A433" s="317"/>
      <c r="B433" s="317"/>
      <c r="C433" s="317"/>
      <c r="D433" s="317"/>
      <c r="E433" s="317"/>
      <c r="F433" s="317"/>
      <c r="G433" s="317"/>
      <c r="H433" s="317"/>
      <c r="I433" s="317"/>
      <c r="J433" s="317"/>
      <c r="K433" s="317"/>
      <c r="L433" s="317"/>
      <c r="M433" s="317"/>
      <c r="N433" s="317"/>
      <c r="O433" s="317"/>
      <c r="P433" s="317"/>
      <c r="Q433" s="317"/>
      <c r="R433" s="317"/>
      <c r="S433" s="317"/>
      <c r="T433" s="317"/>
      <c r="U433" s="317"/>
      <c r="V433" s="317"/>
      <c r="W433" s="317"/>
      <c r="X433" s="317"/>
      <c r="Y433" s="317"/>
      <c r="Z433" s="317"/>
      <c r="AA433" s="317"/>
    </row>
    <row r="434">
      <c r="A434" s="317"/>
      <c r="B434" s="317"/>
      <c r="C434" s="317"/>
      <c r="D434" s="317"/>
      <c r="E434" s="317"/>
      <c r="F434" s="317"/>
      <c r="G434" s="317"/>
      <c r="H434" s="317"/>
      <c r="I434" s="317"/>
      <c r="J434" s="317"/>
      <c r="K434" s="317"/>
      <c r="L434" s="317"/>
      <c r="M434" s="317"/>
      <c r="N434" s="317"/>
      <c r="O434" s="317"/>
      <c r="P434" s="317"/>
      <c r="Q434" s="317"/>
      <c r="R434" s="317"/>
      <c r="S434" s="317"/>
      <c r="T434" s="317"/>
      <c r="U434" s="317"/>
      <c r="V434" s="317"/>
      <c r="W434" s="317"/>
      <c r="X434" s="317"/>
      <c r="Y434" s="317"/>
      <c r="Z434" s="317"/>
      <c r="AA434" s="317"/>
    </row>
    <row r="435">
      <c r="A435" s="317"/>
      <c r="B435" s="317"/>
      <c r="C435" s="317"/>
      <c r="D435" s="317"/>
      <c r="E435" s="317"/>
      <c r="F435" s="317"/>
      <c r="G435" s="317"/>
      <c r="H435" s="317"/>
      <c r="I435" s="317"/>
      <c r="J435" s="317"/>
      <c r="K435" s="317"/>
      <c r="L435" s="317"/>
      <c r="M435" s="317"/>
      <c r="N435" s="317"/>
      <c r="O435" s="317"/>
      <c r="P435" s="317"/>
      <c r="Q435" s="317"/>
      <c r="R435" s="317"/>
      <c r="S435" s="317"/>
      <c r="T435" s="317"/>
      <c r="U435" s="317"/>
      <c r="V435" s="317"/>
      <c r="W435" s="317"/>
      <c r="X435" s="317"/>
      <c r="Y435" s="317"/>
      <c r="Z435" s="317"/>
      <c r="AA435" s="317"/>
    </row>
    <row r="436">
      <c r="A436" s="317"/>
      <c r="B436" s="317"/>
      <c r="C436" s="317"/>
      <c r="D436" s="317"/>
      <c r="E436" s="317"/>
      <c r="F436" s="317"/>
      <c r="G436" s="317"/>
      <c r="H436" s="317"/>
      <c r="I436" s="317"/>
      <c r="J436" s="317"/>
      <c r="K436" s="317"/>
      <c r="L436" s="317"/>
      <c r="M436" s="317"/>
      <c r="N436" s="317"/>
      <c r="O436" s="317"/>
      <c r="P436" s="317"/>
      <c r="Q436" s="317"/>
      <c r="R436" s="317"/>
      <c r="S436" s="317"/>
      <c r="T436" s="317"/>
      <c r="U436" s="317"/>
      <c r="V436" s="317"/>
      <c r="W436" s="317"/>
      <c r="X436" s="317"/>
      <c r="Y436" s="317"/>
      <c r="Z436" s="317"/>
      <c r="AA436" s="317"/>
    </row>
    <row r="437">
      <c r="A437" s="317"/>
      <c r="B437" s="317"/>
      <c r="C437" s="317"/>
      <c r="D437" s="317"/>
      <c r="E437" s="317"/>
      <c r="F437" s="317"/>
      <c r="G437" s="317"/>
      <c r="H437" s="317"/>
      <c r="I437" s="317"/>
      <c r="J437" s="317"/>
      <c r="K437" s="317"/>
      <c r="L437" s="317"/>
      <c r="M437" s="317"/>
      <c r="N437" s="317"/>
      <c r="O437" s="317"/>
      <c r="P437" s="317"/>
      <c r="Q437" s="317"/>
      <c r="R437" s="317"/>
      <c r="S437" s="317"/>
      <c r="T437" s="317"/>
      <c r="U437" s="317"/>
      <c r="V437" s="317"/>
      <c r="W437" s="317"/>
      <c r="X437" s="317"/>
      <c r="Y437" s="317"/>
      <c r="Z437" s="317"/>
      <c r="AA437" s="317"/>
    </row>
    <row r="438">
      <c r="A438" s="317"/>
      <c r="B438" s="317"/>
      <c r="C438" s="317"/>
      <c r="D438" s="317"/>
      <c r="E438" s="317"/>
      <c r="F438" s="317"/>
      <c r="G438" s="317"/>
      <c r="H438" s="317"/>
      <c r="I438" s="317"/>
      <c r="J438" s="317"/>
      <c r="K438" s="317"/>
      <c r="L438" s="317"/>
      <c r="M438" s="317"/>
      <c r="N438" s="317"/>
      <c r="O438" s="317"/>
      <c r="P438" s="317"/>
      <c r="Q438" s="317"/>
      <c r="R438" s="317"/>
      <c r="S438" s="317"/>
      <c r="T438" s="317"/>
      <c r="U438" s="317"/>
      <c r="V438" s="317"/>
      <c r="W438" s="317"/>
      <c r="X438" s="317"/>
      <c r="Y438" s="317"/>
      <c r="Z438" s="317"/>
      <c r="AA438" s="317"/>
    </row>
    <row r="439">
      <c r="A439" s="317"/>
      <c r="B439" s="317"/>
      <c r="C439" s="317"/>
      <c r="D439" s="317"/>
      <c r="E439" s="317"/>
      <c r="F439" s="317"/>
      <c r="G439" s="317"/>
      <c r="H439" s="317"/>
      <c r="I439" s="317"/>
      <c r="J439" s="317"/>
      <c r="K439" s="317"/>
      <c r="L439" s="317"/>
      <c r="M439" s="317"/>
      <c r="N439" s="317"/>
      <c r="O439" s="317"/>
      <c r="P439" s="317"/>
      <c r="Q439" s="317"/>
      <c r="R439" s="317"/>
      <c r="S439" s="317"/>
      <c r="T439" s="317"/>
      <c r="U439" s="317"/>
      <c r="V439" s="317"/>
      <c r="W439" s="317"/>
      <c r="X439" s="317"/>
      <c r="Y439" s="317"/>
      <c r="Z439" s="317"/>
      <c r="AA439" s="317"/>
    </row>
    <row r="440">
      <c r="A440" s="317"/>
      <c r="B440" s="317"/>
      <c r="C440" s="317"/>
      <c r="D440" s="317"/>
      <c r="E440" s="317"/>
      <c r="F440" s="317"/>
      <c r="G440" s="317"/>
      <c r="H440" s="317"/>
      <c r="I440" s="317"/>
      <c r="J440" s="317"/>
      <c r="K440" s="317"/>
      <c r="L440" s="317"/>
      <c r="M440" s="317"/>
      <c r="N440" s="317"/>
      <c r="O440" s="317"/>
      <c r="P440" s="317"/>
      <c r="Q440" s="317"/>
      <c r="R440" s="317"/>
      <c r="S440" s="317"/>
      <c r="T440" s="317"/>
      <c r="U440" s="317"/>
      <c r="V440" s="317"/>
      <c r="W440" s="317"/>
      <c r="X440" s="317"/>
      <c r="Y440" s="317"/>
      <c r="Z440" s="317"/>
      <c r="AA440" s="317"/>
    </row>
    <row r="441">
      <c r="A441" s="317"/>
      <c r="B441" s="317"/>
      <c r="C441" s="317"/>
      <c r="D441" s="317"/>
      <c r="E441" s="317"/>
      <c r="F441" s="317"/>
      <c r="G441" s="317"/>
      <c r="H441" s="317"/>
      <c r="I441" s="317"/>
      <c r="J441" s="317"/>
      <c r="K441" s="317"/>
      <c r="L441" s="317"/>
      <c r="M441" s="317"/>
      <c r="N441" s="317"/>
      <c r="O441" s="317"/>
      <c r="P441" s="317"/>
      <c r="Q441" s="317"/>
      <c r="R441" s="317"/>
      <c r="S441" s="317"/>
      <c r="T441" s="317"/>
      <c r="U441" s="317"/>
      <c r="V441" s="317"/>
      <c r="W441" s="317"/>
      <c r="X441" s="317"/>
      <c r="Y441" s="317"/>
      <c r="Z441" s="317"/>
      <c r="AA441" s="317"/>
    </row>
    <row r="442">
      <c r="A442" s="317"/>
      <c r="B442" s="317"/>
      <c r="C442" s="317"/>
      <c r="D442" s="317"/>
      <c r="E442" s="317"/>
      <c r="F442" s="317"/>
      <c r="G442" s="317"/>
      <c r="H442" s="317"/>
      <c r="I442" s="317"/>
      <c r="J442" s="317"/>
      <c r="K442" s="317"/>
      <c r="L442" s="317"/>
      <c r="M442" s="317"/>
      <c r="N442" s="317"/>
      <c r="O442" s="317"/>
      <c r="P442" s="317"/>
      <c r="Q442" s="317"/>
      <c r="R442" s="317"/>
      <c r="S442" s="317"/>
      <c r="T442" s="317"/>
      <c r="U442" s="317"/>
      <c r="V442" s="317"/>
      <c r="W442" s="317"/>
      <c r="X442" s="317"/>
      <c r="Y442" s="317"/>
      <c r="Z442" s="317"/>
      <c r="AA442" s="317"/>
    </row>
    <row r="443">
      <c r="A443" s="317"/>
      <c r="B443" s="317"/>
      <c r="C443" s="317"/>
      <c r="D443" s="317"/>
      <c r="E443" s="317"/>
      <c r="F443" s="317"/>
      <c r="G443" s="317"/>
      <c r="H443" s="317"/>
      <c r="I443" s="317"/>
      <c r="J443" s="317"/>
      <c r="K443" s="317"/>
      <c r="L443" s="317"/>
      <c r="M443" s="317"/>
      <c r="N443" s="317"/>
      <c r="O443" s="317"/>
      <c r="P443" s="317"/>
      <c r="Q443" s="317"/>
      <c r="R443" s="317"/>
      <c r="S443" s="317"/>
      <c r="T443" s="317"/>
      <c r="U443" s="317"/>
      <c r="V443" s="317"/>
      <c r="W443" s="317"/>
      <c r="X443" s="317"/>
      <c r="Y443" s="317"/>
      <c r="Z443" s="317"/>
      <c r="AA443" s="317"/>
    </row>
    <row r="444">
      <c r="A444" s="317"/>
      <c r="B444" s="317"/>
      <c r="C444" s="317"/>
      <c r="D444" s="317"/>
      <c r="E444" s="317"/>
      <c r="F444" s="317"/>
      <c r="G444" s="317"/>
      <c r="H444" s="317"/>
      <c r="I444" s="317"/>
      <c r="J444" s="317"/>
      <c r="K444" s="317"/>
      <c r="L444" s="317"/>
      <c r="M444" s="317"/>
      <c r="N444" s="317"/>
      <c r="O444" s="317"/>
      <c r="P444" s="317"/>
      <c r="Q444" s="317"/>
      <c r="R444" s="317"/>
      <c r="S444" s="317"/>
      <c r="T444" s="317"/>
      <c r="U444" s="317"/>
      <c r="V444" s="317"/>
      <c r="W444" s="317"/>
      <c r="X444" s="317"/>
      <c r="Y444" s="317"/>
      <c r="Z444" s="317"/>
      <c r="AA444" s="317"/>
    </row>
    <row r="445">
      <c r="A445" s="317"/>
      <c r="B445" s="317"/>
      <c r="C445" s="317"/>
      <c r="D445" s="317"/>
      <c r="E445" s="317"/>
      <c r="F445" s="317"/>
      <c r="G445" s="317"/>
      <c r="H445" s="317"/>
      <c r="I445" s="317"/>
      <c r="J445" s="317"/>
      <c r="K445" s="317"/>
      <c r="L445" s="317"/>
      <c r="M445" s="317"/>
      <c r="N445" s="317"/>
      <c r="O445" s="317"/>
      <c r="P445" s="317"/>
      <c r="Q445" s="317"/>
      <c r="R445" s="317"/>
      <c r="S445" s="317"/>
      <c r="T445" s="317"/>
      <c r="U445" s="317"/>
      <c r="V445" s="317"/>
      <c r="W445" s="317"/>
      <c r="X445" s="317"/>
      <c r="Y445" s="317"/>
      <c r="Z445" s="317"/>
      <c r="AA445" s="317"/>
    </row>
    <row r="446">
      <c r="A446" s="317"/>
      <c r="B446" s="317"/>
      <c r="C446" s="317"/>
      <c r="D446" s="317"/>
      <c r="E446" s="317"/>
      <c r="F446" s="317"/>
      <c r="G446" s="317"/>
      <c r="H446" s="317"/>
      <c r="I446" s="317"/>
      <c r="J446" s="317"/>
      <c r="K446" s="317"/>
      <c r="L446" s="317"/>
      <c r="M446" s="317"/>
      <c r="N446" s="317"/>
      <c r="O446" s="317"/>
      <c r="P446" s="317"/>
      <c r="Q446" s="317"/>
      <c r="R446" s="317"/>
      <c r="S446" s="317"/>
      <c r="T446" s="317"/>
      <c r="U446" s="317"/>
      <c r="V446" s="317"/>
      <c r="W446" s="317"/>
      <c r="X446" s="317"/>
      <c r="Y446" s="317"/>
      <c r="Z446" s="317"/>
      <c r="AA446" s="317"/>
    </row>
    <row r="447">
      <c r="A447" s="317"/>
      <c r="B447" s="317"/>
      <c r="C447" s="317"/>
      <c r="D447" s="317"/>
      <c r="E447" s="317"/>
      <c r="F447" s="317"/>
      <c r="G447" s="317"/>
      <c r="H447" s="317"/>
      <c r="I447" s="317"/>
      <c r="J447" s="317"/>
      <c r="K447" s="317"/>
      <c r="L447" s="317"/>
      <c r="M447" s="317"/>
      <c r="N447" s="317"/>
      <c r="O447" s="317"/>
      <c r="P447" s="317"/>
      <c r="Q447" s="317"/>
      <c r="R447" s="317"/>
      <c r="S447" s="317"/>
      <c r="T447" s="317"/>
      <c r="U447" s="317"/>
      <c r="V447" s="317"/>
      <c r="W447" s="317"/>
      <c r="X447" s="317"/>
      <c r="Y447" s="317"/>
      <c r="Z447" s="317"/>
      <c r="AA447" s="317"/>
    </row>
    <row r="448">
      <c r="A448" s="317"/>
      <c r="B448" s="317"/>
      <c r="C448" s="317"/>
      <c r="D448" s="317"/>
      <c r="E448" s="317"/>
      <c r="F448" s="317"/>
      <c r="G448" s="317"/>
      <c r="H448" s="317"/>
      <c r="I448" s="317"/>
      <c r="J448" s="317"/>
      <c r="K448" s="317"/>
      <c r="L448" s="317"/>
      <c r="M448" s="317"/>
      <c r="N448" s="317"/>
      <c r="O448" s="317"/>
      <c r="P448" s="317"/>
      <c r="Q448" s="317"/>
      <c r="R448" s="317"/>
      <c r="S448" s="317"/>
      <c r="T448" s="317"/>
      <c r="U448" s="317"/>
      <c r="V448" s="317"/>
      <c r="W448" s="317"/>
      <c r="X448" s="317"/>
      <c r="Y448" s="317"/>
      <c r="Z448" s="317"/>
      <c r="AA448" s="317"/>
    </row>
    <row r="449">
      <c r="A449" s="317"/>
      <c r="B449" s="317"/>
      <c r="C449" s="317"/>
      <c r="D449" s="317"/>
      <c r="E449" s="317"/>
      <c r="F449" s="317"/>
      <c r="G449" s="317"/>
      <c r="H449" s="317"/>
      <c r="I449" s="317"/>
      <c r="J449" s="317"/>
      <c r="K449" s="317"/>
      <c r="L449" s="317"/>
      <c r="M449" s="317"/>
      <c r="N449" s="317"/>
      <c r="O449" s="317"/>
      <c r="P449" s="317"/>
      <c r="Q449" s="317"/>
      <c r="R449" s="317"/>
      <c r="S449" s="317"/>
      <c r="T449" s="317"/>
      <c r="U449" s="317"/>
      <c r="V449" s="317"/>
      <c r="W449" s="317"/>
      <c r="X449" s="317"/>
      <c r="Y449" s="317"/>
      <c r="Z449" s="317"/>
      <c r="AA449" s="317"/>
    </row>
    <row r="450">
      <c r="A450" s="317"/>
      <c r="B450" s="317"/>
      <c r="C450" s="317"/>
      <c r="D450" s="317"/>
      <c r="E450" s="317"/>
      <c r="F450" s="317"/>
      <c r="G450" s="317"/>
      <c r="H450" s="317"/>
      <c r="I450" s="317"/>
      <c r="J450" s="317"/>
      <c r="K450" s="317"/>
      <c r="L450" s="317"/>
      <c r="M450" s="317"/>
      <c r="N450" s="317"/>
      <c r="O450" s="317"/>
      <c r="P450" s="317"/>
      <c r="Q450" s="317"/>
      <c r="R450" s="317"/>
      <c r="S450" s="317"/>
      <c r="T450" s="317"/>
      <c r="U450" s="317"/>
      <c r="V450" s="317"/>
      <c r="W450" s="317"/>
      <c r="X450" s="317"/>
      <c r="Y450" s="317"/>
      <c r="Z450" s="317"/>
      <c r="AA450" s="317"/>
    </row>
    <row r="451">
      <c r="A451" s="317"/>
      <c r="B451" s="317"/>
      <c r="C451" s="317"/>
      <c r="D451" s="317"/>
      <c r="E451" s="317"/>
      <c r="F451" s="317"/>
      <c r="G451" s="317"/>
      <c r="H451" s="317"/>
      <c r="I451" s="317"/>
      <c r="J451" s="317"/>
      <c r="K451" s="317"/>
      <c r="L451" s="317"/>
      <c r="M451" s="317"/>
      <c r="N451" s="317"/>
      <c r="O451" s="317"/>
      <c r="P451" s="317"/>
      <c r="Q451" s="317"/>
      <c r="R451" s="317"/>
      <c r="S451" s="317"/>
      <c r="T451" s="317"/>
      <c r="U451" s="317"/>
      <c r="V451" s="317"/>
      <c r="W451" s="317"/>
      <c r="X451" s="317"/>
      <c r="Y451" s="317"/>
      <c r="Z451" s="317"/>
      <c r="AA451" s="317"/>
    </row>
    <row r="452">
      <c r="A452" s="317"/>
      <c r="B452" s="317"/>
      <c r="C452" s="317"/>
      <c r="D452" s="317"/>
      <c r="E452" s="317"/>
      <c r="F452" s="317"/>
      <c r="G452" s="317"/>
      <c r="H452" s="317"/>
      <c r="I452" s="317"/>
      <c r="J452" s="317"/>
      <c r="K452" s="317"/>
      <c r="L452" s="317"/>
      <c r="M452" s="317"/>
      <c r="N452" s="317"/>
      <c r="O452" s="317"/>
      <c r="P452" s="317"/>
      <c r="Q452" s="317"/>
      <c r="R452" s="317"/>
      <c r="S452" s="317"/>
      <c r="T452" s="317"/>
      <c r="U452" s="317"/>
      <c r="V452" s="317"/>
      <c r="W452" s="317"/>
      <c r="X452" s="317"/>
      <c r="Y452" s="317"/>
      <c r="Z452" s="317"/>
      <c r="AA452" s="317"/>
    </row>
    <row r="453">
      <c r="A453" s="317"/>
      <c r="B453" s="317"/>
      <c r="C453" s="317"/>
      <c r="D453" s="317"/>
      <c r="E453" s="317"/>
      <c r="F453" s="317"/>
      <c r="G453" s="317"/>
      <c r="H453" s="317"/>
      <c r="I453" s="317"/>
      <c r="J453" s="317"/>
      <c r="K453" s="317"/>
      <c r="L453" s="317"/>
      <c r="M453" s="317"/>
      <c r="N453" s="317"/>
      <c r="O453" s="317"/>
      <c r="P453" s="317"/>
      <c r="Q453" s="317"/>
      <c r="R453" s="317"/>
      <c r="S453" s="317"/>
      <c r="T453" s="317"/>
      <c r="U453" s="317"/>
      <c r="V453" s="317"/>
      <c r="W453" s="317"/>
      <c r="X453" s="317"/>
      <c r="Y453" s="317"/>
      <c r="Z453" s="317"/>
      <c r="AA453" s="317"/>
    </row>
    <row r="454">
      <c r="A454" s="317"/>
      <c r="B454" s="317"/>
      <c r="C454" s="317"/>
      <c r="D454" s="317"/>
      <c r="E454" s="317"/>
      <c r="F454" s="317"/>
      <c r="G454" s="317"/>
      <c r="H454" s="317"/>
      <c r="I454" s="317"/>
      <c r="J454" s="317"/>
      <c r="K454" s="317"/>
      <c r="L454" s="317"/>
      <c r="M454" s="317"/>
      <c r="N454" s="317"/>
      <c r="O454" s="317"/>
      <c r="P454" s="317"/>
      <c r="Q454" s="317"/>
      <c r="R454" s="317"/>
      <c r="S454" s="317"/>
      <c r="T454" s="317"/>
      <c r="U454" s="317"/>
      <c r="V454" s="317"/>
      <c r="W454" s="317"/>
      <c r="X454" s="317"/>
      <c r="Y454" s="317"/>
      <c r="Z454" s="317"/>
      <c r="AA454" s="317"/>
    </row>
    <row r="455">
      <c r="A455" s="317"/>
      <c r="B455" s="317"/>
      <c r="C455" s="317"/>
      <c r="D455" s="317"/>
      <c r="E455" s="317"/>
      <c r="F455" s="317"/>
      <c r="G455" s="317"/>
      <c r="H455" s="317"/>
      <c r="I455" s="317"/>
      <c r="J455" s="317"/>
      <c r="K455" s="317"/>
      <c r="L455" s="317"/>
      <c r="M455" s="317"/>
      <c r="N455" s="317"/>
      <c r="O455" s="317"/>
      <c r="P455" s="317"/>
      <c r="Q455" s="317"/>
      <c r="R455" s="317"/>
      <c r="S455" s="317"/>
      <c r="T455" s="317"/>
      <c r="U455" s="317"/>
      <c r="V455" s="317"/>
      <c r="W455" s="317"/>
      <c r="X455" s="317"/>
      <c r="Y455" s="317"/>
      <c r="Z455" s="317"/>
      <c r="AA455" s="317"/>
    </row>
    <row r="456">
      <c r="A456" s="317"/>
      <c r="B456" s="317"/>
      <c r="C456" s="317"/>
      <c r="D456" s="317"/>
      <c r="E456" s="317"/>
      <c r="F456" s="317"/>
      <c r="G456" s="317"/>
      <c r="H456" s="317"/>
      <c r="I456" s="317"/>
      <c r="J456" s="317"/>
      <c r="K456" s="317"/>
      <c r="L456" s="317"/>
      <c r="M456" s="317"/>
      <c r="N456" s="317"/>
      <c r="O456" s="317"/>
      <c r="P456" s="317"/>
      <c r="Q456" s="317"/>
      <c r="R456" s="317"/>
      <c r="S456" s="317"/>
      <c r="T456" s="317"/>
      <c r="U456" s="317"/>
      <c r="V456" s="317"/>
      <c r="W456" s="317"/>
      <c r="X456" s="317"/>
      <c r="Y456" s="317"/>
      <c r="Z456" s="317"/>
      <c r="AA456" s="317"/>
    </row>
    <row r="457">
      <c r="A457" s="317"/>
      <c r="B457" s="317"/>
      <c r="C457" s="317"/>
      <c r="D457" s="317"/>
      <c r="E457" s="317"/>
      <c r="F457" s="317"/>
      <c r="G457" s="317"/>
      <c r="H457" s="317"/>
      <c r="I457" s="317"/>
      <c r="J457" s="317"/>
      <c r="K457" s="317"/>
      <c r="L457" s="317"/>
      <c r="M457" s="317"/>
      <c r="N457" s="317"/>
      <c r="O457" s="317"/>
      <c r="P457" s="317"/>
      <c r="Q457" s="317"/>
      <c r="R457" s="317"/>
      <c r="S457" s="317"/>
      <c r="T457" s="317"/>
      <c r="U457" s="317"/>
      <c r="V457" s="317"/>
      <c r="W457" s="317"/>
      <c r="X457" s="317"/>
      <c r="Y457" s="317"/>
      <c r="Z457" s="317"/>
      <c r="AA457" s="317"/>
    </row>
    <row r="458">
      <c r="A458" s="317"/>
      <c r="B458" s="317"/>
      <c r="C458" s="317"/>
      <c r="D458" s="317"/>
      <c r="E458" s="317"/>
      <c r="F458" s="317"/>
      <c r="G458" s="317"/>
      <c r="H458" s="317"/>
      <c r="I458" s="317"/>
      <c r="J458" s="317"/>
      <c r="K458" s="317"/>
      <c r="L458" s="317"/>
      <c r="M458" s="317"/>
      <c r="N458" s="317"/>
      <c r="O458" s="317"/>
      <c r="P458" s="317"/>
      <c r="Q458" s="317"/>
      <c r="R458" s="317"/>
      <c r="S458" s="317"/>
      <c r="T458" s="317"/>
      <c r="U458" s="317"/>
      <c r="V458" s="317"/>
      <c r="W458" s="317"/>
      <c r="X458" s="317"/>
      <c r="Y458" s="317"/>
      <c r="Z458" s="317"/>
      <c r="AA458" s="317"/>
    </row>
    <row r="459">
      <c r="A459" s="317"/>
      <c r="B459" s="317"/>
      <c r="C459" s="317"/>
      <c r="D459" s="317"/>
      <c r="E459" s="317"/>
      <c r="F459" s="317"/>
      <c r="G459" s="317"/>
      <c r="H459" s="317"/>
      <c r="I459" s="317"/>
      <c r="J459" s="317"/>
      <c r="K459" s="317"/>
      <c r="L459" s="317"/>
      <c r="M459" s="317"/>
      <c r="N459" s="317"/>
      <c r="O459" s="317"/>
      <c r="P459" s="317"/>
      <c r="Q459" s="317"/>
      <c r="R459" s="317"/>
      <c r="S459" s="317"/>
      <c r="T459" s="317"/>
      <c r="U459" s="317"/>
      <c r="V459" s="317"/>
      <c r="W459" s="317"/>
      <c r="X459" s="317"/>
      <c r="Y459" s="317"/>
      <c r="Z459" s="317"/>
      <c r="AA459" s="317"/>
    </row>
    <row r="460">
      <c r="A460" s="317"/>
      <c r="B460" s="317"/>
      <c r="C460" s="317"/>
      <c r="D460" s="317"/>
      <c r="E460" s="317"/>
      <c r="F460" s="317"/>
      <c r="G460" s="317"/>
      <c r="H460" s="317"/>
      <c r="I460" s="317"/>
      <c r="J460" s="317"/>
      <c r="K460" s="317"/>
      <c r="L460" s="317"/>
      <c r="M460" s="317"/>
      <c r="N460" s="317"/>
      <c r="O460" s="317"/>
      <c r="P460" s="317"/>
      <c r="Q460" s="317"/>
      <c r="R460" s="317"/>
      <c r="S460" s="317"/>
      <c r="T460" s="317"/>
      <c r="U460" s="317"/>
      <c r="V460" s="317"/>
      <c r="W460" s="317"/>
      <c r="X460" s="317"/>
      <c r="Y460" s="317"/>
      <c r="Z460" s="317"/>
      <c r="AA460" s="317"/>
    </row>
    <row r="461">
      <c r="A461" s="317"/>
      <c r="B461" s="317"/>
      <c r="C461" s="317"/>
      <c r="D461" s="317"/>
      <c r="E461" s="317"/>
      <c r="F461" s="317"/>
      <c r="G461" s="317"/>
      <c r="H461" s="317"/>
      <c r="I461" s="317"/>
      <c r="J461" s="317"/>
      <c r="K461" s="317"/>
      <c r="L461" s="317"/>
      <c r="M461" s="317"/>
      <c r="N461" s="317"/>
      <c r="O461" s="317"/>
      <c r="P461" s="317"/>
      <c r="Q461" s="317"/>
      <c r="R461" s="317"/>
      <c r="S461" s="317"/>
      <c r="T461" s="317"/>
      <c r="U461" s="317"/>
      <c r="V461" s="317"/>
      <c r="W461" s="317"/>
      <c r="X461" s="317"/>
      <c r="Y461" s="317"/>
      <c r="Z461" s="317"/>
      <c r="AA461" s="317"/>
    </row>
    <row r="462">
      <c r="A462" s="317"/>
      <c r="B462" s="317"/>
      <c r="C462" s="317"/>
      <c r="D462" s="317"/>
      <c r="E462" s="317"/>
      <c r="F462" s="317"/>
      <c r="G462" s="317"/>
      <c r="H462" s="317"/>
      <c r="I462" s="317"/>
      <c r="J462" s="317"/>
      <c r="K462" s="317"/>
      <c r="L462" s="317"/>
      <c r="M462" s="317"/>
      <c r="N462" s="317"/>
      <c r="O462" s="317"/>
      <c r="P462" s="317"/>
      <c r="Q462" s="317"/>
      <c r="R462" s="317"/>
      <c r="S462" s="317"/>
      <c r="T462" s="317"/>
      <c r="U462" s="317"/>
      <c r="V462" s="317"/>
      <c r="W462" s="317"/>
      <c r="X462" s="317"/>
      <c r="Y462" s="317"/>
      <c r="Z462" s="317"/>
      <c r="AA462" s="317"/>
    </row>
    <row r="463">
      <c r="A463" s="317"/>
      <c r="B463" s="317"/>
      <c r="C463" s="317"/>
      <c r="D463" s="317"/>
      <c r="E463" s="317"/>
      <c r="F463" s="317"/>
      <c r="G463" s="317"/>
      <c r="H463" s="317"/>
      <c r="I463" s="317"/>
      <c r="J463" s="317"/>
      <c r="K463" s="317"/>
      <c r="L463" s="317"/>
      <c r="M463" s="317"/>
      <c r="N463" s="317"/>
      <c r="O463" s="317"/>
      <c r="P463" s="317"/>
      <c r="Q463" s="317"/>
      <c r="R463" s="317"/>
      <c r="S463" s="317"/>
      <c r="T463" s="317"/>
      <c r="U463" s="317"/>
      <c r="V463" s="317"/>
      <c r="W463" s="317"/>
      <c r="X463" s="317"/>
      <c r="Y463" s="317"/>
      <c r="Z463" s="317"/>
      <c r="AA463" s="317"/>
    </row>
    <row r="464">
      <c r="A464" s="317"/>
      <c r="B464" s="317"/>
      <c r="C464" s="317"/>
      <c r="D464" s="317"/>
      <c r="E464" s="317"/>
      <c r="F464" s="317"/>
      <c r="G464" s="317"/>
      <c r="H464" s="317"/>
      <c r="I464" s="317"/>
      <c r="J464" s="317"/>
      <c r="K464" s="317"/>
      <c r="L464" s="317"/>
      <c r="M464" s="317"/>
      <c r="N464" s="317"/>
      <c r="O464" s="317"/>
      <c r="P464" s="317"/>
      <c r="Q464" s="317"/>
      <c r="R464" s="317"/>
      <c r="S464" s="317"/>
      <c r="T464" s="317"/>
      <c r="U464" s="317"/>
      <c r="V464" s="317"/>
      <c r="W464" s="317"/>
      <c r="X464" s="317"/>
      <c r="Y464" s="317"/>
      <c r="Z464" s="317"/>
      <c r="AA464" s="317"/>
    </row>
    <row r="465">
      <c r="A465" s="317"/>
      <c r="B465" s="317"/>
      <c r="C465" s="317"/>
      <c r="D465" s="317"/>
      <c r="E465" s="317"/>
      <c r="F465" s="317"/>
      <c r="G465" s="317"/>
      <c r="H465" s="317"/>
      <c r="I465" s="317"/>
      <c r="J465" s="317"/>
      <c r="K465" s="317"/>
      <c r="L465" s="317"/>
      <c r="M465" s="317"/>
      <c r="N465" s="317"/>
      <c r="O465" s="317"/>
      <c r="P465" s="317"/>
      <c r="Q465" s="317"/>
      <c r="R465" s="317"/>
      <c r="S465" s="317"/>
      <c r="T465" s="317"/>
      <c r="U465" s="317"/>
      <c r="V465" s="317"/>
      <c r="W465" s="317"/>
      <c r="X465" s="317"/>
      <c r="Y465" s="317"/>
      <c r="Z465" s="317"/>
      <c r="AA465" s="317"/>
    </row>
    <row r="466">
      <c r="A466" s="317"/>
      <c r="B466" s="317"/>
      <c r="C466" s="317"/>
      <c r="D466" s="317"/>
      <c r="E466" s="317"/>
      <c r="F466" s="317"/>
      <c r="G466" s="317"/>
      <c r="H466" s="317"/>
      <c r="I466" s="317"/>
      <c r="J466" s="317"/>
      <c r="K466" s="317"/>
      <c r="L466" s="317"/>
      <c r="M466" s="317"/>
      <c r="N466" s="317"/>
      <c r="O466" s="317"/>
      <c r="P466" s="317"/>
      <c r="Q466" s="317"/>
      <c r="R466" s="317"/>
      <c r="S466" s="317"/>
      <c r="T466" s="317"/>
      <c r="U466" s="317"/>
      <c r="V466" s="317"/>
      <c r="W466" s="317"/>
      <c r="X466" s="317"/>
      <c r="Y466" s="317"/>
      <c r="Z466" s="317"/>
      <c r="AA466" s="317"/>
    </row>
    <row r="467">
      <c r="A467" s="317"/>
      <c r="B467" s="317"/>
      <c r="C467" s="317"/>
      <c r="D467" s="317"/>
      <c r="E467" s="317"/>
      <c r="F467" s="317"/>
      <c r="G467" s="317"/>
      <c r="H467" s="317"/>
      <c r="I467" s="317"/>
      <c r="J467" s="317"/>
      <c r="K467" s="317"/>
      <c r="L467" s="317"/>
      <c r="M467" s="317"/>
      <c r="N467" s="317"/>
      <c r="O467" s="317"/>
      <c r="P467" s="317"/>
      <c r="Q467" s="317"/>
      <c r="R467" s="317"/>
      <c r="S467" s="317"/>
      <c r="T467" s="317"/>
      <c r="U467" s="317"/>
      <c r="V467" s="317"/>
      <c r="W467" s="317"/>
      <c r="X467" s="317"/>
      <c r="Y467" s="317"/>
      <c r="Z467" s="317"/>
      <c r="AA467" s="317"/>
    </row>
    <row r="468">
      <c r="A468" s="317"/>
      <c r="B468" s="317"/>
      <c r="C468" s="317"/>
      <c r="D468" s="317"/>
      <c r="E468" s="317"/>
      <c r="F468" s="317"/>
      <c r="G468" s="317"/>
      <c r="H468" s="317"/>
      <c r="I468" s="317"/>
      <c r="J468" s="317"/>
      <c r="K468" s="317"/>
      <c r="L468" s="317"/>
      <c r="M468" s="317"/>
      <c r="N468" s="317"/>
      <c r="O468" s="317"/>
      <c r="P468" s="317"/>
      <c r="Q468" s="317"/>
      <c r="R468" s="317"/>
      <c r="S468" s="317"/>
      <c r="T468" s="317"/>
      <c r="U468" s="317"/>
      <c r="V468" s="317"/>
      <c r="W468" s="317"/>
      <c r="X468" s="317"/>
      <c r="Y468" s="317"/>
      <c r="Z468" s="317"/>
      <c r="AA468" s="317"/>
    </row>
    <row r="469">
      <c r="A469" s="317"/>
      <c r="B469" s="317"/>
      <c r="C469" s="317"/>
      <c r="D469" s="317"/>
      <c r="E469" s="317"/>
      <c r="F469" s="317"/>
      <c r="G469" s="317"/>
      <c r="H469" s="317"/>
      <c r="I469" s="317"/>
      <c r="J469" s="317"/>
      <c r="K469" s="317"/>
      <c r="L469" s="317"/>
      <c r="M469" s="317"/>
      <c r="N469" s="317"/>
      <c r="O469" s="317"/>
      <c r="P469" s="317"/>
      <c r="Q469" s="317"/>
      <c r="R469" s="317"/>
      <c r="S469" s="317"/>
      <c r="T469" s="317"/>
      <c r="U469" s="317"/>
      <c r="V469" s="317"/>
      <c r="W469" s="317"/>
      <c r="X469" s="317"/>
      <c r="Y469" s="317"/>
      <c r="Z469" s="317"/>
      <c r="AA469" s="317"/>
    </row>
    <row r="470">
      <c r="A470" s="317"/>
      <c r="B470" s="317"/>
      <c r="C470" s="317"/>
      <c r="D470" s="317"/>
      <c r="E470" s="317"/>
      <c r="F470" s="317"/>
      <c r="G470" s="317"/>
      <c r="H470" s="317"/>
      <c r="I470" s="317"/>
      <c r="J470" s="317"/>
      <c r="K470" s="317"/>
      <c r="L470" s="317"/>
      <c r="M470" s="317"/>
      <c r="N470" s="317"/>
      <c r="O470" s="317"/>
      <c r="P470" s="317"/>
      <c r="Q470" s="317"/>
      <c r="R470" s="317"/>
      <c r="S470" s="317"/>
      <c r="T470" s="317"/>
      <c r="U470" s="317"/>
      <c r="V470" s="317"/>
      <c r="W470" s="317"/>
      <c r="X470" s="317"/>
      <c r="Y470" s="317"/>
      <c r="Z470" s="317"/>
      <c r="AA470" s="317"/>
    </row>
    <row r="471">
      <c r="A471" s="317"/>
      <c r="B471" s="317"/>
      <c r="C471" s="317"/>
      <c r="D471" s="317"/>
      <c r="E471" s="317"/>
      <c r="F471" s="317"/>
      <c r="G471" s="317"/>
      <c r="H471" s="317"/>
      <c r="I471" s="317"/>
      <c r="J471" s="317"/>
      <c r="K471" s="317"/>
      <c r="L471" s="317"/>
      <c r="M471" s="317"/>
      <c r="N471" s="317"/>
      <c r="O471" s="317"/>
      <c r="P471" s="317"/>
      <c r="Q471" s="317"/>
      <c r="R471" s="317"/>
      <c r="S471" s="317"/>
      <c r="T471" s="317"/>
      <c r="U471" s="317"/>
      <c r="V471" s="317"/>
      <c r="W471" s="317"/>
      <c r="X471" s="317"/>
      <c r="Y471" s="317"/>
      <c r="Z471" s="317"/>
      <c r="AA471" s="317"/>
    </row>
    <row r="472">
      <c r="A472" s="317"/>
      <c r="B472" s="317"/>
      <c r="C472" s="317"/>
      <c r="D472" s="317"/>
      <c r="E472" s="317"/>
      <c r="F472" s="317"/>
      <c r="G472" s="317"/>
      <c r="H472" s="317"/>
      <c r="I472" s="317"/>
      <c r="J472" s="317"/>
      <c r="K472" s="317"/>
      <c r="L472" s="317"/>
      <c r="M472" s="317"/>
      <c r="N472" s="317"/>
      <c r="O472" s="317"/>
      <c r="P472" s="317"/>
      <c r="Q472" s="317"/>
      <c r="R472" s="317"/>
      <c r="S472" s="317"/>
      <c r="T472" s="317"/>
      <c r="U472" s="317"/>
      <c r="V472" s="317"/>
      <c r="W472" s="317"/>
      <c r="X472" s="317"/>
      <c r="Y472" s="317"/>
      <c r="Z472" s="317"/>
      <c r="AA472" s="317"/>
    </row>
    <row r="473">
      <c r="A473" s="317"/>
      <c r="B473" s="317"/>
      <c r="C473" s="317"/>
      <c r="D473" s="317"/>
      <c r="E473" s="317"/>
      <c r="F473" s="317"/>
      <c r="G473" s="317"/>
      <c r="H473" s="317"/>
      <c r="I473" s="317"/>
      <c r="J473" s="317"/>
      <c r="K473" s="317"/>
      <c r="L473" s="317"/>
      <c r="M473" s="317"/>
      <c r="N473" s="317"/>
      <c r="O473" s="317"/>
      <c r="P473" s="317"/>
      <c r="Q473" s="317"/>
      <c r="R473" s="317"/>
      <c r="S473" s="317"/>
      <c r="T473" s="317"/>
      <c r="U473" s="317"/>
      <c r="V473" s="317"/>
      <c r="W473" s="317"/>
      <c r="X473" s="317"/>
      <c r="Y473" s="317"/>
      <c r="Z473" s="317"/>
      <c r="AA473" s="317"/>
    </row>
    <row r="474">
      <c r="A474" s="317"/>
      <c r="B474" s="317"/>
      <c r="C474" s="317"/>
      <c r="D474" s="317"/>
      <c r="E474" s="317"/>
      <c r="F474" s="317"/>
      <c r="G474" s="317"/>
      <c r="H474" s="317"/>
      <c r="I474" s="317"/>
      <c r="J474" s="317"/>
      <c r="K474" s="317"/>
      <c r="L474" s="317"/>
      <c r="M474" s="317"/>
      <c r="N474" s="317"/>
      <c r="O474" s="317"/>
      <c r="P474" s="317"/>
      <c r="Q474" s="317"/>
      <c r="R474" s="317"/>
      <c r="S474" s="317"/>
      <c r="T474" s="317"/>
      <c r="U474" s="317"/>
      <c r="V474" s="317"/>
      <c r="W474" s="317"/>
      <c r="X474" s="317"/>
      <c r="Y474" s="317"/>
      <c r="Z474" s="317"/>
      <c r="AA474" s="317"/>
    </row>
    <row r="475">
      <c r="A475" s="317"/>
      <c r="B475" s="317"/>
      <c r="C475" s="317"/>
      <c r="D475" s="317"/>
      <c r="E475" s="317"/>
      <c r="F475" s="317"/>
      <c r="G475" s="317"/>
      <c r="H475" s="317"/>
      <c r="I475" s="317"/>
      <c r="J475" s="317"/>
      <c r="K475" s="317"/>
      <c r="L475" s="317"/>
      <c r="M475" s="317"/>
      <c r="N475" s="317"/>
      <c r="O475" s="317"/>
      <c r="P475" s="317"/>
      <c r="Q475" s="317"/>
      <c r="R475" s="317"/>
      <c r="S475" s="317"/>
      <c r="T475" s="317"/>
      <c r="U475" s="317"/>
      <c r="V475" s="317"/>
      <c r="W475" s="317"/>
      <c r="X475" s="317"/>
      <c r="Y475" s="317"/>
      <c r="Z475" s="317"/>
      <c r="AA475" s="317"/>
    </row>
    <row r="476">
      <c r="A476" s="317"/>
      <c r="B476" s="317"/>
      <c r="C476" s="317"/>
      <c r="D476" s="317"/>
      <c r="E476" s="317"/>
      <c r="F476" s="317"/>
      <c r="G476" s="317"/>
      <c r="H476" s="317"/>
      <c r="I476" s="317"/>
      <c r="J476" s="317"/>
      <c r="K476" s="317"/>
      <c r="L476" s="317"/>
      <c r="M476" s="317"/>
      <c r="N476" s="317"/>
      <c r="O476" s="317"/>
      <c r="P476" s="317"/>
      <c r="Q476" s="317"/>
      <c r="R476" s="317"/>
      <c r="S476" s="317"/>
      <c r="T476" s="317"/>
      <c r="U476" s="317"/>
      <c r="V476" s="317"/>
      <c r="W476" s="317"/>
      <c r="X476" s="317"/>
      <c r="Y476" s="317"/>
      <c r="Z476" s="317"/>
      <c r="AA476" s="317"/>
    </row>
    <row r="477">
      <c r="A477" s="317"/>
      <c r="B477" s="317"/>
      <c r="C477" s="317"/>
      <c r="D477" s="317"/>
      <c r="E477" s="317"/>
      <c r="F477" s="317"/>
      <c r="G477" s="317"/>
      <c r="H477" s="317"/>
      <c r="I477" s="317"/>
      <c r="J477" s="317"/>
      <c r="K477" s="317"/>
      <c r="L477" s="317"/>
      <c r="M477" s="317"/>
      <c r="N477" s="317"/>
      <c r="O477" s="317"/>
      <c r="P477" s="317"/>
      <c r="Q477" s="317"/>
      <c r="R477" s="317"/>
      <c r="S477" s="317"/>
      <c r="T477" s="317"/>
      <c r="U477" s="317"/>
      <c r="V477" s="317"/>
      <c r="W477" s="317"/>
      <c r="X477" s="317"/>
      <c r="Y477" s="317"/>
      <c r="Z477" s="317"/>
      <c r="AA477" s="317"/>
    </row>
    <row r="478">
      <c r="A478" s="317"/>
      <c r="B478" s="317"/>
      <c r="C478" s="317"/>
      <c r="D478" s="317"/>
      <c r="E478" s="317"/>
      <c r="F478" s="317"/>
      <c r="G478" s="317"/>
      <c r="H478" s="317"/>
      <c r="I478" s="317"/>
      <c r="J478" s="317"/>
      <c r="K478" s="317"/>
      <c r="L478" s="317"/>
      <c r="M478" s="317"/>
      <c r="N478" s="317"/>
      <c r="O478" s="317"/>
      <c r="P478" s="317"/>
      <c r="Q478" s="317"/>
      <c r="R478" s="317"/>
      <c r="S478" s="317"/>
      <c r="T478" s="317"/>
      <c r="U478" s="317"/>
      <c r="V478" s="317"/>
      <c r="W478" s="317"/>
      <c r="X478" s="317"/>
      <c r="Y478" s="317"/>
      <c r="Z478" s="317"/>
      <c r="AA478" s="317"/>
    </row>
    <row r="479">
      <c r="A479" s="317"/>
      <c r="B479" s="317"/>
      <c r="C479" s="317"/>
      <c r="D479" s="317"/>
      <c r="E479" s="317"/>
      <c r="F479" s="317"/>
      <c r="G479" s="317"/>
      <c r="H479" s="317"/>
      <c r="I479" s="317"/>
      <c r="J479" s="317"/>
      <c r="K479" s="317"/>
      <c r="L479" s="317"/>
      <c r="M479" s="317"/>
      <c r="N479" s="317"/>
      <c r="O479" s="317"/>
      <c r="P479" s="317"/>
      <c r="Q479" s="317"/>
      <c r="R479" s="317"/>
      <c r="S479" s="317"/>
      <c r="T479" s="317"/>
      <c r="U479" s="317"/>
      <c r="V479" s="317"/>
      <c r="W479" s="317"/>
      <c r="X479" s="317"/>
      <c r="Y479" s="317"/>
      <c r="Z479" s="317"/>
      <c r="AA479" s="317"/>
    </row>
    <row r="480">
      <c r="A480" s="317"/>
      <c r="B480" s="317"/>
      <c r="C480" s="317"/>
      <c r="D480" s="317"/>
      <c r="E480" s="317"/>
      <c r="F480" s="317"/>
      <c r="G480" s="317"/>
      <c r="H480" s="317"/>
      <c r="I480" s="317"/>
      <c r="J480" s="317"/>
      <c r="K480" s="317"/>
      <c r="L480" s="317"/>
      <c r="M480" s="317"/>
      <c r="N480" s="317"/>
      <c r="O480" s="317"/>
      <c r="P480" s="317"/>
      <c r="Q480" s="317"/>
      <c r="R480" s="317"/>
      <c r="S480" s="317"/>
      <c r="T480" s="317"/>
      <c r="U480" s="317"/>
      <c r="V480" s="317"/>
      <c r="W480" s="317"/>
      <c r="X480" s="317"/>
      <c r="Y480" s="317"/>
      <c r="Z480" s="317"/>
      <c r="AA480" s="317"/>
    </row>
    <row r="481">
      <c r="A481" s="317"/>
      <c r="B481" s="317"/>
      <c r="C481" s="317"/>
      <c r="D481" s="317"/>
      <c r="E481" s="317"/>
      <c r="F481" s="317"/>
      <c r="G481" s="317"/>
      <c r="H481" s="317"/>
      <c r="I481" s="317"/>
      <c r="J481" s="317"/>
      <c r="K481" s="317"/>
      <c r="L481" s="317"/>
      <c r="M481" s="317"/>
      <c r="N481" s="317"/>
      <c r="O481" s="317"/>
      <c r="P481" s="317"/>
      <c r="Q481" s="317"/>
      <c r="R481" s="317"/>
      <c r="S481" s="317"/>
      <c r="T481" s="317"/>
      <c r="U481" s="317"/>
      <c r="V481" s="317"/>
      <c r="W481" s="317"/>
      <c r="X481" s="317"/>
      <c r="Y481" s="317"/>
      <c r="Z481" s="317"/>
      <c r="AA481" s="317"/>
    </row>
    <row r="482">
      <c r="A482" s="317"/>
      <c r="B482" s="317"/>
      <c r="C482" s="317"/>
      <c r="D482" s="317"/>
      <c r="E482" s="317"/>
      <c r="F482" s="317"/>
      <c r="G482" s="317"/>
      <c r="H482" s="317"/>
      <c r="I482" s="317"/>
      <c r="J482" s="317"/>
      <c r="K482" s="317"/>
      <c r="L482" s="317"/>
      <c r="M482" s="317"/>
      <c r="N482" s="317"/>
      <c r="O482" s="317"/>
      <c r="P482" s="317"/>
      <c r="Q482" s="317"/>
      <c r="R482" s="317"/>
      <c r="S482" s="317"/>
      <c r="T482" s="317"/>
      <c r="U482" s="317"/>
      <c r="V482" s="317"/>
      <c r="W482" s="317"/>
      <c r="X482" s="317"/>
      <c r="Y482" s="317"/>
      <c r="Z482" s="317"/>
      <c r="AA482" s="317"/>
    </row>
    <row r="483">
      <c r="A483" s="317"/>
      <c r="B483" s="317"/>
      <c r="C483" s="317"/>
      <c r="D483" s="317"/>
      <c r="E483" s="317"/>
      <c r="F483" s="317"/>
      <c r="G483" s="317"/>
      <c r="H483" s="317"/>
      <c r="I483" s="317"/>
      <c r="J483" s="317"/>
      <c r="K483" s="317"/>
      <c r="L483" s="317"/>
      <c r="M483" s="317"/>
      <c r="N483" s="317"/>
      <c r="O483" s="317"/>
      <c r="P483" s="317"/>
      <c r="Q483" s="317"/>
      <c r="R483" s="317"/>
      <c r="S483" s="317"/>
      <c r="T483" s="317"/>
      <c r="U483" s="317"/>
      <c r="V483" s="317"/>
      <c r="W483" s="317"/>
      <c r="X483" s="317"/>
      <c r="Y483" s="317"/>
      <c r="Z483" s="317"/>
      <c r="AA483" s="317"/>
    </row>
    <row r="484">
      <c r="A484" s="317"/>
      <c r="B484" s="317"/>
      <c r="C484" s="317"/>
      <c r="D484" s="317"/>
      <c r="E484" s="317"/>
      <c r="F484" s="317"/>
      <c r="G484" s="317"/>
      <c r="H484" s="317"/>
      <c r="I484" s="317"/>
      <c r="J484" s="317"/>
      <c r="K484" s="317"/>
      <c r="L484" s="317"/>
      <c r="M484" s="317"/>
      <c r="N484" s="317"/>
      <c r="O484" s="317"/>
      <c r="P484" s="317"/>
      <c r="Q484" s="317"/>
      <c r="R484" s="317"/>
      <c r="S484" s="317"/>
      <c r="T484" s="317"/>
      <c r="U484" s="317"/>
      <c r="V484" s="317"/>
      <c r="W484" s="317"/>
      <c r="X484" s="317"/>
      <c r="Y484" s="317"/>
      <c r="Z484" s="317"/>
      <c r="AA484" s="317"/>
    </row>
    <row r="485">
      <c r="A485" s="317"/>
      <c r="B485" s="317"/>
      <c r="C485" s="317"/>
      <c r="D485" s="317"/>
      <c r="E485" s="317"/>
      <c r="F485" s="317"/>
      <c r="G485" s="317"/>
      <c r="H485" s="317"/>
      <c r="I485" s="317"/>
      <c r="J485" s="317"/>
      <c r="K485" s="317"/>
      <c r="L485" s="317"/>
      <c r="M485" s="317"/>
      <c r="N485" s="317"/>
      <c r="O485" s="317"/>
      <c r="P485" s="317"/>
      <c r="Q485" s="317"/>
      <c r="R485" s="317"/>
      <c r="S485" s="317"/>
      <c r="T485" s="317"/>
      <c r="U485" s="317"/>
      <c r="V485" s="317"/>
      <c r="W485" s="317"/>
      <c r="X485" s="317"/>
      <c r="Y485" s="317"/>
      <c r="Z485" s="317"/>
      <c r="AA485" s="317"/>
    </row>
    <row r="486">
      <c r="A486" s="317"/>
      <c r="B486" s="317"/>
      <c r="C486" s="317"/>
      <c r="D486" s="317"/>
      <c r="E486" s="317"/>
      <c r="F486" s="317"/>
      <c r="G486" s="317"/>
      <c r="H486" s="317"/>
      <c r="I486" s="317"/>
      <c r="J486" s="317"/>
      <c r="K486" s="317"/>
      <c r="L486" s="317"/>
      <c r="M486" s="317"/>
      <c r="N486" s="317"/>
      <c r="O486" s="317"/>
      <c r="P486" s="317"/>
      <c r="Q486" s="317"/>
      <c r="R486" s="317"/>
      <c r="S486" s="317"/>
      <c r="T486" s="317"/>
      <c r="U486" s="317"/>
      <c r="V486" s="317"/>
      <c r="W486" s="317"/>
      <c r="X486" s="317"/>
      <c r="Y486" s="317"/>
      <c r="Z486" s="317"/>
      <c r="AA486" s="317"/>
    </row>
    <row r="487">
      <c r="A487" s="317"/>
      <c r="B487" s="317"/>
      <c r="C487" s="317"/>
      <c r="D487" s="317"/>
      <c r="E487" s="317"/>
      <c r="F487" s="317"/>
      <c r="G487" s="317"/>
      <c r="H487" s="317"/>
      <c r="I487" s="317"/>
      <c r="J487" s="317"/>
      <c r="K487" s="317"/>
      <c r="L487" s="317"/>
      <c r="M487" s="317"/>
      <c r="N487" s="317"/>
      <c r="O487" s="317"/>
      <c r="P487" s="317"/>
      <c r="Q487" s="317"/>
      <c r="R487" s="317"/>
      <c r="S487" s="317"/>
      <c r="T487" s="317"/>
      <c r="U487" s="317"/>
      <c r="V487" s="317"/>
      <c r="W487" s="317"/>
      <c r="X487" s="317"/>
      <c r="Y487" s="317"/>
      <c r="Z487" s="317"/>
      <c r="AA487" s="317"/>
    </row>
    <row r="488">
      <c r="A488" s="317"/>
      <c r="B488" s="317"/>
      <c r="C488" s="317"/>
      <c r="D488" s="317"/>
      <c r="E488" s="317"/>
      <c r="F488" s="317"/>
      <c r="G488" s="317"/>
      <c r="H488" s="317"/>
      <c r="I488" s="317"/>
      <c r="J488" s="317"/>
      <c r="K488" s="317"/>
      <c r="L488" s="317"/>
      <c r="M488" s="317"/>
      <c r="N488" s="317"/>
      <c r="O488" s="317"/>
      <c r="P488" s="317"/>
      <c r="Q488" s="317"/>
      <c r="R488" s="317"/>
      <c r="S488" s="317"/>
      <c r="T488" s="317"/>
      <c r="U488" s="317"/>
      <c r="V488" s="317"/>
      <c r="W488" s="317"/>
      <c r="X488" s="317"/>
      <c r="Y488" s="317"/>
      <c r="Z488" s="317"/>
      <c r="AA488" s="317"/>
    </row>
    <row r="489">
      <c r="A489" s="317"/>
      <c r="B489" s="317"/>
      <c r="C489" s="317"/>
      <c r="D489" s="317"/>
      <c r="E489" s="317"/>
      <c r="F489" s="317"/>
      <c r="G489" s="317"/>
      <c r="H489" s="317"/>
      <c r="I489" s="317"/>
      <c r="J489" s="317"/>
      <c r="K489" s="317"/>
      <c r="L489" s="317"/>
      <c r="M489" s="317"/>
      <c r="N489" s="317"/>
      <c r="O489" s="317"/>
      <c r="P489" s="317"/>
      <c r="Q489" s="317"/>
      <c r="R489" s="317"/>
      <c r="S489" s="317"/>
      <c r="T489" s="317"/>
      <c r="U489" s="317"/>
      <c r="V489" s="317"/>
      <c r="W489" s="317"/>
      <c r="X489" s="317"/>
      <c r="Y489" s="317"/>
      <c r="Z489" s="317"/>
      <c r="AA489" s="317"/>
    </row>
    <row r="490">
      <c r="A490" s="317"/>
      <c r="B490" s="317"/>
      <c r="C490" s="317"/>
      <c r="D490" s="317"/>
      <c r="E490" s="317"/>
      <c r="F490" s="317"/>
      <c r="G490" s="317"/>
      <c r="H490" s="317"/>
      <c r="I490" s="317"/>
      <c r="J490" s="317"/>
      <c r="K490" s="317"/>
      <c r="L490" s="317"/>
      <c r="M490" s="317"/>
      <c r="N490" s="317"/>
      <c r="O490" s="317"/>
      <c r="P490" s="317"/>
      <c r="Q490" s="317"/>
      <c r="R490" s="317"/>
      <c r="S490" s="317"/>
      <c r="T490" s="317"/>
      <c r="U490" s="317"/>
      <c r="V490" s="317"/>
      <c r="W490" s="317"/>
      <c r="X490" s="317"/>
      <c r="Y490" s="317"/>
      <c r="Z490" s="317"/>
      <c r="AA490" s="317"/>
    </row>
    <row r="491">
      <c r="A491" s="317"/>
      <c r="B491" s="317"/>
      <c r="C491" s="317"/>
      <c r="D491" s="317"/>
      <c r="E491" s="317"/>
      <c r="F491" s="317"/>
      <c r="G491" s="317"/>
      <c r="H491" s="317"/>
      <c r="I491" s="317"/>
      <c r="J491" s="317"/>
      <c r="K491" s="317"/>
      <c r="L491" s="317"/>
      <c r="M491" s="317"/>
      <c r="N491" s="317"/>
      <c r="O491" s="317"/>
      <c r="P491" s="317"/>
      <c r="Q491" s="317"/>
      <c r="R491" s="317"/>
      <c r="S491" s="317"/>
      <c r="T491" s="317"/>
      <c r="U491" s="317"/>
      <c r="V491" s="317"/>
      <c r="W491" s="317"/>
      <c r="X491" s="317"/>
      <c r="Y491" s="317"/>
      <c r="Z491" s="317"/>
      <c r="AA491" s="317"/>
    </row>
    <row r="492">
      <c r="A492" s="317"/>
      <c r="B492" s="317"/>
      <c r="C492" s="317"/>
      <c r="D492" s="317"/>
      <c r="E492" s="317"/>
      <c r="F492" s="317"/>
      <c r="G492" s="317"/>
      <c r="H492" s="317"/>
      <c r="I492" s="317"/>
      <c r="J492" s="317"/>
      <c r="K492" s="317"/>
      <c r="L492" s="317"/>
      <c r="M492" s="317"/>
      <c r="N492" s="317"/>
      <c r="O492" s="317"/>
      <c r="P492" s="317"/>
      <c r="Q492" s="317"/>
      <c r="R492" s="317"/>
      <c r="S492" s="317"/>
      <c r="T492" s="317"/>
      <c r="U492" s="317"/>
      <c r="V492" s="317"/>
      <c r="W492" s="317"/>
      <c r="X492" s="317"/>
      <c r="Y492" s="317"/>
      <c r="Z492" s="317"/>
      <c r="AA492" s="317"/>
    </row>
    <row r="493">
      <c r="A493" s="317"/>
      <c r="B493" s="317"/>
      <c r="C493" s="317"/>
      <c r="D493" s="317"/>
      <c r="E493" s="317"/>
      <c r="F493" s="317"/>
      <c r="G493" s="317"/>
      <c r="H493" s="317"/>
      <c r="I493" s="317"/>
      <c r="J493" s="317"/>
      <c r="K493" s="317"/>
      <c r="L493" s="317"/>
      <c r="M493" s="317"/>
      <c r="N493" s="317"/>
      <c r="O493" s="317"/>
      <c r="P493" s="317"/>
      <c r="Q493" s="317"/>
      <c r="R493" s="317"/>
      <c r="S493" s="317"/>
      <c r="T493" s="317"/>
      <c r="U493" s="317"/>
      <c r="V493" s="317"/>
      <c r="W493" s="317"/>
      <c r="X493" s="317"/>
      <c r="Y493" s="317"/>
      <c r="Z493" s="317"/>
      <c r="AA493" s="317"/>
    </row>
    <row r="494">
      <c r="A494" s="317"/>
      <c r="B494" s="317"/>
      <c r="C494" s="317"/>
      <c r="D494" s="317"/>
      <c r="E494" s="317"/>
      <c r="F494" s="317"/>
      <c r="G494" s="317"/>
      <c r="H494" s="317"/>
      <c r="I494" s="317"/>
      <c r="J494" s="317"/>
      <c r="K494" s="317"/>
      <c r="L494" s="317"/>
      <c r="M494" s="317"/>
      <c r="N494" s="317"/>
      <c r="O494" s="317"/>
      <c r="P494" s="317"/>
      <c r="Q494" s="317"/>
      <c r="R494" s="317"/>
      <c r="S494" s="317"/>
      <c r="T494" s="317"/>
      <c r="U494" s="317"/>
      <c r="V494" s="317"/>
      <c r="W494" s="317"/>
      <c r="X494" s="317"/>
      <c r="Y494" s="317"/>
      <c r="Z494" s="317"/>
      <c r="AA494" s="317"/>
    </row>
    <row r="495">
      <c r="A495" s="317"/>
      <c r="B495" s="317"/>
      <c r="C495" s="317"/>
      <c r="D495" s="317"/>
      <c r="E495" s="317"/>
      <c r="F495" s="317"/>
      <c r="G495" s="317"/>
      <c r="H495" s="317"/>
      <c r="I495" s="317"/>
      <c r="J495" s="317"/>
      <c r="K495" s="317"/>
      <c r="L495" s="317"/>
      <c r="M495" s="317"/>
      <c r="N495" s="317"/>
      <c r="O495" s="317"/>
      <c r="P495" s="317"/>
      <c r="Q495" s="317"/>
      <c r="R495" s="317"/>
      <c r="S495" s="317"/>
      <c r="T495" s="317"/>
      <c r="U495" s="317"/>
      <c r="V495" s="317"/>
      <c r="W495" s="317"/>
      <c r="X495" s="317"/>
      <c r="Y495" s="317"/>
      <c r="Z495" s="317"/>
      <c r="AA495" s="317"/>
    </row>
    <row r="496">
      <c r="A496" s="317"/>
      <c r="B496" s="317"/>
      <c r="C496" s="317"/>
      <c r="D496" s="317"/>
      <c r="E496" s="317"/>
      <c r="F496" s="317"/>
      <c r="G496" s="317"/>
      <c r="H496" s="317"/>
      <c r="I496" s="317"/>
      <c r="J496" s="317"/>
      <c r="K496" s="317"/>
      <c r="L496" s="317"/>
      <c r="M496" s="317"/>
      <c r="N496" s="317"/>
      <c r="O496" s="317"/>
      <c r="P496" s="317"/>
      <c r="Q496" s="317"/>
      <c r="R496" s="317"/>
      <c r="S496" s="317"/>
      <c r="T496" s="317"/>
      <c r="U496" s="317"/>
      <c r="V496" s="317"/>
      <c r="W496" s="317"/>
      <c r="X496" s="317"/>
      <c r="Y496" s="317"/>
      <c r="Z496" s="317"/>
      <c r="AA496" s="317"/>
    </row>
    <row r="497">
      <c r="A497" s="317"/>
      <c r="B497" s="317"/>
      <c r="C497" s="317"/>
      <c r="D497" s="317"/>
      <c r="E497" s="317"/>
      <c r="F497" s="317"/>
      <c r="G497" s="317"/>
      <c r="H497" s="317"/>
      <c r="I497" s="317"/>
      <c r="J497" s="317"/>
      <c r="K497" s="317"/>
      <c r="L497" s="317"/>
      <c r="M497" s="317"/>
      <c r="N497" s="317"/>
      <c r="O497" s="317"/>
      <c r="P497" s="317"/>
      <c r="Q497" s="317"/>
      <c r="R497" s="317"/>
      <c r="S497" s="317"/>
      <c r="T497" s="317"/>
      <c r="U497" s="317"/>
      <c r="V497" s="317"/>
      <c r="W497" s="317"/>
      <c r="X497" s="317"/>
      <c r="Y497" s="317"/>
      <c r="Z497" s="317"/>
      <c r="AA497" s="317"/>
    </row>
    <row r="498">
      <c r="A498" s="317"/>
      <c r="B498" s="317"/>
      <c r="C498" s="317"/>
      <c r="D498" s="317"/>
      <c r="E498" s="317"/>
      <c r="F498" s="317"/>
      <c r="G498" s="317"/>
      <c r="H498" s="317"/>
      <c r="I498" s="317"/>
      <c r="J498" s="317"/>
      <c r="K498" s="317"/>
      <c r="L498" s="317"/>
      <c r="M498" s="317"/>
      <c r="N498" s="317"/>
      <c r="O498" s="317"/>
      <c r="P498" s="317"/>
      <c r="Q498" s="317"/>
      <c r="R498" s="317"/>
      <c r="S498" s="317"/>
      <c r="T498" s="317"/>
      <c r="U498" s="317"/>
      <c r="V498" s="317"/>
      <c r="W498" s="317"/>
      <c r="X498" s="317"/>
      <c r="Y498" s="317"/>
      <c r="Z498" s="317"/>
      <c r="AA498" s="317"/>
    </row>
    <row r="499">
      <c r="A499" s="317"/>
      <c r="B499" s="317"/>
      <c r="C499" s="317"/>
      <c r="D499" s="317"/>
      <c r="E499" s="317"/>
      <c r="F499" s="317"/>
      <c r="G499" s="317"/>
      <c r="H499" s="317"/>
      <c r="I499" s="317"/>
      <c r="J499" s="317"/>
      <c r="K499" s="317"/>
      <c r="L499" s="317"/>
      <c r="M499" s="317"/>
      <c r="N499" s="317"/>
      <c r="O499" s="317"/>
      <c r="P499" s="317"/>
      <c r="Q499" s="317"/>
      <c r="R499" s="317"/>
      <c r="S499" s="317"/>
      <c r="T499" s="317"/>
      <c r="U499" s="317"/>
      <c r="V499" s="317"/>
      <c r="W499" s="317"/>
      <c r="X499" s="317"/>
      <c r="Y499" s="317"/>
      <c r="Z499" s="317"/>
      <c r="AA499" s="317"/>
    </row>
    <row r="500">
      <c r="A500" s="317"/>
      <c r="B500" s="317"/>
      <c r="C500" s="317"/>
      <c r="D500" s="317"/>
      <c r="E500" s="317"/>
      <c r="F500" s="317"/>
      <c r="G500" s="317"/>
      <c r="H500" s="317"/>
      <c r="I500" s="317"/>
      <c r="J500" s="317"/>
      <c r="K500" s="317"/>
      <c r="L500" s="317"/>
      <c r="M500" s="317"/>
      <c r="N500" s="317"/>
      <c r="O500" s="317"/>
      <c r="P500" s="317"/>
      <c r="Q500" s="317"/>
      <c r="R500" s="317"/>
      <c r="S500" s="317"/>
      <c r="T500" s="317"/>
      <c r="U500" s="317"/>
      <c r="V500" s="317"/>
      <c r="W500" s="317"/>
      <c r="X500" s="317"/>
      <c r="Y500" s="317"/>
      <c r="Z500" s="317"/>
      <c r="AA500" s="317"/>
    </row>
    <row r="501">
      <c r="A501" s="317"/>
      <c r="B501" s="317"/>
      <c r="C501" s="317"/>
      <c r="D501" s="317"/>
      <c r="E501" s="317"/>
      <c r="F501" s="317"/>
      <c r="G501" s="317"/>
      <c r="H501" s="317"/>
      <c r="I501" s="317"/>
      <c r="J501" s="317"/>
      <c r="K501" s="317"/>
      <c r="L501" s="317"/>
      <c r="M501" s="317"/>
      <c r="N501" s="317"/>
      <c r="O501" s="317"/>
      <c r="P501" s="317"/>
      <c r="Q501" s="317"/>
      <c r="R501" s="317"/>
      <c r="S501" s="317"/>
      <c r="T501" s="317"/>
      <c r="U501" s="317"/>
      <c r="V501" s="317"/>
      <c r="W501" s="317"/>
      <c r="X501" s="317"/>
      <c r="Y501" s="317"/>
      <c r="Z501" s="317"/>
      <c r="AA501" s="317"/>
    </row>
    <row r="502">
      <c r="A502" s="317"/>
      <c r="B502" s="317"/>
      <c r="C502" s="317"/>
      <c r="D502" s="317"/>
      <c r="E502" s="317"/>
      <c r="F502" s="317"/>
      <c r="G502" s="317"/>
      <c r="H502" s="317"/>
      <c r="I502" s="317"/>
      <c r="J502" s="317"/>
      <c r="K502" s="317"/>
      <c r="L502" s="317"/>
      <c r="M502" s="317"/>
      <c r="N502" s="317"/>
      <c r="O502" s="317"/>
      <c r="P502" s="317"/>
      <c r="Q502" s="317"/>
      <c r="R502" s="317"/>
      <c r="S502" s="317"/>
      <c r="T502" s="317"/>
      <c r="U502" s="317"/>
      <c r="V502" s="317"/>
      <c r="W502" s="317"/>
      <c r="X502" s="317"/>
      <c r="Y502" s="317"/>
      <c r="Z502" s="317"/>
      <c r="AA502" s="317"/>
    </row>
    <row r="503">
      <c r="A503" s="317"/>
      <c r="B503" s="317"/>
      <c r="C503" s="317"/>
      <c r="D503" s="317"/>
      <c r="E503" s="317"/>
      <c r="F503" s="317"/>
      <c r="G503" s="317"/>
      <c r="H503" s="317"/>
      <c r="I503" s="317"/>
      <c r="J503" s="317"/>
      <c r="K503" s="317"/>
      <c r="L503" s="317"/>
      <c r="M503" s="317"/>
      <c r="N503" s="317"/>
      <c r="O503" s="317"/>
      <c r="P503" s="317"/>
      <c r="Q503" s="317"/>
      <c r="R503" s="317"/>
      <c r="S503" s="317"/>
      <c r="T503" s="317"/>
      <c r="U503" s="317"/>
      <c r="V503" s="317"/>
      <c r="W503" s="317"/>
      <c r="X503" s="317"/>
      <c r="Y503" s="317"/>
      <c r="Z503" s="317"/>
      <c r="AA503" s="317"/>
    </row>
    <row r="504">
      <c r="A504" s="317"/>
      <c r="B504" s="317"/>
      <c r="C504" s="317"/>
      <c r="D504" s="317"/>
      <c r="E504" s="317"/>
      <c r="F504" s="317"/>
      <c r="G504" s="317"/>
      <c r="H504" s="317"/>
      <c r="I504" s="317"/>
      <c r="J504" s="317"/>
      <c r="K504" s="317"/>
      <c r="L504" s="317"/>
      <c r="M504" s="317"/>
      <c r="N504" s="317"/>
      <c r="O504" s="317"/>
      <c r="P504" s="317"/>
      <c r="Q504" s="317"/>
      <c r="R504" s="317"/>
      <c r="S504" s="317"/>
      <c r="T504" s="317"/>
      <c r="U504" s="317"/>
      <c r="V504" s="317"/>
      <c r="W504" s="317"/>
      <c r="X504" s="317"/>
      <c r="Y504" s="317"/>
      <c r="Z504" s="317"/>
      <c r="AA504" s="317"/>
    </row>
    <row r="505">
      <c r="A505" s="317"/>
      <c r="B505" s="317"/>
      <c r="C505" s="317"/>
      <c r="D505" s="317"/>
      <c r="E505" s="317"/>
      <c r="F505" s="317"/>
      <c r="G505" s="317"/>
      <c r="H505" s="317"/>
      <c r="I505" s="317"/>
      <c r="J505" s="317"/>
      <c r="K505" s="317"/>
      <c r="L505" s="317"/>
      <c r="M505" s="317"/>
      <c r="N505" s="317"/>
      <c r="O505" s="317"/>
      <c r="P505" s="317"/>
      <c r="Q505" s="317"/>
      <c r="R505" s="317"/>
      <c r="S505" s="317"/>
      <c r="T505" s="317"/>
      <c r="U505" s="317"/>
      <c r="V505" s="317"/>
      <c r="W505" s="317"/>
      <c r="X505" s="317"/>
      <c r="Y505" s="317"/>
      <c r="Z505" s="317"/>
      <c r="AA505" s="317"/>
    </row>
    <row r="506">
      <c r="A506" s="317"/>
      <c r="B506" s="317"/>
      <c r="C506" s="317"/>
      <c r="D506" s="317"/>
      <c r="E506" s="317"/>
      <c r="F506" s="317"/>
      <c r="G506" s="317"/>
      <c r="H506" s="317"/>
      <c r="I506" s="317"/>
      <c r="J506" s="317"/>
      <c r="K506" s="317"/>
      <c r="L506" s="317"/>
      <c r="M506" s="317"/>
      <c r="N506" s="317"/>
      <c r="O506" s="317"/>
      <c r="P506" s="317"/>
      <c r="Q506" s="317"/>
      <c r="R506" s="317"/>
      <c r="S506" s="317"/>
      <c r="T506" s="317"/>
      <c r="U506" s="317"/>
      <c r="V506" s="317"/>
      <c r="W506" s="317"/>
      <c r="X506" s="317"/>
      <c r="Y506" s="317"/>
      <c r="Z506" s="317"/>
      <c r="AA506" s="317"/>
    </row>
    <row r="507">
      <c r="A507" s="317"/>
      <c r="B507" s="317"/>
      <c r="C507" s="317"/>
      <c r="D507" s="317"/>
      <c r="E507" s="317"/>
      <c r="F507" s="317"/>
      <c r="G507" s="317"/>
      <c r="H507" s="317"/>
      <c r="I507" s="317"/>
      <c r="J507" s="317"/>
      <c r="K507" s="317"/>
      <c r="L507" s="317"/>
      <c r="M507" s="317"/>
      <c r="N507" s="317"/>
      <c r="O507" s="317"/>
      <c r="P507" s="317"/>
      <c r="Q507" s="317"/>
      <c r="R507" s="317"/>
      <c r="S507" s="317"/>
      <c r="T507" s="317"/>
      <c r="U507" s="317"/>
      <c r="V507" s="317"/>
      <c r="W507" s="317"/>
      <c r="X507" s="317"/>
      <c r="Y507" s="317"/>
      <c r="Z507" s="317"/>
      <c r="AA507" s="317"/>
    </row>
    <row r="508">
      <c r="A508" s="317"/>
      <c r="B508" s="317"/>
      <c r="C508" s="317"/>
      <c r="D508" s="317"/>
      <c r="E508" s="317"/>
      <c r="F508" s="317"/>
      <c r="G508" s="317"/>
      <c r="H508" s="317"/>
      <c r="I508" s="317"/>
      <c r="J508" s="317"/>
      <c r="K508" s="317"/>
      <c r="L508" s="317"/>
      <c r="M508" s="317"/>
      <c r="N508" s="317"/>
      <c r="O508" s="317"/>
      <c r="P508" s="317"/>
      <c r="Q508" s="317"/>
      <c r="R508" s="317"/>
      <c r="S508" s="317"/>
      <c r="T508" s="317"/>
      <c r="U508" s="317"/>
      <c r="V508" s="317"/>
      <c r="W508" s="317"/>
      <c r="X508" s="317"/>
      <c r="Y508" s="317"/>
      <c r="Z508" s="317"/>
      <c r="AA508" s="317"/>
    </row>
    <row r="509">
      <c r="A509" s="317"/>
      <c r="B509" s="317"/>
      <c r="C509" s="317"/>
      <c r="D509" s="317"/>
      <c r="E509" s="317"/>
      <c r="F509" s="317"/>
      <c r="G509" s="317"/>
      <c r="H509" s="317"/>
      <c r="I509" s="317"/>
      <c r="J509" s="317"/>
      <c r="K509" s="317"/>
      <c r="L509" s="317"/>
      <c r="M509" s="317"/>
      <c r="N509" s="317"/>
      <c r="O509" s="317"/>
      <c r="P509" s="317"/>
      <c r="Q509" s="317"/>
      <c r="R509" s="317"/>
      <c r="S509" s="317"/>
      <c r="T509" s="317"/>
      <c r="U509" s="317"/>
      <c r="V509" s="317"/>
      <c r="W509" s="317"/>
      <c r="X509" s="317"/>
      <c r="Y509" s="317"/>
      <c r="Z509" s="317"/>
      <c r="AA509" s="317"/>
    </row>
    <row r="510">
      <c r="A510" s="317"/>
      <c r="B510" s="317"/>
      <c r="C510" s="317"/>
      <c r="D510" s="317"/>
      <c r="E510" s="317"/>
      <c r="F510" s="317"/>
      <c r="G510" s="317"/>
      <c r="H510" s="317"/>
      <c r="I510" s="317"/>
      <c r="J510" s="317"/>
      <c r="K510" s="317"/>
      <c r="L510" s="317"/>
      <c r="M510" s="317"/>
      <c r="N510" s="317"/>
      <c r="O510" s="317"/>
      <c r="P510" s="317"/>
      <c r="Q510" s="317"/>
      <c r="R510" s="317"/>
      <c r="S510" s="317"/>
      <c r="T510" s="317"/>
      <c r="U510" s="317"/>
      <c r="V510" s="317"/>
      <c r="W510" s="317"/>
      <c r="X510" s="317"/>
      <c r="Y510" s="317"/>
      <c r="Z510" s="317"/>
      <c r="AA510" s="317"/>
    </row>
    <row r="511">
      <c r="A511" s="317"/>
      <c r="B511" s="317"/>
      <c r="C511" s="317"/>
      <c r="D511" s="317"/>
      <c r="E511" s="317"/>
      <c r="F511" s="317"/>
      <c r="G511" s="317"/>
      <c r="H511" s="317"/>
      <c r="I511" s="317"/>
      <c r="J511" s="317"/>
      <c r="K511" s="317"/>
      <c r="L511" s="317"/>
      <c r="M511" s="317"/>
      <c r="N511" s="317"/>
      <c r="O511" s="317"/>
      <c r="P511" s="317"/>
      <c r="Q511" s="317"/>
      <c r="R511" s="317"/>
      <c r="S511" s="317"/>
      <c r="T511" s="317"/>
      <c r="U511" s="317"/>
      <c r="V511" s="317"/>
      <c r="W511" s="317"/>
      <c r="X511" s="317"/>
      <c r="Y511" s="317"/>
      <c r="Z511" s="317"/>
      <c r="AA511" s="317"/>
    </row>
    <row r="512">
      <c r="A512" s="317"/>
      <c r="B512" s="317"/>
      <c r="C512" s="317"/>
      <c r="D512" s="317"/>
      <c r="E512" s="317"/>
      <c r="F512" s="317"/>
      <c r="G512" s="317"/>
      <c r="H512" s="317"/>
      <c r="I512" s="317"/>
      <c r="J512" s="317"/>
      <c r="K512" s="317"/>
      <c r="L512" s="317"/>
      <c r="M512" s="317"/>
      <c r="N512" s="317"/>
      <c r="O512" s="317"/>
      <c r="P512" s="317"/>
      <c r="Q512" s="317"/>
      <c r="R512" s="317"/>
      <c r="S512" s="317"/>
      <c r="T512" s="317"/>
      <c r="U512" s="317"/>
      <c r="V512" s="317"/>
      <c r="W512" s="317"/>
      <c r="X512" s="317"/>
      <c r="Y512" s="317"/>
      <c r="Z512" s="317"/>
      <c r="AA512" s="317"/>
    </row>
    <row r="513">
      <c r="A513" s="317"/>
      <c r="B513" s="317"/>
      <c r="C513" s="317"/>
      <c r="D513" s="317"/>
      <c r="E513" s="317"/>
      <c r="F513" s="317"/>
      <c r="G513" s="317"/>
      <c r="H513" s="317"/>
      <c r="I513" s="317"/>
      <c r="J513" s="317"/>
      <c r="K513" s="317"/>
      <c r="L513" s="317"/>
      <c r="M513" s="317"/>
      <c r="N513" s="317"/>
      <c r="O513" s="317"/>
      <c r="P513" s="317"/>
      <c r="Q513" s="317"/>
      <c r="R513" s="317"/>
      <c r="S513" s="317"/>
      <c r="T513" s="317"/>
      <c r="U513" s="317"/>
      <c r="V513" s="317"/>
      <c r="W513" s="317"/>
      <c r="X513" s="317"/>
      <c r="Y513" s="317"/>
      <c r="Z513" s="317"/>
      <c r="AA513" s="317"/>
    </row>
    <row r="514">
      <c r="A514" s="317"/>
      <c r="B514" s="317"/>
      <c r="C514" s="317"/>
      <c r="D514" s="317"/>
      <c r="E514" s="317"/>
      <c r="F514" s="317"/>
      <c r="G514" s="317"/>
      <c r="H514" s="317"/>
      <c r="I514" s="317"/>
      <c r="J514" s="317"/>
      <c r="K514" s="317"/>
      <c r="L514" s="317"/>
      <c r="M514" s="317"/>
      <c r="N514" s="317"/>
      <c r="O514" s="317"/>
      <c r="P514" s="317"/>
      <c r="Q514" s="317"/>
      <c r="R514" s="317"/>
      <c r="S514" s="317"/>
      <c r="T514" s="317"/>
      <c r="U514" s="317"/>
      <c r="V514" s="317"/>
      <c r="W514" s="317"/>
      <c r="X514" s="317"/>
      <c r="Y514" s="317"/>
      <c r="Z514" s="317"/>
      <c r="AA514" s="317"/>
    </row>
    <row r="515">
      <c r="A515" s="317"/>
      <c r="B515" s="317"/>
      <c r="C515" s="317"/>
      <c r="D515" s="317"/>
      <c r="E515" s="317"/>
      <c r="F515" s="317"/>
      <c r="G515" s="317"/>
      <c r="H515" s="317"/>
      <c r="I515" s="317"/>
      <c r="J515" s="317"/>
      <c r="K515" s="317"/>
      <c r="L515" s="317"/>
      <c r="M515" s="317"/>
      <c r="N515" s="317"/>
      <c r="O515" s="317"/>
      <c r="P515" s="317"/>
      <c r="Q515" s="317"/>
      <c r="R515" s="317"/>
      <c r="S515" s="317"/>
      <c r="T515" s="317"/>
      <c r="U515" s="317"/>
      <c r="V515" s="317"/>
      <c r="W515" s="317"/>
      <c r="X515" s="317"/>
      <c r="Y515" s="317"/>
      <c r="Z515" s="317"/>
      <c r="AA515" s="317"/>
    </row>
    <row r="516">
      <c r="A516" s="317"/>
      <c r="B516" s="317"/>
      <c r="C516" s="317"/>
      <c r="D516" s="317"/>
      <c r="E516" s="317"/>
      <c r="F516" s="317"/>
      <c r="G516" s="317"/>
      <c r="H516" s="317"/>
      <c r="I516" s="317"/>
      <c r="J516" s="317"/>
      <c r="K516" s="317"/>
      <c r="L516" s="317"/>
      <c r="M516" s="317"/>
      <c r="N516" s="317"/>
      <c r="O516" s="317"/>
      <c r="P516" s="317"/>
      <c r="Q516" s="317"/>
      <c r="R516" s="317"/>
      <c r="S516" s="317"/>
      <c r="T516" s="317"/>
      <c r="U516" s="317"/>
      <c r="V516" s="317"/>
      <c r="W516" s="317"/>
      <c r="X516" s="317"/>
      <c r="Y516" s="317"/>
      <c r="Z516" s="317"/>
      <c r="AA516" s="317"/>
    </row>
    <row r="517">
      <c r="A517" s="317"/>
      <c r="B517" s="317"/>
      <c r="C517" s="317"/>
      <c r="D517" s="317"/>
      <c r="E517" s="317"/>
      <c r="F517" s="317"/>
      <c r="G517" s="317"/>
      <c r="H517" s="317"/>
      <c r="I517" s="317"/>
      <c r="J517" s="317"/>
      <c r="K517" s="317"/>
      <c r="L517" s="317"/>
      <c r="M517" s="317"/>
      <c r="N517" s="317"/>
      <c r="O517" s="317"/>
      <c r="P517" s="317"/>
      <c r="Q517" s="317"/>
      <c r="R517" s="317"/>
      <c r="S517" s="317"/>
      <c r="T517" s="317"/>
      <c r="U517" s="317"/>
      <c r="V517" s="317"/>
      <c r="W517" s="317"/>
      <c r="X517" s="317"/>
      <c r="Y517" s="317"/>
      <c r="Z517" s="317"/>
      <c r="AA517" s="317"/>
    </row>
    <row r="518">
      <c r="A518" s="317"/>
      <c r="B518" s="317"/>
      <c r="C518" s="317"/>
      <c r="D518" s="317"/>
      <c r="E518" s="317"/>
      <c r="F518" s="317"/>
      <c r="G518" s="317"/>
      <c r="H518" s="317"/>
      <c r="I518" s="317"/>
      <c r="J518" s="317"/>
      <c r="K518" s="317"/>
      <c r="L518" s="317"/>
      <c r="M518" s="317"/>
      <c r="N518" s="317"/>
      <c r="O518" s="317"/>
      <c r="P518" s="317"/>
      <c r="Q518" s="317"/>
      <c r="R518" s="317"/>
      <c r="S518" s="317"/>
      <c r="T518" s="317"/>
      <c r="U518" s="317"/>
      <c r="V518" s="317"/>
      <c r="W518" s="317"/>
      <c r="X518" s="317"/>
      <c r="Y518" s="317"/>
      <c r="Z518" s="317"/>
      <c r="AA518" s="317"/>
    </row>
    <row r="519">
      <c r="A519" s="317"/>
      <c r="B519" s="317"/>
      <c r="C519" s="317"/>
      <c r="D519" s="317"/>
      <c r="E519" s="317"/>
      <c r="F519" s="317"/>
      <c r="G519" s="317"/>
      <c r="H519" s="317"/>
      <c r="I519" s="317"/>
      <c r="J519" s="317"/>
      <c r="K519" s="317"/>
      <c r="L519" s="317"/>
      <c r="M519" s="317"/>
      <c r="N519" s="317"/>
      <c r="O519" s="317"/>
      <c r="P519" s="317"/>
      <c r="Q519" s="317"/>
      <c r="R519" s="317"/>
      <c r="S519" s="317"/>
      <c r="T519" s="317"/>
      <c r="U519" s="317"/>
      <c r="V519" s="317"/>
      <c r="W519" s="317"/>
      <c r="X519" s="317"/>
      <c r="Y519" s="317"/>
      <c r="Z519" s="317"/>
      <c r="AA519" s="317"/>
    </row>
    <row r="520">
      <c r="A520" s="317"/>
      <c r="B520" s="317"/>
      <c r="C520" s="317"/>
      <c r="D520" s="317"/>
      <c r="E520" s="317"/>
      <c r="F520" s="317"/>
      <c r="G520" s="317"/>
      <c r="H520" s="317"/>
      <c r="I520" s="317"/>
      <c r="J520" s="317"/>
      <c r="K520" s="317"/>
      <c r="L520" s="317"/>
      <c r="M520" s="317"/>
      <c r="N520" s="317"/>
      <c r="O520" s="317"/>
      <c r="P520" s="317"/>
      <c r="Q520" s="317"/>
      <c r="R520" s="317"/>
      <c r="S520" s="317"/>
      <c r="T520" s="317"/>
      <c r="U520" s="317"/>
      <c r="V520" s="317"/>
      <c r="W520" s="317"/>
      <c r="X520" s="317"/>
      <c r="Y520" s="317"/>
      <c r="Z520" s="317"/>
      <c r="AA520" s="317"/>
    </row>
    <row r="521">
      <c r="A521" s="317"/>
      <c r="B521" s="317"/>
      <c r="C521" s="317"/>
      <c r="D521" s="317"/>
      <c r="E521" s="317"/>
      <c r="F521" s="317"/>
      <c r="G521" s="317"/>
      <c r="H521" s="317"/>
      <c r="I521" s="317"/>
      <c r="J521" s="317"/>
      <c r="K521" s="317"/>
      <c r="L521" s="317"/>
      <c r="M521" s="317"/>
      <c r="N521" s="317"/>
      <c r="O521" s="317"/>
      <c r="P521" s="317"/>
      <c r="Q521" s="317"/>
      <c r="R521" s="317"/>
      <c r="S521" s="317"/>
      <c r="T521" s="317"/>
      <c r="U521" s="317"/>
      <c r="V521" s="317"/>
      <c r="W521" s="317"/>
      <c r="X521" s="317"/>
      <c r="Y521" s="317"/>
      <c r="Z521" s="317"/>
      <c r="AA521" s="317"/>
    </row>
    <row r="522">
      <c r="A522" s="317"/>
      <c r="B522" s="317"/>
      <c r="C522" s="317"/>
      <c r="D522" s="317"/>
      <c r="E522" s="317"/>
      <c r="F522" s="317"/>
      <c r="G522" s="317"/>
      <c r="H522" s="317"/>
      <c r="I522" s="317"/>
      <c r="J522" s="317"/>
      <c r="K522" s="317"/>
      <c r="L522" s="317"/>
      <c r="M522" s="317"/>
      <c r="N522" s="317"/>
      <c r="O522" s="317"/>
      <c r="P522" s="317"/>
      <c r="Q522" s="317"/>
      <c r="R522" s="317"/>
      <c r="S522" s="317"/>
      <c r="T522" s="317"/>
      <c r="U522" s="317"/>
      <c r="V522" s="317"/>
      <c r="W522" s="317"/>
      <c r="X522" s="317"/>
      <c r="Y522" s="317"/>
      <c r="Z522" s="317"/>
      <c r="AA522" s="317"/>
    </row>
    <row r="523">
      <c r="A523" s="317"/>
      <c r="B523" s="317"/>
      <c r="C523" s="317"/>
      <c r="D523" s="317"/>
      <c r="E523" s="317"/>
      <c r="F523" s="317"/>
      <c r="G523" s="317"/>
      <c r="H523" s="317"/>
      <c r="I523" s="317"/>
      <c r="J523" s="317"/>
      <c r="K523" s="317"/>
      <c r="L523" s="317"/>
      <c r="M523" s="317"/>
      <c r="N523" s="317"/>
      <c r="O523" s="317"/>
      <c r="P523" s="317"/>
      <c r="Q523" s="317"/>
      <c r="R523" s="317"/>
      <c r="S523" s="317"/>
      <c r="T523" s="317"/>
      <c r="U523" s="317"/>
      <c r="V523" s="317"/>
      <c r="W523" s="317"/>
      <c r="X523" s="317"/>
      <c r="Y523" s="317"/>
      <c r="Z523" s="317"/>
      <c r="AA523" s="317"/>
    </row>
    <row r="524">
      <c r="A524" s="317"/>
      <c r="B524" s="317"/>
      <c r="C524" s="317"/>
      <c r="D524" s="317"/>
      <c r="E524" s="317"/>
      <c r="F524" s="317"/>
      <c r="G524" s="317"/>
      <c r="H524" s="317"/>
      <c r="I524" s="317"/>
      <c r="J524" s="317"/>
      <c r="K524" s="317"/>
      <c r="L524" s="317"/>
      <c r="M524" s="317"/>
      <c r="N524" s="317"/>
      <c r="O524" s="317"/>
      <c r="P524" s="317"/>
      <c r="Q524" s="317"/>
      <c r="R524" s="317"/>
      <c r="S524" s="317"/>
      <c r="T524" s="317"/>
      <c r="U524" s="317"/>
      <c r="V524" s="317"/>
      <c r="W524" s="317"/>
      <c r="X524" s="317"/>
      <c r="Y524" s="317"/>
      <c r="Z524" s="317"/>
      <c r="AA524" s="317"/>
    </row>
    <row r="525">
      <c r="A525" s="317"/>
      <c r="B525" s="317"/>
      <c r="C525" s="317"/>
      <c r="D525" s="317"/>
      <c r="E525" s="317"/>
      <c r="F525" s="317"/>
      <c r="G525" s="317"/>
      <c r="H525" s="317"/>
      <c r="I525" s="317"/>
      <c r="J525" s="317"/>
      <c r="K525" s="317"/>
      <c r="L525" s="317"/>
      <c r="M525" s="317"/>
      <c r="N525" s="317"/>
      <c r="O525" s="317"/>
      <c r="P525" s="317"/>
      <c r="Q525" s="317"/>
      <c r="R525" s="317"/>
      <c r="S525" s="317"/>
      <c r="T525" s="317"/>
      <c r="U525" s="317"/>
      <c r="V525" s="317"/>
      <c r="W525" s="317"/>
      <c r="X525" s="317"/>
      <c r="Y525" s="317"/>
      <c r="Z525" s="317"/>
      <c r="AA525" s="317"/>
    </row>
    <row r="526">
      <c r="A526" s="317"/>
      <c r="B526" s="317"/>
      <c r="C526" s="317"/>
      <c r="D526" s="317"/>
      <c r="E526" s="317"/>
      <c r="F526" s="317"/>
      <c r="G526" s="317"/>
      <c r="H526" s="317"/>
      <c r="I526" s="317"/>
      <c r="J526" s="317"/>
      <c r="K526" s="317"/>
      <c r="L526" s="317"/>
      <c r="M526" s="317"/>
      <c r="N526" s="317"/>
      <c r="O526" s="317"/>
      <c r="P526" s="317"/>
      <c r="Q526" s="317"/>
      <c r="R526" s="317"/>
      <c r="S526" s="317"/>
      <c r="T526" s="317"/>
      <c r="U526" s="317"/>
      <c r="V526" s="317"/>
      <c r="W526" s="317"/>
      <c r="X526" s="317"/>
      <c r="Y526" s="317"/>
      <c r="Z526" s="317"/>
      <c r="AA526" s="317"/>
    </row>
    <row r="527">
      <c r="A527" s="317"/>
      <c r="B527" s="317"/>
      <c r="C527" s="317"/>
      <c r="D527" s="317"/>
      <c r="E527" s="317"/>
      <c r="F527" s="317"/>
      <c r="G527" s="317"/>
      <c r="H527" s="317"/>
      <c r="I527" s="317"/>
      <c r="J527" s="317"/>
      <c r="K527" s="317"/>
      <c r="L527" s="317"/>
      <c r="M527" s="317"/>
      <c r="N527" s="317"/>
      <c r="O527" s="317"/>
      <c r="P527" s="317"/>
      <c r="Q527" s="317"/>
      <c r="R527" s="317"/>
      <c r="S527" s="317"/>
      <c r="T527" s="317"/>
      <c r="U527" s="317"/>
      <c r="V527" s="317"/>
      <c r="W527" s="317"/>
      <c r="X527" s="317"/>
      <c r="Y527" s="317"/>
      <c r="Z527" s="317"/>
      <c r="AA527" s="317"/>
    </row>
    <row r="528">
      <c r="A528" s="317"/>
      <c r="B528" s="317"/>
      <c r="C528" s="317"/>
      <c r="D528" s="317"/>
      <c r="E528" s="317"/>
      <c r="F528" s="317"/>
      <c r="G528" s="317"/>
      <c r="H528" s="317"/>
      <c r="I528" s="317"/>
      <c r="J528" s="317"/>
      <c r="K528" s="317"/>
      <c r="L528" s="317"/>
      <c r="M528" s="317"/>
      <c r="N528" s="317"/>
      <c r="O528" s="317"/>
      <c r="P528" s="317"/>
      <c r="Q528" s="317"/>
      <c r="R528" s="317"/>
      <c r="S528" s="317"/>
      <c r="T528" s="317"/>
      <c r="U528" s="317"/>
      <c r="V528" s="317"/>
      <c r="W528" s="317"/>
      <c r="X528" s="317"/>
      <c r="Y528" s="317"/>
      <c r="Z528" s="317"/>
      <c r="AA528" s="317"/>
    </row>
    <row r="529">
      <c r="A529" s="317"/>
      <c r="B529" s="317"/>
      <c r="C529" s="317"/>
      <c r="D529" s="317"/>
      <c r="E529" s="317"/>
      <c r="F529" s="317"/>
      <c r="G529" s="317"/>
      <c r="H529" s="317"/>
      <c r="I529" s="317"/>
      <c r="J529" s="317"/>
      <c r="K529" s="317"/>
      <c r="L529" s="317"/>
      <c r="M529" s="317"/>
      <c r="N529" s="317"/>
      <c r="O529" s="317"/>
      <c r="P529" s="317"/>
      <c r="Q529" s="317"/>
      <c r="R529" s="317"/>
      <c r="S529" s="317"/>
      <c r="T529" s="317"/>
      <c r="U529" s="317"/>
      <c r="V529" s="317"/>
      <c r="W529" s="317"/>
      <c r="X529" s="317"/>
      <c r="Y529" s="317"/>
      <c r="Z529" s="317"/>
      <c r="AA529" s="317"/>
    </row>
    <row r="530">
      <c r="A530" s="317"/>
      <c r="B530" s="317"/>
      <c r="C530" s="317"/>
      <c r="D530" s="317"/>
      <c r="E530" s="317"/>
      <c r="F530" s="317"/>
      <c r="G530" s="317"/>
      <c r="H530" s="317"/>
      <c r="I530" s="317"/>
      <c r="J530" s="317"/>
      <c r="K530" s="317"/>
      <c r="L530" s="317"/>
      <c r="M530" s="317"/>
      <c r="N530" s="317"/>
      <c r="O530" s="317"/>
      <c r="P530" s="317"/>
      <c r="Q530" s="317"/>
      <c r="R530" s="317"/>
      <c r="S530" s="317"/>
      <c r="T530" s="317"/>
      <c r="U530" s="317"/>
      <c r="V530" s="317"/>
      <c r="W530" s="317"/>
      <c r="X530" s="317"/>
      <c r="Y530" s="317"/>
      <c r="Z530" s="317"/>
      <c r="AA530" s="317"/>
    </row>
    <row r="531">
      <c r="A531" s="317"/>
      <c r="B531" s="317"/>
      <c r="C531" s="317"/>
      <c r="D531" s="317"/>
      <c r="E531" s="317"/>
      <c r="F531" s="317"/>
      <c r="G531" s="317"/>
      <c r="H531" s="317"/>
      <c r="I531" s="317"/>
      <c r="J531" s="317"/>
      <c r="K531" s="317"/>
      <c r="L531" s="317"/>
      <c r="M531" s="317"/>
      <c r="N531" s="317"/>
      <c r="O531" s="317"/>
      <c r="P531" s="317"/>
      <c r="Q531" s="317"/>
      <c r="R531" s="317"/>
      <c r="S531" s="317"/>
      <c r="T531" s="317"/>
      <c r="U531" s="317"/>
      <c r="V531" s="317"/>
      <c r="W531" s="317"/>
      <c r="X531" s="317"/>
      <c r="Y531" s="317"/>
      <c r="Z531" s="317"/>
      <c r="AA531" s="317"/>
    </row>
    <row r="532">
      <c r="A532" s="317"/>
      <c r="B532" s="317"/>
      <c r="C532" s="317"/>
      <c r="D532" s="317"/>
      <c r="E532" s="317"/>
      <c r="F532" s="317"/>
      <c r="G532" s="317"/>
      <c r="H532" s="317"/>
      <c r="I532" s="317"/>
      <c r="J532" s="317"/>
      <c r="K532" s="317"/>
      <c r="L532" s="317"/>
      <c r="M532" s="317"/>
      <c r="N532" s="317"/>
      <c r="O532" s="317"/>
      <c r="P532" s="317"/>
      <c r="Q532" s="317"/>
      <c r="R532" s="317"/>
      <c r="S532" s="317"/>
      <c r="T532" s="317"/>
      <c r="U532" s="317"/>
      <c r="V532" s="317"/>
      <c r="W532" s="317"/>
      <c r="X532" s="317"/>
      <c r="Y532" s="317"/>
      <c r="Z532" s="317"/>
      <c r="AA532" s="317"/>
    </row>
    <row r="533">
      <c r="A533" s="317"/>
      <c r="B533" s="317"/>
      <c r="C533" s="317"/>
      <c r="D533" s="317"/>
      <c r="E533" s="317"/>
      <c r="F533" s="317"/>
      <c r="G533" s="317"/>
      <c r="H533" s="317"/>
      <c r="I533" s="317"/>
      <c r="J533" s="317"/>
      <c r="K533" s="317"/>
      <c r="L533" s="317"/>
      <c r="M533" s="317"/>
      <c r="N533" s="317"/>
      <c r="O533" s="317"/>
      <c r="P533" s="317"/>
      <c r="Q533" s="317"/>
      <c r="R533" s="317"/>
      <c r="S533" s="317"/>
      <c r="T533" s="317"/>
      <c r="U533" s="317"/>
      <c r="V533" s="317"/>
      <c r="W533" s="317"/>
      <c r="X533" s="317"/>
      <c r="Y533" s="317"/>
      <c r="Z533" s="317"/>
      <c r="AA533" s="317"/>
    </row>
    <row r="534">
      <c r="A534" s="317"/>
      <c r="B534" s="317"/>
      <c r="C534" s="317"/>
      <c r="D534" s="317"/>
      <c r="E534" s="317"/>
      <c r="F534" s="317"/>
      <c r="G534" s="317"/>
      <c r="H534" s="317"/>
      <c r="I534" s="317"/>
      <c r="J534" s="317"/>
      <c r="K534" s="317"/>
      <c r="L534" s="317"/>
      <c r="M534" s="317"/>
      <c r="N534" s="317"/>
      <c r="O534" s="317"/>
      <c r="P534" s="317"/>
      <c r="Q534" s="317"/>
      <c r="R534" s="317"/>
      <c r="S534" s="317"/>
      <c r="T534" s="317"/>
      <c r="U534" s="317"/>
      <c r="V534" s="317"/>
      <c r="W534" s="317"/>
      <c r="X534" s="317"/>
      <c r="Y534" s="317"/>
      <c r="Z534" s="317"/>
      <c r="AA534" s="317"/>
    </row>
    <row r="535">
      <c r="A535" s="317"/>
      <c r="B535" s="317"/>
      <c r="C535" s="317"/>
      <c r="D535" s="317"/>
      <c r="E535" s="317"/>
      <c r="F535" s="317"/>
      <c r="G535" s="317"/>
      <c r="H535" s="317"/>
      <c r="I535" s="317"/>
      <c r="J535" s="317"/>
      <c r="K535" s="317"/>
      <c r="L535" s="317"/>
      <c r="M535" s="317"/>
      <c r="N535" s="317"/>
      <c r="O535" s="317"/>
      <c r="P535" s="317"/>
      <c r="Q535" s="317"/>
      <c r="R535" s="317"/>
      <c r="S535" s="317"/>
      <c r="T535" s="317"/>
      <c r="U535" s="317"/>
      <c r="V535" s="317"/>
      <c r="W535" s="317"/>
      <c r="X535" s="317"/>
      <c r="Y535" s="317"/>
      <c r="Z535" s="317"/>
      <c r="AA535" s="317"/>
    </row>
    <row r="536">
      <c r="A536" s="317"/>
      <c r="B536" s="317"/>
      <c r="C536" s="317"/>
      <c r="D536" s="317"/>
      <c r="E536" s="317"/>
      <c r="F536" s="317"/>
      <c r="G536" s="317"/>
      <c r="H536" s="317"/>
      <c r="I536" s="317"/>
      <c r="J536" s="317"/>
      <c r="K536" s="317"/>
      <c r="L536" s="317"/>
      <c r="M536" s="317"/>
      <c r="N536" s="317"/>
      <c r="O536" s="317"/>
      <c r="P536" s="317"/>
      <c r="Q536" s="317"/>
      <c r="R536" s="317"/>
      <c r="S536" s="317"/>
      <c r="T536" s="317"/>
      <c r="U536" s="317"/>
      <c r="V536" s="317"/>
      <c r="W536" s="317"/>
      <c r="X536" s="317"/>
      <c r="Y536" s="317"/>
      <c r="Z536" s="317"/>
      <c r="AA536" s="317"/>
    </row>
    <row r="537">
      <c r="A537" s="317"/>
      <c r="B537" s="317"/>
      <c r="C537" s="317"/>
      <c r="D537" s="317"/>
      <c r="E537" s="317"/>
      <c r="F537" s="317"/>
      <c r="G537" s="317"/>
      <c r="H537" s="317"/>
      <c r="I537" s="317"/>
      <c r="J537" s="317"/>
      <c r="K537" s="317"/>
      <c r="L537" s="317"/>
      <c r="M537" s="317"/>
      <c r="N537" s="317"/>
      <c r="O537" s="317"/>
      <c r="P537" s="317"/>
      <c r="Q537" s="317"/>
      <c r="R537" s="317"/>
      <c r="S537" s="317"/>
      <c r="T537" s="317"/>
      <c r="U537" s="317"/>
      <c r="V537" s="317"/>
      <c r="W537" s="317"/>
      <c r="X537" s="317"/>
      <c r="Y537" s="317"/>
      <c r="Z537" s="317"/>
      <c r="AA537" s="317"/>
    </row>
    <row r="538">
      <c r="A538" s="317"/>
      <c r="B538" s="317"/>
      <c r="C538" s="317"/>
      <c r="D538" s="317"/>
      <c r="E538" s="317"/>
      <c r="F538" s="317"/>
      <c r="G538" s="317"/>
      <c r="H538" s="317"/>
      <c r="I538" s="317"/>
      <c r="J538" s="317"/>
      <c r="K538" s="317"/>
      <c r="L538" s="317"/>
      <c r="M538" s="317"/>
      <c r="N538" s="317"/>
      <c r="O538" s="317"/>
      <c r="P538" s="317"/>
      <c r="Q538" s="317"/>
      <c r="R538" s="317"/>
      <c r="S538" s="317"/>
      <c r="T538" s="317"/>
      <c r="U538" s="317"/>
      <c r="V538" s="317"/>
      <c r="W538" s="317"/>
      <c r="X538" s="317"/>
      <c r="Y538" s="317"/>
      <c r="Z538" s="317"/>
      <c r="AA538" s="317"/>
    </row>
    <row r="539">
      <c r="A539" s="317"/>
      <c r="B539" s="317"/>
      <c r="C539" s="317"/>
      <c r="D539" s="317"/>
      <c r="E539" s="317"/>
      <c r="F539" s="317"/>
      <c r="G539" s="317"/>
      <c r="H539" s="317"/>
      <c r="I539" s="317"/>
      <c r="J539" s="317"/>
      <c r="K539" s="317"/>
      <c r="L539" s="317"/>
      <c r="M539" s="317"/>
      <c r="N539" s="317"/>
      <c r="O539" s="317"/>
      <c r="P539" s="317"/>
      <c r="Q539" s="317"/>
      <c r="R539" s="317"/>
      <c r="S539" s="317"/>
      <c r="T539" s="317"/>
      <c r="U539" s="317"/>
      <c r="V539" s="317"/>
      <c r="W539" s="317"/>
      <c r="X539" s="317"/>
      <c r="Y539" s="317"/>
      <c r="Z539" s="317"/>
      <c r="AA539" s="317"/>
    </row>
    <row r="540">
      <c r="A540" s="317"/>
      <c r="B540" s="317"/>
      <c r="C540" s="317"/>
      <c r="D540" s="317"/>
      <c r="E540" s="317"/>
      <c r="F540" s="317"/>
      <c r="G540" s="317"/>
      <c r="H540" s="317"/>
      <c r="I540" s="317"/>
      <c r="J540" s="317"/>
      <c r="K540" s="317"/>
      <c r="L540" s="317"/>
      <c r="M540" s="317"/>
      <c r="N540" s="317"/>
      <c r="O540" s="317"/>
      <c r="P540" s="317"/>
      <c r="Q540" s="317"/>
      <c r="R540" s="317"/>
      <c r="S540" s="317"/>
      <c r="T540" s="317"/>
      <c r="U540" s="317"/>
      <c r="V540" s="317"/>
      <c r="W540" s="317"/>
      <c r="X540" s="317"/>
      <c r="Y540" s="317"/>
      <c r="Z540" s="317"/>
      <c r="AA540" s="317"/>
    </row>
    <row r="541">
      <c r="A541" s="317"/>
      <c r="B541" s="317"/>
      <c r="C541" s="317"/>
      <c r="D541" s="317"/>
      <c r="E541" s="317"/>
      <c r="F541" s="317"/>
      <c r="G541" s="317"/>
      <c r="H541" s="317"/>
      <c r="I541" s="317"/>
      <c r="J541" s="317"/>
      <c r="K541" s="317"/>
      <c r="L541" s="317"/>
      <c r="M541" s="317"/>
      <c r="N541" s="317"/>
      <c r="O541" s="317"/>
      <c r="P541" s="317"/>
      <c r="Q541" s="317"/>
      <c r="R541" s="317"/>
      <c r="S541" s="317"/>
      <c r="T541" s="317"/>
      <c r="U541" s="317"/>
      <c r="V541" s="317"/>
      <c r="W541" s="317"/>
      <c r="X541" s="317"/>
      <c r="Y541" s="317"/>
      <c r="Z541" s="317"/>
      <c r="AA541" s="317"/>
    </row>
    <row r="542">
      <c r="A542" s="317"/>
      <c r="B542" s="317"/>
      <c r="C542" s="317"/>
      <c r="D542" s="317"/>
      <c r="E542" s="317"/>
      <c r="F542" s="317"/>
      <c r="G542" s="317"/>
      <c r="H542" s="317"/>
      <c r="I542" s="317"/>
      <c r="J542" s="317"/>
      <c r="K542" s="317"/>
      <c r="L542" s="317"/>
      <c r="M542" s="317"/>
      <c r="N542" s="317"/>
      <c r="O542" s="317"/>
      <c r="P542" s="317"/>
      <c r="Q542" s="317"/>
      <c r="R542" s="317"/>
      <c r="S542" s="317"/>
      <c r="T542" s="317"/>
      <c r="U542" s="317"/>
      <c r="V542" s="317"/>
      <c r="W542" s="317"/>
      <c r="X542" s="317"/>
      <c r="Y542" s="317"/>
      <c r="Z542" s="317"/>
      <c r="AA542" s="317"/>
    </row>
    <row r="543">
      <c r="A543" s="317"/>
      <c r="B543" s="317"/>
      <c r="C543" s="317"/>
      <c r="D543" s="317"/>
      <c r="E543" s="317"/>
      <c r="F543" s="317"/>
      <c r="G543" s="317"/>
      <c r="H543" s="317"/>
      <c r="I543" s="317"/>
      <c r="J543" s="317"/>
      <c r="K543" s="317"/>
      <c r="L543" s="317"/>
      <c r="M543" s="317"/>
      <c r="N543" s="317"/>
      <c r="O543" s="317"/>
      <c r="P543" s="317"/>
      <c r="Q543" s="317"/>
      <c r="R543" s="317"/>
      <c r="S543" s="317"/>
      <c r="T543" s="317"/>
      <c r="U543" s="317"/>
      <c r="V543" s="317"/>
      <c r="W543" s="317"/>
      <c r="X543" s="317"/>
      <c r="Y543" s="317"/>
      <c r="Z543" s="317"/>
      <c r="AA543" s="317"/>
    </row>
    <row r="544">
      <c r="A544" s="317"/>
      <c r="B544" s="317"/>
      <c r="C544" s="317"/>
      <c r="D544" s="317"/>
      <c r="E544" s="317"/>
      <c r="F544" s="317"/>
      <c r="G544" s="317"/>
      <c r="H544" s="317"/>
      <c r="I544" s="317"/>
      <c r="J544" s="317"/>
      <c r="K544" s="317"/>
      <c r="L544" s="317"/>
      <c r="M544" s="317"/>
      <c r="N544" s="317"/>
      <c r="O544" s="317"/>
      <c r="P544" s="317"/>
      <c r="Q544" s="317"/>
      <c r="R544" s="317"/>
      <c r="S544" s="317"/>
      <c r="T544" s="317"/>
      <c r="U544" s="317"/>
      <c r="V544" s="317"/>
      <c r="W544" s="317"/>
      <c r="X544" s="317"/>
      <c r="Y544" s="317"/>
      <c r="Z544" s="317"/>
      <c r="AA544" s="317"/>
    </row>
    <row r="545">
      <c r="A545" s="317"/>
      <c r="B545" s="317"/>
      <c r="C545" s="317"/>
      <c r="D545" s="317"/>
      <c r="E545" s="317"/>
      <c r="F545" s="317"/>
      <c r="G545" s="317"/>
      <c r="H545" s="317"/>
      <c r="I545" s="317"/>
      <c r="J545" s="317"/>
      <c r="K545" s="317"/>
      <c r="L545" s="317"/>
      <c r="M545" s="317"/>
      <c r="N545" s="317"/>
      <c r="O545" s="317"/>
      <c r="P545" s="317"/>
      <c r="Q545" s="317"/>
      <c r="R545" s="317"/>
      <c r="S545" s="317"/>
      <c r="T545" s="317"/>
      <c r="U545" s="317"/>
      <c r="V545" s="317"/>
      <c r="W545" s="317"/>
      <c r="X545" s="317"/>
      <c r="Y545" s="317"/>
      <c r="Z545" s="317"/>
      <c r="AA545" s="317"/>
    </row>
    <row r="546">
      <c r="A546" s="317"/>
      <c r="B546" s="317"/>
      <c r="C546" s="317"/>
      <c r="D546" s="317"/>
      <c r="E546" s="317"/>
      <c r="F546" s="317"/>
      <c r="G546" s="317"/>
      <c r="H546" s="317"/>
      <c r="I546" s="317"/>
      <c r="J546" s="317"/>
      <c r="K546" s="317"/>
      <c r="L546" s="317"/>
      <c r="M546" s="317"/>
      <c r="N546" s="317"/>
      <c r="O546" s="317"/>
      <c r="P546" s="317"/>
      <c r="Q546" s="317"/>
      <c r="R546" s="317"/>
      <c r="S546" s="317"/>
      <c r="T546" s="317"/>
      <c r="U546" s="317"/>
      <c r="V546" s="317"/>
      <c r="W546" s="317"/>
      <c r="X546" s="317"/>
      <c r="Y546" s="317"/>
      <c r="Z546" s="317"/>
      <c r="AA546" s="317"/>
    </row>
    <row r="547">
      <c r="A547" s="317"/>
      <c r="B547" s="317"/>
      <c r="C547" s="317"/>
      <c r="D547" s="317"/>
      <c r="E547" s="317"/>
      <c r="F547" s="317"/>
      <c r="G547" s="317"/>
      <c r="H547" s="317"/>
      <c r="I547" s="317"/>
      <c r="J547" s="317"/>
      <c r="K547" s="317"/>
      <c r="L547" s="317"/>
      <c r="M547" s="317"/>
      <c r="N547" s="317"/>
      <c r="O547" s="317"/>
      <c r="P547" s="317"/>
      <c r="Q547" s="317"/>
      <c r="R547" s="317"/>
      <c r="S547" s="317"/>
      <c r="T547" s="317"/>
      <c r="U547" s="317"/>
      <c r="V547" s="317"/>
      <c r="W547" s="317"/>
      <c r="X547" s="317"/>
      <c r="Y547" s="317"/>
      <c r="Z547" s="317"/>
      <c r="AA547" s="317"/>
    </row>
    <row r="548">
      <c r="A548" s="317"/>
      <c r="B548" s="317"/>
      <c r="C548" s="317"/>
      <c r="D548" s="317"/>
      <c r="E548" s="317"/>
      <c r="F548" s="317"/>
      <c r="G548" s="317"/>
      <c r="H548" s="317"/>
      <c r="I548" s="317"/>
      <c r="J548" s="317"/>
      <c r="K548" s="317"/>
      <c r="L548" s="317"/>
      <c r="M548" s="317"/>
      <c r="N548" s="317"/>
      <c r="O548" s="317"/>
      <c r="P548" s="317"/>
      <c r="Q548" s="317"/>
      <c r="R548" s="317"/>
      <c r="S548" s="317"/>
      <c r="T548" s="317"/>
      <c r="U548" s="317"/>
      <c r="V548" s="317"/>
      <c r="W548" s="317"/>
      <c r="X548" s="317"/>
      <c r="Y548" s="317"/>
      <c r="Z548" s="317"/>
      <c r="AA548" s="317"/>
    </row>
    <row r="549">
      <c r="A549" s="317"/>
      <c r="B549" s="317"/>
      <c r="C549" s="317"/>
      <c r="D549" s="317"/>
      <c r="E549" s="317"/>
      <c r="F549" s="317"/>
      <c r="G549" s="317"/>
      <c r="H549" s="317"/>
      <c r="I549" s="317"/>
      <c r="J549" s="317"/>
      <c r="K549" s="317"/>
      <c r="L549" s="317"/>
      <c r="M549" s="317"/>
      <c r="N549" s="317"/>
      <c r="O549" s="317"/>
      <c r="P549" s="317"/>
      <c r="Q549" s="317"/>
      <c r="R549" s="317"/>
      <c r="S549" s="317"/>
      <c r="T549" s="317"/>
      <c r="U549" s="317"/>
      <c r="V549" s="317"/>
      <c r="W549" s="317"/>
      <c r="X549" s="317"/>
      <c r="Y549" s="317"/>
      <c r="Z549" s="317"/>
      <c r="AA549" s="317"/>
    </row>
    <row r="550">
      <c r="A550" s="317"/>
      <c r="B550" s="317"/>
      <c r="C550" s="317"/>
      <c r="D550" s="317"/>
      <c r="E550" s="317"/>
      <c r="F550" s="317"/>
      <c r="G550" s="317"/>
      <c r="H550" s="317"/>
      <c r="I550" s="317"/>
      <c r="J550" s="317"/>
      <c r="K550" s="317"/>
      <c r="L550" s="317"/>
      <c r="M550" s="317"/>
      <c r="N550" s="317"/>
      <c r="O550" s="317"/>
      <c r="P550" s="317"/>
      <c r="Q550" s="317"/>
      <c r="R550" s="317"/>
      <c r="S550" s="317"/>
      <c r="T550" s="317"/>
      <c r="U550" s="317"/>
      <c r="V550" s="317"/>
      <c r="W550" s="317"/>
      <c r="X550" s="317"/>
      <c r="Y550" s="317"/>
      <c r="Z550" s="317"/>
      <c r="AA550" s="317"/>
    </row>
    <row r="551">
      <c r="A551" s="317"/>
      <c r="B551" s="317"/>
      <c r="C551" s="317"/>
      <c r="D551" s="317"/>
      <c r="E551" s="317"/>
      <c r="F551" s="317"/>
      <c r="G551" s="317"/>
      <c r="H551" s="317"/>
      <c r="I551" s="317"/>
      <c r="J551" s="317"/>
      <c r="K551" s="317"/>
      <c r="L551" s="317"/>
      <c r="M551" s="317"/>
      <c r="N551" s="317"/>
      <c r="O551" s="317"/>
      <c r="P551" s="317"/>
      <c r="Q551" s="317"/>
      <c r="R551" s="317"/>
      <c r="S551" s="317"/>
      <c r="T551" s="317"/>
      <c r="U551" s="317"/>
      <c r="V551" s="317"/>
      <c r="W551" s="317"/>
      <c r="X551" s="317"/>
      <c r="Y551" s="317"/>
      <c r="Z551" s="317"/>
      <c r="AA551" s="317"/>
    </row>
    <row r="552">
      <c r="A552" s="317"/>
      <c r="B552" s="317"/>
      <c r="C552" s="317"/>
      <c r="D552" s="317"/>
      <c r="E552" s="317"/>
      <c r="F552" s="317"/>
      <c r="G552" s="317"/>
      <c r="H552" s="317"/>
      <c r="I552" s="317"/>
      <c r="J552" s="317"/>
      <c r="K552" s="317"/>
      <c r="L552" s="317"/>
      <c r="M552" s="317"/>
      <c r="N552" s="317"/>
      <c r="O552" s="317"/>
      <c r="P552" s="317"/>
      <c r="Q552" s="317"/>
      <c r="R552" s="317"/>
      <c r="S552" s="317"/>
      <c r="T552" s="317"/>
      <c r="U552" s="317"/>
      <c r="V552" s="317"/>
      <c r="W552" s="317"/>
      <c r="X552" s="317"/>
      <c r="Y552" s="317"/>
      <c r="Z552" s="317"/>
      <c r="AA552" s="317"/>
    </row>
    <row r="553">
      <c r="A553" s="317"/>
      <c r="B553" s="317"/>
      <c r="C553" s="317"/>
      <c r="D553" s="317"/>
      <c r="E553" s="317"/>
      <c r="F553" s="317"/>
      <c r="G553" s="317"/>
      <c r="H553" s="317"/>
      <c r="I553" s="317"/>
      <c r="J553" s="317"/>
      <c r="K553" s="317"/>
      <c r="L553" s="317"/>
      <c r="M553" s="317"/>
      <c r="N553" s="317"/>
      <c r="O553" s="317"/>
      <c r="P553" s="317"/>
      <c r="Q553" s="317"/>
      <c r="R553" s="317"/>
      <c r="S553" s="317"/>
      <c r="T553" s="317"/>
      <c r="U553" s="317"/>
      <c r="V553" s="317"/>
      <c r="W553" s="317"/>
      <c r="X553" s="317"/>
      <c r="Y553" s="317"/>
      <c r="Z553" s="317"/>
      <c r="AA553" s="317"/>
    </row>
    <row r="554">
      <c r="A554" s="317"/>
      <c r="B554" s="317"/>
      <c r="C554" s="317"/>
      <c r="D554" s="317"/>
      <c r="E554" s="317"/>
      <c r="F554" s="317"/>
      <c r="G554" s="317"/>
      <c r="H554" s="317"/>
      <c r="I554" s="317"/>
      <c r="J554" s="317"/>
      <c r="K554" s="317"/>
      <c r="L554" s="317"/>
      <c r="M554" s="317"/>
      <c r="N554" s="317"/>
      <c r="O554" s="317"/>
      <c r="P554" s="317"/>
      <c r="Q554" s="317"/>
      <c r="R554" s="317"/>
      <c r="S554" s="317"/>
      <c r="T554" s="317"/>
      <c r="U554" s="317"/>
      <c r="V554" s="317"/>
      <c r="W554" s="317"/>
      <c r="X554" s="317"/>
      <c r="Y554" s="317"/>
      <c r="Z554" s="317"/>
      <c r="AA554" s="317"/>
    </row>
    <row r="555">
      <c r="A555" s="317"/>
      <c r="B555" s="317"/>
      <c r="C555" s="317"/>
      <c r="D555" s="317"/>
      <c r="E555" s="317"/>
      <c r="F555" s="317"/>
      <c r="G555" s="317"/>
      <c r="H555" s="317"/>
      <c r="I555" s="317"/>
      <c r="J555" s="317"/>
      <c r="K555" s="317"/>
      <c r="L555" s="317"/>
      <c r="M555" s="317"/>
      <c r="N555" s="317"/>
      <c r="O555" s="317"/>
      <c r="P555" s="317"/>
      <c r="Q555" s="317"/>
      <c r="R555" s="317"/>
      <c r="S555" s="317"/>
      <c r="T555" s="317"/>
      <c r="U555" s="317"/>
      <c r="V555" s="317"/>
      <c r="W555" s="317"/>
      <c r="X555" s="317"/>
      <c r="Y555" s="317"/>
      <c r="Z555" s="317"/>
      <c r="AA555" s="317"/>
    </row>
    <row r="556">
      <c r="A556" s="317"/>
      <c r="B556" s="317"/>
      <c r="C556" s="317"/>
      <c r="D556" s="317"/>
      <c r="E556" s="317"/>
      <c r="F556" s="317"/>
      <c r="G556" s="317"/>
      <c r="H556" s="317"/>
      <c r="I556" s="317"/>
      <c r="J556" s="317"/>
      <c r="K556" s="317"/>
      <c r="L556" s="317"/>
      <c r="M556" s="317"/>
      <c r="N556" s="317"/>
      <c r="O556" s="317"/>
      <c r="P556" s="317"/>
      <c r="Q556" s="317"/>
      <c r="R556" s="317"/>
      <c r="S556" s="317"/>
      <c r="T556" s="317"/>
      <c r="U556" s="317"/>
      <c r="V556" s="317"/>
      <c r="W556" s="317"/>
      <c r="X556" s="317"/>
      <c r="Y556" s="317"/>
      <c r="Z556" s="317"/>
      <c r="AA556" s="317"/>
    </row>
    <row r="557">
      <c r="A557" s="317"/>
      <c r="B557" s="317"/>
      <c r="C557" s="317"/>
      <c r="D557" s="317"/>
      <c r="E557" s="317"/>
      <c r="F557" s="317"/>
      <c r="G557" s="317"/>
      <c r="H557" s="317"/>
      <c r="I557" s="317"/>
      <c r="J557" s="317"/>
      <c r="K557" s="317"/>
      <c r="L557" s="317"/>
      <c r="M557" s="317"/>
      <c r="N557" s="317"/>
      <c r="O557" s="317"/>
      <c r="P557" s="317"/>
      <c r="Q557" s="317"/>
      <c r="R557" s="317"/>
      <c r="S557" s="317"/>
      <c r="T557" s="317"/>
      <c r="U557" s="317"/>
      <c r="V557" s="317"/>
      <c r="W557" s="317"/>
      <c r="X557" s="317"/>
      <c r="Y557" s="317"/>
      <c r="Z557" s="317"/>
      <c r="AA557" s="317"/>
    </row>
    <row r="558">
      <c r="A558" s="317"/>
      <c r="B558" s="317"/>
      <c r="C558" s="317"/>
      <c r="D558" s="317"/>
      <c r="E558" s="317"/>
      <c r="F558" s="317"/>
      <c r="G558" s="317"/>
      <c r="H558" s="317"/>
      <c r="I558" s="317"/>
      <c r="J558" s="317"/>
      <c r="K558" s="317"/>
      <c r="L558" s="317"/>
      <c r="M558" s="317"/>
      <c r="N558" s="317"/>
      <c r="O558" s="317"/>
      <c r="P558" s="317"/>
      <c r="Q558" s="317"/>
      <c r="R558" s="317"/>
      <c r="S558" s="317"/>
      <c r="T558" s="317"/>
      <c r="U558" s="317"/>
      <c r="V558" s="317"/>
      <c r="W558" s="317"/>
      <c r="X558" s="317"/>
      <c r="Y558" s="317"/>
      <c r="Z558" s="317"/>
      <c r="AA558" s="317"/>
    </row>
    <row r="559">
      <c r="A559" s="317"/>
      <c r="B559" s="317"/>
      <c r="C559" s="317"/>
      <c r="D559" s="317"/>
      <c r="E559" s="317"/>
      <c r="F559" s="317"/>
      <c r="G559" s="317"/>
      <c r="H559" s="317"/>
      <c r="I559" s="317"/>
      <c r="J559" s="317"/>
      <c r="K559" s="317"/>
      <c r="L559" s="317"/>
      <c r="M559" s="317"/>
      <c r="N559" s="317"/>
      <c r="O559" s="317"/>
      <c r="P559" s="317"/>
      <c r="Q559" s="317"/>
      <c r="R559" s="317"/>
      <c r="S559" s="317"/>
      <c r="T559" s="317"/>
      <c r="U559" s="317"/>
      <c r="V559" s="317"/>
      <c r="W559" s="317"/>
      <c r="X559" s="317"/>
      <c r="Y559" s="317"/>
      <c r="Z559" s="317"/>
      <c r="AA559" s="317"/>
    </row>
    <row r="560">
      <c r="A560" s="317"/>
      <c r="B560" s="317"/>
      <c r="C560" s="317"/>
      <c r="D560" s="317"/>
      <c r="E560" s="317"/>
      <c r="F560" s="317"/>
      <c r="G560" s="317"/>
      <c r="H560" s="317"/>
      <c r="I560" s="317"/>
      <c r="J560" s="317"/>
      <c r="K560" s="317"/>
      <c r="L560" s="317"/>
      <c r="M560" s="317"/>
      <c r="N560" s="317"/>
      <c r="O560" s="317"/>
      <c r="P560" s="317"/>
      <c r="Q560" s="317"/>
      <c r="R560" s="317"/>
      <c r="S560" s="317"/>
      <c r="T560" s="317"/>
      <c r="U560" s="317"/>
      <c r="V560" s="317"/>
      <c r="W560" s="317"/>
      <c r="X560" s="317"/>
      <c r="Y560" s="317"/>
      <c r="Z560" s="317"/>
      <c r="AA560" s="317"/>
    </row>
    <row r="561">
      <c r="A561" s="317"/>
      <c r="B561" s="317"/>
      <c r="C561" s="317"/>
      <c r="D561" s="317"/>
      <c r="E561" s="317"/>
      <c r="F561" s="317"/>
      <c r="G561" s="317"/>
      <c r="H561" s="317"/>
      <c r="I561" s="317"/>
      <c r="J561" s="317"/>
      <c r="K561" s="317"/>
      <c r="L561" s="317"/>
      <c r="M561" s="317"/>
      <c r="N561" s="317"/>
      <c r="O561" s="317"/>
      <c r="P561" s="317"/>
      <c r="Q561" s="317"/>
      <c r="R561" s="317"/>
      <c r="S561" s="317"/>
      <c r="T561" s="317"/>
      <c r="U561" s="317"/>
      <c r="V561" s="317"/>
      <c r="W561" s="317"/>
      <c r="X561" s="317"/>
      <c r="Y561" s="317"/>
      <c r="Z561" s="317"/>
      <c r="AA561" s="317"/>
    </row>
    <row r="562">
      <c r="A562" s="317"/>
      <c r="B562" s="317"/>
      <c r="C562" s="317"/>
      <c r="D562" s="317"/>
      <c r="E562" s="317"/>
      <c r="F562" s="317"/>
      <c r="G562" s="317"/>
      <c r="H562" s="317"/>
      <c r="I562" s="317"/>
      <c r="J562" s="317"/>
      <c r="K562" s="317"/>
      <c r="L562" s="317"/>
      <c r="M562" s="317"/>
      <c r="N562" s="317"/>
      <c r="O562" s="317"/>
      <c r="P562" s="317"/>
      <c r="Q562" s="317"/>
      <c r="R562" s="317"/>
      <c r="S562" s="317"/>
      <c r="T562" s="317"/>
      <c r="U562" s="317"/>
      <c r="V562" s="317"/>
      <c r="W562" s="317"/>
      <c r="X562" s="317"/>
      <c r="Y562" s="317"/>
      <c r="Z562" s="317"/>
      <c r="AA562" s="317"/>
    </row>
    <row r="563">
      <c r="A563" s="317"/>
      <c r="B563" s="317"/>
      <c r="C563" s="317"/>
      <c r="D563" s="317"/>
      <c r="E563" s="317"/>
      <c r="F563" s="317"/>
      <c r="G563" s="317"/>
      <c r="H563" s="317"/>
      <c r="I563" s="317"/>
      <c r="J563" s="317"/>
      <c r="K563" s="317"/>
      <c r="L563" s="317"/>
      <c r="M563" s="317"/>
      <c r="N563" s="317"/>
      <c r="O563" s="317"/>
      <c r="P563" s="317"/>
      <c r="Q563" s="317"/>
      <c r="R563" s="317"/>
      <c r="S563" s="317"/>
      <c r="T563" s="317"/>
      <c r="U563" s="317"/>
      <c r="V563" s="317"/>
      <c r="W563" s="317"/>
      <c r="X563" s="317"/>
      <c r="Y563" s="317"/>
      <c r="Z563" s="317"/>
      <c r="AA563" s="317"/>
    </row>
    <row r="564">
      <c r="A564" s="317"/>
      <c r="B564" s="317"/>
      <c r="C564" s="317"/>
      <c r="D564" s="317"/>
      <c r="E564" s="317"/>
      <c r="F564" s="317"/>
      <c r="G564" s="317"/>
      <c r="H564" s="317"/>
      <c r="I564" s="317"/>
      <c r="J564" s="317"/>
      <c r="K564" s="317"/>
      <c r="L564" s="317"/>
      <c r="M564" s="317"/>
      <c r="N564" s="317"/>
      <c r="O564" s="317"/>
      <c r="P564" s="317"/>
      <c r="Q564" s="317"/>
      <c r="R564" s="317"/>
      <c r="S564" s="317"/>
      <c r="T564" s="317"/>
      <c r="U564" s="317"/>
      <c r="V564" s="317"/>
      <c r="W564" s="317"/>
      <c r="X564" s="317"/>
      <c r="Y564" s="317"/>
      <c r="Z564" s="317"/>
      <c r="AA564" s="317"/>
    </row>
    <row r="565">
      <c r="A565" s="317"/>
      <c r="B565" s="317"/>
      <c r="C565" s="317"/>
      <c r="D565" s="317"/>
      <c r="E565" s="317"/>
      <c r="F565" s="317"/>
      <c r="G565" s="317"/>
      <c r="H565" s="317"/>
      <c r="I565" s="317"/>
      <c r="J565" s="317"/>
      <c r="K565" s="317"/>
      <c r="L565" s="317"/>
      <c r="M565" s="317"/>
      <c r="N565" s="317"/>
      <c r="O565" s="317"/>
      <c r="P565" s="317"/>
      <c r="Q565" s="317"/>
      <c r="R565" s="317"/>
      <c r="S565" s="317"/>
      <c r="T565" s="317"/>
      <c r="U565" s="317"/>
      <c r="V565" s="317"/>
      <c r="W565" s="317"/>
      <c r="X565" s="317"/>
      <c r="Y565" s="317"/>
      <c r="Z565" s="317"/>
      <c r="AA565" s="317"/>
    </row>
    <row r="566">
      <c r="A566" s="317"/>
      <c r="B566" s="317"/>
      <c r="C566" s="317"/>
      <c r="D566" s="317"/>
      <c r="E566" s="317"/>
      <c r="F566" s="317"/>
      <c r="G566" s="317"/>
      <c r="H566" s="317"/>
      <c r="I566" s="317"/>
      <c r="J566" s="317"/>
      <c r="K566" s="317"/>
      <c r="L566" s="317"/>
      <c r="M566" s="317"/>
      <c r="N566" s="317"/>
      <c r="O566" s="317"/>
      <c r="P566" s="317"/>
      <c r="Q566" s="317"/>
      <c r="R566" s="317"/>
      <c r="S566" s="317"/>
      <c r="T566" s="317"/>
      <c r="U566" s="317"/>
      <c r="V566" s="317"/>
      <c r="W566" s="317"/>
      <c r="X566" s="317"/>
      <c r="Y566" s="317"/>
      <c r="Z566" s="317"/>
      <c r="AA566" s="317"/>
    </row>
    <row r="567">
      <c r="A567" s="317"/>
      <c r="B567" s="317"/>
      <c r="C567" s="317"/>
      <c r="D567" s="317"/>
      <c r="E567" s="317"/>
      <c r="F567" s="317"/>
      <c r="G567" s="317"/>
      <c r="H567" s="317"/>
      <c r="I567" s="317"/>
      <c r="J567" s="317"/>
      <c r="K567" s="317"/>
      <c r="L567" s="317"/>
      <c r="M567" s="317"/>
      <c r="N567" s="317"/>
      <c r="O567" s="317"/>
      <c r="P567" s="317"/>
      <c r="Q567" s="317"/>
      <c r="R567" s="317"/>
      <c r="S567" s="317"/>
      <c r="T567" s="317"/>
      <c r="U567" s="317"/>
      <c r="V567" s="317"/>
      <c r="W567" s="317"/>
      <c r="X567" s="317"/>
      <c r="Y567" s="317"/>
      <c r="Z567" s="317"/>
      <c r="AA567" s="317"/>
    </row>
    <row r="568">
      <c r="A568" s="317"/>
      <c r="B568" s="317"/>
      <c r="C568" s="317"/>
      <c r="D568" s="317"/>
      <c r="E568" s="317"/>
      <c r="F568" s="317"/>
      <c r="G568" s="317"/>
      <c r="H568" s="317"/>
      <c r="I568" s="317"/>
      <c r="J568" s="317"/>
      <c r="K568" s="317"/>
      <c r="L568" s="317"/>
      <c r="M568" s="317"/>
      <c r="N568" s="317"/>
      <c r="O568" s="317"/>
      <c r="P568" s="317"/>
      <c r="Q568" s="317"/>
      <c r="R568" s="317"/>
      <c r="S568" s="317"/>
      <c r="T568" s="317"/>
      <c r="U568" s="317"/>
      <c r="V568" s="317"/>
      <c r="W568" s="317"/>
      <c r="X568" s="317"/>
      <c r="Y568" s="317"/>
      <c r="Z568" s="317"/>
      <c r="AA568" s="317"/>
    </row>
    <row r="569">
      <c r="A569" s="317"/>
      <c r="B569" s="317"/>
      <c r="C569" s="317"/>
      <c r="D569" s="317"/>
      <c r="E569" s="317"/>
      <c r="F569" s="317"/>
      <c r="G569" s="317"/>
      <c r="H569" s="317"/>
      <c r="I569" s="317"/>
      <c r="J569" s="317"/>
      <c r="K569" s="317"/>
      <c r="L569" s="317"/>
      <c r="M569" s="317"/>
      <c r="N569" s="317"/>
      <c r="O569" s="317"/>
      <c r="P569" s="317"/>
      <c r="Q569" s="317"/>
      <c r="R569" s="317"/>
      <c r="S569" s="317"/>
      <c r="T569" s="317"/>
      <c r="U569" s="317"/>
      <c r="V569" s="317"/>
      <c r="W569" s="317"/>
      <c r="X569" s="317"/>
      <c r="Y569" s="317"/>
      <c r="Z569" s="317"/>
      <c r="AA569" s="317"/>
    </row>
    <row r="570">
      <c r="A570" s="317"/>
      <c r="B570" s="317"/>
      <c r="C570" s="317"/>
      <c r="D570" s="317"/>
      <c r="E570" s="317"/>
      <c r="F570" s="317"/>
      <c r="G570" s="317"/>
      <c r="H570" s="317"/>
      <c r="I570" s="317"/>
      <c r="J570" s="317"/>
      <c r="K570" s="317"/>
      <c r="L570" s="317"/>
      <c r="M570" s="317"/>
      <c r="N570" s="317"/>
      <c r="O570" s="317"/>
      <c r="P570" s="317"/>
      <c r="Q570" s="317"/>
      <c r="R570" s="317"/>
      <c r="S570" s="317"/>
      <c r="T570" s="317"/>
      <c r="U570" s="317"/>
      <c r="V570" s="317"/>
      <c r="W570" s="317"/>
      <c r="X570" s="317"/>
      <c r="Y570" s="317"/>
      <c r="Z570" s="317"/>
      <c r="AA570" s="317"/>
    </row>
    <row r="571">
      <c r="A571" s="317"/>
      <c r="B571" s="317"/>
      <c r="C571" s="317"/>
      <c r="D571" s="317"/>
      <c r="E571" s="317"/>
      <c r="F571" s="317"/>
      <c r="G571" s="317"/>
      <c r="H571" s="317"/>
      <c r="I571" s="317"/>
      <c r="J571" s="317"/>
      <c r="K571" s="317"/>
      <c r="L571" s="317"/>
      <c r="M571" s="317"/>
      <c r="N571" s="317"/>
      <c r="O571" s="317"/>
      <c r="P571" s="317"/>
      <c r="Q571" s="317"/>
      <c r="R571" s="317"/>
      <c r="S571" s="317"/>
      <c r="T571" s="317"/>
      <c r="U571" s="317"/>
      <c r="V571" s="317"/>
      <c r="W571" s="317"/>
      <c r="X571" s="317"/>
      <c r="Y571" s="317"/>
      <c r="Z571" s="317"/>
      <c r="AA571" s="317"/>
    </row>
    <row r="572">
      <c r="A572" s="317"/>
      <c r="B572" s="317"/>
      <c r="C572" s="317"/>
      <c r="D572" s="317"/>
      <c r="E572" s="317"/>
      <c r="F572" s="317"/>
      <c r="G572" s="317"/>
      <c r="H572" s="317"/>
      <c r="I572" s="317"/>
      <c r="J572" s="317"/>
      <c r="K572" s="317"/>
      <c r="L572" s="317"/>
      <c r="M572" s="317"/>
      <c r="N572" s="317"/>
      <c r="O572" s="317"/>
      <c r="P572" s="317"/>
      <c r="Q572" s="317"/>
      <c r="R572" s="317"/>
      <c r="S572" s="317"/>
      <c r="T572" s="317"/>
      <c r="U572" s="317"/>
      <c r="V572" s="317"/>
      <c r="W572" s="317"/>
      <c r="X572" s="317"/>
      <c r="Y572" s="317"/>
      <c r="Z572" s="317"/>
      <c r="AA572" s="317"/>
    </row>
    <row r="573">
      <c r="A573" s="317"/>
      <c r="B573" s="317"/>
      <c r="C573" s="317"/>
      <c r="D573" s="317"/>
      <c r="E573" s="317"/>
      <c r="F573" s="317"/>
      <c r="G573" s="317"/>
      <c r="H573" s="317"/>
      <c r="I573" s="317"/>
      <c r="J573" s="317"/>
      <c r="K573" s="317"/>
      <c r="L573" s="317"/>
      <c r="M573" s="317"/>
      <c r="N573" s="317"/>
      <c r="O573" s="317"/>
      <c r="P573" s="317"/>
      <c r="Q573" s="317"/>
      <c r="R573" s="317"/>
      <c r="S573" s="317"/>
      <c r="T573" s="317"/>
      <c r="U573" s="317"/>
      <c r="V573" s="317"/>
      <c r="W573" s="317"/>
      <c r="X573" s="317"/>
      <c r="Y573" s="317"/>
      <c r="Z573" s="317"/>
      <c r="AA573" s="317"/>
    </row>
    <row r="574">
      <c r="A574" s="317"/>
      <c r="B574" s="317"/>
      <c r="C574" s="317"/>
      <c r="D574" s="317"/>
      <c r="E574" s="317"/>
      <c r="F574" s="317"/>
      <c r="G574" s="317"/>
      <c r="H574" s="317"/>
      <c r="I574" s="317"/>
      <c r="J574" s="317"/>
      <c r="K574" s="317"/>
      <c r="L574" s="317"/>
      <c r="M574" s="317"/>
      <c r="N574" s="317"/>
      <c r="O574" s="317"/>
      <c r="P574" s="317"/>
      <c r="Q574" s="317"/>
      <c r="R574" s="317"/>
      <c r="S574" s="317"/>
      <c r="T574" s="317"/>
      <c r="U574" s="317"/>
      <c r="V574" s="317"/>
      <c r="W574" s="317"/>
      <c r="X574" s="317"/>
      <c r="Y574" s="317"/>
      <c r="Z574" s="317"/>
      <c r="AA574" s="317"/>
    </row>
    <row r="575">
      <c r="A575" s="317"/>
      <c r="B575" s="317"/>
      <c r="C575" s="317"/>
      <c r="D575" s="317"/>
      <c r="E575" s="317"/>
      <c r="F575" s="317"/>
      <c r="G575" s="317"/>
      <c r="H575" s="317"/>
      <c r="I575" s="317"/>
      <c r="J575" s="317"/>
      <c r="K575" s="317"/>
      <c r="L575" s="317"/>
      <c r="M575" s="317"/>
      <c r="N575" s="317"/>
      <c r="O575" s="317"/>
      <c r="P575" s="317"/>
      <c r="Q575" s="317"/>
      <c r="R575" s="317"/>
      <c r="S575" s="317"/>
      <c r="T575" s="317"/>
      <c r="U575" s="317"/>
      <c r="V575" s="317"/>
      <c r="W575" s="317"/>
      <c r="X575" s="317"/>
      <c r="Y575" s="317"/>
      <c r="Z575" s="317"/>
      <c r="AA575" s="317"/>
    </row>
    <row r="576">
      <c r="A576" s="317"/>
      <c r="B576" s="317"/>
      <c r="C576" s="317"/>
      <c r="D576" s="317"/>
      <c r="E576" s="317"/>
      <c r="F576" s="317"/>
      <c r="G576" s="317"/>
      <c r="H576" s="317"/>
      <c r="I576" s="317"/>
      <c r="J576" s="317"/>
      <c r="K576" s="317"/>
      <c r="L576" s="317"/>
      <c r="M576" s="317"/>
      <c r="N576" s="317"/>
      <c r="O576" s="317"/>
      <c r="P576" s="317"/>
      <c r="Q576" s="317"/>
      <c r="R576" s="317"/>
      <c r="S576" s="317"/>
      <c r="T576" s="317"/>
      <c r="U576" s="317"/>
      <c r="V576" s="317"/>
      <c r="W576" s="317"/>
      <c r="X576" s="317"/>
      <c r="Y576" s="317"/>
      <c r="Z576" s="317"/>
      <c r="AA576" s="317"/>
    </row>
    <row r="577">
      <c r="A577" s="317"/>
      <c r="B577" s="317"/>
      <c r="C577" s="317"/>
      <c r="D577" s="317"/>
      <c r="E577" s="317"/>
      <c r="F577" s="317"/>
      <c r="G577" s="317"/>
      <c r="H577" s="317"/>
      <c r="I577" s="317"/>
      <c r="J577" s="317"/>
      <c r="K577" s="317"/>
      <c r="L577" s="317"/>
      <c r="M577" s="317"/>
      <c r="N577" s="317"/>
      <c r="O577" s="317"/>
      <c r="P577" s="317"/>
      <c r="Q577" s="317"/>
      <c r="R577" s="317"/>
      <c r="S577" s="317"/>
      <c r="T577" s="317"/>
      <c r="U577" s="317"/>
      <c r="V577" s="317"/>
      <c r="W577" s="317"/>
      <c r="X577" s="317"/>
      <c r="Y577" s="317"/>
      <c r="Z577" s="317"/>
      <c r="AA577" s="317"/>
    </row>
    <row r="578">
      <c r="A578" s="317"/>
      <c r="B578" s="317"/>
      <c r="C578" s="317"/>
      <c r="D578" s="317"/>
      <c r="E578" s="317"/>
      <c r="F578" s="317"/>
      <c r="G578" s="317"/>
      <c r="H578" s="317"/>
      <c r="I578" s="317"/>
      <c r="J578" s="317"/>
      <c r="K578" s="317"/>
      <c r="L578" s="317"/>
      <c r="M578" s="317"/>
      <c r="N578" s="317"/>
      <c r="O578" s="317"/>
      <c r="P578" s="317"/>
      <c r="Q578" s="317"/>
      <c r="R578" s="317"/>
      <c r="S578" s="317"/>
      <c r="T578" s="317"/>
      <c r="U578" s="317"/>
      <c r="V578" s="317"/>
      <c r="W578" s="317"/>
      <c r="X578" s="317"/>
      <c r="Y578" s="317"/>
      <c r="Z578" s="317"/>
      <c r="AA578" s="317"/>
    </row>
    <row r="579">
      <c r="A579" s="317"/>
      <c r="B579" s="317"/>
      <c r="C579" s="317"/>
      <c r="D579" s="317"/>
      <c r="E579" s="317"/>
      <c r="F579" s="317"/>
      <c r="G579" s="317"/>
      <c r="H579" s="317"/>
      <c r="I579" s="317"/>
      <c r="J579" s="317"/>
      <c r="K579" s="317"/>
      <c r="L579" s="317"/>
      <c r="M579" s="317"/>
      <c r="N579" s="317"/>
      <c r="O579" s="317"/>
      <c r="P579" s="317"/>
      <c r="Q579" s="317"/>
      <c r="R579" s="317"/>
      <c r="S579" s="317"/>
      <c r="T579" s="317"/>
      <c r="U579" s="317"/>
      <c r="V579" s="317"/>
      <c r="W579" s="317"/>
      <c r="X579" s="317"/>
      <c r="Y579" s="317"/>
      <c r="Z579" s="317"/>
      <c r="AA579" s="317"/>
    </row>
    <row r="580">
      <c r="A580" s="317"/>
      <c r="B580" s="317"/>
      <c r="C580" s="317"/>
      <c r="D580" s="317"/>
      <c r="E580" s="317"/>
      <c r="F580" s="317"/>
      <c r="G580" s="317"/>
      <c r="H580" s="317"/>
      <c r="I580" s="317"/>
      <c r="J580" s="317"/>
      <c r="K580" s="317"/>
      <c r="L580" s="317"/>
      <c r="M580" s="317"/>
      <c r="N580" s="317"/>
      <c r="O580" s="317"/>
      <c r="P580" s="317"/>
      <c r="Q580" s="317"/>
      <c r="R580" s="317"/>
      <c r="S580" s="317"/>
      <c r="T580" s="317"/>
      <c r="U580" s="317"/>
      <c r="V580" s="317"/>
      <c r="W580" s="317"/>
      <c r="X580" s="317"/>
      <c r="Y580" s="317"/>
      <c r="Z580" s="317"/>
      <c r="AA580" s="317"/>
    </row>
    <row r="581">
      <c r="A581" s="317"/>
      <c r="B581" s="317"/>
      <c r="C581" s="317"/>
      <c r="D581" s="317"/>
      <c r="E581" s="317"/>
      <c r="F581" s="317"/>
      <c r="G581" s="317"/>
      <c r="H581" s="317"/>
      <c r="I581" s="317"/>
      <c r="J581" s="317"/>
      <c r="K581" s="317"/>
      <c r="L581" s="317"/>
      <c r="M581" s="317"/>
      <c r="N581" s="317"/>
      <c r="O581" s="317"/>
      <c r="P581" s="317"/>
      <c r="Q581" s="317"/>
      <c r="R581" s="317"/>
      <c r="S581" s="317"/>
      <c r="T581" s="317"/>
      <c r="U581" s="317"/>
      <c r="V581" s="317"/>
      <c r="W581" s="317"/>
      <c r="X581" s="317"/>
      <c r="Y581" s="317"/>
      <c r="Z581" s="317"/>
      <c r="AA581" s="317"/>
    </row>
    <row r="582">
      <c r="A582" s="317"/>
      <c r="B582" s="317"/>
      <c r="C582" s="317"/>
      <c r="D582" s="317"/>
      <c r="E582" s="317"/>
      <c r="F582" s="317"/>
      <c r="G582" s="317"/>
      <c r="H582" s="317"/>
      <c r="I582" s="317"/>
      <c r="J582" s="317"/>
      <c r="K582" s="317"/>
      <c r="L582" s="317"/>
      <c r="M582" s="317"/>
      <c r="N582" s="317"/>
      <c r="O582" s="317"/>
      <c r="P582" s="317"/>
      <c r="Q582" s="317"/>
      <c r="R582" s="317"/>
      <c r="S582" s="317"/>
      <c r="T582" s="317"/>
      <c r="U582" s="317"/>
      <c r="V582" s="317"/>
      <c r="W582" s="317"/>
      <c r="X582" s="317"/>
      <c r="Y582" s="317"/>
      <c r="Z582" s="317"/>
      <c r="AA582" s="317"/>
    </row>
    <row r="583">
      <c r="A583" s="317"/>
      <c r="B583" s="317"/>
      <c r="C583" s="317"/>
      <c r="D583" s="317"/>
      <c r="E583" s="317"/>
      <c r="F583" s="317"/>
      <c r="G583" s="317"/>
      <c r="H583" s="317"/>
      <c r="I583" s="317"/>
      <c r="J583" s="317"/>
      <c r="K583" s="317"/>
      <c r="L583" s="317"/>
      <c r="M583" s="317"/>
      <c r="N583" s="317"/>
      <c r="O583" s="317"/>
      <c r="P583" s="317"/>
      <c r="Q583" s="317"/>
      <c r="R583" s="317"/>
      <c r="S583" s="317"/>
      <c r="T583" s="317"/>
      <c r="U583" s="317"/>
      <c r="V583" s="317"/>
      <c r="W583" s="317"/>
      <c r="X583" s="317"/>
      <c r="Y583" s="317"/>
      <c r="Z583" s="317"/>
      <c r="AA583" s="317"/>
    </row>
    <row r="584">
      <c r="A584" s="317"/>
      <c r="B584" s="317"/>
      <c r="C584" s="317"/>
      <c r="D584" s="317"/>
      <c r="E584" s="317"/>
      <c r="F584" s="317"/>
      <c r="G584" s="317"/>
      <c r="H584" s="317"/>
      <c r="I584" s="317"/>
      <c r="J584" s="317"/>
      <c r="K584" s="317"/>
      <c r="L584" s="317"/>
      <c r="M584" s="317"/>
      <c r="N584" s="317"/>
      <c r="O584" s="317"/>
      <c r="P584" s="317"/>
      <c r="Q584" s="317"/>
      <c r="R584" s="317"/>
      <c r="S584" s="317"/>
      <c r="T584" s="317"/>
      <c r="U584" s="317"/>
      <c r="V584" s="317"/>
      <c r="W584" s="317"/>
      <c r="X584" s="317"/>
      <c r="Y584" s="317"/>
      <c r="Z584" s="317"/>
      <c r="AA584" s="317"/>
    </row>
    <row r="585">
      <c r="A585" s="317"/>
      <c r="B585" s="317"/>
      <c r="C585" s="317"/>
      <c r="D585" s="317"/>
      <c r="E585" s="317"/>
      <c r="F585" s="317"/>
      <c r="G585" s="317"/>
      <c r="H585" s="317"/>
      <c r="I585" s="317"/>
      <c r="J585" s="317"/>
      <c r="K585" s="317"/>
      <c r="L585" s="317"/>
      <c r="M585" s="317"/>
      <c r="N585" s="317"/>
      <c r="O585" s="317"/>
      <c r="P585" s="317"/>
      <c r="Q585" s="317"/>
      <c r="R585" s="317"/>
      <c r="S585" s="317"/>
      <c r="T585" s="317"/>
      <c r="U585" s="317"/>
      <c r="V585" s="317"/>
      <c r="W585" s="317"/>
      <c r="X585" s="317"/>
      <c r="Y585" s="317"/>
      <c r="Z585" s="317"/>
      <c r="AA585" s="317"/>
    </row>
    <row r="586">
      <c r="A586" s="317"/>
      <c r="B586" s="317"/>
      <c r="C586" s="317"/>
      <c r="D586" s="317"/>
      <c r="E586" s="317"/>
      <c r="F586" s="317"/>
      <c r="G586" s="317"/>
      <c r="H586" s="317"/>
      <c r="I586" s="317"/>
      <c r="J586" s="317"/>
      <c r="K586" s="317"/>
      <c r="L586" s="317"/>
      <c r="M586" s="317"/>
      <c r="N586" s="317"/>
      <c r="O586" s="317"/>
      <c r="P586" s="317"/>
      <c r="Q586" s="317"/>
      <c r="R586" s="317"/>
      <c r="S586" s="317"/>
      <c r="T586" s="317"/>
      <c r="U586" s="317"/>
      <c r="V586" s="317"/>
      <c r="W586" s="317"/>
      <c r="X586" s="317"/>
      <c r="Y586" s="317"/>
      <c r="Z586" s="317"/>
      <c r="AA586" s="317"/>
    </row>
    <row r="587">
      <c r="A587" s="317"/>
      <c r="B587" s="317"/>
      <c r="C587" s="317"/>
      <c r="D587" s="317"/>
      <c r="E587" s="317"/>
      <c r="F587" s="317"/>
      <c r="G587" s="317"/>
      <c r="H587" s="317"/>
      <c r="I587" s="317"/>
      <c r="J587" s="317"/>
      <c r="K587" s="317"/>
      <c r="L587" s="317"/>
      <c r="M587" s="317"/>
      <c r="N587" s="317"/>
      <c r="O587" s="317"/>
      <c r="P587" s="317"/>
      <c r="Q587" s="317"/>
      <c r="R587" s="317"/>
      <c r="S587" s="317"/>
      <c r="T587" s="317"/>
      <c r="U587" s="317"/>
      <c r="V587" s="317"/>
      <c r="W587" s="317"/>
      <c r="X587" s="317"/>
      <c r="Y587" s="317"/>
      <c r="Z587" s="317"/>
      <c r="AA587" s="317"/>
    </row>
    <row r="588">
      <c r="A588" s="317"/>
      <c r="B588" s="317"/>
      <c r="C588" s="317"/>
      <c r="D588" s="317"/>
      <c r="E588" s="317"/>
      <c r="F588" s="317"/>
      <c r="G588" s="317"/>
      <c r="H588" s="317"/>
      <c r="I588" s="317"/>
      <c r="J588" s="317"/>
      <c r="K588" s="317"/>
      <c r="L588" s="317"/>
      <c r="M588" s="317"/>
      <c r="N588" s="317"/>
      <c r="O588" s="317"/>
      <c r="P588" s="317"/>
      <c r="Q588" s="317"/>
      <c r="R588" s="317"/>
      <c r="S588" s="317"/>
      <c r="T588" s="317"/>
      <c r="U588" s="317"/>
      <c r="V588" s="317"/>
      <c r="W588" s="317"/>
      <c r="X588" s="317"/>
      <c r="Y588" s="317"/>
      <c r="Z588" s="317"/>
      <c r="AA588" s="317"/>
    </row>
    <row r="589">
      <c r="A589" s="317"/>
      <c r="B589" s="317"/>
      <c r="C589" s="317"/>
      <c r="D589" s="317"/>
      <c r="E589" s="317"/>
      <c r="F589" s="317"/>
      <c r="G589" s="317"/>
      <c r="H589" s="317"/>
      <c r="I589" s="317"/>
      <c r="J589" s="317"/>
      <c r="K589" s="317"/>
      <c r="L589" s="317"/>
      <c r="M589" s="317"/>
      <c r="N589" s="317"/>
      <c r="O589" s="317"/>
      <c r="P589" s="317"/>
      <c r="Q589" s="317"/>
      <c r="R589" s="317"/>
      <c r="S589" s="317"/>
      <c r="T589" s="317"/>
      <c r="U589" s="317"/>
      <c r="V589" s="317"/>
      <c r="W589" s="317"/>
      <c r="X589" s="317"/>
      <c r="Y589" s="317"/>
      <c r="Z589" s="317"/>
      <c r="AA589" s="317"/>
    </row>
    <row r="590">
      <c r="A590" s="317"/>
      <c r="B590" s="317"/>
      <c r="C590" s="317"/>
      <c r="D590" s="317"/>
      <c r="E590" s="317"/>
      <c r="F590" s="317"/>
      <c r="G590" s="317"/>
      <c r="H590" s="317"/>
      <c r="I590" s="317"/>
      <c r="J590" s="317"/>
      <c r="K590" s="317"/>
      <c r="L590" s="317"/>
      <c r="M590" s="317"/>
      <c r="N590" s="317"/>
      <c r="O590" s="317"/>
      <c r="P590" s="317"/>
      <c r="Q590" s="317"/>
      <c r="R590" s="317"/>
      <c r="S590" s="317"/>
      <c r="T590" s="317"/>
      <c r="U590" s="317"/>
      <c r="V590" s="317"/>
      <c r="W590" s="317"/>
      <c r="X590" s="317"/>
      <c r="Y590" s="317"/>
      <c r="Z590" s="317"/>
      <c r="AA590" s="317"/>
    </row>
    <row r="591">
      <c r="A591" s="317"/>
      <c r="B591" s="317"/>
      <c r="C591" s="317"/>
      <c r="D591" s="317"/>
      <c r="E591" s="317"/>
      <c r="F591" s="317"/>
      <c r="G591" s="317"/>
      <c r="H591" s="317"/>
      <c r="I591" s="317"/>
      <c r="J591" s="317"/>
      <c r="K591" s="317"/>
      <c r="L591" s="317"/>
      <c r="M591" s="317"/>
      <c r="N591" s="317"/>
      <c r="O591" s="317"/>
      <c r="P591" s="317"/>
      <c r="Q591" s="317"/>
      <c r="R591" s="317"/>
      <c r="S591" s="317"/>
      <c r="T591" s="317"/>
      <c r="U591" s="317"/>
      <c r="V591" s="317"/>
      <c r="W591" s="317"/>
      <c r="X591" s="317"/>
      <c r="Y591" s="317"/>
      <c r="Z591" s="317"/>
      <c r="AA591" s="317"/>
    </row>
    <row r="592">
      <c r="A592" s="317"/>
      <c r="B592" s="317"/>
      <c r="C592" s="317"/>
      <c r="D592" s="317"/>
      <c r="E592" s="317"/>
      <c r="F592" s="317"/>
      <c r="G592" s="317"/>
      <c r="H592" s="317"/>
      <c r="I592" s="317"/>
      <c r="J592" s="317"/>
      <c r="K592" s="317"/>
      <c r="L592" s="317"/>
      <c r="M592" s="317"/>
      <c r="N592" s="317"/>
      <c r="O592" s="317"/>
      <c r="P592" s="317"/>
      <c r="Q592" s="317"/>
      <c r="R592" s="317"/>
      <c r="S592" s="317"/>
      <c r="T592" s="317"/>
      <c r="U592" s="317"/>
      <c r="V592" s="317"/>
      <c r="W592" s="317"/>
      <c r="X592" s="317"/>
      <c r="Y592" s="317"/>
      <c r="Z592" s="317"/>
      <c r="AA592" s="317"/>
    </row>
    <row r="593">
      <c r="A593" s="317"/>
      <c r="B593" s="317"/>
      <c r="C593" s="317"/>
      <c r="D593" s="317"/>
      <c r="E593" s="317"/>
      <c r="F593" s="317"/>
      <c r="G593" s="317"/>
      <c r="H593" s="317"/>
      <c r="I593" s="317"/>
      <c r="J593" s="317"/>
      <c r="K593" s="317"/>
      <c r="L593" s="317"/>
      <c r="M593" s="317"/>
      <c r="N593" s="317"/>
      <c r="O593" s="317"/>
      <c r="P593" s="317"/>
      <c r="Q593" s="317"/>
      <c r="R593" s="317"/>
      <c r="S593" s="317"/>
      <c r="T593" s="317"/>
      <c r="U593" s="317"/>
      <c r="V593" s="317"/>
      <c r="W593" s="317"/>
      <c r="X593" s="317"/>
      <c r="Y593" s="317"/>
      <c r="Z593" s="317"/>
      <c r="AA593" s="317"/>
    </row>
    <row r="594">
      <c r="A594" s="317"/>
      <c r="B594" s="317"/>
      <c r="C594" s="317"/>
      <c r="D594" s="317"/>
      <c r="E594" s="317"/>
      <c r="F594" s="317"/>
      <c r="G594" s="317"/>
      <c r="H594" s="317"/>
      <c r="I594" s="317"/>
      <c r="J594" s="317"/>
      <c r="K594" s="317"/>
      <c r="L594" s="317"/>
      <c r="M594" s="317"/>
      <c r="N594" s="317"/>
      <c r="O594" s="317"/>
      <c r="P594" s="317"/>
      <c r="Q594" s="317"/>
      <c r="R594" s="317"/>
      <c r="S594" s="317"/>
      <c r="T594" s="317"/>
      <c r="U594" s="317"/>
      <c r="V594" s="317"/>
      <c r="W594" s="317"/>
      <c r="X594" s="317"/>
      <c r="Y594" s="317"/>
      <c r="Z594" s="317"/>
      <c r="AA594" s="317"/>
    </row>
    <row r="595">
      <c r="A595" s="317"/>
      <c r="B595" s="317"/>
      <c r="C595" s="317"/>
      <c r="D595" s="317"/>
      <c r="E595" s="317"/>
      <c r="F595" s="317"/>
      <c r="G595" s="317"/>
      <c r="H595" s="317"/>
      <c r="I595" s="317"/>
      <c r="J595" s="317"/>
      <c r="K595" s="317"/>
      <c r="L595" s="317"/>
      <c r="M595" s="317"/>
      <c r="N595" s="317"/>
      <c r="O595" s="317"/>
      <c r="P595" s="317"/>
      <c r="Q595" s="317"/>
      <c r="R595" s="317"/>
      <c r="S595" s="317"/>
      <c r="T595" s="317"/>
      <c r="U595" s="317"/>
      <c r="V595" s="317"/>
      <c r="W595" s="317"/>
      <c r="X595" s="317"/>
      <c r="Y595" s="317"/>
      <c r="Z595" s="317"/>
      <c r="AA595" s="317"/>
    </row>
    <row r="596">
      <c r="A596" s="317"/>
      <c r="B596" s="317"/>
      <c r="C596" s="317"/>
      <c r="D596" s="317"/>
      <c r="E596" s="317"/>
      <c r="F596" s="317"/>
      <c r="G596" s="317"/>
      <c r="H596" s="317"/>
      <c r="I596" s="317"/>
      <c r="J596" s="317"/>
      <c r="K596" s="317"/>
      <c r="L596" s="317"/>
      <c r="M596" s="317"/>
      <c r="N596" s="317"/>
      <c r="O596" s="317"/>
      <c r="P596" s="317"/>
      <c r="Q596" s="317"/>
      <c r="R596" s="317"/>
      <c r="S596" s="317"/>
      <c r="T596" s="317"/>
      <c r="U596" s="317"/>
      <c r="V596" s="317"/>
      <c r="W596" s="317"/>
      <c r="X596" s="317"/>
      <c r="Y596" s="317"/>
      <c r="Z596" s="317"/>
      <c r="AA596" s="317"/>
    </row>
    <row r="597">
      <c r="A597" s="317"/>
      <c r="B597" s="317"/>
      <c r="C597" s="317"/>
      <c r="D597" s="317"/>
      <c r="E597" s="317"/>
      <c r="F597" s="317"/>
      <c r="G597" s="317"/>
      <c r="H597" s="317"/>
      <c r="I597" s="317"/>
      <c r="J597" s="317"/>
      <c r="K597" s="317"/>
      <c r="L597" s="317"/>
      <c r="M597" s="317"/>
      <c r="N597" s="317"/>
      <c r="O597" s="317"/>
      <c r="P597" s="317"/>
      <c r="Q597" s="317"/>
      <c r="R597" s="317"/>
      <c r="S597" s="317"/>
      <c r="T597" s="317"/>
      <c r="U597" s="317"/>
      <c r="V597" s="317"/>
      <c r="W597" s="317"/>
      <c r="X597" s="317"/>
      <c r="Y597" s="317"/>
      <c r="Z597" s="317"/>
      <c r="AA597" s="317"/>
    </row>
    <row r="598">
      <c r="A598" s="317"/>
      <c r="B598" s="317"/>
      <c r="C598" s="317"/>
      <c r="D598" s="317"/>
      <c r="E598" s="317"/>
      <c r="F598" s="317"/>
      <c r="G598" s="317"/>
      <c r="H598" s="317"/>
      <c r="I598" s="317"/>
      <c r="J598" s="317"/>
      <c r="K598" s="317"/>
      <c r="L598" s="317"/>
      <c r="M598" s="317"/>
      <c r="N598" s="317"/>
      <c r="O598" s="317"/>
      <c r="P598" s="317"/>
      <c r="Q598" s="317"/>
      <c r="R598" s="317"/>
      <c r="S598" s="317"/>
      <c r="T598" s="317"/>
      <c r="U598" s="317"/>
      <c r="V598" s="317"/>
      <c r="W598" s="317"/>
      <c r="X598" s="317"/>
      <c r="Y598" s="317"/>
      <c r="Z598" s="317"/>
      <c r="AA598" s="317"/>
    </row>
    <row r="599">
      <c r="A599" s="317"/>
      <c r="B599" s="317"/>
      <c r="C599" s="317"/>
      <c r="D599" s="317"/>
      <c r="E599" s="317"/>
      <c r="F599" s="317"/>
      <c r="G599" s="317"/>
      <c r="H599" s="317"/>
      <c r="I599" s="317"/>
      <c r="J599" s="317"/>
      <c r="K599" s="317"/>
      <c r="L599" s="317"/>
      <c r="M599" s="317"/>
      <c r="N599" s="317"/>
      <c r="O599" s="317"/>
      <c r="P599" s="317"/>
      <c r="Q599" s="317"/>
      <c r="R599" s="317"/>
      <c r="S599" s="317"/>
      <c r="T599" s="317"/>
      <c r="U599" s="317"/>
      <c r="V599" s="317"/>
      <c r="W599" s="317"/>
      <c r="X599" s="317"/>
      <c r="Y599" s="317"/>
      <c r="Z599" s="317"/>
      <c r="AA599" s="317"/>
    </row>
    <row r="600">
      <c r="A600" s="317"/>
      <c r="B600" s="317"/>
      <c r="C600" s="317"/>
      <c r="D600" s="317"/>
      <c r="E600" s="317"/>
      <c r="F600" s="317"/>
      <c r="G600" s="317"/>
      <c r="H600" s="317"/>
      <c r="I600" s="317"/>
      <c r="J600" s="317"/>
      <c r="K600" s="317"/>
      <c r="L600" s="317"/>
      <c r="M600" s="317"/>
      <c r="N600" s="317"/>
      <c r="O600" s="317"/>
      <c r="P600" s="317"/>
      <c r="Q600" s="317"/>
      <c r="R600" s="317"/>
      <c r="S600" s="317"/>
      <c r="T600" s="317"/>
      <c r="U600" s="317"/>
      <c r="V600" s="317"/>
      <c r="W600" s="317"/>
      <c r="X600" s="317"/>
      <c r="Y600" s="317"/>
      <c r="Z600" s="317"/>
      <c r="AA600" s="317"/>
    </row>
    <row r="601">
      <c r="A601" s="317"/>
      <c r="B601" s="317"/>
      <c r="C601" s="317"/>
      <c r="D601" s="317"/>
      <c r="E601" s="317"/>
      <c r="F601" s="317"/>
      <c r="G601" s="317"/>
      <c r="H601" s="317"/>
      <c r="I601" s="317"/>
      <c r="J601" s="317"/>
      <c r="K601" s="317"/>
      <c r="L601" s="317"/>
      <c r="M601" s="317"/>
      <c r="N601" s="317"/>
      <c r="O601" s="317"/>
      <c r="P601" s="317"/>
      <c r="Q601" s="317"/>
      <c r="R601" s="317"/>
      <c r="S601" s="317"/>
      <c r="T601" s="317"/>
      <c r="U601" s="317"/>
      <c r="V601" s="317"/>
      <c r="W601" s="317"/>
      <c r="X601" s="317"/>
      <c r="Y601" s="317"/>
      <c r="Z601" s="317"/>
      <c r="AA601" s="317"/>
    </row>
    <row r="602">
      <c r="A602" s="317"/>
      <c r="B602" s="317"/>
      <c r="C602" s="317"/>
      <c r="D602" s="317"/>
      <c r="E602" s="317"/>
      <c r="F602" s="317"/>
      <c r="G602" s="317"/>
      <c r="H602" s="317"/>
      <c r="I602" s="317"/>
      <c r="J602" s="317"/>
      <c r="K602" s="317"/>
      <c r="L602" s="317"/>
      <c r="M602" s="317"/>
      <c r="N602" s="317"/>
      <c r="O602" s="317"/>
      <c r="P602" s="317"/>
      <c r="Q602" s="317"/>
      <c r="R602" s="317"/>
      <c r="S602" s="317"/>
      <c r="T602" s="317"/>
      <c r="U602" s="317"/>
      <c r="V602" s="317"/>
      <c r="W602" s="317"/>
      <c r="X602" s="317"/>
      <c r="Y602" s="317"/>
      <c r="Z602" s="317"/>
      <c r="AA602" s="317"/>
    </row>
    <row r="603">
      <c r="A603" s="317"/>
      <c r="B603" s="317"/>
      <c r="C603" s="317"/>
      <c r="D603" s="317"/>
      <c r="E603" s="317"/>
      <c r="F603" s="317"/>
      <c r="G603" s="317"/>
      <c r="H603" s="317"/>
      <c r="I603" s="317"/>
      <c r="J603" s="317"/>
      <c r="K603" s="317"/>
      <c r="L603" s="317"/>
      <c r="M603" s="317"/>
      <c r="N603" s="317"/>
      <c r="O603" s="317"/>
      <c r="P603" s="317"/>
      <c r="Q603" s="317"/>
      <c r="R603" s="317"/>
      <c r="S603" s="317"/>
      <c r="T603" s="317"/>
      <c r="U603" s="317"/>
      <c r="V603" s="317"/>
      <c r="W603" s="317"/>
      <c r="X603" s="317"/>
      <c r="Y603" s="317"/>
      <c r="Z603" s="317"/>
      <c r="AA603" s="317"/>
    </row>
    <row r="604">
      <c r="A604" s="317"/>
      <c r="B604" s="317"/>
      <c r="C604" s="317"/>
      <c r="D604" s="317"/>
      <c r="E604" s="317"/>
      <c r="F604" s="317"/>
      <c r="G604" s="317"/>
      <c r="H604" s="317"/>
      <c r="I604" s="317"/>
      <c r="J604" s="317"/>
      <c r="K604" s="317"/>
      <c r="L604" s="317"/>
      <c r="M604" s="317"/>
      <c r="N604" s="317"/>
      <c r="O604" s="317"/>
      <c r="P604" s="317"/>
      <c r="Q604" s="317"/>
      <c r="R604" s="317"/>
      <c r="S604" s="317"/>
      <c r="T604" s="317"/>
      <c r="U604" s="317"/>
      <c r="V604" s="317"/>
      <c r="W604" s="317"/>
      <c r="X604" s="317"/>
      <c r="Y604" s="317"/>
      <c r="Z604" s="317"/>
      <c r="AA604" s="317"/>
    </row>
    <row r="605">
      <c r="A605" s="317"/>
      <c r="B605" s="317"/>
      <c r="C605" s="317"/>
      <c r="D605" s="317"/>
      <c r="E605" s="317"/>
      <c r="F605" s="317"/>
      <c r="G605" s="317"/>
      <c r="H605" s="317"/>
      <c r="I605" s="317"/>
      <c r="J605" s="317"/>
      <c r="K605" s="317"/>
      <c r="L605" s="317"/>
      <c r="M605" s="317"/>
      <c r="N605" s="317"/>
      <c r="O605" s="317"/>
      <c r="P605" s="317"/>
      <c r="Q605" s="317"/>
      <c r="R605" s="317"/>
      <c r="S605" s="317"/>
      <c r="T605" s="317"/>
      <c r="U605" s="317"/>
      <c r="V605" s="317"/>
      <c r="W605" s="317"/>
      <c r="X605" s="317"/>
      <c r="Y605" s="317"/>
      <c r="Z605" s="317"/>
      <c r="AA605" s="317"/>
    </row>
    <row r="606">
      <c r="A606" s="317"/>
      <c r="B606" s="317"/>
      <c r="C606" s="317"/>
      <c r="D606" s="317"/>
      <c r="E606" s="317"/>
      <c r="F606" s="317"/>
      <c r="G606" s="317"/>
      <c r="H606" s="317"/>
      <c r="I606" s="317"/>
      <c r="J606" s="317"/>
      <c r="K606" s="317"/>
      <c r="L606" s="317"/>
      <c r="M606" s="317"/>
      <c r="N606" s="317"/>
      <c r="O606" s="317"/>
      <c r="P606" s="317"/>
      <c r="Q606" s="317"/>
      <c r="R606" s="317"/>
      <c r="S606" s="317"/>
      <c r="T606" s="317"/>
      <c r="U606" s="317"/>
      <c r="V606" s="317"/>
      <c r="W606" s="317"/>
      <c r="X606" s="317"/>
      <c r="Y606" s="317"/>
      <c r="Z606" s="317"/>
      <c r="AA606" s="317"/>
    </row>
    <row r="607">
      <c r="A607" s="317"/>
      <c r="B607" s="317"/>
      <c r="C607" s="317"/>
      <c r="D607" s="317"/>
      <c r="E607" s="317"/>
      <c r="F607" s="317"/>
      <c r="G607" s="317"/>
      <c r="H607" s="317"/>
      <c r="I607" s="317"/>
      <c r="J607" s="317"/>
      <c r="K607" s="317"/>
      <c r="L607" s="317"/>
      <c r="M607" s="317"/>
      <c r="N607" s="317"/>
      <c r="O607" s="317"/>
      <c r="P607" s="317"/>
      <c r="Q607" s="317"/>
      <c r="R607" s="317"/>
      <c r="S607" s="317"/>
      <c r="T607" s="317"/>
      <c r="U607" s="317"/>
      <c r="V607" s="317"/>
      <c r="W607" s="317"/>
      <c r="X607" s="317"/>
      <c r="Y607" s="317"/>
      <c r="Z607" s="317"/>
      <c r="AA607" s="317"/>
    </row>
    <row r="608">
      <c r="A608" s="317"/>
      <c r="B608" s="317"/>
      <c r="C608" s="317"/>
      <c r="D608" s="317"/>
      <c r="E608" s="317"/>
      <c r="F608" s="317"/>
      <c r="G608" s="317"/>
      <c r="H608" s="317"/>
      <c r="I608" s="317"/>
      <c r="J608" s="317"/>
      <c r="K608" s="317"/>
      <c r="L608" s="317"/>
      <c r="M608" s="317"/>
      <c r="N608" s="317"/>
      <c r="O608" s="317"/>
      <c r="P608" s="317"/>
      <c r="Q608" s="317"/>
      <c r="R608" s="317"/>
      <c r="S608" s="317"/>
      <c r="T608" s="317"/>
      <c r="U608" s="317"/>
      <c r="V608" s="317"/>
      <c r="W608" s="317"/>
      <c r="X608" s="317"/>
      <c r="Y608" s="317"/>
      <c r="Z608" s="317"/>
      <c r="AA608" s="317"/>
    </row>
    <row r="609">
      <c r="A609" s="317"/>
      <c r="B609" s="317"/>
      <c r="C609" s="317"/>
      <c r="D609" s="317"/>
      <c r="E609" s="317"/>
      <c r="F609" s="317"/>
      <c r="G609" s="317"/>
      <c r="H609" s="317"/>
      <c r="I609" s="317"/>
      <c r="J609" s="317"/>
      <c r="K609" s="317"/>
      <c r="L609" s="317"/>
      <c r="M609" s="317"/>
      <c r="N609" s="317"/>
      <c r="O609" s="317"/>
      <c r="P609" s="317"/>
      <c r="Q609" s="317"/>
      <c r="R609" s="317"/>
      <c r="S609" s="317"/>
      <c r="T609" s="317"/>
      <c r="U609" s="317"/>
      <c r="V609" s="317"/>
      <c r="W609" s="317"/>
      <c r="X609" s="317"/>
      <c r="Y609" s="317"/>
      <c r="Z609" s="317"/>
      <c r="AA609" s="317"/>
    </row>
    <row r="610">
      <c r="A610" s="317"/>
      <c r="B610" s="317"/>
      <c r="C610" s="317"/>
      <c r="D610" s="317"/>
      <c r="E610" s="317"/>
      <c r="F610" s="317"/>
      <c r="G610" s="317"/>
      <c r="H610" s="317"/>
      <c r="I610" s="317"/>
      <c r="J610" s="317"/>
      <c r="K610" s="317"/>
      <c r="L610" s="317"/>
      <c r="M610" s="317"/>
      <c r="N610" s="317"/>
      <c r="O610" s="317"/>
      <c r="P610" s="317"/>
      <c r="Q610" s="317"/>
      <c r="R610" s="317"/>
      <c r="S610" s="317"/>
      <c r="T610" s="317"/>
      <c r="U610" s="317"/>
      <c r="V610" s="317"/>
      <c r="W610" s="317"/>
      <c r="X610" s="317"/>
      <c r="Y610" s="317"/>
      <c r="Z610" s="317"/>
      <c r="AA610" s="317"/>
    </row>
    <row r="611">
      <c r="A611" s="317"/>
      <c r="B611" s="317"/>
      <c r="C611" s="317"/>
      <c r="D611" s="317"/>
      <c r="E611" s="317"/>
      <c r="F611" s="317"/>
      <c r="G611" s="317"/>
      <c r="H611" s="317"/>
      <c r="I611" s="317"/>
      <c r="J611" s="317"/>
      <c r="K611" s="317"/>
      <c r="L611" s="317"/>
      <c r="M611" s="317"/>
      <c r="N611" s="317"/>
      <c r="O611" s="317"/>
      <c r="P611" s="317"/>
      <c r="Q611" s="317"/>
      <c r="R611" s="317"/>
      <c r="S611" s="317"/>
      <c r="T611" s="317"/>
      <c r="U611" s="317"/>
      <c r="V611" s="317"/>
      <c r="W611" s="317"/>
      <c r="X611" s="317"/>
      <c r="Y611" s="317"/>
      <c r="Z611" s="317"/>
      <c r="AA611" s="317"/>
    </row>
    <row r="612">
      <c r="A612" s="317"/>
      <c r="B612" s="317"/>
      <c r="C612" s="317"/>
      <c r="D612" s="317"/>
      <c r="E612" s="317"/>
      <c r="F612" s="317"/>
      <c r="G612" s="317"/>
      <c r="H612" s="317"/>
      <c r="I612" s="317"/>
      <c r="J612" s="317"/>
      <c r="K612" s="317"/>
      <c r="L612" s="317"/>
      <c r="M612" s="317"/>
      <c r="N612" s="317"/>
      <c r="O612" s="317"/>
      <c r="P612" s="317"/>
      <c r="Q612" s="317"/>
      <c r="R612" s="317"/>
      <c r="S612" s="317"/>
      <c r="T612" s="317"/>
      <c r="U612" s="317"/>
      <c r="V612" s="317"/>
      <c r="W612" s="317"/>
      <c r="X612" s="317"/>
      <c r="Y612" s="317"/>
      <c r="Z612" s="317"/>
      <c r="AA612" s="317"/>
    </row>
    <row r="613">
      <c r="A613" s="317"/>
      <c r="B613" s="317"/>
      <c r="C613" s="317"/>
      <c r="D613" s="317"/>
      <c r="E613" s="317"/>
      <c r="F613" s="317"/>
      <c r="G613" s="317"/>
      <c r="H613" s="317"/>
      <c r="I613" s="317"/>
      <c r="J613" s="317"/>
      <c r="K613" s="317"/>
      <c r="L613" s="317"/>
      <c r="M613" s="317"/>
      <c r="N613" s="317"/>
      <c r="O613" s="317"/>
      <c r="P613" s="317"/>
      <c r="Q613" s="317"/>
      <c r="R613" s="317"/>
      <c r="S613" s="317"/>
      <c r="T613" s="317"/>
      <c r="U613" s="317"/>
      <c r="V613" s="317"/>
      <c r="W613" s="317"/>
      <c r="X613" s="317"/>
      <c r="Y613" s="317"/>
      <c r="Z613" s="317"/>
      <c r="AA613" s="317"/>
    </row>
    <row r="614">
      <c r="A614" s="317"/>
      <c r="B614" s="317"/>
      <c r="C614" s="317"/>
      <c r="D614" s="317"/>
      <c r="E614" s="317"/>
      <c r="F614" s="317"/>
      <c r="G614" s="317"/>
      <c r="H614" s="317"/>
      <c r="I614" s="317"/>
      <c r="J614" s="317"/>
      <c r="K614" s="317"/>
      <c r="L614" s="317"/>
      <c r="M614" s="317"/>
      <c r="N614" s="317"/>
      <c r="O614" s="317"/>
      <c r="P614" s="317"/>
      <c r="Q614" s="317"/>
      <c r="R614" s="317"/>
      <c r="S614" s="317"/>
      <c r="T614" s="317"/>
      <c r="U614" s="317"/>
      <c r="V614" s="317"/>
      <c r="W614" s="317"/>
      <c r="X614" s="317"/>
      <c r="Y614" s="317"/>
      <c r="Z614" s="317"/>
      <c r="AA614" s="317"/>
    </row>
    <row r="615">
      <c r="A615" s="317"/>
      <c r="B615" s="317"/>
      <c r="C615" s="317"/>
      <c r="D615" s="317"/>
      <c r="E615" s="317"/>
      <c r="F615" s="317"/>
      <c r="G615" s="317"/>
      <c r="H615" s="317"/>
      <c r="I615" s="317"/>
      <c r="J615" s="317"/>
      <c r="K615" s="317"/>
      <c r="L615" s="317"/>
      <c r="M615" s="317"/>
      <c r="N615" s="317"/>
      <c r="O615" s="317"/>
      <c r="P615" s="317"/>
      <c r="Q615" s="317"/>
      <c r="R615" s="317"/>
      <c r="S615" s="317"/>
      <c r="T615" s="317"/>
      <c r="U615" s="317"/>
      <c r="V615" s="317"/>
      <c r="W615" s="317"/>
      <c r="X615" s="317"/>
      <c r="Y615" s="317"/>
      <c r="Z615" s="317"/>
      <c r="AA615" s="317"/>
    </row>
    <row r="616">
      <c r="A616" s="317"/>
      <c r="B616" s="317"/>
      <c r="C616" s="317"/>
      <c r="D616" s="317"/>
      <c r="E616" s="317"/>
      <c r="F616" s="317"/>
      <c r="G616" s="317"/>
      <c r="H616" s="317"/>
      <c r="I616" s="317"/>
      <c r="J616" s="317"/>
      <c r="K616" s="317"/>
      <c r="L616" s="317"/>
      <c r="M616" s="317"/>
      <c r="N616" s="317"/>
      <c r="O616" s="317"/>
      <c r="P616" s="317"/>
      <c r="Q616" s="317"/>
      <c r="R616" s="317"/>
      <c r="S616" s="317"/>
      <c r="T616" s="317"/>
      <c r="U616" s="317"/>
      <c r="V616" s="317"/>
      <c r="W616" s="317"/>
      <c r="X616" s="317"/>
      <c r="Y616" s="317"/>
      <c r="Z616" s="317"/>
      <c r="AA616" s="317"/>
    </row>
    <row r="617">
      <c r="A617" s="317"/>
      <c r="B617" s="317"/>
      <c r="C617" s="317"/>
      <c r="D617" s="317"/>
      <c r="E617" s="317"/>
      <c r="F617" s="317"/>
      <c r="G617" s="317"/>
      <c r="H617" s="317"/>
      <c r="I617" s="317"/>
      <c r="J617" s="317"/>
      <c r="K617" s="317"/>
      <c r="L617" s="317"/>
      <c r="M617" s="317"/>
      <c r="N617" s="317"/>
      <c r="O617" s="317"/>
      <c r="P617" s="317"/>
      <c r="Q617" s="317"/>
      <c r="R617" s="317"/>
      <c r="S617" s="317"/>
      <c r="T617" s="317"/>
      <c r="U617" s="317"/>
      <c r="V617" s="317"/>
      <c r="W617" s="317"/>
      <c r="X617" s="317"/>
      <c r="Y617" s="317"/>
      <c r="Z617" s="317"/>
      <c r="AA617" s="317"/>
    </row>
    <row r="618">
      <c r="A618" s="317"/>
      <c r="B618" s="317"/>
      <c r="C618" s="317"/>
      <c r="D618" s="317"/>
      <c r="E618" s="317"/>
      <c r="F618" s="317"/>
      <c r="G618" s="317"/>
      <c r="H618" s="317"/>
      <c r="I618" s="317"/>
      <c r="J618" s="317"/>
      <c r="K618" s="317"/>
      <c r="L618" s="317"/>
      <c r="M618" s="317"/>
      <c r="N618" s="317"/>
      <c r="O618" s="317"/>
      <c r="P618" s="317"/>
      <c r="Q618" s="317"/>
      <c r="R618" s="317"/>
      <c r="S618" s="317"/>
      <c r="T618" s="317"/>
      <c r="U618" s="317"/>
      <c r="V618" s="317"/>
      <c r="W618" s="317"/>
      <c r="X618" s="317"/>
      <c r="Y618" s="317"/>
      <c r="Z618" s="317"/>
      <c r="AA618" s="317"/>
    </row>
    <row r="619">
      <c r="A619" s="317"/>
      <c r="B619" s="317"/>
      <c r="C619" s="317"/>
      <c r="D619" s="317"/>
      <c r="E619" s="317"/>
      <c r="F619" s="317"/>
      <c r="G619" s="317"/>
      <c r="H619" s="317"/>
      <c r="I619" s="317"/>
      <c r="J619" s="317"/>
      <c r="K619" s="317"/>
      <c r="L619" s="317"/>
      <c r="M619" s="317"/>
      <c r="N619" s="317"/>
      <c r="O619" s="317"/>
      <c r="P619" s="317"/>
      <c r="Q619" s="317"/>
      <c r="R619" s="317"/>
      <c r="S619" s="317"/>
      <c r="T619" s="317"/>
      <c r="U619" s="317"/>
      <c r="V619" s="317"/>
      <c r="W619" s="317"/>
      <c r="X619" s="317"/>
      <c r="Y619" s="317"/>
      <c r="Z619" s="317"/>
      <c r="AA619" s="317"/>
    </row>
    <row r="620">
      <c r="A620" s="317"/>
      <c r="B620" s="317"/>
      <c r="C620" s="317"/>
      <c r="D620" s="317"/>
      <c r="E620" s="317"/>
      <c r="F620" s="317"/>
      <c r="G620" s="317"/>
      <c r="H620" s="317"/>
      <c r="I620" s="317"/>
      <c r="J620" s="317"/>
      <c r="K620" s="317"/>
      <c r="L620" s="317"/>
      <c r="M620" s="317"/>
      <c r="N620" s="317"/>
      <c r="O620" s="317"/>
      <c r="P620" s="317"/>
      <c r="Q620" s="317"/>
      <c r="R620" s="317"/>
      <c r="S620" s="317"/>
      <c r="T620" s="317"/>
      <c r="U620" s="317"/>
      <c r="V620" s="317"/>
      <c r="W620" s="317"/>
      <c r="X620" s="317"/>
      <c r="Y620" s="317"/>
      <c r="Z620" s="317"/>
      <c r="AA620" s="317"/>
    </row>
    <row r="621">
      <c r="A621" s="317"/>
      <c r="B621" s="317"/>
      <c r="C621" s="317"/>
      <c r="D621" s="317"/>
      <c r="E621" s="317"/>
      <c r="F621" s="317"/>
      <c r="G621" s="317"/>
      <c r="H621" s="317"/>
      <c r="I621" s="317"/>
      <c r="J621" s="317"/>
      <c r="K621" s="317"/>
      <c r="L621" s="317"/>
      <c r="M621" s="317"/>
      <c r="N621" s="317"/>
      <c r="O621" s="317"/>
      <c r="P621" s="317"/>
      <c r="Q621" s="317"/>
      <c r="R621" s="317"/>
      <c r="S621" s="317"/>
      <c r="T621" s="317"/>
      <c r="U621" s="317"/>
      <c r="V621" s="317"/>
      <c r="W621" s="317"/>
      <c r="X621" s="317"/>
      <c r="Y621" s="317"/>
      <c r="Z621" s="317"/>
      <c r="AA621" s="317"/>
    </row>
    <row r="622">
      <c r="A622" s="317"/>
      <c r="B622" s="317"/>
      <c r="C622" s="317"/>
      <c r="D622" s="317"/>
      <c r="E622" s="317"/>
      <c r="F622" s="317"/>
      <c r="G622" s="317"/>
      <c r="H622" s="317"/>
      <c r="I622" s="317"/>
      <c r="J622" s="317"/>
      <c r="K622" s="317"/>
      <c r="L622" s="317"/>
      <c r="M622" s="317"/>
      <c r="N622" s="317"/>
      <c r="O622" s="317"/>
      <c r="P622" s="317"/>
      <c r="Q622" s="317"/>
      <c r="R622" s="317"/>
      <c r="S622" s="317"/>
      <c r="T622" s="317"/>
      <c r="U622" s="317"/>
      <c r="V622" s="317"/>
      <c r="W622" s="317"/>
      <c r="X622" s="317"/>
      <c r="Y622" s="317"/>
      <c r="Z622" s="317"/>
      <c r="AA622" s="317"/>
    </row>
    <row r="623">
      <c r="A623" s="317"/>
      <c r="B623" s="317"/>
      <c r="C623" s="317"/>
      <c r="D623" s="317"/>
      <c r="E623" s="317"/>
      <c r="F623" s="317"/>
      <c r="G623" s="317"/>
      <c r="H623" s="317"/>
      <c r="I623" s="317"/>
      <c r="J623" s="317"/>
      <c r="K623" s="317"/>
      <c r="L623" s="317"/>
      <c r="M623" s="317"/>
      <c r="N623" s="317"/>
      <c r="O623" s="317"/>
      <c r="P623" s="317"/>
      <c r="Q623" s="317"/>
      <c r="R623" s="317"/>
      <c r="S623" s="317"/>
      <c r="T623" s="317"/>
      <c r="U623" s="317"/>
      <c r="V623" s="317"/>
      <c r="W623" s="317"/>
      <c r="X623" s="317"/>
      <c r="Y623" s="317"/>
      <c r="Z623" s="317"/>
      <c r="AA623" s="317"/>
    </row>
    <row r="624">
      <c r="A624" s="317"/>
      <c r="B624" s="317"/>
      <c r="C624" s="317"/>
      <c r="D624" s="317"/>
      <c r="E624" s="317"/>
      <c r="F624" s="317"/>
      <c r="G624" s="317"/>
      <c r="H624" s="317"/>
      <c r="I624" s="317"/>
      <c r="J624" s="317"/>
      <c r="K624" s="317"/>
      <c r="L624" s="317"/>
      <c r="M624" s="317"/>
      <c r="N624" s="317"/>
      <c r="O624" s="317"/>
      <c r="P624" s="317"/>
      <c r="Q624" s="317"/>
      <c r="R624" s="317"/>
      <c r="S624" s="317"/>
      <c r="T624" s="317"/>
      <c r="U624" s="317"/>
      <c r="V624" s="317"/>
      <c r="W624" s="317"/>
      <c r="X624" s="317"/>
      <c r="Y624" s="317"/>
      <c r="Z624" s="317"/>
      <c r="AA624" s="317"/>
    </row>
    <row r="625">
      <c r="A625" s="317"/>
      <c r="B625" s="317"/>
      <c r="C625" s="317"/>
      <c r="D625" s="317"/>
      <c r="E625" s="317"/>
      <c r="F625" s="317"/>
      <c r="G625" s="317"/>
      <c r="H625" s="317"/>
      <c r="I625" s="317"/>
      <c r="J625" s="317"/>
      <c r="K625" s="317"/>
      <c r="L625" s="317"/>
      <c r="M625" s="317"/>
      <c r="N625" s="317"/>
      <c r="O625" s="317"/>
      <c r="P625" s="317"/>
      <c r="Q625" s="317"/>
      <c r="R625" s="317"/>
      <c r="S625" s="317"/>
      <c r="T625" s="317"/>
      <c r="U625" s="317"/>
      <c r="V625" s="317"/>
      <c r="W625" s="317"/>
      <c r="X625" s="317"/>
      <c r="Y625" s="317"/>
      <c r="Z625" s="317"/>
      <c r="AA625" s="317"/>
    </row>
    <row r="626">
      <c r="A626" s="317"/>
      <c r="B626" s="317"/>
      <c r="C626" s="317"/>
      <c r="D626" s="317"/>
      <c r="E626" s="317"/>
      <c r="F626" s="317"/>
      <c r="G626" s="317"/>
      <c r="H626" s="317"/>
      <c r="I626" s="317"/>
      <c r="J626" s="317"/>
      <c r="K626" s="317"/>
      <c r="L626" s="317"/>
      <c r="M626" s="317"/>
      <c r="N626" s="317"/>
      <c r="O626" s="317"/>
      <c r="P626" s="317"/>
      <c r="Q626" s="317"/>
      <c r="R626" s="317"/>
      <c r="S626" s="317"/>
      <c r="T626" s="317"/>
      <c r="U626" s="317"/>
      <c r="V626" s="317"/>
      <c r="W626" s="317"/>
      <c r="X626" s="317"/>
      <c r="Y626" s="317"/>
      <c r="Z626" s="317"/>
      <c r="AA626" s="317"/>
    </row>
    <row r="627">
      <c r="A627" s="317"/>
      <c r="B627" s="317"/>
      <c r="C627" s="317"/>
      <c r="D627" s="317"/>
      <c r="E627" s="317"/>
      <c r="F627" s="317"/>
      <c r="G627" s="317"/>
      <c r="H627" s="317"/>
      <c r="I627" s="317"/>
      <c r="J627" s="317"/>
      <c r="K627" s="317"/>
      <c r="L627" s="317"/>
      <c r="M627" s="317"/>
      <c r="N627" s="317"/>
      <c r="O627" s="317"/>
      <c r="P627" s="317"/>
      <c r="Q627" s="317"/>
      <c r="R627" s="317"/>
      <c r="S627" s="317"/>
      <c r="T627" s="317"/>
      <c r="U627" s="317"/>
      <c r="V627" s="317"/>
      <c r="W627" s="317"/>
      <c r="X627" s="317"/>
      <c r="Y627" s="317"/>
      <c r="Z627" s="317"/>
      <c r="AA627" s="317"/>
    </row>
    <row r="628">
      <c r="A628" s="317"/>
      <c r="B628" s="317"/>
      <c r="C628" s="317"/>
      <c r="D628" s="317"/>
      <c r="E628" s="317"/>
      <c r="F628" s="317"/>
      <c r="G628" s="317"/>
      <c r="H628" s="317"/>
      <c r="I628" s="317"/>
      <c r="J628" s="317"/>
      <c r="K628" s="317"/>
      <c r="L628" s="317"/>
      <c r="M628" s="317"/>
      <c r="N628" s="317"/>
      <c r="O628" s="317"/>
      <c r="P628" s="317"/>
      <c r="Q628" s="317"/>
      <c r="R628" s="317"/>
      <c r="S628" s="317"/>
      <c r="T628" s="317"/>
      <c r="U628" s="317"/>
      <c r="V628" s="317"/>
      <c r="W628" s="317"/>
      <c r="X628" s="317"/>
      <c r="Y628" s="317"/>
      <c r="Z628" s="317"/>
      <c r="AA628" s="317"/>
    </row>
    <row r="629">
      <c r="A629" s="317"/>
      <c r="B629" s="317"/>
      <c r="C629" s="317"/>
      <c r="D629" s="317"/>
      <c r="E629" s="317"/>
      <c r="F629" s="317"/>
      <c r="G629" s="317"/>
      <c r="H629" s="317"/>
      <c r="I629" s="317"/>
      <c r="J629" s="317"/>
      <c r="K629" s="317"/>
      <c r="L629" s="317"/>
      <c r="M629" s="317"/>
      <c r="N629" s="317"/>
      <c r="O629" s="317"/>
      <c r="P629" s="317"/>
      <c r="Q629" s="317"/>
      <c r="R629" s="317"/>
      <c r="S629" s="317"/>
      <c r="T629" s="317"/>
      <c r="U629" s="317"/>
      <c r="V629" s="317"/>
      <c r="W629" s="317"/>
      <c r="X629" s="317"/>
      <c r="Y629" s="317"/>
      <c r="Z629" s="317"/>
      <c r="AA629" s="317"/>
    </row>
    <row r="630">
      <c r="A630" s="317"/>
      <c r="B630" s="317"/>
      <c r="C630" s="317"/>
      <c r="D630" s="317"/>
      <c r="E630" s="317"/>
      <c r="F630" s="317"/>
      <c r="G630" s="317"/>
      <c r="H630" s="317"/>
      <c r="I630" s="317"/>
      <c r="J630" s="317"/>
      <c r="K630" s="317"/>
      <c r="L630" s="317"/>
      <c r="M630" s="317"/>
      <c r="N630" s="317"/>
      <c r="O630" s="317"/>
      <c r="P630" s="317"/>
      <c r="Q630" s="317"/>
      <c r="R630" s="317"/>
      <c r="S630" s="317"/>
      <c r="T630" s="317"/>
      <c r="U630" s="317"/>
      <c r="V630" s="317"/>
      <c r="W630" s="317"/>
      <c r="X630" s="317"/>
      <c r="Y630" s="317"/>
      <c r="Z630" s="317"/>
      <c r="AA630" s="317"/>
    </row>
    <row r="631">
      <c r="A631" s="317"/>
      <c r="B631" s="317"/>
      <c r="C631" s="317"/>
      <c r="D631" s="317"/>
      <c r="E631" s="317"/>
      <c r="F631" s="317"/>
      <c r="G631" s="317"/>
      <c r="H631" s="317"/>
      <c r="I631" s="317"/>
      <c r="J631" s="317"/>
      <c r="K631" s="317"/>
      <c r="L631" s="317"/>
      <c r="M631" s="317"/>
      <c r="N631" s="317"/>
      <c r="O631" s="317"/>
      <c r="P631" s="317"/>
      <c r="Q631" s="317"/>
      <c r="R631" s="317"/>
      <c r="S631" s="317"/>
      <c r="T631" s="317"/>
      <c r="U631" s="317"/>
      <c r="V631" s="317"/>
      <c r="W631" s="317"/>
      <c r="X631" s="317"/>
      <c r="Y631" s="317"/>
      <c r="Z631" s="317"/>
      <c r="AA631" s="317"/>
    </row>
    <row r="632">
      <c r="A632" s="317"/>
      <c r="B632" s="317"/>
      <c r="C632" s="317"/>
      <c r="D632" s="317"/>
      <c r="E632" s="317"/>
      <c r="F632" s="317"/>
      <c r="G632" s="317"/>
      <c r="H632" s="317"/>
      <c r="I632" s="317"/>
      <c r="J632" s="317"/>
      <c r="K632" s="317"/>
      <c r="L632" s="317"/>
      <c r="M632" s="317"/>
      <c r="N632" s="317"/>
      <c r="O632" s="317"/>
      <c r="P632" s="317"/>
      <c r="Q632" s="317"/>
      <c r="R632" s="317"/>
      <c r="S632" s="317"/>
      <c r="T632" s="317"/>
      <c r="U632" s="317"/>
      <c r="V632" s="317"/>
      <c r="W632" s="317"/>
      <c r="X632" s="317"/>
      <c r="Y632" s="317"/>
      <c r="Z632" s="317"/>
      <c r="AA632" s="317"/>
    </row>
    <row r="633">
      <c r="A633" s="317"/>
      <c r="B633" s="317"/>
      <c r="C633" s="317"/>
      <c r="D633" s="317"/>
      <c r="E633" s="317"/>
      <c r="F633" s="317"/>
      <c r="G633" s="317"/>
      <c r="H633" s="317"/>
      <c r="I633" s="317"/>
      <c r="J633" s="317"/>
      <c r="K633" s="317"/>
      <c r="L633" s="317"/>
      <c r="M633" s="317"/>
      <c r="N633" s="317"/>
      <c r="O633" s="317"/>
      <c r="P633" s="317"/>
      <c r="Q633" s="317"/>
      <c r="R633" s="317"/>
      <c r="S633" s="317"/>
      <c r="T633" s="317"/>
      <c r="U633" s="317"/>
      <c r="V633" s="317"/>
      <c r="W633" s="317"/>
      <c r="X633" s="317"/>
      <c r="Y633" s="317"/>
      <c r="Z633" s="317"/>
      <c r="AA633" s="317"/>
    </row>
    <row r="634">
      <c r="A634" s="317"/>
      <c r="B634" s="317"/>
      <c r="C634" s="317"/>
      <c r="D634" s="317"/>
      <c r="E634" s="317"/>
      <c r="F634" s="317"/>
      <c r="G634" s="317"/>
      <c r="H634" s="317"/>
      <c r="I634" s="317"/>
      <c r="J634" s="317"/>
      <c r="K634" s="317"/>
      <c r="L634" s="317"/>
      <c r="M634" s="317"/>
      <c r="N634" s="317"/>
      <c r="O634" s="317"/>
      <c r="P634" s="317"/>
      <c r="Q634" s="317"/>
      <c r="R634" s="317"/>
      <c r="S634" s="317"/>
      <c r="T634" s="317"/>
      <c r="U634" s="317"/>
      <c r="V634" s="317"/>
      <c r="W634" s="317"/>
      <c r="X634" s="317"/>
      <c r="Y634" s="317"/>
      <c r="Z634" s="317"/>
      <c r="AA634" s="317"/>
    </row>
    <row r="635">
      <c r="A635" s="317"/>
      <c r="B635" s="317"/>
      <c r="C635" s="317"/>
      <c r="D635" s="317"/>
      <c r="E635" s="317"/>
      <c r="F635" s="317"/>
      <c r="G635" s="317"/>
      <c r="H635" s="317"/>
      <c r="I635" s="317"/>
      <c r="J635" s="317"/>
      <c r="K635" s="317"/>
      <c r="L635" s="317"/>
      <c r="M635" s="317"/>
      <c r="N635" s="317"/>
      <c r="O635" s="317"/>
      <c r="P635" s="317"/>
      <c r="Q635" s="317"/>
      <c r="R635" s="317"/>
      <c r="S635" s="317"/>
      <c r="T635" s="317"/>
      <c r="U635" s="317"/>
      <c r="V635" s="317"/>
      <c r="W635" s="317"/>
      <c r="X635" s="317"/>
      <c r="Y635" s="317"/>
      <c r="Z635" s="317"/>
      <c r="AA635" s="317"/>
    </row>
    <row r="636">
      <c r="A636" s="317"/>
      <c r="B636" s="317"/>
      <c r="C636" s="317"/>
      <c r="D636" s="317"/>
      <c r="E636" s="317"/>
      <c r="F636" s="317"/>
      <c r="G636" s="317"/>
      <c r="H636" s="317"/>
      <c r="I636" s="317"/>
      <c r="J636" s="317"/>
      <c r="K636" s="317"/>
      <c r="L636" s="317"/>
      <c r="M636" s="317"/>
      <c r="N636" s="317"/>
      <c r="O636" s="317"/>
      <c r="P636" s="317"/>
      <c r="Q636" s="317"/>
      <c r="R636" s="317"/>
      <c r="S636" s="317"/>
      <c r="T636" s="317"/>
      <c r="U636" s="317"/>
      <c r="V636" s="317"/>
      <c r="W636" s="317"/>
      <c r="X636" s="317"/>
      <c r="Y636" s="317"/>
      <c r="Z636" s="317"/>
      <c r="AA636" s="317"/>
    </row>
    <row r="637">
      <c r="A637" s="317"/>
      <c r="B637" s="317"/>
      <c r="C637" s="317"/>
      <c r="D637" s="317"/>
      <c r="E637" s="317"/>
      <c r="F637" s="317"/>
      <c r="G637" s="317"/>
      <c r="H637" s="317"/>
      <c r="I637" s="317"/>
      <c r="J637" s="317"/>
      <c r="K637" s="317"/>
      <c r="L637" s="317"/>
      <c r="M637" s="317"/>
      <c r="N637" s="317"/>
      <c r="O637" s="317"/>
      <c r="P637" s="317"/>
      <c r="Q637" s="317"/>
      <c r="R637" s="317"/>
      <c r="S637" s="317"/>
      <c r="T637" s="317"/>
      <c r="U637" s="317"/>
      <c r="V637" s="317"/>
      <c r="W637" s="317"/>
      <c r="X637" s="317"/>
      <c r="Y637" s="317"/>
      <c r="Z637" s="317"/>
      <c r="AA637" s="317"/>
    </row>
    <row r="638">
      <c r="A638" s="317"/>
      <c r="B638" s="317"/>
      <c r="C638" s="317"/>
      <c r="D638" s="317"/>
      <c r="E638" s="317"/>
      <c r="F638" s="317"/>
      <c r="G638" s="317"/>
      <c r="H638" s="317"/>
      <c r="I638" s="317"/>
      <c r="J638" s="317"/>
      <c r="K638" s="317"/>
      <c r="L638" s="317"/>
      <c r="M638" s="317"/>
      <c r="N638" s="317"/>
      <c r="O638" s="317"/>
      <c r="P638" s="317"/>
      <c r="Q638" s="317"/>
      <c r="R638" s="317"/>
      <c r="S638" s="317"/>
      <c r="T638" s="317"/>
      <c r="U638" s="317"/>
      <c r="V638" s="317"/>
      <c r="W638" s="317"/>
      <c r="X638" s="317"/>
      <c r="Y638" s="317"/>
      <c r="Z638" s="317"/>
      <c r="AA638" s="317"/>
    </row>
    <row r="639">
      <c r="A639" s="317"/>
      <c r="B639" s="317"/>
      <c r="C639" s="317"/>
      <c r="D639" s="317"/>
      <c r="E639" s="317"/>
      <c r="F639" s="317"/>
      <c r="G639" s="317"/>
      <c r="H639" s="317"/>
      <c r="I639" s="317"/>
      <c r="J639" s="317"/>
      <c r="K639" s="317"/>
      <c r="L639" s="317"/>
      <c r="M639" s="317"/>
      <c r="N639" s="317"/>
      <c r="O639" s="317"/>
      <c r="P639" s="317"/>
      <c r="Q639" s="317"/>
      <c r="R639" s="317"/>
      <c r="S639" s="317"/>
      <c r="T639" s="317"/>
      <c r="U639" s="317"/>
      <c r="V639" s="317"/>
      <c r="W639" s="317"/>
      <c r="X639" s="317"/>
      <c r="Y639" s="317"/>
      <c r="Z639" s="317"/>
      <c r="AA639" s="317"/>
    </row>
    <row r="640">
      <c r="A640" s="317"/>
      <c r="B640" s="317"/>
      <c r="C640" s="317"/>
      <c r="D640" s="317"/>
      <c r="E640" s="317"/>
      <c r="F640" s="317"/>
      <c r="G640" s="317"/>
      <c r="H640" s="317"/>
      <c r="I640" s="317"/>
      <c r="J640" s="317"/>
      <c r="K640" s="317"/>
      <c r="L640" s="317"/>
      <c r="M640" s="317"/>
      <c r="N640" s="317"/>
      <c r="O640" s="317"/>
      <c r="P640" s="317"/>
      <c r="Q640" s="317"/>
      <c r="R640" s="317"/>
      <c r="S640" s="317"/>
      <c r="T640" s="317"/>
      <c r="U640" s="317"/>
      <c r="V640" s="317"/>
      <c r="W640" s="317"/>
      <c r="X640" s="317"/>
      <c r="Y640" s="317"/>
      <c r="Z640" s="317"/>
      <c r="AA640" s="317"/>
    </row>
    <row r="641">
      <c r="A641" s="317"/>
      <c r="B641" s="317"/>
      <c r="C641" s="317"/>
      <c r="D641" s="317"/>
      <c r="E641" s="317"/>
      <c r="F641" s="317"/>
      <c r="G641" s="317"/>
      <c r="H641" s="317"/>
      <c r="I641" s="317"/>
      <c r="J641" s="317"/>
      <c r="K641" s="317"/>
      <c r="L641" s="317"/>
      <c r="M641" s="317"/>
      <c r="N641" s="317"/>
      <c r="O641" s="317"/>
      <c r="P641" s="317"/>
      <c r="Q641" s="317"/>
      <c r="R641" s="317"/>
      <c r="S641" s="317"/>
      <c r="T641" s="317"/>
      <c r="U641" s="317"/>
      <c r="V641" s="317"/>
      <c r="W641" s="317"/>
      <c r="X641" s="317"/>
      <c r="Y641" s="317"/>
      <c r="Z641" s="317"/>
      <c r="AA641" s="317"/>
    </row>
    <row r="642">
      <c r="A642" s="317"/>
      <c r="B642" s="317"/>
      <c r="C642" s="317"/>
      <c r="D642" s="317"/>
      <c r="E642" s="317"/>
      <c r="F642" s="317"/>
      <c r="G642" s="317"/>
      <c r="H642" s="317"/>
      <c r="I642" s="317"/>
      <c r="J642" s="317"/>
      <c r="K642" s="317"/>
      <c r="L642" s="317"/>
      <c r="M642" s="317"/>
      <c r="N642" s="317"/>
      <c r="O642" s="317"/>
      <c r="P642" s="317"/>
      <c r="Q642" s="317"/>
      <c r="R642" s="317"/>
      <c r="S642" s="317"/>
      <c r="T642" s="317"/>
      <c r="U642" s="317"/>
      <c r="V642" s="317"/>
      <c r="W642" s="317"/>
      <c r="X642" s="317"/>
      <c r="Y642" s="317"/>
      <c r="Z642" s="317"/>
      <c r="AA642" s="317"/>
    </row>
    <row r="643">
      <c r="A643" s="317"/>
      <c r="B643" s="317"/>
      <c r="C643" s="317"/>
      <c r="D643" s="317"/>
      <c r="E643" s="317"/>
      <c r="F643" s="317"/>
      <c r="G643" s="317"/>
      <c r="H643" s="317"/>
      <c r="I643" s="317"/>
      <c r="J643" s="317"/>
      <c r="K643" s="317"/>
      <c r="L643" s="317"/>
      <c r="M643" s="317"/>
      <c r="N643" s="317"/>
      <c r="O643" s="317"/>
      <c r="P643" s="317"/>
      <c r="Q643" s="317"/>
      <c r="R643" s="317"/>
      <c r="S643" s="317"/>
      <c r="T643" s="317"/>
      <c r="U643" s="317"/>
      <c r="V643" s="317"/>
      <c r="W643" s="317"/>
      <c r="X643" s="317"/>
      <c r="Y643" s="317"/>
      <c r="Z643" s="317"/>
      <c r="AA643" s="317"/>
    </row>
    <row r="644">
      <c r="A644" s="317"/>
      <c r="B644" s="317"/>
      <c r="C644" s="317"/>
      <c r="D644" s="317"/>
      <c r="E644" s="317"/>
      <c r="F644" s="317"/>
      <c r="G644" s="317"/>
      <c r="H644" s="317"/>
      <c r="I644" s="317"/>
      <c r="J644" s="317"/>
      <c r="K644" s="317"/>
      <c r="L644" s="317"/>
      <c r="M644" s="317"/>
      <c r="N644" s="317"/>
      <c r="O644" s="317"/>
      <c r="P644" s="317"/>
      <c r="Q644" s="317"/>
      <c r="R644" s="317"/>
      <c r="S644" s="317"/>
      <c r="T644" s="317"/>
      <c r="U644" s="317"/>
      <c r="V644" s="317"/>
      <c r="W644" s="317"/>
      <c r="X644" s="317"/>
      <c r="Y644" s="317"/>
      <c r="Z644" s="317"/>
      <c r="AA644" s="317"/>
    </row>
    <row r="645">
      <c r="A645" s="317"/>
      <c r="B645" s="317"/>
      <c r="C645" s="317"/>
      <c r="D645" s="317"/>
      <c r="E645" s="317"/>
      <c r="F645" s="317"/>
      <c r="G645" s="317"/>
      <c r="H645" s="317"/>
      <c r="I645" s="317"/>
      <c r="J645" s="317"/>
      <c r="K645" s="317"/>
      <c r="L645" s="317"/>
      <c r="M645" s="317"/>
      <c r="N645" s="317"/>
      <c r="O645" s="317"/>
      <c r="P645" s="317"/>
      <c r="Q645" s="317"/>
      <c r="R645" s="317"/>
      <c r="S645" s="317"/>
      <c r="T645" s="317"/>
      <c r="U645" s="317"/>
      <c r="V645" s="317"/>
      <c r="W645" s="317"/>
      <c r="X645" s="317"/>
      <c r="Y645" s="317"/>
      <c r="Z645" s="317"/>
      <c r="AA645" s="317"/>
    </row>
    <row r="646">
      <c r="A646" s="317"/>
      <c r="B646" s="317"/>
      <c r="C646" s="317"/>
      <c r="D646" s="317"/>
      <c r="E646" s="317"/>
      <c r="F646" s="317"/>
      <c r="G646" s="317"/>
      <c r="H646" s="317"/>
      <c r="I646" s="317"/>
      <c r="J646" s="317"/>
      <c r="K646" s="317"/>
      <c r="L646" s="317"/>
      <c r="M646" s="317"/>
      <c r="N646" s="317"/>
      <c r="O646" s="317"/>
      <c r="P646" s="317"/>
      <c r="Q646" s="317"/>
      <c r="R646" s="317"/>
      <c r="S646" s="317"/>
      <c r="T646" s="317"/>
      <c r="U646" s="317"/>
      <c r="V646" s="317"/>
      <c r="W646" s="317"/>
      <c r="X646" s="317"/>
      <c r="Y646" s="317"/>
      <c r="Z646" s="317"/>
      <c r="AA646" s="317"/>
    </row>
    <row r="647">
      <c r="A647" s="317"/>
      <c r="B647" s="317"/>
      <c r="C647" s="317"/>
      <c r="D647" s="317"/>
      <c r="E647" s="317"/>
      <c r="F647" s="317"/>
      <c r="G647" s="317"/>
      <c r="H647" s="317"/>
      <c r="I647" s="317"/>
      <c r="J647" s="317"/>
      <c r="K647" s="317"/>
      <c r="L647" s="317"/>
      <c r="M647" s="317"/>
      <c r="N647" s="317"/>
      <c r="O647" s="317"/>
      <c r="P647" s="317"/>
      <c r="Q647" s="317"/>
      <c r="R647" s="317"/>
      <c r="S647" s="317"/>
      <c r="T647" s="317"/>
      <c r="U647" s="317"/>
      <c r="V647" s="317"/>
      <c r="W647" s="317"/>
      <c r="X647" s="317"/>
      <c r="Y647" s="317"/>
      <c r="Z647" s="317"/>
      <c r="AA647" s="317"/>
    </row>
    <row r="648">
      <c r="A648" s="317"/>
      <c r="B648" s="317"/>
      <c r="C648" s="317"/>
      <c r="D648" s="317"/>
      <c r="E648" s="317"/>
      <c r="F648" s="317"/>
      <c r="G648" s="317"/>
      <c r="H648" s="317"/>
      <c r="I648" s="317"/>
      <c r="J648" s="317"/>
      <c r="K648" s="317"/>
      <c r="L648" s="317"/>
      <c r="M648" s="317"/>
      <c r="N648" s="317"/>
      <c r="O648" s="317"/>
      <c r="P648" s="317"/>
      <c r="Q648" s="317"/>
      <c r="R648" s="317"/>
      <c r="S648" s="317"/>
      <c r="T648" s="317"/>
      <c r="U648" s="317"/>
      <c r="V648" s="317"/>
      <c r="W648" s="317"/>
      <c r="X648" s="317"/>
      <c r="Y648" s="317"/>
      <c r="Z648" s="317"/>
      <c r="AA648" s="317"/>
    </row>
    <row r="649">
      <c r="A649" s="317"/>
      <c r="B649" s="317"/>
      <c r="C649" s="317"/>
      <c r="D649" s="317"/>
      <c r="E649" s="317"/>
      <c r="F649" s="317"/>
      <c r="G649" s="317"/>
      <c r="H649" s="317"/>
      <c r="I649" s="317"/>
      <c r="J649" s="317"/>
      <c r="K649" s="317"/>
      <c r="L649" s="317"/>
      <c r="M649" s="317"/>
      <c r="N649" s="317"/>
      <c r="O649" s="317"/>
      <c r="P649" s="317"/>
      <c r="Q649" s="317"/>
      <c r="R649" s="317"/>
      <c r="S649" s="317"/>
      <c r="T649" s="317"/>
      <c r="U649" s="317"/>
      <c r="V649" s="317"/>
      <c r="W649" s="317"/>
      <c r="X649" s="317"/>
      <c r="Y649" s="317"/>
      <c r="Z649" s="317"/>
      <c r="AA649" s="317"/>
    </row>
    <row r="650">
      <c r="A650" s="317"/>
      <c r="B650" s="317"/>
      <c r="C650" s="317"/>
      <c r="D650" s="317"/>
      <c r="E650" s="317"/>
      <c r="F650" s="317"/>
      <c r="G650" s="317"/>
      <c r="H650" s="317"/>
      <c r="I650" s="317"/>
      <c r="J650" s="317"/>
      <c r="K650" s="317"/>
      <c r="L650" s="317"/>
      <c r="M650" s="317"/>
      <c r="N650" s="317"/>
      <c r="O650" s="317"/>
      <c r="P650" s="317"/>
      <c r="Q650" s="317"/>
      <c r="R650" s="317"/>
      <c r="S650" s="317"/>
      <c r="T650" s="317"/>
      <c r="U650" s="317"/>
      <c r="V650" s="317"/>
      <c r="W650" s="317"/>
      <c r="X650" s="317"/>
      <c r="Y650" s="317"/>
      <c r="Z650" s="317"/>
      <c r="AA650" s="317"/>
    </row>
    <row r="651">
      <c r="A651" s="317"/>
      <c r="B651" s="317"/>
      <c r="C651" s="317"/>
      <c r="D651" s="317"/>
      <c r="E651" s="317"/>
      <c r="F651" s="317"/>
      <c r="G651" s="317"/>
      <c r="H651" s="317"/>
      <c r="I651" s="317"/>
      <c r="J651" s="317"/>
      <c r="K651" s="317"/>
      <c r="L651" s="317"/>
      <c r="M651" s="317"/>
      <c r="N651" s="317"/>
      <c r="O651" s="317"/>
      <c r="P651" s="317"/>
      <c r="Q651" s="317"/>
      <c r="R651" s="317"/>
      <c r="S651" s="317"/>
      <c r="T651" s="317"/>
      <c r="U651" s="317"/>
      <c r="V651" s="317"/>
      <c r="W651" s="317"/>
      <c r="X651" s="317"/>
      <c r="Y651" s="317"/>
      <c r="Z651" s="317"/>
      <c r="AA651" s="317"/>
    </row>
    <row r="652">
      <c r="A652" s="317"/>
      <c r="B652" s="317"/>
      <c r="C652" s="317"/>
      <c r="D652" s="317"/>
      <c r="E652" s="317"/>
      <c r="F652" s="317"/>
      <c r="G652" s="317"/>
      <c r="H652" s="317"/>
      <c r="I652" s="317"/>
      <c r="J652" s="317"/>
      <c r="K652" s="317"/>
      <c r="L652" s="317"/>
      <c r="M652" s="317"/>
      <c r="N652" s="317"/>
      <c r="O652" s="317"/>
      <c r="P652" s="317"/>
      <c r="Q652" s="317"/>
      <c r="R652" s="317"/>
      <c r="S652" s="317"/>
      <c r="T652" s="317"/>
      <c r="U652" s="317"/>
      <c r="V652" s="317"/>
      <c r="W652" s="317"/>
      <c r="X652" s="317"/>
      <c r="Y652" s="317"/>
      <c r="Z652" s="317"/>
      <c r="AA652" s="317"/>
    </row>
    <row r="653">
      <c r="A653" s="317"/>
      <c r="B653" s="317"/>
      <c r="C653" s="317"/>
      <c r="D653" s="317"/>
      <c r="E653" s="317"/>
      <c r="F653" s="317"/>
      <c r="G653" s="317"/>
      <c r="H653" s="317"/>
      <c r="I653" s="317"/>
      <c r="J653" s="317"/>
      <c r="K653" s="317"/>
      <c r="L653" s="317"/>
      <c r="M653" s="317"/>
      <c r="N653" s="317"/>
      <c r="O653" s="317"/>
      <c r="P653" s="317"/>
      <c r="Q653" s="317"/>
      <c r="R653" s="317"/>
      <c r="S653" s="317"/>
      <c r="T653" s="317"/>
      <c r="U653" s="317"/>
      <c r="V653" s="317"/>
      <c r="W653" s="317"/>
      <c r="X653" s="317"/>
      <c r="Y653" s="317"/>
      <c r="Z653" s="317"/>
      <c r="AA653" s="317"/>
    </row>
    <row r="654">
      <c r="A654" s="317"/>
      <c r="B654" s="317"/>
      <c r="C654" s="317"/>
      <c r="D654" s="317"/>
      <c r="E654" s="317"/>
      <c r="F654" s="317"/>
      <c r="G654" s="317"/>
      <c r="H654" s="317"/>
      <c r="I654" s="317"/>
      <c r="J654" s="317"/>
      <c r="K654" s="317"/>
      <c r="L654" s="317"/>
      <c r="M654" s="317"/>
      <c r="N654" s="317"/>
      <c r="O654" s="317"/>
      <c r="P654" s="317"/>
      <c r="Q654" s="317"/>
      <c r="R654" s="317"/>
      <c r="S654" s="317"/>
      <c r="T654" s="317"/>
      <c r="U654" s="317"/>
      <c r="V654" s="317"/>
      <c r="W654" s="317"/>
      <c r="X654" s="317"/>
      <c r="Y654" s="317"/>
      <c r="Z654" s="317"/>
      <c r="AA654" s="317"/>
    </row>
    <row r="655">
      <c r="A655" s="317"/>
      <c r="B655" s="317"/>
      <c r="C655" s="317"/>
      <c r="D655" s="317"/>
      <c r="E655" s="317"/>
      <c r="F655" s="317"/>
      <c r="G655" s="317"/>
      <c r="H655" s="317"/>
      <c r="I655" s="317"/>
      <c r="J655" s="317"/>
      <c r="K655" s="317"/>
      <c r="L655" s="317"/>
      <c r="M655" s="317"/>
      <c r="N655" s="317"/>
      <c r="O655" s="317"/>
      <c r="P655" s="317"/>
      <c r="Q655" s="317"/>
      <c r="R655" s="317"/>
      <c r="S655" s="317"/>
      <c r="T655" s="317"/>
      <c r="U655" s="317"/>
      <c r="V655" s="317"/>
      <c r="W655" s="317"/>
      <c r="X655" s="317"/>
      <c r="Y655" s="317"/>
      <c r="Z655" s="317"/>
      <c r="AA655" s="317"/>
    </row>
    <row r="656">
      <c r="A656" s="317"/>
      <c r="B656" s="317"/>
      <c r="C656" s="317"/>
      <c r="D656" s="317"/>
      <c r="E656" s="317"/>
      <c r="F656" s="317"/>
      <c r="G656" s="317"/>
      <c r="H656" s="317"/>
      <c r="I656" s="317"/>
      <c r="J656" s="317"/>
      <c r="K656" s="317"/>
      <c r="L656" s="317"/>
      <c r="M656" s="317"/>
      <c r="N656" s="317"/>
      <c r="O656" s="317"/>
      <c r="P656" s="317"/>
      <c r="Q656" s="317"/>
      <c r="R656" s="317"/>
      <c r="S656" s="317"/>
      <c r="T656" s="317"/>
      <c r="U656" s="317"/>
      <c r="V656" s="317"/>
      <c r="W656" s="317"/>
      <c r="X656" s="317"/>
      <c r="Y656" s="317"/>
      <c r="Z656" s="317"/>
      <c r="AA656" s="317"/>
    </row>
    <row r="657">
      <c r="A657" s="317"/>
      <c r="B657" s="317"/>
      <c r="C657" s="317"/>
      <c r="D657" s="317"/>
      <c r="E657" s="317"/>
      <c r="F657" s="317"/>
      <c r="G657" s="317"/>
      <c r="H657" s="317"/>
      <c r="I657" s="317"/>
      <c r="J657" s="317"/>
      <c r="K657" s="317"/>
      <c r="L657" s="317"/>
      <c r="M657" s="317"/>
      <c r="N657" s="317"/>
      <c r="O657" s="317"/>
      <c r="P657" s="317"/>
      <c r="Q657" s="317"/>
      <c r="R657" s="317"/>
      <c r="S657" s="317"/>
      <c r="T657" s="317"/>
      <c r="U657" s="317"/>
      <c r="V657" s="317"/>
      <c r="W657" s="317"/>
      <c r="X657" s="317"/>
      <c r="Y657" s="317"/>
      <c r="Z657" s="317"/>
      <c r="AA657" s="317"/>
    </row>
    <row r="658">
      <c r="A658" s="317"/>
      <c r="B658" s="317"/>
      <c r="C658" s="317"/>
      <c r="D658" s="317"/>
      <c r="E658" s="317"/>
      <c r="F658" s="317"/>
      <c r="G658" s="317"/>
      <c r="H658" s="317"/>
      <c r="I658" s="317"/>
      <c r="J658" s="317"/>
      <c r="K658" s="317"/>
      <c r="L658" s="317"/>
      <c r="M658" s="317"/>
      <c r="N658" s="317"/>
      <c r="O658" s="317"/>
      <c r="P658" s="317"/>
      <c r="Q658" s="317"/>
      <c r="R658" s="317"/>
      <c r="S658" s="317"/>
      <c r="T658" s="317"/>
      <c r="U658" s="317"/>
      <c r="V658" s="317"/>
      <c r="W658" s="317"/>
      <c r="X658" s="317"/>
      <c r="Y658" s="317"/>
      <c r="Z658" s="317"/>
      <c r="AA658" s="317"/>
    </row>
    <row r="659">
      <c r="A659" s="317"/>
      <c r="B659" s="317"/>
      <c r="C659" s="317"/>
      <c r="D659" s="317"/>
      <c r="E659" s="317"/>
      <c r="F659" s="317"/>
      <c r="G659" s="317"/>
      <c r="H659" s="317"/>
      <c r="I659" s="317"/>
      <c r="J659" s="317"/>
      <c r="K659" s="317"/>
      <c r="L659" s="317"/>
      <c r="M659" s="317"/>
      <c r="N659" s="317"/>
      <c r="O659" s="317"/>
      <c r="P659" s="317"/>
      <c r="Q659" s="317"/>
      <c r="R659" s="317"/>
      <c r="S659" s="317"/>
      <c r="T659" s="317"/>
      <c r="U659" s="317"/>
      <c r="V659" s="317"/>
      <c r="W659" s="317"/>
      <c r="X659" s="317"/>
      <c r="Y659" s="317"/>
      <c r="Z659" s="317"/>
      <c r="AA659" s="317"/>
    </row>
    <row r="660">
      <c r="A660" s="317"/>
      <c r="B660" s="317"/>
      <c r="C660" s="317"/>
      <c r="D660" s="317"/>
      <c r="E660" s="317"/>
      <c r="F660" s="317"/>
      <c r="G660" s="317"/>
      <c r="H660" s="317"/>
      <c r="I660" s="317"/>
      <c r="J660" s="317"/>
      <c r="K660" s="317"/>
      <c r="L660" s="317"/>
      <c r="M660" s="317"/>
      <c r="N660" s="317"/>
      <c r="O660" s="317"/>
      <c r="P660" s="317"/>
      <c r="Q660" s="317"/>
      <c r="R660" s="317"/>
      <c r="S660" s="317"/>
      <c r="T660" s="317"/>
      <c r="U660" s="317"/>
      <c r="V660" s="317"/>
      <c r="W660" s="317"/>
      <c r="X660" s="317"/>
      <c r="Y660" s="317"/>
      <c r="Z660" s="317"/>
      <c r="AA660" s="317"/>
    </row>
    <row r="661">
      <c r="A661" s="317"/>
      <c r="B661" s="317"/>
      <c r="C661" s="317"/>
      <c r="D661" s="317"/>
      <c r="E661" s="317"/>
      <c r="F661" s="317"/>
      <c r="G661" s="317"/>
      <c r="H661" s="317"/>
      <c r="I661" s="317"/>
      <c r="J661" s="317"/>
      <c r="K661" s="317"/>
      <c r="L661" s="317"/>
      <c r="M661" s="317"/>
      <c r="N661" s="317"/>
      <c r="O661" s="317"/>
      <c r="P661" s="317"/>
      <c r="Q661" s="317"/>
      <c r="R661" s="317"/>
      <c r="S661" s="317"/>
      <c r="T661" s="317"/>
      <c r="U661" s="317"/>
      <c r="V661" s="317"/>
      <c r="W661" s="317"/>
      <c r="X661" s="317"/>
      <c r="Y661" s="317"/>
      <c r="Z661" s="317"/>
      <c r="AA661" s="317"/>
    </row>
    <row r="662">
      <c r="A662" s="317"/>
      <c r="B662" s="317"/>
      <c r="C662" s="317"/>
      <c r="D662" s="317"/>
      <c r="E662" s="317"/>
      <c r="F662" s="317"/>
      <c r="G662" s="317"/>
      <c r="H662" s="317"/>
      <c r="I662" s="317"/>
      <c r="J662" s="317"/>
      <c r="K662" s="317"/>
      <c r="L662" s="317"/>
      <c r="M662" s="317"/>
      <c r="N662" s="317"/>
      <c r="O662" s="317"/>
      <c r="P662" s="317"/>
      <c r="Q662" s="317"/>
      <c r="R662" s="317"/>
      <c r="S662" s="317"/>
      <c r="T662" s="317"/>
      <c r="U662" s="317"/>
      <c r="V662" s="317"/>
      <c r="W662" s="317"/>
      <c r="X662" s="317"/>
      <c r="Y662" s="317"/>
      <c r="Z662" s="317"/>
      <c r="AA662" s="317"/>
    </row>
    <row r="663">
      <c r="A663" s="317"/>
      <c r="B663" s="317"/>
      <c r="C663" s="317"/>
      <c r="D663" s="317"/>
      <c r="E663" s="317"/>
      <c r="F663" s="317"/>
      <c r="G663" s="317"/>
      <c r="H663" s="317"/>
      <c r="I663" s="317"/>
      <c r="J663" s="317"/>
      <c r="K663" s="317"/>
      <c r="L663" s="317"/>
      <c r="M663" s="317"/>
      <c r="N663" s="317"/>
      <c r="O663" s="317"/>
      <c r="P663" s="317"/>
      <c r="Q663" s="317"/>
      <c r="R663" s="317"/>
      <c r="S663" s="317"/>
      <c r="T663" s="317"/>
      <c r="U663" s="317"/>
      <c r="V663" s="317"/>
      <c r="W663" s="317"/>
      <c r="X663" s="317"/>
      <c r="Y663" s="317"/>
      <c r="Z663" s="317"/>
      <c r="AA663" s="317"/>
    </row>
    <row r="664">
      <c r="A664" s="317"/>
      <c r="B664" s="317"/>
      <c r="C664" s="317"/>
      <c r="D664" s="317"/>
      <c r="E664" s="317"/>
      <c r="F664" s="317"/>
      <c r="G664" s="317"/>
      <c r="H664" s="317"/>
      <c r="I664" s="317"/>
      <c r="J664" s="317"/>
      <c r="K664" s="317"/>
      <c r="L664" s="317"/>
      <c r="M664" s="317"/>
      <c r="N664" s="317"/>
      <c r="O664" s="317"/>
      <c r="P664" s="317"/>
      <c r="Q664" s="317"/>
      <c r="R664" s="317"/>
      <c r="S664" s="317"/>
      <c r="T664" s="317"/>
      <c r="U664" s="317"/>
      <c r="V664" s="317"/>
      <c r="W664" s="317"/>
      <c r="X664" s="317"/>
      <c r="Y664" s="317"/>
      <c r="Z664" s="317"/>
      <c r="AA664" s="317"/>
    </row>
    <row r="665">
      <c r="A665" s="317"/>
      <c r="B665" s="317"/>
      <c r="C665" s="317"/>
      <c r="D665" s="317"/>
      <c r="E665" s="317"/>
      <c r="F665" s="317"/>
      <c r="G665" s="317"/>
      <c r="H665" s="317"/>
      <c r="I665" s="317"/>
      <c r="J665" s="317"/>
      <c r="K665" s="317"/>
      <c r="L665" s="317"/>
      <c r="M665" s="317"/>
      <c r="N665" s="317"/>
      <c r="O665" s="317"/>
      <c r="P665" s="317"/>
      <c r="Q665" s="317"/>
      <c r="R665" s="317"/>
      <c r="S665" s="317"/>
      <c r="T665" s="317"/>
      <c r="U665" s="317"/>
      <c r="V665" s="317"/>
      <c r="W665" s="317"/>
      <c r="X665" s="317"/>
      <c r="Y665" s="317"/>
      <c r="Z665" s="317"/>
      <c r="AA665" s="317"/>
    </row>
    <row r="666">
      <c r="A666" s="317"/>
      <c r="B666" s="317"/>
      <c r="C666" s="317"/>
      <c r="D666" s="317"/>
      <c r="E666" s="317"/>
      <c r="F666" s="317"/>
      <c r="G666" s="317"/>
      <c r="H666" s="317"/>
      <c r="I666" s="317"/>
      <c r="J666" s="317"/>
      <c r="K666" s="317"/>
      <c r="L666" s="317"/>
      <c r="M666" s="317"/>
      <c r="N666" s="317"/>
      <c r="O666" s="317"/>
      <c r="P666" s="317"/>
      <c r="Q666" s="317"/>
      <c r="R666" s="317"/>
      <c r="S666" s="317"/>
      <c r="T666" s="317"/>
      <c r="U666" s="317"/>
      <c r="V666" s="317"/>
      <c r="W666" s="317"/>
      <c r="X666" s="317"/>
      <c r="Y666" s="317"/>
      <c r="Z666" s="317"/>
      <c r="AA666" s="317"/>
    </row>
    <row r="667">
      <c r="A667" s="317"/>
      <c r="B667" s="317"/>
      <c r="C667" s="317"/>
      <c r="D667" s="317"/>
      <c r="E667" s="317"/>
      <c r="F667" s="317"/>
      <c r="G667" s="317"/>
      <c r="H667" s="317"/>
      <c r="I667" s="317"/>
      <c r="J667" s="317"/>
      <c r="K667" s="317"/>
      <c r="L667" s="317"/>
      <c r="M667" s="317"/>
      <c r="N667" s="317"/>
      <c r="O667" s="317"/>
      <c r="P667" s="317"/>
      <c r="Q667" s="317"/>
      <c r="R667" s="317"/>
      <c r="S667" s="317"/>
      <c r="T667" s="317"/>
      <c r="U667" s="317"/>
      <c r="V667" s="317"/>
      <c r="W667" s="317"/>
      <c r="X667" s="317"/>
      <c r="Y667" s="317"/>
      <c r="Z667" s="317"/>
      <c r="AA667" s="317"/>
    </row>
    <row r="668">
      <c r="A668" s="317"/>
      <c r="B668" s="317"/>
      <c r="C668" s="317"/>
      <c r="D668" s="317"/>
      <c r="E668" s="317"/>
      <c r="F668" s="317"/>
      <c r="G668" s="317"/>
      <c r="H668" s="317"/>
      <c r="I668" s="317"/>
      <c r="J668" s="317"/>
      <c r="K668" s="317"/>
      <c r="L668" s="317"/>
      <c r="M668" s="317"/>
      <c r="N668" s="317"/>
      <c r="O668" s="317"/>
      <c r="P668" s="317"/>
      <c r="Q668" s="317"/>
      <c r="R668" s="317"/>
      <c r="S668" s="317"/>
      <c r="T668" s="317"/>
      <c r="U668" s="317"/>
      <c r="V668" s="317"/>
      <c r="W668" s="317"/>
      <c r="X668" s="317"/>
      <c r="Y668" s="317"/>
      <c r="Z668" s="317"/>
      <c r="AA668" s="317"/>
    </row>
    <row r="669">
      <c r="A669" s="317"/>
      <c r="B669" s="317"/>
      <c r="C669" s="317"/>
      <c r="D669" s="317"/>
      <c r="E669" s="317"/>
      <c r="F669" s="317"/>
      <c r="G669" s="317"/>
      <c r="H669" s="317"/>
      <c r="I669" s="317"/>
      <c r="J669" s="317"/>
      <c r="K669" s="317"/>
      <c r="L669" s="317"/>
      <c r="M669" s="317"/>
      <c r="N669" s="317"/>
      <c r="O669" s="317"/>
      <c r="P669" s="317"/>
      <c r="Q669" s="317"/>
      <c r="R669" s="317"/>
      <c r="S669" s="317"/>
      <c r="T669" s="317"/>
      <c r="U669" s="317"/>
      <c r="V669" s="317"/>
      <c r="W669" s="317"/>
      <c r="X669" s="317"/>
      <c r="Y669" s="317"/>
      <c r="Z669" s="317"/>
      <c r="AA669" s="317"/>
    </row>
    <row r="670">
      <c r="A670" s="317"/>
      <c r="B670" s="317"/>
      <c r="C670" s="317"/>
      <c r="D670" s="317"/>
      <c r="E670" s="317"/>
      <c r="F670" s="317"/>
      <c r="G670" s="317"/>
      <c r="H670" s="317"/>
      <c r="I670" s="317"/>
      <c r="J670" s="317"/>
      <c r="K670" s="317"/>
      <c r="L670" s="317"/>
      <c r="M670" s="317"/>
      <c r="N670" s="317"/>
      <c r="O670" s="317"/>
      <c r="P670" s="317"/>
      <c r="Q670" s="317"/>
      <c r="R670" s="317"/>
      <c r="S670" s="317"/>
      <c r="T670" s="317"/>
      <c r="U670" s="317"/>
      <c r="V670" s="317"/>
      <c r="W670" s="317"/>
      <c r="X670" s="317"/>
      <c r="Y670" s="317"/>
      <c r="Z670" s="317"/>
      <c r="AA670" s="317"/>
    </row>
    <row r="671">
      <c r="A671" s="317"/>
      <c r="B671" s="317"/>
      <c r="C671" s="317"/>
      <c r="D671" s="317"/>
      <c r="E671" s="317"/>
      <c r="F671" s="317"/>
      <c r="G671" s="317"/>
      <c r="H671" s="317"/>
      <c r="I671" s="317"/>
      <c r="J671" s="317"/>
      <c r="K671" s="317"/>
      <c r="L671" s="317"/>
      <c r="M671" s="317"/>
      <c r="N671" s="317"/>
      <c r="O671" s="317"/>
      <c r="P671" s="317"/>
      <c r="Q671" s="317"/>
      <c r="R671" s="317"/>
      <c r="S671" s="317"/>
      <c r="T671" s="317"/>
      <c r="U671" s="317"/>
      <c r="V671" s="317"/>
      <c r="W671" s="317"/>
      <c r="X671" s="317"/>
      <c r="Y671" s="317"/>
      <c r="Z671" s="317"/>
      <c r="AA671" s="317"/>
    </row>
    <row r="672">
      <c r="A672" s="317"/>
      <c r="B672" s="317"/>
      <c r="C672" s="317"/>
      <c r="D672" s="317"/>
      <c r="E672" s="317"/>
      <c r="F672" s="317"/>
      <c r="G672" s="317"/>
      <c r="H672" s="317"/>
      <c r="I672" s="317"/>
      <c r="J672" s="317"/>
      <c r="K672" s="317"/>
      <c r="L672" s="317"/>
      <c r="M672" s="317"/>
      <c r="N672" s="317"/>
      <c r="O672" s="317"/>
      <c r="P672" s="317"/>
      <c r="Q672" s="317"/>
      <c r="R672" s="317"/>
      <c r="S672" s="317"/>
      <c r="T672" s="317"/>
      <c r="U672" s="317"/>
      <c r="V672" s="317"/>
      <c r="W672" s="317"/>
      <c r="X672" s="317"/>
      <c r="Y672" s="317"/>
      <c r="Z672" s="317"/>
      <c r="AA672" s="317"/>
    </row>
    <row r="673">
      <c r="A673" s="317"/>
      <c r="B673" s="317"/>
      <c r="C673" s="317"/>
      <c r="D673" s="317"/>
      <c r="E673" s="317"/>
      <c r="F673" s="317"/>
      <c r="G673" s="317"/>
      <c r="H673" s="317"/>
      <c r="I673" s="317"/>
      <c r="J673" s="317"/>
      <c r="K673" s="317"/>
      <c r="L673" s="317"/>
      <c r="M673" s="317"/>
      <c r="N673" s="317"/>
      <c r="O673" s="317"/>
      <c r="P673" s="317"/>
      <c r="Q673" s="317"/>
      <c r="R673" s="317"/>
      <c r="S673" s="317"/>
      <c r="T673" s="317"/>
      <c r="U673" s="317"/>
      <c r="V673" s="317"/>
      <c r="W673" s="317"/>
      <c r="X673" s="317"/>
      <c r="Y673" s="317"/>
      <c r="Z673" s="317"/>
      <c r="AA673" s="317"/>
    </row>
    <row r="674">
      <c r="A674" s="317"/>
      <c r="B674" s="317"/>
      <c r="C674" s="317"/>
      <c r="D674" s="317"/>
      <c r="E674" s="317"/>
      <c r="F674" s="317"/>
      <c r="G674" s="317"/>
      <c r="H674" s="317"/>
      <c r="I674" s="317"/>
      <c r="J674" s="317"/>
      <c r="K674" s="317"/>
      <c r="L674" s="317"/>
      <c r="M674" s="317"/>
      <c r="N674" s="317"/>
      <c r="O674" s="317"/>
      <c r="P674" s="317"/>
      <c r="Q674" s="317"/>
      <c r="R674" s="317"/>
      <c r="S674" s="317"/>
      <c r="T674" s="317"/>
      <c r="U674" s="317"/>
      <c r="V674" s="317"/>
      <c r="W674" s="317"/>
      <c r="X674" s="317"/>
      <c r="Y674" s="317"/>
      <c r="Z674" s="317"/>
      <c r="AA674" s="317"/>
    </row>
    <row r="675">
      <c r="A675" s="317"/>
      <c r="B675" s="317"/>
      <c r="C675" s="317"/>
      <c r="D675" s="317"/>
      <c r="E675" s="317"/>
      <c r="F675" s="317"/>
      <c r="G675" s="317"/>
      <c r="H675" s="317"/>
      <c r="I675" s="317"/>
      <c r="J675" s="317"/>
      <c r="K675" s="317"/>
      <c r="L675" s="317"/>
      <c r="M675" s="317"/>
      <c r="N675" s="317"/>
      <c r="O675" s="317"/>
      <c r="P675" s="317"/>
      <c r="Q675" s="317"/>
      <c r="R675" s="317"/>
      <c r="S675" s="317"/>
      <c r="T675" s="317"/>
      <c r="U675" s="317"/>
      <c r="V675" s="317"/>
      <c r="W675" s="317"/>
      <c r="X675" s="317"/>
      <c r="Y675" s="317"/>
      <c r="Z675" s="317"/>
      <c r="AA675" s="317"/>
    </row>
    <row r="676">
      <c r="A676" s="317"/>
      <c r="B676" s="317"/>
      <c r="C676" s="317"/>
      <c r="D676" s="317"/>
      <c r="E676" s="317"/>
      <c r="F676" s="317"/>
      <c r="G676" s="317"/>
      <c r="H676" s="317"/>
      <c r="I676" s="317"/>
      <c r="J676" s="317"/>
      <c r="K676" s="317"/>
      <c r="L676" s="317"/>
      <c r="M676" s="317"/>
      <c r="N676" s="317"/>
      <c r="O676" s="317"/>
      <c r="P676" s="317"/>
      <c r="Q676" s="317"/>
      <c r="R676" s="317"/>
      <c r="S676" s="317"/>
      <c r="T676" s="317"/>
      <c r="U676" s="317"/>
      <c r="V676" s="317"/>
      <c r="W676" s="317"/>
      <c r="X676" s="317"/>
      <c r="Y676" s="317"/>
      <c r="Z676" s="317"/>
      <c r="AA676" s="317"/>
    </row>
    <row r="677">
      <c r="A677" s="317"/>
      <c r="B677" s="317"/>
      <c r="C677" s="317"/>
      <c r="D677" s="317"/>
      <c r="E677" s="317"/>
      <c r="F677" s="317"/>
      <c r="G677" s="317"/>
      <c r="H677" s="317"/>
      <c r="I677" s="317"/>
      <c r="J677" s="317"/>
      <c r="K677" s="317"/>
      <c r="L677" s="317"/>
      <c r="M677" s="317"/>
      <c r="N677" s="317"/>
      <c r="O677" s="317"/>
      <c r="P677" s="317"/>
      <c r="Q677" s="317"/>
      <c r="R677" s="317"/>
      <c r="S677" s="317"/>
      <c r="T677" s="317"/>
      <c r="U677" s="317"/>
      <c r="V677" s="317"/>
      <c r="W677" s="317"/>
      <c r="X677" s="317"/>
      <c r="Y677" s="317"/>
      <c r="Z677" s="317"/>
      <c r="AA677" s="317"/>
    </row>
    <row r="678">
      <c r="A678" s="317"/>
      <c r="B678" s="317"/>
      <c r="C678" s="317"/>
      <c r="D678" s="317"/>
      <c r="E678" s="317"/>
      <c r="F678" s="317"/>
      <c r="G678" s="317"/>
      <c r="H678" s="317"/>
      <c r="I678" s="317"/>
      <c r="J678" s="317"/>
      <c r="K678" s="317"/>
      <c r="L678" s="317"/>
      <c r="M678" s="317"/>
      <c r="N678" s="317"/>
      <c r="O678" s="317"/>
      <c r="P678" s="317"/>
      <c r="Q678" s="317"/>
      <c r="R678" s="317"/>
      <c r="S678" s="317"/>
      <c r="T678" s="317"/>
      <c r="U678" s="317"/>
      <c r="V678" s="317"/>
      <c r="W678" s="317"/>
      <c r="X678" s="317"/>
      <c r="Y678" s="317"/>
      <c r="Z678" s="317"/>
      <c r="AA678" s="317"/>
    </row>
    <row r="679">
      <c r="A679" s="317"/>
      <c r="B679" s="317"/>
      <c r="C679" s="317"/>
      <c r="D679" s="317"/>
      <c r="E679" s="317"/>
      <c r="F679" s="317"/>
      <c r="G679" s="317"/>
      <c r="H679" s="317"/>
      <c r="I679" s="317"/>
      <c r="J679" s="317"/>
      <c r="K679" s="317"/>
      <c r="L679" s="317"/>
      <c r="M679" s="317"/>
      <c r="N679" s="317"/>
      <c r="O679" s="317"/>
      <c r="P679" s="317"/>
      <c r="Q679" s="317"/>
      <c r="R679" s="317"/>
      <c r="S679" s="317"/>
      <c r="T679" s="317"/>
      <c r="U679" s="317"/>
      <c r="V679" s="317"/>
      <c r="W679" s="317"/>
      <c r="X679" s="317"/>
      <c r="Y679" s="317"/>
      <c r="Z679" s="317"/>
      <c r="AA679" s="317"/>
    </row>
    <row r="680">
      <c r="A680" s="317"/>
      <c r="B680" s="317"/>
      <c r="C680" s="317"/>
      <c r="D680" s="317"/>
      <c r="E680" s="317"/>
      <c r="F680" s="317"/>
      <c r="G680" s="317"/>
      <c r="H680" s="317"/>
      <c r="I680" s="317"/>
      <c r="J680" s="317"/>
      <c r="K680" s="317"/>
      <c r="L680" s="317"/>
      <c r="M680" s="317"/>
      <c r="N680" s="317"/>
      <c r="O680" s="317"/>
      <c r="P680" s="317"/>
      <c r="Q680" s="317"/>
      <c r="R680" s="317"/>
      <c r="S680" s="317"/>
      <c r="T680" s="317"/>
      <c r="U680" s="317"/>
      <c r="V680" s="317"/>
      <c r="W680" s="317"/>
      <c r="X680" s="317"/>
      <c r="Y680" s="317"/>
      <c r="Z680" s="317"/>
      <c r="AA680" s="317"/>
    </row>
    <row r="681">
      <c r="A681" s="317"/>
      <c r="B681" s="317"/>
      <c r="C681" s="317"/>
      <c r="D681" s="317"/>
      <c r="E681" s="317"/>
      <c r="F681" s="317"/>
      <c r="G681" s="317"/>
      <c r="H681" s="317"/>
      <c r="I681" s="317"/>
      <c r="J681" s="317"/>
      <c r="K681" s="317"/>
      <c r="L681" s="317"/>
      <c r="M681" s="317"/>
      <c r="N681" s="317"/>
      <c r="O681" s="317"/>
      <c r="P681" s="317"/>
      <c r="Q681" s="317"/>
      <c r="R681" s="317"/>
      <c r="S681" s="317"/>
      <c r="T681" s="317"/>
      <c r="U681" s="317"/>
      <c r="V681" s="317"/>
      <c r="W681" s="317"/>
      <c r="X681" s="317"/>
      <c r="Y681" s="317"/>
      <c r="Z681" s="317"/>
      <c r="AA681" s="317"/>
    </row>
    <row r="682">
      <c r="A682" s="317"/>
      <c r="B682" s="317"/>
      <c r="C682" s="317"/>
      <c r="D682" s="317"/>
      <c r="E682" s="317"/>
      <c r="F682" s="317"/>
      <c r="G682" s="317"/>
      <c r="H682" s="317"/>
      <c r="I682" s="317"/>
      <c r="J682" s="317"/>
      <c r="K682" s="317"/>
      <c r="L682" s="317"/>
      <c r="M682" s="317"/>
      <c r="N682" s="317"/>
      <c r="O682" s="317"/>
      <c r="P682" s="317"/>
      <c r="Q682" s="317"/>
      <c r="R682" s="317"/>
      <c r="S682" s="317"/>
      <c r="T682" s="317"/>
      <c r="U682" s="317"/>
      <c r="V682" s="317"/>
      <c r="W682" s="317"/>
      <c r="X682" s="317"/>
      <c r="Y682" s="317"/>
      <c r="Z682" s="317"/>
      <c r="AA682" s="317"/>
    </row>
    <row r="683">
      <c r="A683" s="317"/>
      <c r="B683" s="317"/>
      <c r="C683" s="317"/>
      <c r="D683" s="317"/>
      <c r="E683" s="317"/>
      <c r="F683" s="317"/>
      <c r="G683" s="317"/>
      <c r="H683" s="317"/>
      <c r="I683" s="317"/>
      <c r="J683" s="317"/>
      <c r="K683" s="317"/>
      <c r="L683" s="317"/>
      <c r="M683" s="317"/>
      <c r="N683" s="317"/>
      <c r="O683" s="317"/>
      <c r="P683" s="317"/>
      <c r="Q683" s="317"/>
      <c r="R683" s="317"/>
      <c r="S683" s="317"/>
      <c r="T683" s="317"/>
      <c r="U683" s="317"/>
      <c r="V683" s="317"/>
      <c r="W683" s="317"/>
      <c r="X683" s="317"/>
      <c r="Y683" s="317"/>
      <c r="Z683" s="317"/>
      <c r="AA683" s="317"/>
    </row>
    <row r="684">
      <c r="A684" s="317"/>
      <c r="B684" s="317"/>
      <c r="C684" s="317"/>
      <c r="D684" s="317"/>
      <c r="E684" s="317"/>
      <c r="F684" s="317"/>
      <c r="G684" s="317"/>
      <c r="H684" s="317"/>
      <c r="I684" s="317"/>
      <c r="J684" s="317"/>
      <c r="K684" s="317"/>
      <c r="L684" s="317"/>
      <c r="M684" s="317"/>
      <c r="N684" s="317"/>
      <c r="O684" s="317"/>
      <c r="P684" s="317"/>
      <c r="Q684" s="317"/>
      <c r="R684" s="317"/>
      <c r="S684" s="317"/>
      <c r="T684" s="317"/>
      <c r="U684" s="317"/>
      <c r="V684" s="317"/>
      <c r="W684" s="317"/>
      <c r="X684" s="317"/>
      <c r="Y684" s="317"/>
      <c r="Z684" s="317"/>
      <c r="AA684" s="317"/>
    </row>
    <row r="685">
      <c r="A685" s="317"/>
      <c r="B685" s="317"/>
      <c r="C685" s="317"/>
      <c r="D685" s="317"/>
      <c r="E685" s="317"/>
      <c r="F685" s="317"/>
      <c r="G685" s="317"/>
      <c r="H685" s="317"/>
      <c r="I685" s="317"/>
      <c r="J685" s="317"/>
      <c r="K685" s="317"/>
      <c r="L685" s="317"/>
      <c r="M685" s="317"/>
      <c r="N685" s="317"/>
      <c r="O685" s="317"/>
      <c r="P685" s="317"/>
      <c r="Q685" s="317"/>
      <c r="R685" s="317"/>
      <c r="S685" s="317"/>
      <c r="T685" s="317"/>
      <c r="U685" s="317"/>
      <c r="V685" s="317"/>
      <c r="W685" s="317"/>
      <c r="X685" s="317"/>
      <c r="Y685" s="317"/>
      <c r="Z685" s="317"/>
      <c r="AA685" s="317"/>
    </row>
    <row r="686">
      <c r="A686" s="317"/>
      <c r="B686" s="317"/>
      <c r="C686" s="317"/>
      <c r="D686" s="317"/>
      <c r="E686" s="317"/>
      <c r="F686" s="317"/>
      <c r="G686" s="317"/>
      <c r="H686" s="317"/>
      <c r="I686" s="317"/>
      <c r="J686" s="317"/>
      <c r="K686" s="317"/>
      <c r="L686" s="317"/>
      <c r="M686" s="317"/>
      <c r="N686" s="317"/>
      <c r="O686" s="317"/>
      <c r="P686" s="317"/>
      <c r="Q686" s="317"/>
      <c r="R686" s="317"/>
      <c r="S686" s="317"/>
      <c r="T686" s="317"/>
      <c r="U686" s="317"/>
      <c r="V686" s="317"/>
      <c r="W686" s="317"/>
      <c r="X686" s="317"/>
      <c r="Y686" s="317"/>
      <c r="Z686" s="317"/>
      <c r="AA686" s="317"/>
    </row>
    <row r="687">
      <c r="A687" s="317"/>
      <c r="B687" s="317"/>
      <c r="C687" s="317"/>
      <c r="D687" s="317"/>
      <c r="E687" s="317"/>
      <c r="F687" s="317"/>
      <c r="G687" s="317"/>
      <c r="H687" s="317"/>
      <c r="I687" s="317"/>
      <c r="J687" s="317"/>
      <c r="K687" s="317"/>
      <c r="L687" s="317"/>
      <c r="M687" s="317"/>
      <c r="N687" s="317"/>
      <c r="O687" s="317"/>
      <c r="P687" s="317"/>
      <c r="Q687" s="317"/>
      <c r="R687" s="317"/>
      <c r="S687" s="317"/>
      <c r="T687" s="317"/>
      <c r="U687" s="317"/>
      <c r="V687" s="317"/>
      <c r="W687" s="317"/>
      <c r="X687" s="317"/>
      <c r="Y687" s="317"/>
      <c r="Z687" s="317"/>
      <c r="AA687" s="317"/>
    </row>
    <row r="688">
      <c r="A688" s="317"/>
      <c r="B688" s="317"/>
      <c r="C688" s="317"/>
      <c r="D688" s="317"/>
      <c r="E688" s="317"/>
      <c r="F688" s="317"/>
      <c r="G688" s="317"/>
      <c r="H688" s="317"/>
      <c r="I688" s="317"/>
      <c r="J688" s="317"/>
      <c r="K688" s="317"/>
      <c r="L688" s="317"/>
      <c r="M688" s="317"/>
      <c r="N688" s="317"/>
      <c r="O688" s="317"/>
      <c r="P688" s="317"/>
      <c r="Q688" s="317"/>
      <c r="R688" s="317"/>
      <c r="S688" s="317"/>
      <c r="T688" s="317"/>
      <c r="U688" s="317"/>
      <c r="V688" s="317"/>
      <c r="W688" s="317"/>
      <c r="X688" s="317"/>
      <c r="Y688" s="317"/>
      <c r="Z688" s="317"/>
      <c r="AA688" s="317"/>
    </row>
    <row r="689">
      <c r="A689" s="317"/>
      <c r="B689" s="317"/>
      <c r="C689" s="317"/>
      <c r="D689" s="317"/>
      <c r="E689" s="317"/>
      <c r="F689" s="317"/>
      <c r="G689" s="317"/>
      <c r="H689" s="317"/>
      <c r="I689" s="317"/>
      <c r="J689" s="317"/>
      <c r="K689" s="317"/>
      <c r="L689" s="317"/>
      <c r="M689" s="317"/>
      <c r="N689" s="317"/>
      <c r="O689" s="317"/>
      <c r="P689" s="317"/>
      <c r="Q689" s="317"/>
      <c r="R689" s="317"/>
      <c r="S689" s="317"/>
      <c r="T689" s="317"/>
      <c r="U689" s="317"/>
      <c r="V689" s="317"/>
      <c r="W689" s="317"/>
      <c r="X689" s="317"/>
      <c r="Y689" s="317"/>
      <c r="Z689" s="317"/>
      <c r="AA689" s="317"/>
    </row>
    <row r="690">
      <c r="A690" s="317"/>
      <c r="B690" s="317"/>
      <c r="C690" s="317"/>
      <c r="D690" s="317"/>
      <c r="E690" s="317"/>
      <c r="F690" s="317"/>
      <c r="G690" s="317"/>
      <c r="H690" s="317"/>
      <c r="I690" s="317"/>
      <c r="J690" s="317"/>
      <c r="K690" s="317"/>
      <c r="L690" s="317"/>
      <c r="M690" s="317"/>
      <c r="N690" s="317"/>
      <c r="O690" s="317"/>
      <c r="P690" s="317"/>
      <c r="Q690" s="317"/>
      <c r="R690" s="317"/>
      <c r="S690" s="317"/>
      <c r="T690" s="317"/>
      <c r="U690" s="317"/>
      <c r="V690" s="317"/>
      <c r="W690" s="317"/>
      <c r="X690" s="317"/>
      <c r="Y690" s="317"/>
      <c r="Z690" s="317"/>
      <c r="AA690" s="317"/>
    </row>
    <row r="691">
      <c r="A691" s="317"/>
      <c r="B691" s="317"/>
      <c r="C691" s="317"/>
      <c r="D691" s="317"/>
      <c r="E691" s="317"/>
      <c r="F691" s="317"/>
      <c r="G691" s="317"/>
      <c r="H691" s="317"/>
      <c r="I691" s="317"/>
      <c r="J691" s="317"/>
      <c r="K691" s="317"/>
      <c r="L691" s="317"/>
      <c r="M691" s="317"/>
      <c r="N691" s="317"/>
      <c r="O691" s="317"/>
      <c r="P691" s="317"/>
      <c r="Q691" s="317"/>
      <c r="R691" s="317"/>
      <c r="S691" s="317"/>
      <c r="T691" s="317"/>
      <c r="U691" s="317"/>
      <c r="V691" s="317"/>
      <c r="W691" s="317"/>
      <c r="X691" s="317"/>
      <c r="Y691" s="317"/>
      <c r="Z691" s="317"/>
      <c r="AA691" s="317"/>
    </row>
    <row r="692">
      <c r="A692" s="317"/>
      <c r="B692" s="317"/>
      <c r="C692" s="317"/>
      <c r="D692" s="317"/>
      <c r="E692" s="317"/>
      <c r="F692" s="317"/>
      <c r="G692" s="317"/>
      <c r="H692" s="317"/>
      <c r="I692" s="317"/>
      <c r="J692" s="317"/>
      <c r="K692" s="317"/>
      <c r="L692" s="317"/>
      <c r="M692" s="317"/>
      <c r="N692" s="317"/>
      <c r="O692" s="317"/>
      <c r="P692" s="317"/>
      <c r="Q692" s="317"/>
      <c r="R692" s="317"/>
      <c r="S692" s="317"/>
      <c r="T692" s="317"/>
      <c r="U692" s="317"/>
      <c r="V692" s="317"/>
      <c r="W692" s="317"/>
      <c r="X692" s="317"/>
      <c r="Y692" s="317"/>
      <c r="Z692" s="317"/>
      <c r="AA692" s="317"/>
    </row>
    <row r="693">
      <c r="A693" s="317"/>
      <c r="B693" s="317"/>
      <c r="C693" s="317"/>
      <c r="D693" s="317"/>
      <c r="E693" s="317"/>
      <c r="F693" s="317"/>
      <c r="G693" s="317"/>
      <c r="H693" s="317"/>
      <c r="I693" s="317"/>
      <c r="J693" s="317"/>
      <c r="K693" s="317"/>
      <c r="L693" s="317"/>
      <c r="M693" s="317"/>
      <c r="N693" s="317"/>
      <c r="O693" s="317"/>
      <c r="P693" s="317"/>
      <c r="Q693" s="317"/>
      <c r="R693" s="317"/>
      <c r="S693" s="317"/>
      <c r="T693" s="317"/>
      <c r="U693" s="317"/>
      <c r="V693" s="317"/>
      <c r="W693" s="317"/>
      <c r="X693" s="317"/>
      <c r="Y693" s="317"/>
      <c r="Z693" s="317"/>
      <c r="AA693" s="317"/>
    </row>
    <row r="694">
      <c r="A694" s="317"/>
      <c r="B694" s="317"/>
      <c r="C694" s="317"/>
      <c r="D694" s="317"/>
      <c r="E694" s="317"/>
      <c r="F694" s="317"/>
      <c r="G694" s="317"/>
      <c r="H694" s="317"/>
      <c r="I694" s="317"/>
      <c r="J694" s="317"/>
      <c r="K694" s="317"/>
      <c r="L694" s="317"/>
      <c r="M694" s="317"/>
      <c r="N694" s="317"/>
      <c r="O694" s="317"/>
      <c r="P694" s="317"/>
      <c r="Q694" s="317"/>
      <c r="R694" s="317"/>
      <c r="S694" s="317"/>
      <c r="T694" s="317"/>
      <c r="U694" s="317"/>
      <c r="V694" s="317"/>
      <c r="W694" s="317"/>
      <c r="X694" s="317"/>
      <c r="Y694" s="317"/>
      <c r="Z694" s="317"/>
      <c r="AA694" s="317"/>
    </row>
    <row r="695">
      <c r="A695" s="317"/>
      <c r="B695" s="317"/>
      <c r="C695" s="317"/>
      <c r="D695" s="317"/>
      <c r="E695" s="317"/>
      <c r="F695" s="317"/>
      <c r="G695" s="317"/>
      <c r="H695" s="317"/>
      <c r="I695" s="317"/>
      <c r="J695" s="317"/>
      <c r="K695" s="317"/>
      <c r="L695" s="317"/>
      <c r="M695" s="317"/>
      <c r="N695" s="317"/>
      <c r="O695" s="317"/>
      <c r="P695" s="317"/>
      <c r="Q695" s="317"/>
      <c r="R695" s="317"/>
      <c r="S695" s="317"/>
      <c r="T695" s="317"/>
      <c r="U695" s="317"/>
      <c r="V695" s="317"/>
      <c r="W695" s="317"/>
      <c r="X695" s="317"/>
      <c r="Y695" s="317"/>
      <c r="Z695" s="317"/>
      <c r="AA695" s="317"/>
    </row>
    <row r="696">
      <c r="A696" s="317"/>
      <c r="B696" s="317"/>
      <c r="C696" s="317"/>
      <c r="D696" s="317"/>
      <c r="E696" s="317"/>
      <c r="F696" s="317"/>
      <c r="G696" s="317"/>
      <c r="H696" s="317"/>
      <c r="I696" s="317"/>
      <c r="J696" s="317"/>
      <c r="K696" s="317"/>
      <c r="L696" s="317"/>
      <c r="M696" s="317"/>
      <c r="N696" s="317"/>
      <c r="O696" s="317"/>
      <c r="P696" s="317"/>
      <c r="Q696" s="317"/>
      <c r="R696" s="317"/>
      <c r="S696" s="317"/>
      <c r="T696" s="317"/>
      <c r="U696" s="317"/>
      <c r="V696" s="317"/>
      <c r="W696" s="317"/>
      <c r="X696" s="317"/>
      <c r="Y696" s="317"/>
      <c r="Z696" s="317"/>
      <c r="AA696" s="317"/>
    </row>
    <row r="697">
      <c r="A697" s="317"/>
      <c r="B697" s="317"/>
      <c r="C697" s="317"/>
      <c r="D697" s="317"/>
      <c r="E697" s="317"/>
      <c r="F697" s="317"/>
      <c r="G697" s="317"/>
      <c r="H697" s="317"/>
      <c r="I697" s="317"/>
      <c r="J697" s="317"/>
      <c r="K697" s="317"/>
      <c r="L697" s="317"/>
      <c r="M697" s="317"/>
      <c r="N697" s="317"/>
      <c r="O697" s="317"/>
      <c r="P697" s="317"/>
      <c r="Q697" s="317"/>
      <c r="R697" s="317"/>
      <c r="S697" s="317"/>
      <c r="T697" s="317"/>
      <c r="U697" s="317"/>
      <c r="V697" s="317"/>
      <c r="W697" s="317"/>
      <c r="X697" s="317"/>
      <c r="Y697" s="317"/>
      <c r="Z697" s="317"/>
      <c r="AA697" s="317"/>
    </row>
    <row r="698">
      <c r="A698" s="317"/>
      <c r="B698" s="317"/>
      <c r="C698" s="317"/>
      <c r="D698" s="317"/>
      <c r="E698" s="317"/>
      <c r="F698" s="317"/>
      <c r="G698" s="317"/>
      <c r="H698" s="317"/>
      <c r="I698" s="317"/>
      <c r="J698" s="317"/>
      <c r="K698" s="317"/>
      <c r="L698" s="317"/>
      <c r="M698" s="317"/>
      <c r="N698" s="317"/>
      <c r="O698" s="317"/>
      <c r="P698" s="317"/>
      <c r="Q698" s="317"/>
      <c r="R698" s="317"/>
      <c r="S698" s="317"/>
      <c r="T698" s="317"/>
      <c r="U698" s="317"/>
      <c r="V698" s="317"/>
      <c r="W698" s="317"/>
      <c r="X698" s="317"/>
      <c r="Y698" s="317"/>
      <c r="Z698" s="317"/>
      <c r="AA698" s="317"/>
    </row>
    <row r="699">
      <c r="A699" s="317"/>
      <c r="B699" s="317"/>
      <c r="C699" s="317"/>
      <c r="D699" s="317"/>
      <c r="E699" s="317"/>
      <c r="F699" s="317"/>
      <c r="G699" s="317"/>
      <c r="H699" s="317"/>
      <c r="I699" s="317"/>
      <c r="J699" s="317"/>
      <c r="K699" s="317"/>
      <c r="L699" s="317"/>
      <c r="M699" s="317"/>
      <c r="N699" s="317"/>
      <c r="O699" s="317"/>
      <c r="P699" s="317"/>
      <c r="Q699" s="317"/>
      <c r="R699" s="317"/>
      <c r="S699" s="317"/>
      <c r="T699" s="317"/>
      <c r="U699" s="317"/>
      <c r="V699" s="317"/>
      <c r="W699" s="317"/>
      <c r="X699" s="317"/>
      <c r="Y699" s="317"/>
      <c r="Z699" s="317"/>
      <c r="AA699" s="317"/>
    </row>
    <row r="700">
      <c r="A700" s="317"/>
      <c r="B700" s="317"/>
      <c r="C700" s="317"/>
      <c r="D700" s="317"/>
      <c r="E700" s="317"/>
      <c r="F700" s="317"/>
      <c r="G700" s="317"/>
      <c r="H700" s="317"/>
      <c r="I700" s="317"/>
      <c r="J700" s="317"/>
      <c r="K700" s="317"/>
      <c r="L700" s="317"/>
      <c r="M700" s="317"/>
      <c r="N700" s="317"/>
      <c r="O700" s="317"/>
      <c r="P700" s="317"/>
      <c r="Q700" s="317"/>
      <c r="R700" s="317"/>
      <c r="S700" s="317"/>
      <c r="T700" s="317"/>
      <c r="U700" s="317"/>
      <c r="V700" s="317"/>
      <c r="W700" s="317"/>
      <c r="X700" s="317"/>
      <c r="Y700" s="317"/>
      <c r="Z700" s="317"/>
      <c r="AA700" s="317"/>
    </row>
    <row r="701">
      <c r="A701" s="317"/>
      <c r="B701" s="317"/>
      <c r="C701" s="317"/>
      <c r="D701" s="317"/>
      <c r="E701" s="317"/>
      <c r="F701" s="317"/>
      <c r="G701" s="317"/>
      <c r="H701" s="317"/>
      <c r="I701" s="317"/>
      <c r="J701" s="317"/>
      <c r="K701" s="317"/>
      <c r="L701" s="317"/>
      <c r="M701" s="317"/>
      <c r="N701" s="317"/>
      <c r="O701" s="317"/>
      <c r="P701" s="317"/>
      <c r="Q701" s="317"/>
      <c r="R701" s="317"/>
      <c r="S701" s="317"/>
      <c r="T701" s="317"/>
      <c r="U701" s="317"/>
      <c r="V701" s="317"/>
      <c r="W701" s="317"/>
      <c r="X701" s="317"/>
      <c r="Y701" s="317"/>
      <c r="Z701" s="317"/>
      <c r="AA701" s="317"/>
    </row>
    <row r="702">
      <c r="A702" s="317"/>
      <c r="B702" s="317"/>
      <c r="C702" s="317"/>
      <c r="D702" s="317"/>
      <c r="E702" s="317"/>
      <c r="F702" s="317"/>
      <c r="G702" s="317"/>
      <c r="H702" s="317"/>
      <c r="I702" s="317"/>
      <c r="J702" s="317"/>
      <c r="K702" s="317"/>
      <c r="L702" s="317"/>
      <c r="M702" s="317"/>
      <c r="N702" s="317"/>
      <c r="O702" s="317"/>
      <c r="P702" s="317"/>
      <c r="Q702" s="317"/>
      <c r="R702" s="317"/>
      <c r="S702" s="317"/>
      <c r="T702" s="317"/>
      <c r="U702" s="317"/>
      <c r="V702" s="317"/>
      <c r="W702" s="317"/>
      <c r="X702" s="317"/>
      <c r="Y702" s="317"/>
      <c r="Z702" s="317"/>
      <c r="AA702" s="317"/>
    </row>
    <row r="703">
      <c r="A703" s="317"/>
      <c r="B703" s="317"/>
      <c r="C703" s="317"/>
      <c r="D703" s="317"/>
      <c r="E703" s="317"/>
      <c r="F703" s="317"/>
      <c r="G703" s="317"/>
      <c r="H703" s="317"/>
      <c r="I703" s="317"/>
      <c r="J703" s="317"/>
      <c r="K703" s="317"/>
      <c r="L703" s="317"/>
      <c r="M703" s="317"/>
      <c r="N703" s="317"/>
      <c r="O703" s="317"/>
      <c r="P703" s="317"/>
      <c r="Q703" s="317"/>
      <c r="R703" s="317"/>
      <c r="S703" s="317"/>
      <c r="T703" s="317"/>
      <c r="U703" s="317"/>
      <c r="V703" s="317"/>
      <c r="W703" s="317"/>
      <c r="X703" s="317"/>
      <c r="Y703" s="317"/>
      <c r="Z703" s="317"/>
      <c r="AA703" s="317"/>
    </row>
    <row r="704">
      <c r="A704" s="317"/>
      <c r="B704" s="317"/>
      <c r="C704" s="317"/>
      <c r="D704" s="317"/>
      <c r="E704" s="317"/>
      <c r="F704" s="317"/>
      <c r="G704" s="317"/>
      <c r="H704" s="317"/>
      <c r="I704" s="317"/>
      <c r="J704" s="317"/>
      <c r="K704" s="317"/>
      <c r="L704" s="317"/>
      <c r="M704" s="317"/>
      <c r="N704" s="317"/>
      <c r="O704" s="317"/>
      <c r="P704" s="317"/>
      <c r="Q704" s="317"/>
      <c r="R704" s="317"/>
      <c r="S704" s="317"/>
      <c r="T704" s="317"/>
      <c r="U704" s="317"/>
      <c r="V704" s="317"/>
      <c r="W704" s="317"/>
      <c r="X704" s="317"/>
      <c r="Y704" s="317"/>
      <c r="Z704" s="317"/>
      <c r="AA704" s="317"/>
    </row>
    <row r="705">
      <c r="A705" s="317"/>
      <c r="B705" s="317"/>
      <c r="C705" s="317"/>
      <c r="D705" s="317"/>
      <c r="E705" s="317"/>
      <c r="F705" s="317"/>
      <c r="G705" s="317"/>
      <c r="H705" s="317"/>
      <c r="I705" s="317"/>
      <c r="J705" s="317"/>
      <c r="K705" s="317"/>
      <c r="L705" s="317"/>
      <c r="M705" s="317"/>
      <c r="N705" s="317"/>
      <c r="O705" s="317"/>
      <c r="P705" s="317"/>
      <c r="Q705" s="317"/>
      <c r="R705" s="317"/>
      <c r="S705" s="317"/>
      <c r="T705" s="317"/>
      <c r="U705" s="317"/>
      <c r="V705" s="317"/>
      <c r="W705" s="317"/>
      <c r="X705" s="317"/>
      <c r="Y705" s="317"/>
      <c r="Z705" s="317"/>
      <c r="AA705" s="317"/>
    </row>
    <row r="706">
      <c r="A706" s="317"/>
      <c r="B706" s="317"/>
      <c r="C706" s="317"/>
      <c r="D706" s="317"/>
      <c r="E706" s="317"/>
      <c r="F706" s="317"/>
      <c r="G706" s="317"/>
      <c r="H706" s="317"/>
      <c r="I706" s="317"/>
      <c r="J706" s="317"/>
      <c r="K706" s="317"/>
      <c r="L706" s="317"/>
      <c r="M706" s="317"/>
      <c r="N706" s="317"/>
      <c r="O706" s="317"/>
      <c r="P706" s="317"/>
      <c r="Q706" s="317"/>
      <c r="R706" s="317"/>
      <c r="S706" s="317"/>
      <c r="T706" s="317"/>
      <c r="U706" s="317"/>
      <c r="V706" s="317"/>
      <c r="W706" s="317"/>
      <c r="X706" s="317"/>
      <c r="Y706" s="317"/>
      <c r="Z706" s="317"/>
      <c r="AA706" s="317"/>
    </row>
    <row r="707">
      <c r="A707" s="317"/>
      <c r="B707" s="317"/>
      <c r="C707" s="317"/>
      <c r="D707" s="317"/>
      <c r="E707" s="317"/>
      <c r="F707" s="317"/>
      <c r="G707" s="317"/>
      <c r="H707" s="317"/>
      <c r="I707" s="317"/>
      <c r="J707" s="317"/>
      <c r="K707" s="317"/>
      <c r="L707" s="317"/>
      <c r="M707" s="317"/>
      <c r="N707" s="317"/>
      <c r="O707" s="317"/>
      <c r="P707" s="317"/>
      <c r="Q707" s="317"/>
      <c r="R707" s="317"/>
      <c r="S707" s="317"/>
      <c r="T707" s="317"/>
      <c r="U707" s="317"/>
      <c r="V707" s="317"/>
      <c r="W707" s="317"/>
      <c r="X707" s="317"/>
      <c r="Y707" s="317"/>
      <c r="Z707" s="317"/>
      <c r="AA707" s="317"/>
    </row>
    <row r="708">
      <c r="A708" s="317"/>
      <c r="B708" s="317"/>
      <c r="C708" s="317"/>
      <c r="D708" s="317"/>
      <c r="E708" s="317"/>
      <c r="F708" s="317"/>
      <c r="G708" s="317"/>
      <c r="H708" s="317"/>
      <c r="I708" s="317"/>
      <c r="J708" s="317"/>
      <c r="K708" s="317"/>
      <c r="L708" s="317"/>
      <c r="M708" s="317"/>
      <c r="N708" s="317"/>
      <c r="O708" s="317"/>
      <c r="P708" s="317"/>
      <c r="Q708" s="317"/>
      <c r="R708" s="317"/>
      <c r="S708" s="317"/>
      <c r="T708" s="317"/>
      <c r="U708" s="317"/>
      <c r="V708" s="317"/>
      <c r="W708" s="317"/>
      <c r="X708" s="317"/>
      <c r="Y708" s="317"/>
      <c r="Z708" s="317"/>
      <c r="AA708" s="317"/>
    </row>
    <row r="709">
      <c r="A709" s="317"/>
      <c r="B709" s="317"/>
      <c r="C709" s="317"/>
      <c r="D709" s="317"/>
      <c r="E709" s="317"/>
      <c r="F709" s="317"/>
      <c r="G709" s="317"/>
      <c r="H709" s="317"/>
      <c r="I709" s="317"/>
      <c r="J709" s="317"/>
      <c r="K709" s="317"/>
      <c r="L709" s="317"/>
      <c r="M709" s="317"/>
      <c r="N709" s="317"/>
      <c r="O709" s="317"/>
      <c r="P709" s="317"/>
      <c r="Q709" s="317"/>
      <c r="R709" s="317"/>
      <c r="S709" s="317"/>
      <c r="T709" s="317"/>
      <c r="U709" s="317"/>
      <c r="V709" s="317"/>
      <c r="W709" s="317"/>
      <c r="X709" s="317"/>
      <c r="Y709" s="317"/>
      <c r="Z709" s="317"/>
      <c r="AA709" s="317"/>
    </row>
    <row r="710">
      <c r="A710" s="317"/>
      <c r="B710" s="317"/>
      <c r="C710" s="317"/>
      <c r="D710" s="317"/>
      <c r="E710" s="317"/>
      <c r="F710" s="317"/>
      <c r="G710" s="317"/>
      <c r="H710" s="317"/>
      <c r="I710" s="317"/>
      <c r="J710" s="317"/>
      <c r="K710" s="317"/>
      <c r="L710" s="317"/>
      <c r="M710" s="317"/>
      <c r="N710" s="317"/>
      <c r="O710" s="317"/>
      <c r="P710" s="317"/>
      <c r="Q710" s="317"/>
      <c r="R710" s="317"/>
      <c r="S710" s="317"/>
      <c r="T710" s="317"/>
      <c r="U710" s="317"/>
      <c r="V710" s="317"/>
      <c r="W710" s="317"/>
      <c r="X710" s="317"/>
      <c r="Y710" s="317"/>
      <c r="Z710" s="317"/>
      <c r="AA710" s="317"/>
    </row>
    <row r="711">
      <c r="A711" s="317"/>
      <c r="B711" s="317"/>
      <c r="C711" s="317"/>
      <c r="D711" s="317"/>
      <c r="E711" s="317"/>
      <c r="F711" s="317"/>
      <c r="G711" s="317"/>
      <c r="H711" s="317"/>
      <c r="I711" s="317"/>
      <c r="J711" s="317"/>
      <c r="K711" s="317"/>
      <c r="L711" s="317"/>
      <c r="M711" s="317"/>
      <c r="N711" s="317"/>
      <c r="O711" s="317"/>
      <c r="P711" s="317"/>
      <c r="Q711" s="317"/>
      <c r="R711" s="317"/>
      <c r="S711" s="317"/>
      <c r="T711" s="317"/>
      <c r="U711" s="317"/>
      <c r="V711" s="317"/>
      <c r="W711" s="317"/>
      <c r="X711" s="317"/>
      <c r="Y711" s="317"/>
      <c r="Z711" s="317"/>
      <c r="AA711" s="317"/>
    </row>
    <row r="712">
      <c r="A712" s="317"/>
      <c r="B712" s="317"/>
      <c r="C712" s="317"/>
      <c r="D712" s="317"/>
      <c r="E712" s="317"/>
      <c r="F712" s="317"/>
      <c r="G712" s="317"/>
      <c r="H712" s="317"/>
      <c r="I712" s="317"/>
      <c r="J712" s="317"/>
      <c r="K712" s="317"/>
      <c r="L712" s="317"/>
      <c r="M712" s="317"/>
      <c r="N712" s="317"/>
      <c r="O712" s="317"/>
      <c r="P712" s="317"/>
      <c r="Q712" s="317"/>
      <c r="R712" s="317"/>
      <c r="S712" s="317"/>
      <c r="T712" s="317"/>
      <c r="U712" s="317"/>
      <c r="V712" s="317"/>
      <c r="W712" s="317"/>
      <c r="X712" s="317"/>
      <c r="Y712" s="317"/>
      <c r="Z712" s="317"/>
      <c r="AA712" s="317"/>
    </row>
    <row r="713">
      <c r="A713" s="317"/>
      <c r="B713" s="317"/>
      <c r="C713" s="317"/>
      <c r="D713" s="317"/>
      <c r="E713" s="317"/>
      <c r="F713" s="317"/>
      <c r="G713" s="317"/>
      <c r="H713" s="317"/>
      <c r="I713" s="317"/>
      <c r="J713" s="317"/>
      <c r="K713" s="317"/>
      <c r="L713" s="317"/>
      <c r="M713" s="317"/>
      <c r="N713" s="317"/>
      <c r="O713" s="317"/>
      <c r="P713" s="317"/>
      <c r="Q713" s="317"/>
      <c r="R713" s="317"/>
      <c r="S713" s="317"/>
      <c r="T713" s="317"/>
      <c r="U713" s="317"/>
      <c r="V713" s="317"/>
      <c r="W713" s="317"/>
      <c r="X713" s="317"/>
      <c r="Y713" s="317"/>
      <c r="Z713" s="317"/>
      <c r="AA713" s="317"/>
    </row>
    <row r="714">
      <c r="A714" s="317"/>
      <c r="B714" s="317"/>
      <c r="C714" s="317"/>
      <c r="D714" s="317"/>
      <c r="E714" s="317"/>
      <c r="F714" s="317"/>
      <c r="G714" s="317"/>
      <c r="H714" s="317"/>
      <c r="I714" s="317"/>
      <c r="J714" s="317"/>
      <c r="K714" s="317"/>
      <c r="L714" s="317"/>
      <c r="M714" s="317"/>
      <c r="N714" s="317"/>
      <c r="O714" s="317"/>
      <c r="P714" s="317"/>
      <c r="Q714" s="317"/>
      <c r="R714" s="317"/>
      <c r="S714" s="317"/>
      <c r="T714" s="317"/>
      <c r="U714" s="317"/>
      <c r="V714" s="317"/>
      <c r="W714" s="317"/>
      <c r="X714" s="317"/>
      <c r="Y714" s="317"/>
      <c r="Z714" s="317"/>
      <c r="AA714" s="317"/>
    </row>
    <row r="715">
      <c r="A715" s="317"/>
      <c r="B715" s="317"/>
      <c r="C715" s="317"/>
      <c r="D715" s="317"/>
      <c r="E715" s="317"/>
      <c r="F715" s="317"/>
      <c r="G715" s="317"/>
      <c r="H715" s="317"/>
      <c r="I715" s="317"/>
      <c r="J715" s="317"/>
      <c r="K715" s="317"/>
      <c r="L715" s="317"/>
      <c r="M715" s="317"/>
      <c r="N715" s="317"/>
      <c r="O715" s="317"/>
      <c r="P715" s="317"/>
      <c r="Q715" s="317"/>
      <c r="R715" s="317"/>
      <c r="S715" s="317"/>
      <c r="T715" s="317"/>
      <c r="U715" s="317"/>
      <c r="V715" s="317"/>
      <c r="W715" s="317"/>
      <c r="X715" s="317"/>
      <c r="Y715" s="317"/>
      <c r="Z715" s="317"/>
      <c r="AA715" s="317"/>
    </row>
    <row r="716">
      <c r="A716" s="317"/>
      <c r="B716" s="317"/>
      <c r="C716" s="317"/>
      <c r="D716" s="317"/>
      <c r="E716" s="317"/>
      <c r="F716" s="317"/>
      <c r="G716" s="317"/>
      <c r="H716" s="317"/>
      <c r="I716" s="317"/>
      <c r="J716" s="317"/>
      <c r="K716" s="317"/>
      <c r="L716" s="317"/>
      <c r="M716" s="317"/>
      <c r="N716" s="317"/>
      <c r="O716" s="317"/>
      <c r="P716" s="317"/>
      <c r="Q716" s="317"/>
      <c r="R716" s="317"/>
      <c r="S716" s="317"/>
      <c r="T716" s="317"/>
      <c r="U716" s="317"/>
      <c r="V716" s="317"/>
      <c r="W716" s="317"/>
      <c r="X716" s="317"/>
      <c r="Y716" s="317"/>
      <c r="Z716" s="317"/>
      <c r="AA716" s="317"/>
    </row>
    <row r="717">
      <c r="A717" s="317"/>
      <c r="B717" s="317"/>
      <c r="C717" s="317"/>
      <c r="D717" s="317"/>
      <c r="E717" s="317"/>
      <c r="F717" s="317"/>
      <c r="G717" s="317"/>
      <c r="H717" s="317"/>
      <c r="I717" s="317"/>
      <c r="J717" s="317"/>
      <c r="K717" s="317"/>
      <c r="L717" s="317"/>
      <c r="M717" s="317"/>
      <c r="N717" s="317"/>
      <c r="O717" s="317"/>
      <c r="P717" s="317"/>
      <c r="Q717" s="317"/>
      <c r="R717" s="317"/>
      <c r="S717" s="317"/>
      <c r="T717" s="317"/>
      <c r="U717" s="317"/>
      <c r="V717" s="317"/>
      <c r="W717" s="317"/>
      <c r="X717" s="317"/>
      <c r="Y717" s="317"/>
      <c r="Z717" s="317"/>
      <c r="AA717" s="317"/>
    </row>
    <row r="718">
      <c r="A718" s="317"/>
      <c r="B718" s="317"/>
      <c r="C718" s="317"/>
      <c r="D718" s="317"/>
      <c r="E718" s="317"/>
      <c r="F718" s="317"/>
      <c r="G718" s="317"/>
      <c r="H718" s="317"/>
      <c r="I718" s="317"/>
      <c r="J718" s="317"/>
      <c r="K718" s="317"/>
      <c r="L718" s="317"/>
      <c r="M718" s="317"/>
      <c r="N718" s="317"/>
      <c r="O718" s="317"/>
      <c r="P718" s="317"/>
      <c r="Q718" s="317"/>
      <c r="R718" s="317"/>
      <c r="S718" s="317"/>
      <c r="T718" s="317"/>
      <c r="U718" s="317"/>
      <c r="V718" s="317"/>
      <c r="W718" s="317"/>
      <c r="X718" s="317"/>
      <c r="Y718" s="317"/>
      <c r="Z718" s="317"/>
      <c r="AA718" s="317"/>
    </row>
    <row r="719">
      <c r="A719" s="317"/>
      <c r="B719" s="317"/>
      <c r="C719" s="317"/>
      <c r="D719" s="317"/>
      <c r="E719" s="317"/>
      <c r="F719" s="317"/>
      <c r="G719" s="317"/>
      <c r="H719" s="317"/>
      <c r="I719" s="317"/>
      <c r="J719" s="317"/>
      <c r="K719" s="317"/>
      <c r="L719" s="317"/>
      <c r="M719" s="317"/>
      <c r="N719" s="317"/>
      <c r="O719" s="317"/>
      <c r="P719" s="317"/>
      <c r="Q719" s="317"/>
      <c r="R719" s="317"/>
      <c r="S719" s="317"/>
      <c r="T719" s="317"/>
      <c r="U719" s="317"/>
      <c r="V719" s="317"/>
      <c r="W719" s="317"/>
      <c r="X719" s="317"/>
      <c r="Y719" s="317"/>
      <c r="Z719" s="317"/>
      <c r="AA719" s="317"/>
    </row>
    <row r="720">
      <c r="A720" s="317"/>
      <c r="B720" s="317"/>
      <c r="C720" s="317"/>
      <c r="D720" s="317"/>
      <c r="E720" s="317"/>
      <c r="F720" s="317"/>
      <c r="G720" s="317"/>
      <c r="H720" s="317"/>
      <c r="I720" s="317"/>
      <c r="J720" s="317"/>
      <c r="K720" s="317"/>
      <c r="L720" s="317"/>
      <c r="M720" s="317"/>
      <c r="N720" s="317"/>
      <c r="O720" s="317"/>
      <c r="P720" s="317"/>
      <c r="Q720" s="317"/>
      <c r="R720" s="317"/>
      <c r="S720" s="317"/>
      <c r="T720" s="317"/>
      <c r="U720" s="317"/>
      <c r="V720" s="317"/>
      <c r="W720" s="317"/>
      <c r="X720" s="317"/>
      <c r="Y720" s="317"/>
      <c r="Z720" s="317"/>
      <c r="AA720" s="317"/>
    </row>
    <row r="721">
      <c r="A721" s="317"/>
      <c r="B721" s="317"/>
      <c r="C721" s="317"/>
      <c r="D721" s="317"/>
      <c r="E721" s="317"/>
      <c r="F721" s="317"/>
      <c r="G721" s="317"/>
      <c r="H721" s="317"/>
      <c r="I721" s="317"/>
      <c r="J721" s="317"/>
      <c r="K721" s="317"/>
      <c r="L721" s="317"/>
      <c r="M721" s="317"/>
      <c r="N721" s="317"/>
      <c r="O721" s="317"/>
      <c r="P721" s="317"/>
      <c r="Q721" s="317"/>
      <c r="R721" s="317"/>
      <c r="S721" s="317"/>
      <c r="T721" s="317"/>
      <c r="U721" s="317"/>
      <c r="V721" s="317"/>
      <c r="W721" s="317"/>
      <c r="X721" s="317"/>
      <c r="Y721" s="317"/>
      <c r="Z721" s="317"/>
      <c r="AA721" s="317"/>
    </row>
    <row r="722">
      <c r="A722" s="317"/>
      <c r="B722" s="317"/>
      <c r="C722" s="317"/>
      <c r="D722" s="317"/>
      <c r="E722" s="317"/>
      <c r="F722" s="317"/>
      <c r="G722" s="317"/>
      <c r="H722" s="317"/>
      <c r="I722" s="317"/>
      <c r="J722" s="317"/>
      <c r="K722" s="317"/>
      <c r="L722" s="317"/>
      <c r="M722" s="317"/>
      <c r="N722" s="317"/>
      <c r="O722" s="317"/>
      <c r="P722" s="317"/>
      <c r="Q722" s="317"/>
      <c r="R722" s="317"/>
      <c r="S722" s="317"/>
      <c r="T722" s="317"/>
      <c r="U722" s="317"/>
      <c r="V722" s="317"/>
      <c r="W722" s="317"/>
      <c r="X722" s="317"/>
      <c r="Y722" s="317"/>
      <c r="Z722" s="317"/>
      <c r="AA722" s="317"/>
    </row>
    <row r="723">
      <c r="A723" s="317"/>
      <c r="B723" s="317"/>
      <c r="C723" s="317"/>
      <c r="D723" s="317"/>
      <c r="E723" s="317"/>
      <c r="F723" s="317"/>
      <c r="G723" s="317"/>
      <c r="H723" s="317"/>
      <c r="I723" s="317"/>
      <c r="J723" s="317"/>
      <c r="K723" s="317"/>
      <c r="L723" s="317"/>
      <c r="M723" s="317"/>
      <c r="N723" s="317"/>
      <c r="O723" s="317"/>
      <c r="P723" s="317"/>
      <c r="Q723" s="317"/>
      <c r="R723" s="317"/>
      <c r="S723" s="317"/>
      <c r="T723" s="317"/>
      <c r="U723" s="317"/>
      <c r="V723" s="317"/>
      <c r="W723" s="317"/>
      <c r="X723" s="317"/>
      <c r="Y723" s="317"/>
      <c r="Z723" s="317"/>
      <c r="AA723" s="317"/>
    </row>
    <row r="724">
      <c r="A724" s="317"/>
      <c r="B724" s="317"/>
      <c r="C724" s="317"/>
      <c r="D724" s="317"/>
      <c r="E724" s="317"/>
      <c r="F724" s="317"/>
      <c r="G724" s="317"/>
      <c r="H724" s="317"/>
      <c r="I724" s="317"/>
      <c r="J724" s="317"/>
      <c r="K724" s="317"/>
      <c r="L724" s="317"/>
      <c r="M724" s="317"/>
      <c r="N724" s="317"/>
      <c r="O724" s="317"/>
      <c r="P724" s="317"/>
      <c r="Q724" s="317"/>
      <c r="R724" s="317"/>
      <c r="S724" s="317"/>
      <c r="T724" s="317"/>
      <c r="U724" s="317"/>
      <c r="V724" s="317"/>
      <c r="W724" s="317"/>
      <c r="X724" s="317"/>
      <c r="Y724" s="317"/>
      <c r="Z724" s="317"/>
      <c r="AA724" s="317"/>
    </row>
    <row r="725">
      <c r="A725" s="317"/>
      <c r="B725" s="317"/>
      <c r="C725" s="317"/>
      <c r="D725" s="317"/>
      <c r="E725" s="317"/>
      <c r="F725" s="317"/>
      <c r="G725" s="317"/>
      <c r="H725" s="317"/>
      <c r="I725" s="317"/>
      <c r="J725" s="317"/>
      <c r="K725" s="317"/>
      <c r="L725" s="317"/>
      <c r="M725" s="317"/>
      <c r="N725" s="317"/>
      <c r="O725" s="317"/>
      <c r="P725" s="317"/>
      <c r="Q725" s="317"/>
      <c r="R725" s="317"/>
      <c r="S725" s="317"/>
      <c r="T725" s="317"/>
      <c r="U725" s="317"/>
      <c r="V725" s="317"/>
      <c r="W725" s="317"/>
      <c r="X725" s="317"/>
      <c r="Y725" s="317"/>
      <c r="Z725" s="317"/>
      <c r="AA725" s="317"/>
    </row>
    <row r="726">
      <c r="A726" s="317"/>
      <c r="B726" s="317"/>
      <c r="C726" s="317"/>
      <c r="D726" s="317"/>
      <c r="E726" s="317"/>
      <c r="F726" s="317"/>
      <c r="G726" s="317"/>
      <c r="H726" s="317"/>
      <c r="I726" s="317"/>
      <c r="J726" s="317"/>
      <c r="K726" s="317"/>
      <c r="L726" s="317"/>
      <c r="M726" s="317"/>
      <c r="N726" s="317"/>
      <c r="O726" s="317"/>
      <c r="P726" s="317"/>
      <c r="Q726" s="317"/>
      <c r="R726" s="317"/>
      <c r="S726" s="317"/>
      <c r="T726" s="317"/>
      <c r="U726" s="317"/>
      <c r="V726" s="317"/>
      <c r="W726" s="317"/>
      <c r="X726" s="317"/>
      <c r="Y726" s="317"/>
      <c r="Z726" s="317"/>
      <c r="AA726" s="317"/>
    </row>
    <row r="727">
      <c r="A727" s="317"/>
      <c r="B727" s="317"/>
      <c r="C727" s="317"/>
      <c r="D727" s="317"/>
      <c r="E727" s="317"/>
      <c r="F727" s="317"/>
      <c r="G727" s="317"/>
      <c r="H727" s="317"/>
      <c r="I727" s="317"/>
      <c r="J727" s="317"/>
      <c r="K727" s="317"/>
      <c r="L727" s="317"/>
      <c r="M727" s="317"/>
      <c r="N727" s="317"/>
      <c r="O727" s="317"/>
      <c r="P727" s="317"/>
      <c r="Q727" s="317"/>
      <c r="R727" s="317"/>
      <c r="S727" s="317"/>
      <c r="T727" s="317"/>
      <c r="U727" s="317"/>
      <c r="V727" s="317"/>
      <c r="W727" s="317"/>
      <c r="X727" s="317"/>
      <c r="Y727" s="317"/>
      <c r="Z727" s="317"/>
      <c r="AA727" s="317"/>
    </row>
    <row r="728">
      <c r="A728" s="317"/>
      <c r="B728" s="317"/>
      <c r="C728" s="317"/>
      <c r="D728" s="317"/>
      <c r="E728" s="317"/>
      <c r="F728" s="317"/>
      <c r="G728" s="317"/>
      <c r="H728" s="317"/>
      <c r="I728" s="317"/>
      <c r="J728" s="317"/>
      <c r="K728" s="317"/>
      <c r="L728" s="317"/>
      <c r="M728" s="317"/>
      <c r="N728" s="317"/>
      <c r="O728" s="317"/>
      <c r="P728" s="317"/>
      <c r="Q728" s="317"/>
      <c r="R728" s="317"/>
      <c r="S728" s="317"/>
      <c r="T728" s="317"/>
      <c r="U728" s="317"/>
      <c r="V728" s="317"/>
      <c r="W728" s="317"/>
      <c r="X728" s="317"/>
      <c r="Y728" s="317"/>
      <c r="Z728" s="317"/>
      <c r="AA728" s="317"/>
    </row>
    <row r="729">
      <c r="A729" s="317"/>
      <c r="B729" s="317"/>
      <c r="C729" s="317"/>
      <c r="D729" s="317"/>
      <c r="E729" s="317"/>
      <c r="F729" s="317"/>
      <c r="G729" s="317"/>
      <c r="H729" s="317"/>
      <c r="I729" s="317"/>
      <c r="J729" s="317"/>
      <c r="K729" s="317"/>
      <c r="L729" s="317"/>
      <c r="M729" s="317"/>
      <c r="N729" s="317"/>
      <c r="O729" s="317"/>
      <c r="P729" s="317"/>
      <c r="Q729" s="317"/>
      <c r="R729" s="317"/>
      <c r="S729" s="317"/>
      <c r="T729" s="317"/>
      <c r="U729" s="317"/>
      <c r="V729" s="317"/>
      <c r="W729" s="317"/>
      <c r="X729" s="317"/>
      <c r="Y729" s="317"/>
      <c r="Z729" s="317"/>
      <c r="AA729" s="317"/>
    </row>
    <row r="730">
      <c r="A730" s="317"/>
      <c r="B730" s="317"/>
      <c r="C730" s="317"/>
      <c r="D730" s="317"/>
      <c r="E730" s="317"/>
      <c r="F730" s="317"/>
      <c r="G730" s="317"/>
      <c r="H730" s="317"/>
      <c r="I730" s="317"/>
      <c r="J730" s="317"/>
      <c r="K730" s="317"/>
      <c r="L730" s="317"/>
      <c r="M730" s="317"/>
      <c r="N730" s="317"/>
      <c r="O730" s="317"/>
      <c r="P730" s="317"/>
      <c r="Q730" s="317"/>
      <c r="R730" s="317"/>
      <c r="S730" s="317"/>
      <c r="T730" s="317"/>
      <c r="U730" s="317"/>
      <c r="V730" s="317"/>
      <c r="W730" s="317"/>
      <c r="X730" s="317"/>
      <c r="Y730" s="317"/>
      <c r="Z730" s="317"/>
      <c r="AA730" s="317"/>
    </row>
    <row r="731">
      <c r="A731" s="317"/>
      <c r="B731" s="317"/>
      <c r="C731" s="317"/>
      <c r="D731" s="317"/>
      <c r="E731" s="317"/>
      <c r="F731" s="317"/>
      <c r="G731" s="317"/>
      <c r="H731" s="317"/>
      <c r="I731" s="317"/>
      <c r="J731" s="317"/>
      <c r="K731" s="317"/>
      <c r="L731" s="317"/>
      <c r="M731" s="317"/>
      <c r="N731" s="317"/>
      <c r="O731" s="317"/>
      <c r="P731" s="317"/>
      <c r="Q731" s="317"/>
      <c r="R731" s="317"/>
      <c r="S731" s="317"/>
      <c r="T731" s="317"/>
      <c r="U731" s="317"/>
      <c r="V731" s="317"/>
      <c r="W731" s="317"/>
      <c r="X731" s="317"/>
      <c r="Y731" s="317"/>
      <c r="Z731" s="317"/>
      <c r="AA731" s="317"/>
    </row>
    <row r="732">
      <c r="A732" s="317"/>
      <c r="B732" s="317"/>
      <c r="C732" s="317"/>
      <c r="D732" s="317"/>
      <c r="E732" s="317"/>
      <c r="F732" s="317"/>
      <c r="G732" s="317"/>
      <c r="H732" s="317"/>
      <c r="I732" s="317"/>
      <c r="J732" s="317"/>
      <c r="K732" s="317"/>
      <c r="L732" s="317"/>
      <c r="M732" s="317"/>
      <c r="N732" s="317"/>
      <c r="O732" s="317"/>
      <c r="P732" s="317"/>
      <c r="Q732" s="317"/>
      <c r="R732" s="317"/>
      <c r="S732" s="317"/>
      <c r="T732" s="317"/>
      <c r="U732" s="317"/>
      <c r="V732" s="317"/>
      <c r="W732" s="317"/>
      <c r="X732" s="317"/>
      <c r="Y732" s="317"/>
      <c r="Z732" s="317"/>
      <c r="AA732" s="317"/>
    </row>
    <row r="733">
      <c r="A733" s="317"/>
      <c r="B733" s="317"/>
      <c r="C733" s="317"/>
      <c r="D733" s="317"/>
      <c r="E733" s="317"/>
      <c r="F733" s="317"/>
      <c r="G733" s="317"/>
      <c r="H733" s="317"/>
      <c r="I733" s="317"/>
      <c r="J733" s="317"/>
      <c r="K733" s="317"/>
      <c r="L733" s="317"/>
      <c r="M733" s="317"/>
      <c r="N733" s="317"/>
      <c r="O733" s="317"/>
      <c r="P733" s="317"/>
      <c r="Q733" s="317"/>
      <c r="R733" s="317"/>
      <c r="S733" s="317"/>
      <c r="T733" s="317"/>
      <c r="U733" s="317"/>
      <c r="V733" s="317"/>
      <c r="W733" s="317"/>
      <c r="X733" s="317"/>
      <c r="Y733" s="317"/>
      <c r="Z733" s="317"/>
      <c r="AA733" s="317"/>
    </row>
    <row r="734">
      <c r="A734" s="317"/>
      <c r="B734" s="317"/>
      <c r="C734" s="317"/>
      <c r="D734" s="317"/>
      <c r="E734" s="317"/>
      <c r="F734" s="317"/>
      <c r="G734" s="317"/>
      <c r="H734" s="317"/>
      <c r="I734" s="317"/>
      <c r="J734" s="317"/>
      <c r="K734" s="317"/>
      <c r="L734" s="317"/>
      <c r="M734" s="317"/>
      <c r="N734" s="317"/>
      <c r="O734" s="317"/>
      <c r="P734" s="317"/>
      <c r="Q734" s="317"/>
      <c r="R734" s="317"/>
      <c r="S734" s="317"/>
      <c r="T734" s="317"/>
      <c r="U734" s="317"/>
      <c r="V734" s="317"/>
      <c r="W734" s="317"/>
      <c r="X734" s="317"/>
      <c r="Y734" s="317"/>
      <c r="Z734" s="317"/>
      <c r="AA734" s="317"/>
    </row>
    <row r="735">
      <c r="A735" s="317"/>
      <c r="B735" s="317"/>
      <c r="C735" s="317"/>
      <c r="D735" s="317"/>
      <c r="E735" s="317"/>
      <c r="F735" s="317"/>
      <c r="G735" s="317"/>
      <c r="H735" s="317"/>
      <c r="I735" s="317"/>
      <c r="J735" s="317"/>
      <c r="K735" s="317"/>
      <c r="L735" s="317"/>
      <c r="M735" s="317"/>
      <c r="N735" s="317"/>
      <c r="O735" s="317"/>
      <c r="P735" s="317"/>
      <c r="Q735" s="317"/>
      <c r="R735" s="317"/>
      <c r="S735" s="317"/>
      <c r="T735" s="317"/>
      <c r="U735" s="317"/>
      <c r="V735" s="317"/>
      <c r="W735" s="317"/>
      <c r="X735" s="317"/>
      <c r="Y735" s="317"/>
      <c r="Z735" s="317"/>
      <c r="AA735" s="317"/>
    </row>
    <row r="736">
      <c r="A736" s="317"/>
      <c r="B736" s="317"/>
      <c r="C736" s="317"/>
      <c r="D736" s="317"/>
      <c r="E736" s="317"/>
      <c r="F736" s="317"/>
      <c r="G736" s="317"/>
      <c r="H736" s="317"/>
      <c r="I736" s="317"/>
      <c r="J736" s="317"/>
      <c r="K736" s="317"/>
      <c r="L736" s="317"/>
      <c r="M736" s="317"/>
      <c r="N736" s="317"/>
      <c r="O736" s="317"/>
      <c r="P736" s="317"/>
      <c r="Q736" s="317"/>
      <c r="R736" s="317"/>
      <c r="S736" s="317"/>
      <c r="T736" s="317"/>
      <c r="U736" s="317"/>
      <c r="V736" s="317"/>
      <c r="W736" s="317"/>
      <c r="X736" s="317"/>
      <c r="Y736" s="317"/>
      <c r="Z736" s="317"/>
      <c r="AA736" s="317"/>
    </row>
    <row r="737">
      <c r="A737" s="317"/>
      <c r="B737" s="317"/>
      <c r="C737" s="317"/>
      <c r="D737" s="317"/>
      <c r="E737" s="317"/>
      <c r="F737" s="317"/>
      <c r="G737" s="317"/>
      <c r="H737" s="317"/>
      <c r="I737" s="317"/>
      <c r="J737" s="317"/>
      <c r="K737" s="317"/>
      <c r="L737" s="317"/>
      <c r="M737" s="317"/>
      <c r="N737" s="317"/>
      <c r="O737" s="317"/>
      <c r="P737" s="317"/>
      <c r="Q737" s="317"/>
      <c r="R737" s="317"/>
      <c r="S737" s="317"/>
      <c r="T737" s="317"/>
      <c r="U737" s="317"/>
      <c r="V737" s="317"/>
      <c r="W737" s="317"/>
      <c r="X737" s="317"/>
      <c r="Y737" s="317"/>
      <c r="Z737" s="317"/>
      <c r="AA737" s="317"/>
    </row>
    <row r="738">
      <c r="A738" s="317"/>
      <c r="B738" s="317"/>
      <c r="C738" s="317"/>
      <c r="D738" s="317"/>
      <c r="E738" s="317"/>
      <c r="F738" s="317"/>
      <c r="G738" s="317"/>
      <c r="H738" s="317"/>
      <c r="I738" s="317"/>
      <c r="J738" s="317"/>
      <c r="K738" s="317"/>
      <c r="L738" s="317"/>
      <c r="M738" s="317"/>
      <c r="N738" s="317"/>
      <c r="O738" s="317"/>
      <c r="P738" s="317"/>
      <c r="Q738" s="317"/>
      <c r="R738" s="317"/>
      <c r="S738" s="317"/>
      <c r="T738" s="317"/>
      <c r="U738" s="317"/>
      <c r="V738" s="317"/>
      <c r="W738" s="317"/>
      <c r="X738" s="317"/>
      <c r="Y738" s="317"/>
      <c r="Z738" s="317"/>
      <c r="AA738" s="317"/>
    </row>
    <row r="739">
      <c r="A739" s="317"/>
      <c r="B739" s="317"/>
      <c r="C739" s="317"/>
      <c r="D739" s="317"/>
      <c r="E739" s="317"/>
      <c r="F739" s="317"/>
      <c r="G739" s="317"/>
      <c r="H739" s="317"/>
      <c r="I739" s="317"/>
      <c r="J739" s="317"/>
      <c r="K739" s="317"/>
      <c r="L739" s="317"/>
      <c r="M739" s="317"/>
      <c r="N739" s="317"/>
      <c r="O739" s="317"/>
      <c r="P739" s="317"/>
      <c r="Q739" s="317"/>
      <c r="R739" s="317"/>
      <c r="S739" s="317"/>
      <c r="T739" s="317"/>
      <c r="U739" s="317"/>
      <c r="V739" s="317"/>
      <c r="W739" s="317"/>
      <c r="X739" s="317"/>
      <c r="Y739" s="317"/>
      <c r="Z739" s="317"/>
      <c r="AA739" s="317"/>
    </row>
    <row r="740">
      <c r="A740" s="317"/>
      <c r="B740" s="317"/>
      <c r="C740" s="317"/>
      <c r="D740" s="317"/>
      <c r="E740" s="317"/>
      <c r="F740" s="317"/>
      <c r="G740" s="317"/>
      <c r="H740" s="317"/>
      <c r="I740" s="317"/>
      <c r="J740" s="317"/>
      <c r="K740" s="317"/>
      <c r="L740" s="317"/>
      <c r="M740" s="317"/>
      <c r="N740" s="317"/>
      <c r="O740" s="317"/>
      <c r="P740" s="317"/>
      <c r="Q740" s="317"/>
      <c r="R740" s="317"/>
      <c r="S740" s="317"/>
      <c r="T740" s="317"/>
      <c r="U740" s="317"/>
      <c r="V740" s="317"/>
      <c r="W740" s="317"/>
      <c r="X740" s="317"/>
      <c r="Y740" s="317"/>
      <c r="Z740" s="317"/>
      <c r="AA740" s="317"/>
    </row>
    <row r="741">
      <c r="A741" s="317"/>
      <c r="B741" s="317"/>
      <c r="C741" s="317"/>
      <c r="D741" s="317"/>
      <c r="E741" s="317"/>
      <c r="F741" s="317"/>
      <c r="G741" s="317"/>
      <c r="H741" s="317"/>
      <c r="I741" s="317"/>
      <c r="J741" s="317"/>
      <c r="K741" s="317"/>
      <c r="L741" s="317"/>
      <c r="M741" s="317"/>
      <c r="N741" s="317"/>
      <c r="O741" s="317"/>
      <c r="P741" s="317"/>
      <c r="Q741" s="317"/>
      <c r="R741" s="317"/>
      <c r="S741" s="317"/>
      <c r="T741" s="317"/>
      <c r="U741" s="317"/>
      <c r="V741" s="317"/>
      <c r="W741" s="317"/>
      <c r="X741" s="317"/>
      <c r="Y741" s="317"/>
      <c r="Z741" s="317"/>
      <c r="AA741" s="317"/>
    </row>
    <row r="742">
      <c r="A742" s="317"/>
      <c r="B742" s="317"/>
      <c r="C742" s="317"/>
      <c r="D742" s="317"/>
      <c r="E742" s="317"/>
      <c r="F742" s="317"/>
      <c r="G742" s="317"/>
      <c r="H742" s="317"/>
      <c r="I742" s="317"/>
      <c r="J742" s="317"/>
      <c r="K742" s="317"/>
      <c r="L742" s="317"/>
      <c r="M742" s="317"/>
      <c r="N742" s="317"/>
      <c r="O742" s="317"/>
      <c r="P742" s="317"/>
      <c r="Q742" s="317"/>
      <c r="R742" s="317"/>
      <c r="S742" s="317"/>
      <c r="T742" s="317"/>
      <c r="U742" s="317"/>
      <c r="V742" s="317"/>
      <c r="W742" s="317"/>
      <c r="X742" s="317"/>
      <c r="Y742" s="317"/>
      <c r="Z742" s="317"/>
      <c r="AA742" s="317"/>
    </row>
    <row r="743">
      <c r="A743" s="317"/>
      <c r="B743" s="317"/>
      <c r="C743" s="317"/>
      <c r="D743" s="317"/>
      <c r="E743" s="317"/>
      <c r="F743" s="317"/>
      <c r="G743" s="317"/>
      <c r="H743" s="317"/>
      <c r="I743" s="317"/>
      <c r="J743" s="317"/>
      <c r="K743" s="317"/>
      <c r="L743" s="317"/>
      <c r="M743" s="317"/>
      <c r="N743" s="317"/>
      <c r="O743" s="317"/>
      <c r="P743" s="317"/>
      <c r="Q743" s="317"/>
      <c r="R743" s="317"/>
      <c r="S743" s="317"/>
      <c r="T743" s="317"/>
      <c r="U743" s="317"/>
      <c r="V743" s="317"/>
      <c r="W743" s="317"/>
      <c r="X743" s="317"/>
      <c r="Y743" s="317"/>
      <c r="Z743" s="317"/>
      <c r="AA743" s="317"/>
    </row>
    <row r="744">
      <c r="A744" s="317"/>
      <c r="B744" s="317"/>
      <c r="C744" s="317"/>
      <c r="D744" s="317"/>
      <c r="E744" s="317"/>
      <c r="F744" s="317"/>
      <c r="G744" s="317"/>
      <c r="H744" s="317"/>
      <c r="I744" s="317"/>
      <c r="J744" s="317"/>
      <c r="K744" s="317"/>
      <c r="L744" s="317"/>
      <c r="M744" s="317"/>
      <c r="N744" s="317"/>
      <c r="O744" s="317"/>
      <c r="P744" s="317"/>
      <c r="Q744" s="317"/>
      <c r="R744" s="317"/>
      <c r="S744" s="317"/>
      <c r="T744" s="317"/>
      <c r="U744" s="317"/>
      <c r="V744" s="317"/>
      <c r="W744" s="317"/>
      <c r="X744" s="317"/>
      <c r="Y744" s="317"/>
      <c r="Z744" s="317"/>
      <c r="AA744" s="317"/>
    </row>
    <row r="745">
      <c r="A745" s="317"/>
      <c r="B745" s="317"/>
      <c r="C745" s="317"/>
      <c r="D745" s="317"/>
      <c r="E745" s="317"/>
      <c r="F745" s="317"/>
      <c r="G745" s="317"/>
      <c r="H745" s="317"/>
      <c r="I745" s="317"/>
      <c r="J745" s="317"/>
      <c r="K745" s="317"/>
      <c r="L745" s="317"/>
      <c r="M745" s="317"/>
      <c r="N745" s="317"/>
      <c r="O745" s="317"/>
      <c r="P745" s="317"/>
      <c r="Q745" s="317"/>
      <c r="R745" s="317"/>
      <c r="S745" s="317"/>
      <c r="T745" s="317"/>
      <c r="U745" s="317"/>
      <c r="V745" s="317"/>
      <c r="W745" s="317"/>
      <c r="X745" s="317"/>
      <c r="Y745" s="317"/>
      <c r="Z745" s="317"/>
      <c r="AA745" s="317"/>
    </row>
    <row r="746">
      <c r="A746" s="317"/>
      <c r="B746" s="317"/>
      <c r="C746" s="317"/>
      <c r="D746" s="317"/>
      <c r="E746" s="317"/>
      <c r="F746" s="317"/>
      <c r="G746" s="317"/>
      <c r="H746" s="317"/>
      <c r="I746" s="317"/>
      <c r="J746" s="317"/>
      <c r="K746" s="317"/>
      <c r="L746" s="317"/>
      <c r="M746" s="317"/>
      <c r="N746" s="317"/>
      <c r="O746" s="317"/>
      <c r="P746" s="317"/>
      <c r="Q746" s="317"/>
      <c r="R746" s="317"/>
      <c r="S746" s="317"/>
      <c r="T746" s="317"/>
      <c r="U746" s="317"/>
      <c r="V746" s="317"/>
      <c r="W746" s="317"/>
      <c r="X746" s="317"/>
      <c r="Y746" s="317"/>
      <c r="Z746" s="317"/>
      <c r="AA746" s="317"/>
    </row>
    <row r="747">
      <c r="A747" s="317"/>
      <c r="B747" s="317"/>
      <c r="C747" s="317"/>
      <c r="D747" s="317"/>
      <c r="E747" s="317"/>
      <c r="F747" s="317"/>
      <c r="G747" s="317"/>
      <c r="H747" s="317"/>
      <c r="I747" s="317"/>
      <c r="J747" s="317"/>
      <c r="K747" s="317"/>
      <c r="L747" s="317"/>
      <c r="M747" s="317"/>
      <c r="N747" s="317"/>
      <c r="O747" s="317"/>
      <c r="P747" s="317"/>
      <c r="Q747" s="317"/>
      <c r="R747" s="317"/>
      <c r="S747" s="317"/>
      <c r="T747" s="317"/>
      <c r="U747" s="317"/>
      <c r="V747" s="317"/>
      <c r="W747" s="317"/>
      <c r="X747" s="317"/>
      <c r="Y747" s="317"/>
      <c r="Z747" s="317"/>
      <c r="AA747" s="317"/>
    </row>
    <row r="748">
      <c r="A748" s="317"/>
      <c r="B748" s="317"/>
      <c r="C748" s="317"/>
      <c r="D748" s="317"/>
      <c r="E748" s="317"/>
      <c r="F748" s="317"/>
      <c r="G748" s="317"/>
      <c r="H748" s="317"/>
      <c r="I748" s="317"/>
      <c r="J748" s="317"/>
      <c r="K748" s="317"/>
      <c r="L748" s="317"/>
      <c r="M748" s="317"/>
      <c r="N748" s="317"/>
      <c r="O748" s="317"/>
      <c r="P748" s="317"/>
      <c r="Q748" s="317"/>
      <c r="R748" s="317"/>
      <c r="S748" s="317"/>
      <c r="T748" s="317"/>
      <c r="U748" s="317"/>
      <c r="V748" s="317"/>
      <c r="W748" s="317"/>
      <c r="X748" s="317"/>
      <c r="Y748" s="317"/>
      <c r="Z748" s="317"/>
      <c r="AA748" s="317"/>
    </row>
    <row r="749">
      <c r="A749" s="317"/>
      <c r="B749" s="317"/>
      <c r="C749" s="317"/>
      <c r="D749" s="317"/>
      <c r="E749" s="317"/>
      <c r="F749" s="317"/>
      <c r="G749" s="317"/>
      <c r="H749" s="317"/>
      <c r="I749" s="317"/>
      <c r="J749" s="317"/>
      <c r="K749" s="317"/>
      <c r="L749" s="317"/>
      <c r="M749" s="317"/>
      <c r="N749" s="317"/>
      <c r="O749" s="317"/>
      <c r="P749" s="317"/>
      <c r="Q749" s="317"/>
      <c r="R749" s="317"/>
      <c r="S749" s="317"/>
      <c r="T749" s="317"/>
      <c r="U749" s="317"/>
      <c r="V749" s="317"/>
      <c r="W749" s="317"/>
      <c r="X749" s="317"/>
      <c r="Y749" s="317"/>
      <c r="Z749" s="317"/>
      <c r="AA749" s="317"/>
    </row>
    <row r="750">
      <c r="A750" s="317"/>
      <c r="B750" s="317"/>
      <c r="C750" s="317"/>
      <c r="D750" s="317"/>
      <c r="E750" s="317"/>
      <c r="F750" s="317"/>
      <c r="G750" s="317"/>
      <c r="H750" s="317"/>
      <c r="I750" s="317"/>
      <c r="J750" s="317"/>
      <c r="K750" s="317"/>
      <c r="L750" s="317"/>
      <c r="M750" s="317"/>
      <c r="N750" s="317"/>
      <c r="O750" s="317"/>
      <c r="P750" s="317"/>
      <c r="Q750" s="317"/>
      <c r="R750" s="317"/>
      <c r="S750" s="317"/>
      <c r="T750" s="317"/>
      <c r="U750" s="317"/>
      <c r="V750" s="317"/>
      <c r="W750" s="317"/>
      <c r="X750" s="317"/>
      <c r="Y750" s="317"/>
      <c r="Z750" s="317"/>
      <c r="AA750" s="317"/>
    </row>
    <row r="751">
      <c r="A751" s="317"/>
      <c r="B751" s="317"/>
      <c r="C751" s="317"/>
      <c r="D751" s="317"/>
      <c r="E751" s="317"/>
      <c r="F751" s="317"/>
      <c r="G751" s="317"/>
      <c r="H751" s="317"/>
      <c r="I751" s="317"/>
      <c r="J751" s="317"/>
      <c r="K751" s="317"/>
      <c r="L751" s="317"/>
      <c r="M751" s="317"/>
      <c r="N751" s="317"/>
      <c r="O751" s="317"/>
      <c r="P751" s="317"/>
      <c r="Q751" s="317"/>
      <c r="R751" s="317"/>
      <c r="S751" s="317"/>
      <c r="T751" s="317"/>
      <c r="U751" s="317"/>
      <c r="V751" s="317"/>
      <c r="W751" s="317"/>
      <c r="X751" s="317"/>
      <c r="Y751" s="317"/>
      <c r="Z751" s="317"/>
      <c r="AA751" s="317"/>
    </row>
    <row r="752">
      <c r="A752" s="317"/>
      <c r="B752" s="317"/>
      <c r="C752" s="317"/>
      <c r="D752" s="317"/>
      <c r="E752" s="317"/>
      <c r="F752" s="317"/>
      <c r="G752" s="317"/>
      <c r="H752" s="317"/>
      <c r="I752" s="317"/>
      <c r="J752" s="317"/>
      <c r="K752" s="317"/>
      <c r="L752" s="317"/>
      <c r="M752" s="317"/>
      <c r="N752" s="317"/>
      <c r="O752" s="317"/>
      <c r="P752" s="317"/>
      <c r="Q752" s="317"/>
      <c r="R752" s="317"/>
      <c r="S752" s="317"/>
      <c r="T752" s="317"/>
      <c r="U752" s="317"/>
      <c r="V752" s="317"/>
      <c r="W752" s="317"/>
      <c r="X752" s="317"/>
      <c r="Y752" s="317"/>
      <c r="Z752" s="317"/>
      <c r="AA752" s="317"/>
    </row>
    <row r="753">
      <c r="A753" s="317"/>
      <c r="B753" s="317"/>
      <c r="C753" s="317"/>
      <c r="D753" s="317"/>
      <c r="E753" s="317"/>
      <c r="F753" s="317"/>
      <c r="G753" s="317"/>
      <c r="H753" s="317"/>
      <c r="I753" s="317"/>
      <c r="J753" s="317"/>
      <c r="K753" s="317"/>
      <c r="L753" s="317"/>
      <c r="M753" s="317"/>
      <c r="N753" s="317"/>
      <c r="O753" s="317"/>
      <c r="P753" s="317"/>
      <c r="Q753" s="317"/>
      <c r="R753" s="317"/>
      <c r="S753" s="317"/>
      <c r="T753" s="317"/>
      <c r="U753" s="317"/>
      <c r="V753" s="317"/>
      <c r="W753" s="317"/>
      <c r="X753" s="317"/>
      <c r="Y753" s="317"/>
      <c r="Z753" s="317"/>
      <c r="AA753" s="317"/>
    </row>
    <row r="754">
      <c r="A754" s="317"/>
      <c r="B754" s="317"/>
      <c r="C754" s="317"/>
      <c r="D754" s="317"/>
      <c r="E754" s="317"/>
      <c r="F754" s="317"/>
      <c r="G754" s="317"/>
      <c r="H754" s="317"/>
      <c r="I754" s="317"/>
      <c r="J754" s="317"/>
      <c r="K754" s="317"/>
      <c r="L754" s="317"/>
      <c r="M754" s="317"/>
      <c r="N754" s="317"/>
      <c r="O754" s="317"/>
      <c r="P754" s="317"/>
      <c r="Q754" s="317"/>
      <c r="R754" s="317"/>
      <c r="S754" s="317"/>
      <c r="T754" s="317"/>
      <c r="U754" s="317"/>
      <c r="V754" s="317"/>
      <c r="W754" s="317"/>
      <c r="X754" s="317"/>
      <c r="Y754" s="317"/>
      <c r="Z754" s="317"/>
      <c r="AA754" s="317"/>
    </row>
    <row r="755">
      <c r="A755" s="317"/>
      <c r="B755" s="317"/>
      <c r="C755" s="317"/>
      <c r="D755" s="317"/>
      <c r="E755" s="317"/>
      <c r="F755" s="317"/>
      <c r="G755" s="317"/>
      <c r="H755" s="317"/>
      <c r="I755" s="317"/>
      <c r="J755" s="317"/>
      <c r="K755" s="317"/>
      <c r="L755" s="317"/>
      <c r="M755" s="317"/>
      <c r="N755" s="317"/>
      <c r="O755" s="317"/>
      <c r="P755" s="317"/>
      <c r="Q755" s="317"/>
      <c r="R755" s="317"/>
      <c r="S755" s="317"/>
      <c r="T755" s="317"/>
      <c r="U755" s="317"/>
      <c r="V755" s="317"/>
      <c r="W755" s="317"/>
      <c r="X755" s="317"/>
      <c r="Y755" s="317"/>
      <c r="Z755" s="317"/>
      <c r="AA755" s="317"/>
    </row>
    <row r="756">
      <c r="A756" s="317"/>
      <c r="B756" s="317"/>
      <c r="C756" s="317"/>
      <c r="D756" s="317"/>
      <c r="E756" s="317"/>
      <c r="F756" s="317"/>
      <c r="G756" s="317"/>
      <c r="H756" s="317"/>
      <c r="I756" s="317"/>
      <c r="J756" s="317"/>
      <c r="K756" s="317"/>
      <c r="L756" s="317"/>
      <c r="M756" s="317"/>
      <c r="N756" s="317"/>
      <c r="O756" s="317"/>
      <c r="P756" s="317"/>
      <c r="Q756" s="317"/>
      <c r="R756" s="317"/>
      <c r="S756" s="317"/>
      <c r="T756" s="317"/>
      <c r="U756" s="317"/>
      <c r="V756" s="317"/>
      <c r="W756" s="317"/>
      <c r="X756" s="317"/>
      <c r="Y756" s="317"/>
      <c r="Z756" s="317"/>
      <c r="AA756" s="317"/>
    </row>
    <row r="757">
      <c r="A757" s="317"/>
      <c r="B757" s="317"/>
      <c r="C757" s="317"/>
      <c r="D757" s="317"/>
      <c r="E757" s="317"/>
      <c r="F757" s="317"/>
      <c r="G757" s="317"/>
      <c r="H757" s="317"/>
      <c r="I757" s="317"/>
      <c r="J757" s="317"/>
      <c r="K757" s="317"/>
      <c r="L757" s="317"/>
      <c r="M757" s="317"/>
      <c r="N757" s="317"/>
      <c r="O757" s="317"/>
      <c r="P757" s="317"/>
      <c r="Q757" s="317"/>
      <c r="R757" s="317"/>
      <c r="S757" s="317"/>
      <c r="T757" s="317"/>
      <c r="U757" s="317"/>
      <c r="V757" s="317"/>
      <c r="W757" s="317"/>
      <c r="X757" s="317"/>
      <c r="Y757" s="317"/>
      <c r="Z757" s="317"/>
      <c r="AA757" s="317"/>
    </row>
    <row r="758">
      <c r="A758" s="317"/>
      <c r="B758" s="317"/>
      <c r="C758" s="317"/>
      <c r="D758" s="317"/>
      <c r="E758" s="317"/>
      <c r="F758" s="317"/>
      <c r="G758" s="317"/>
      <c r="H758" s="317"/>
      <c r="I758" s="317"/>
      <c r="J758" s="317"/>
      <c r="K758" s="317"/>
      <c r="L758" s="317"/>
      <c r="M758" s="317"/>
      <c r="N758" s="317"/>
      <c r="O758" s="317"/>
      <c r="P758" s="317"/>
      <c r="Q758" s="317"/>
      <c r="R758" s="317"/>
      <c r="S758" s="317"/>
      <c r="T758" s="317"/>
      <c r="U758" s="317"/>
      <c r="V758" s="317"/>
      <c r="W758" s="317"/>
      <c r="X758" s="317"/>
      <c r="Y758" s="317"/>
      <c r="Z758" s="317"/>
      <c r="AA758" s="317"/>
    </row>
    <row r="759">
      <c r="A759" s="317"/>
      <c r="B759" s="317"/>
      <c r="C759" s="317"/>
      <c r="D759" s="317"/>
      <c r="E759" s="317"/>
      <c r="F759" s="317"/>
      <c r="G759" s="317"/>
      <c r="H759" s="317"/>
      <c r="I759" s="317"/>
      <c r="J759" s="317"/>
      <c r="K759" s="317"/>
      <c r="L759" s="317"/>
      <c r="M759" s="317"/>
      <c r="N759" s="317"/>
      <c r="O759" s="317"/>
      <c r="P759" s="317"/>
      <c r="Q759" s="317"/>
      <c r="R759" s="317"/>
      <c r="S759" s="317"/>
      <c r="T759" s="317"/>
      <c r="U759" s="317"/>
      <c r="V759" s="317"/>
      <c r="W759" s="317"/>
      <c r="X759" s="317"/>
      <c r="Y759" s="317"/>
      <c r="Z759" s="317"/>
      <c r="AA759" s="317"/>
    </row>
    <row r="760">
      <c r="A760" s="317"/>
      <c r="B760" s="317"/>
      <c r="C760" s="317"/>
      <c r="D760" s="317"/>
      <c r="E760" s="317"/>
      <c r="F760" s="317"/>
      <c r="G760" s="317"/>
      <c r="H760" s="317"/>
      <c r="I760" s="317"/>
      <c r="J760" s="317"/>
      <c r="K760" s="317"/>
      <c r="L760" s="317"/>
      <c r="M760" s="317"/>
      <c r="N760" s="317"/>
      <c r="O760" s="317"/>
      <c r="P760" s="317"/>
      <c r="Q760" s="317"/>
      <c r="R760" s="317"/>
      <c r="S760" s="317"/>
      <c r="T760" s="317"/>
      <c r="U760" s="317"/>
      <c r="V760" s="317"/>
      <c r="W760" s="317"/>
      <c r="X760" s="317"/>
      <c r="Y760" s="317"/>
      <c r="Z760" s="317"/>
      <c r="AA760" s="317"/>
    </row>
    <row r="761">
      <c r="A761" s="317"/>
      <c r="B761" s="317"/>
      <c r="C761" s="317"/>
      <c r="D761" s="317"/>
      <c r="E761" s="317"/>
      <c r="F761" s="317"/>
      <c r="G761" s="317"/>
      <c r="H761" s="317"/>
      <c r="I761" s="317"/>
      <c r="J761" s="317"/>
      <c r="K761" s="317"/>
      <c r="L761" s="317"/>
      <c r="M761" s="317"/>
      <c r="N761" s="317"/>
      <c r="O761" s="317"/>
      <c r="P761" s="317"/>
      <c r="Q761" s="317"/>
      <c r="R761" s="317"/>
      <c r="S761" s="317"/>
      <c r="T761" s="317"/>
      <c r="U761" s="317"/>
      <c r="V761" s="317"/>
      <c r="W761" s="317"/>
      <c r="X761" s="317"/>
      <c r="Y761" s="317"/>
      <c r="Z761" s="317"/>
      <c r="AA761" s="317"/>
    </row>
    <row r="762">
      <c r="A762" s="317"/>
      <c r="B762" s="317"/>
      <c r="C762" s="317"/>
      <c r="D762" s="317"/>
      <c r="E762" s="317"/>
      <c r="F762" s="317"/>
      <c r="G762" s="317"/>
      <c r="H762" s="317"/>
      <c r="I762" s="317"/>
      <c r="J762" s="317"/>
      <c r="K762" s="317"/>
      <c r="L762" s="317"/>
      <c r="M762" s="317"/>
      <c r="N762" s="317"/>
      <c r="O762" s="317"/>
      <c r="P762" s="317"/>
      <c r="Q762" s="317"/>
      <c r="R762" s="317"/>
      <c r="S762" s="317"/>
      <c r="T762" s="317"/>
      <c r="U762" s="317"/>
      <c r="V762" s="317"/>
      <c r="W762" s="317"/>
      <c r="X762" s="317"/>
      <c r="Y762" s="317"/>
      <c r="Z762" s="317"/>
      <c r="AA762" s="317"/>
    </row>
    <row r="763">
      <c r="A763" s="317"/>
      <c r="B763" s="317"/>
      <c r="C763" s="317"/>
      <c r="D763" s="317"/>
      <c r="E763" s="317"/>
      <c r="F763" s="317"/>
      <c r="G763" s="317"/>
      <c r="H763" s="317"/>
      <c r="I763" s="317"/>
      <c r="J763" s="317"/>
      <c r="K763" s="317"/>
      <c r="L763" s="317"/>
      <c r="M763" s="317"/>
      <c r="N763" s="317"/>
      <c r="O763" s="317"/>
      <c r="P763" s="317"/>
      <c r="Q763" s="317"/>
      <c r="R763" s="317"/>
      <c r="S763" s="317"/>
      <c r="T763" s="317"/>
      <c r="U763" s="317"/>
      <c r="V763" s="317"/>
      <c r="W763" s="317"/>
      <c r="X763" s="317"/>
      <c r="Y763" s="317"/>
      <c r="Z763" s="317"/>
      <c r="AA763" s="317"/>
    </row>
    <row r="764">
      <c r="A764" s="317"/>
      <c r="B764" s="317"/>
      <c r="C764" s="317"/>
      <c r="D764" s="317"/>
      <c r="E764" s="317"/>
      <c r="F764" s="317"/>
      <c r="G764" s="317"/>
      <c r="H764" s="317"/>
      <c r="I764" s="317"/>
      <c r="J764" s="317"/>
      <c r="K764" s="317"/>
      <c r="L764" s="317"/>
      <c r="M764" s="317"/>
      <c r="N764" s="317"/>
      <c r="O764" s="317"/>
      <c r="P764" s="317"/>
      <c r="Q764" s="317"/>
      <c r="R764" s="317"/>
      <c r="S764" s="317"/>
      <c r="T764" s="317"/>
      <c r="U764" s="317"/>
      <c r="V764" s="317"/>
      <c r="W764" s="317"/>
      <c r="X764" s="317"/>
      <c r="Y764" s="317"/>
      <c r="Z764" s="317"/>
      <c r="AA764" s="317"/>
    </row>
    <row r="765">
      <c r="A765" s="317"/>
      <c r="B765" s="317"/>
      <c r="C765" s="317"/>
      <c r="D765" s="317"/>
      <c r="E765" s="317"/>
      <c r="F765" s="317"/>
      <c r="G765" s="317"/>
      <c r="H765" s="317"/>
      <c r="I765" s="317"/>
      <c r="J765" s="317"/>
      <c r="K765" s="317"/>
      <c r="L765" s="317"/>
      <c r="M765" s="317"/>
      <c r="N765" s="317"/>
      <c r="O765" s="317"/>
      <c r="P765" s="317"/>
      <c r="Q765" s="317"/>
      <c r="R765" s="317"/>
      <c r="S765" s="317"/>
      <c r="T765" s="317"/>
      <c r="U765" s="317"/>
      <c r="V765" s="317"/>
      <c r="W765" s="317"/>
      <c r="X765" s="317"/>
      <c r="Y765" s="317"/>
      <c r="Z765" s="317"/>
      <c r="AA765" s="317"/>
    </row>
    <row r="766">
      <c r="A766" s="317"/>
      <c r="B766" s="317"/>
      <c r="C766" s="317"/>
      <c r="D766" s="317"/>
      <c r="E766" s="317"/>
      <c r="F766" s="317"/>
      <c r="G766" s="317"/>
      <c r="H766" s="317"/>
      <c r="I766" s="317"/>
      <c r="J766" s="317"/>
      <c r="K766" s="317"/>
      <c r="L766" s="317"/>
      <c r="M766" s="317"/>
      <c r="N766" s="317"/>
      <c r="O766" s="317"/>
      <c r="P766" s="317"/>
      <c r="Q766" s="317"/>
      <c r="R766" s="317"/>
      <c r="S766" s="317"/>
      <c r="T766" s="317"/>
      <c r="U766" s="317"/>
      <c r="V766" s="317"/>
      <c r="W766" s="317"/>
      <c r="X766" s="317"/>
      <c r="Y766" s="317"/>
      <c r="Z766" s="317"/>
      <c r="AA766" s="317"/>
    </row>
    <row r="767">
      <c r="A767" s="317"/>
      <c r="B767" s="317"/>
      <c r="C767" s="317"/>
      <c r="D767" s="317"/>
      <c r="E767" s="317"/>
      <c r="F767" s="317"/>
      <c r="G767" s="317"/>
      <c r="H767" s="317"/>
      <c r="I767" s="317"/>
      <c r="J767" s="317"/>
      <c r="K767" s="317"/>
      <c r="L767" s="317"/>
      <c r="M767" s="317"/>
      <c r="N767" s="317"/>
      <c r="O767" s="317"/>
      <c r="P767" s="317"/>
      <c r="Q767" s="317"/>
      <c r="R767" s="317"/>
      <c r="S767" s="317"/>
      <c r="T767" s="317"/>
      <c r="U767" s="317"/>
      <c r="V767" s="317"/>
      <c r="W767" s="317"/>
      <c r="X767" s="317"/>
      <c r="Y767" s="317"/>
      <c r="Z767" s="317"/>
      <c r="AA767" s="317"/>
    </row>
    <row r="768">
      <c r="A768" s="317"/>
      <c r="B768" s="317"/>
      <c r="C768" s="317"/>
      <c r="D768" s="317"/>
      <c r="E768" s="317"/>
      <c r="F768" s="317"/>
      <c r="G768" s="317"/>
      <c r="H768" s="317"/>
      <c r="I768" s="317"/>
      <c r="J768" s="317"/>
      <c r="K768" s="317"/>
      <c r="L768" s="317"/>
      <c r="M768" s="317"/>
      <c r="N768" s="317"/>
      <c r="O768" s="317"/>
      <c r="P768" s="317"/>
      <c r="Q768" s="317"/>
      <c r="R768" s="317"/>
      <c r="S768" s="317"/>
      <c r="T768" s="317"/>
      <c r="U768" s="317"/>
      <c r="V768" s="317"/>
      <c r="W768" s="317"/>
      <c r="X768" s="317"/>
      <c r="Y768" s="317"/>
      <c r="Z768" s="317"/>
      <c r="AA768" s="317"/>
    </row>
    <row r="769">
      <c r="A769" s="317"/>
      <c r="B769" s="317"/>
      <c r="C769" s="317"/>
      <c r="D769" s="317"/>
      <c r="E769" s="317"/>
      <c r="F769" s="317"/>
      <c r="G769" s="317"/>
      <c r="H769" s="317"/>
      <c r="I769" s="317"/>
      <c r="J769" s="317"/>
      <c r="K769" s="317"/>
      <c r="L769" s="317"/>
      <c r="M769" s="317"/>
      <c r="N769" s="317"/>
      <c r="O769" s="317"/>
      <c r="P769" s="317"/>
      <c r="Q769" s="317"/>
      <c r="R769" s="317"/>
      <c r="S769" s="317"/>
      <c r="T769" s="317"/>
      <c r="U769" s="317"/>
      <c r="V769" s="317"/>
      <c r="W769" s="317"/>
      <c r="X769" s="317"/>
      <c r="Y769" s="317"/>
      <c r="Z769" s="317"/>
      <c r="AA769" s="317"/>
    </row>
    <row r="770">
      <c r="A770" s="317"/>
      <c r="B770" s="317"/>
      <c r="C770" s="317"/>
      <c r="D770" s="317"/>
      <c r="E770" s="317"/>
      <c r="F770" s="317"/>
      <c r="G770" s="317"/>
      <c r="H770" s="317"/>
      <c r="I770" s="317"/>
      <c r="J770" s="317"/>
      <c r="K770" s="317"/>
      <c r="L770" s="317"/>
      <c r="M770" s="317"/>
      <c r="N770" s="317"/>
      <c r="O770" s="317"/>
      <c r="P770" s="317"/>
      <c r="Q770" s="317"/>
      <c r="R770" s="317"/>
      <c r="S770" s="317"/>
      <c r="T770" s="317"/>
      <c r="U770" s="317"/>
      <c r="V770" s="317"/>
      <c r="W770" s="317"/>
      <c r="X770" s="317"/>
      <c r="Y770" s="317"/>
      <c r="Z770" s="317"/>
      <c r="AA770" s="317"/>
    </row>
    <row r="771">
      <c r="A771" s="317"/>
      <c r="B771" s="317"/>
      <c r="C771" s="317"/>
      <c r="D771" s="317"/>
      <c r="E771" s="317"/>
      <c r="F771" s="317"/>
      <c r="G771" s="317"/>
      <c r="H771" s="317"/>
      <c r="I771" s="317"/>
      <c r="J771" s="317"/>
      <c r="K771" s="317"/>
      <c r="L771" s="317"/>
      <c r="M771" s="317"/>
      <c r="N771" s="317"/>
      <c r="O771" s="317"/>
      <c r="P771" s="317"/>
      <c r="Q771" s="317"/>
      <c r="R771" s="317"/>
      <c r="S771" s="317"/>
      <c r="T771" s="317"/>
      <c r="U771" s="317"/>
      <c r="V771" s="317"/>
      <c r="W771" s="317"/>
      <c r="X771" s="317"/>
      <c r="Y771" s="317"/>
      <c r="Z771" s="317"/>
      <c r="AA771" s="317"/>
    </row>
    <row r="772">
      <c r="A772" s="317"/>
      <c r="B772" s="317"/>
      <c r="C772" s="317"/>
      <c r="D772" s="317"/>
      <c r="E772" s="317"/>
      <c r="F772" s="317"/>
      <c r="G772" s="317"/>
      <c r="H772" s="317"/>
      <c r="I772" s="317"/>
      <c r="J772" s="317"/>
      <c r="K772" s="317"/>
      <c r="L772" s="317"/>
      <c r="M772" s="317"/>
      <c r="N772" s="317"/>
      <c r="O772" s="317"/>
      <c r="P772" s="317"/>
      <c r="Q772" s="317"/>
      <c r="R772" s="317"/>
      <c r="S772" s="317"/>
      <c r="T772" s="317"/>
      <c r="U772" s="317"/>
      <c r="V772" s="317"/>
      <c r="W772" s="317"/>
      <c r="X772" s="317"/>
      <c r="Y772" s="317"/>
      <c r="Z772" s="317"/>
      <c r="AA772" s="317"/>
    </row>
    <row r="773">
      <c r="A773" s="317"/>
      <c r="B773" s="317"/>
      <c r="C773" s="317"/>
      <c r="D773" s="317"/>
      <c r="E773" s="317"/>
      <c r="F773" s="317"/>
      <c r="G773" s="317"/>
      <c r="H773" s="317"/>
      <c r="I773" s="317"/>
      <c r="J773" s="317"/>
      <c r="K773" s="317"/>
      <c r="L773" s="317"/>
      <c r="M773" s="317"/>
      <c r="N773" s="317"/>
      <c r="O773" s="317"/>
      <c r="P773" s="317"/>
      <c r="Q773" s="317"/>
      <c r="R773" s="317"/>
      <c r="S773" s="317"/>
      <c r="T773" s="317"/>
      <c r="U773" s="317"/>
      <c r="V773" s="317"/>
      <c r="W773" s="317"/>
      <c r="X773" s="317"/>
      <c r="Y773" s="317"/>
      <c r="Z773" s="317"/>
      <c r="AA773" s="317"/>
    </row>
    <row r="774">
      <c r="A774" s="317"/>
      <c r="B774" s="317"/>
      <c r="C774" s="317"/>
      <c r="D774" s="317"/>
      <c r="E774" s="317"/>
      <c r="F774" s="317"/>
      <c r="G774" s="317"/>
      <c r="H774" s="317"/>
      <c r="I774" s="317"/>
      <c r="J774" s="317"/>
      <c r="K774" s="317"/>
      <c r="L774" s="317"/>
      <c r="M774" s="317"/>
      <c r="N774" s="317"/>
      <c r="O774" s="317"/>
      <c r="P774" s="317"/>
      <c r="Q774" s="317"/>
      <c r="R774" s="317"/>
      <c r="S774" s="317"/>
      <c r="T774" s="317"/>
      <c r="U774" s="317"/>
      <c r="V774" s="317"/>
      <c r="W774" s="317"/>
      <c r="X774" s="317"/>
      <c r="Y774" s="317"/>
      <c r="Z774" s="317"/>
      <c r="AA774" s="317"/>
    </row>
    <row r="775">
      <c r="A775" s="317"/>
      <c r="B775" s="317"/>
      <c r="C775" s="317"/>
      <c r="D775" s="317"/>
      <c r="E775" s="317"/>
      <c r="F775" s="317"/>
      <c r="G775" s="317"/>
      <c r="H775" s="317"/>
      <c r="I775" s="317"/>
      <c r="J775" s="317"/>
      <c r="K775" s="317"/>
      <c r="L775" s="317"/>
      <c r="M775" s="317"/>
      <c r="N775" s="317"/>
      <c r="O775" s="317"/>
      <c r="P775" s="317"/>
      <c r="Q775" s="317"/>
      <c r="R775" s="317"/>
      <c r="S775" s="317"/>
      <c r="T775" s="317"/>
      <c r="U775" s="317"/>
      <c r="V775" s="317"/>
      <c r="W775" s="317"/>
      <c r="X775" s="317"/>
      <c r="Y775" s="317"/>
      <c r="Z775" s="317"/>
      <c r="AA775" s="317"/>
    </row>
    <row r="776">
      <c r="A776" s="317"/>
      <c r="B776" s="317"/>
      <c r="C776" s="317"/>
      <c r="D776" s="317"/>
      <c r="E776" s="317"/>
      <c r="F776" s="317"/>
      <c r="G776" s="317"/>
      <c r="H776" s="317"/>
      <c r="I776" s="317"/>
      <c r="J776" s="317"/>
      <c r="K776" s="317"/>
      <c r="L776" s="317"/>
      <c r="M776" s="317"/>
      <c r="N776" s="317"/>
      <c r="O776" s="317"/>
      <c r="P776" s="317"/>
      <c r="Q776" s="317"/>
      <c r="R776" s="317"/>
      <c r="S776" s="317"/>
      <c r="T776" s="317"/>
      <c r="U776" s="317"/>
      <c r="V776" s="317"/>
      <c r="W776" s="317"/>
      <c r="X776" s="317"/>
      <c r="Y776" s="317"/>
      <c r="Z776" s="317"/>
      <c r="AA776" s="317"/>
    </row>
    <row r="777">
      <c r="A777" s="317"/>
      <c r="B777" s="317"/>
      <c r="C777" s="317"/>
      <c r="D777" s="317"/>
      <c r="E777" s="317"/>
      <c r="F777" s="317"/>
      <c r="G777" s="317"/>
      <c r="H777" s="317"/>
      <c r="I777" s="317"/>
      <c r="J777" s="317"/>
      <c r="K777" s="317"/>
      <c r="L777" s="317"/>
      <c r="M777" s="317"/>
      <c r="N777" s="317"/>
      <c r="O777" s="317"/>
      <c r="P777" s="317"/>
      <c r="Q777" s="317"/>
      <c r="R777" s="317"/>
      <c r="S777" s="317"/>
      <c r="T777" s="317"/>
      <c r="U777" s="317"/>
      <c r="V777" s="317"/>
      <c r="W777" s="317"/>
      <c r="X777" s="317"/>
      <c r="Y777" s="317"/>
      <c r="Z777" s="317"/>
      <c r="AA777" s="317"/>
    </row>
    <row r="778">
      <c r="A778" s="317"/>
      <c r="B778" s="317"/>
      <c r="C778" s="317"/>
      <c r="D778" s="317"/>
      <c r="E778" s="317"/>
      <c r="F778" s="317"/>
      <c r="G778" s="317"/>
      <c r="H778" s="317"/>
      <c r="I778" s="317"/>
      <c r="J778" s="317"/>
      <c r="K778" s="317"/>
      <c r="L778" s="317"/>
      <c r="M778" s="317"/>
      <c r="N778" s="317"/>
      <c r="O778" s="317"/>
      <c r="P778" s="317"/>
      <c r="Q778" s="317"/>
      <c r="R778" s="317"/>
      <c r="S778" s="317"/>
      <c r="T778" s="317"/>
      <c r="U778" s="317"/>
      <c r="V778" s="317"/>
      <c r="W778" s="317"/>
      <c r="X778" s="317"/>
      <c r="Y778" s="317"/>
      <c r="Z778" s="317"/>
      <c r="AA778" s="317"/>
    </row>
    <row r="779">
      <c r="A779" s="317"/>
      <c r="B779" s="317"/>
      <c r="C779" s="317"/>
      <c r="D779" s="317"/>
      <c r="E779" s="317"/>
      <c r="F779" s="317"/>
      <c r="G779" s="317"/>
      <c r="H779" s="317"/>
      <c r="I779" s="317"/>
      <c r="J779" s="317"/>
      <c r="K779" s="317"/>
      <c r="L779" s="317"/>
      <c r="M779" s="317"/>
      <c r="N779" s="317"/>
      <c r="O779" s="317"/>
      <c r="P779" s="317"/>
      <c r="Q779" s="317"/>
      <c r="R779" s="317"/>
      <c r="S779" s="317"/>
      <c r="T779" s="317"/>
      <c r="U779" s="317"/>
      <c r="V779" s="317"/>
      <c r="W779" s="317"/>
      <c r="X779" s="317"/>
      <c r="Y779" s="317"/>
      <c r="Z779" s="317"/>
      <c r="AA779" s="317"/>
    </row>
    <row r="780">
      <c r="A780" s="317"/>
      <c r="B780" s="317"/>
      <c r="C780" s="317"/>
      <c r="D780" s="317"/>
      <c r="E780" s="317"/>
      <c r="F780" s="317"/>
      <c r="G780" s="317"/>
      <c r="H780" s="317"/>
      <c r="I780" s="317"/>
      <c r="J780" s="317"/>
      <c r="K780" s="317"/>
      <c r="L780" s="317"/>
      <c r="M780" s="317"/>
      <c r="N780" s="317"/>
      <c r="O780" s="317"/>
      <c r="P780" s="317"/>
      <c r="Q780" s="317"/>
      <c r="R780" s="317"/>
      <c r="S780" s="317"/>
      <c r="T780" s="317"/>
      <c r="U780" s="317"/>
      <c r="V780" s="317"/>
      <c r="W780" s="317"/>
      <c r="X780" s="317"/>
      <c r="Y780" s="317"/>
      <c r="Z780" s="317"/>
      <c r="AA780" s="317"/>
    </row>
    <row r="781">
      <c r="A781" s="317"/>
      <c r="B781" s="317"/>
      <c r="C781" s="317"/>
      <c r="D781" s="317"/>
      <c r="E781" s="317"/>
      <c r="F781" s="317"/>
      <c r="G781" s="317"/>
      <c r="H781" s="317"/>
      <c r="I781" s="317"/>
      <c r="J781" s="317"/>
      <c r="K781" s="317"/>
      <c r="L781" s="317"/>
      <c r="M781" s="317"/>
      <c r="N781" s="317"/>
      <c r="O781" s="317"/>
      <c r="P781" s="317"/>
      <c r="Q781" s="317"/>
      <c r="R781" s="317"/>
      <c r="S781" s="317"/>
      <c r="T781" s="317"/>
      <c r="U781" s="317"/>
      <c r="V781" s="317"/>
      <c r="W781" s="317"/>
      <c r="X781" s="317"/>
      <c r="Y781" s="317"/>
      <c r="Z781" s="317"/>
      <c r="AA781" s="317"/>
    </row>
    <row r="782">
      <c r="A782" s="317"/>
      <c r="B782" s="317"/>
      <c r="C782" s="317"/>
      <c r="D782" s="317"/>
      <c r="E782" s="317"/>
      <c r="F782" s="317"/>
      <c r="G782" s="317"/>
      <c r="H782" s="317"/>
      <c r="I782" s="317"/>
      <c r="J782" s="317"/>
      <c r="K782" s="317"/>
      <c r="L782" s="317"/>
      <c r="M782" s="317"/>
      <c r="N782" s="317"/>
      <c r="O782" s="317"/>
      <c r="P782" s="317"/>
      <c r="Q782" s="317"/>
      <c r="R782" s="317"/>
      <c r="S782" s="317"/>
      <c r="T782" s="317"/>
      <c r="U782" s="317"/>
      <c r="V782" s="317"/>
      <c r="W782" s="317"/>
      <c r="X782" s="317"/>
      <c r="Y782" s="317"/>
      <c r="Z782" s="317"/>
      <c r="AA782" s="317"/>
    </row>
    <row r="783">
      <c r="A783" s="317"/>
      <c r="B783" s="317"/>
      <c r="C783" s="317"/>
      <c r="D783" s="317"/>
      <c r="E783" s="317"/>
      <c r="F783" s="317"/>
      <c r="G783" s="317"/>
      <c r="H783" s="317"/>
      <c r="I783" s="317"/>
      <c r="J783" s="317"/>
      <c r="K783" s="317"/>
      <c r="L783" s="317"/>
      <c r="M783" s="317"/>
      <c r="N783" s="317"/>
      <c r="O783" s="317"/>
      <c r="P783" s="317"/>
      <c r="Q783" s="317"/>
      <c r="R783" s="317"/>
      <c r="S783" s="317"/>
      <c r="T783" s="317"/>
      <c r="U783" s="317"/>
      <c r="V783" s="317"/>
      <c r="W783" s="317"/>
      <c r="X783" s="317"/>
      <c r="Y783" s="317"/>
      <c r="Z783" s="317"/>
      <c r="AA783" s="317"/>
    </row>
    <row r="784">
      <c r="A784" s="317"/>
      <c r="B784" s="317"/>
      <c r="C784" s="317"/>
      <c r="D784" s="317"/>
      <c r="E784" s="317"/>
      <c r="F784" s="317"/>
      <c r="G784" s="317"/>
      <c r="H784" s="317"/>
      <c r="I784" s="317"/>
      <c r="J784" s="317"/>
      <c r="K784" s="317"/>
      <c r="L784" s="317"/>
      <c r="M784" s="317"/>
      <c r="N784" s="317"/>
      <c r="O784" s="317"/>
      <c r="P784" s="317"/>
      <c r="Q784" s="317"/>
      <c r="R784" s="317"/>
      <c r="S784" s="317"/>
      <c r="T784" s="317"/>
      <c r="U784" s="317"/>
      <c r="V784" s="317"/>
      <c r="W784" s="317"/>
      <c r="X784" s="317"/>
      <c r="Y784" s="317"/>
      <c r="Z784" s="317"/>
      <c r="AA784" s="317"/>
    </row>
    <row r="785">
      <c r="A785" s="317"/>
      <c r="B785" s="317"/>
      <c r="C785" s="317"/>
      <c r="D785" s="317"/>
      <c r="E785" s="317"/>
      <c r="F785" s="317"/>
      <c r="G785" s="317"/>
      <c r="H785" s="317"/>
      <c r="I785" s="317"/>
      <c r="J785" s="317"/>
      <c r="K785" s="317"/>
      <c r="L785" s="317"/>
      <c r="M785" s="317"/>
      <c r="N785" s="317"/>
      <c r="O785" s="317"/>
      <c r="P785" s="317"/>
      <c r="Q785" s="317"/>
      <c r="R785" s="317"/>
      <c r="S785" s="317"/>
      <c r="T785" s="317"/>
      <c r="U785" s="317"/>
      <c r="V785" s="317"/>
      <c r="W785" s="317"/>
      <c r="X785" s="317"/>
      <c r="Y785" s="317"/>
      <c r="Z785" s="317"/>
      <c r="AA785" s="317"/>
    </row>
    <row r="786">
      <c r="A786" s="317"/>
      <c r="B786" s="317"/>
      <c r="C786" s="317"/>
      <c r="D786" s="317"/>
      <c r="E786" s="317"/>
      <c r="F786" s="317"/>
      <c r="G786" s="317"/>
      <c r="H786" s="317"/>
      <c r="I786" s="317"/>
      <c r="J786" s="317"/>
      <c r="K786" s="317"/>
      <c r="L786" s="317"/>
      <c r="M786" s="317"/>
      <c r="N786" s="317"/>
      <c r="O786" s="317"/>
      <c r="P786" s="317"/>
      <c r="Q786" s="317"/>
      <c r="R786" s="317"/>
      <c r="S786" s="317"/>
      <c r="T786" s="317"/>
      <c r="U786" s="317"/>
      <c r="V786" s="317"/>
      <c r="W786" s="317"/>
      <c r="X786" s="317"/>
      <c r="Y786" s="317"/>
      <c r="Z786" s="317"/>
      <c r="AA786" s="317"/>
    </row>
    <row r="787">
      <c r="A787" s="317"/>
      <c r="B787" s="317"/>
      <c r="C787" s="317"/>
      <c r="D787" s="317"/>
      <c r="E787" s="317"/>
      <c r="F787" s="317"/>
      <c r="G787" s="317"/>
      <c r="H787" s="317"/>
      <c r="I787" s="317"/>
      <c r="J787" s="317"/>
      <c r="K787" s="317"/>
      <c r="L787" s="317"/>
      <c r="M787" s="317"/>
      <c r="N787" s="317"/>
      <c r="O787" s="317"/>
      <c r="P787" s="317"/>
      <c r="Q787" s="317"/>
      <c r="R787" s="317"/>
      <c r="S787" s="317"/>
      <c r="T787" s="317"/>
      <c r="U787" s="317"/>
      <c r="V787" s="317"/>
      <c r="W787" s="317"/>
      <c r="X787" s="317"/>
      <c r="Y787" s="317"/>
      <c r="Z787" s="317"/>
      <c r="AA787" s="317"/>
    </row>
    <row r="788">
      <c r="A788" s="317"/>
      <c r="B788" s="317"/>
      <c r="C788" s="317"/>
      <c r="D788" s="317"/>
      <c r="E788" s="317"/>
      <c r="F788" s="317"/>
      <c r="G788" s="317"/>
      <c r="H788" s="317"/>
      <c r="I788" s="317"/>
      <c r="J788" s="317"/>
      <c r="K788" s="317"/>
      <c r="L788" s="317"/>
      <c r="M788" s="317"/>
      <c r="N788" s="317"/>
      <c r="O788" s="317"/>
      <c r="P788" s="317"/>
      <c r="Q788" s="317"/>
      <c r="R788" s="317"/>
      <c r="S788" s="317"/>
      <c r="T788" s="317"/>
      <c r="U788" s="317"/>
      <c r="V788" s="317"/>
      <c r="W788" s="317"/>
      <c r="X788" s="317"/>
      <c r="Y788" s="317"/>
      <c r="Z788" s="317"/>
      <c r="AA788" s="317"/>
    </row>
    <row r="789">
      <c r="A789" s="317"/>
      <c r="B789" s="317"/>
      <c r="C789" s="317"/>
      <c r="D789" s="317"/>
      <c r="E789" s="317"/>
      <c r="F789" s="317"/>
      <c r="G789" s="317"/>
      <c r="H789" s="317"/>
      <c r="I789" s="317"/>
      <c r="J789" s="317"/>
      <c r="K789" s="317"/>
      <c r="L789" s="317"/>
      <c r="M789" s="317"/>
      <c r="N789" s="317"/>
      <c r="O789" s="317"/>
      <c r="P789" s="317"/>
      <c r="Q789" s="317"/>
      <c r="R789" s="317"/>
      <c r="S789" s="317"/>
      <c r="T789" s="317"/>
      <c r="U789" s="317"/>
      <c r="V789" s="317"/>
      <c r="W789" s="317"/>
      <c r="X789" s="317"/>
      <c r="Y789" s="317"/>
      <c r="Z789" s="317"/>
      <c r="AA789" s="317"/>
    </row>
    <row r="790">
      <c r="A790" s="317"/>
      <c r="B790" s="317"/>
      <c r="C790" s="317"/>
      <c r="D790" s="317"/>
      <c r="E790" s="317"/>
      <c r="F790" s="317"/>
      <c r="G790" s="317"/>
      <c r="H790" s="317"/>
      <c r="I790" s="317"/>
      <c r="J790" s="317"/>
      <c r="K790" s="317"/>
      <c r="L790" s="317"/>
      <c r="M790" s="317"/>
      <c r="N790" s="317"/>
      <c r="O790" s="317"/>
      <c r="P790" s="317"/>
      <c r="Q790" s="317"/>
      <c r="R790" s="317"/>
      <c r="S790" s="317"/>
      <c r="T790" s="317"/>
      <c r="U790" s="317"/>
      <c r="V790" s="317"/>
      <c r="W790" s="317"/>
      <c r="X790" s="317"/>
      <c r="Y790" s="317"/>
      <c r="Z790" s="317"/>
      <c r="AA790" s="317"/>
    </row>
    <row r="791">
      <c r="A791" s="317"/>
      <c r="B791" s="317"/>
      <c r="C791" s="317"/>
      <c r="D791" s="317"/>
      <c r="E791" s="317"/>
      <c r="F791" s="317"/>
      <c r="G791" s="317"/>
      <c r="H791" s="317"/>
      <c r="I791" s="317"/>
      <c r="J791" s="317"/>
      <c r="K791" s="317"/>
      <c r="L791" s="317"/>
      <c r="M791" s="317"/>
      <c r="N791" s="317"/>
      <c r="O791" s="317"/>
      <c r="P791" s="317"/>
      <c r="Q791" s="317"/>
      <c r="R791" s="317"/>
      <c r="S791" s="317"/>
      <c r="T791" s="317"/>
      <c r="U791" s="317"/>
      <c r="V791" s="317"/>
      <c r="W791" s="317"/>
      <c r="X791" s="317"/>
      <c r="Y791" s="317"/>
      <c r="Z791" s="317"/>
      <c r="AA791" s="317"/>
    </row>
    <row r="792">
      <c r="A792" s="317"/>
      <c r="B792" s="317"/>
      <c r="C792" s="317"/>
      <c r="D792" s="317"/>
      <c r="E792" s="317"/>
      <c r="F792" s="317"/>
      <c r="G792" s="317"/>
      <c r="H792" s="317"/>
      <c r="I792" s="317"/>
      <c r="J792" s="317"/>
      <c r="K792" s="317"/>
      <c r="L792" s="317"/>
      <c r="M792" s="317"/>
      <c r="N792" s="317"/>
      <c r="O792" s="317"/>
      <c r="P792" s="317"/>
      <c r="Q792" s="317"/>
      <c r="R792" s="317"/>
      <c r="S792" s="317"/>
      <c r="T792" s="317"/>
      <c r="U792" s="317"/>
      <c r="V792" s="317"/>
      <c r="W792" s="317"/>
      <c r="X792" s="317"/>
      <c r="Y792" s="317"/>
      <c r="Z792" s="317"/>
      <c r="AA792" s="317"/>
    </row>
    <row r="793">
      <c r="A793" s="317"/>
      <c r="B793" s="317"/>
      <c r="C793" s="317"/>
      <c r="D793" s="317"/>
      <c r="E793" s="317"/>
      <c r="F793" s="317"/>
      <c r="G793" s="317"/>
      <c r="H793" s="317"/>
      <c r="I793" s="317"/>
      <c r="J793" s="317"/>
      <c r="K793" s="317"/>
      <c r="L793" s="317"/>
      <c r="M793" s="317"/>
      <c r="N793" s="317"/>
      <c r="O793" s="317"/>
      <c r="P793" s="317"/>
      <c r="Q793" s="317"/>
      <c r="R793" s="317"/>
      <c r="S793" s="317"/>
      <c r="T793" s="317"/>
      <c r="U793" s="317"/>
      <c r="V793" s="317"/>
      <c r="W793" s="317"/>
      <c r="X793" s="317"/>
      <c r="Y793" s="317"/>
      <c r="Z793" s="317"/>
      <c r="AA793" s="317"/>
    </row>
    <row r="794">
      <c r="A794" s="317"/>
      <c r="B794" s="317"/>
      <c r="C794" s="317"/>
      <c r="D794" s="317"/>
      <c r="E794" s="317"/>
      <c r="F794" s="317"/>
      <c r="G794" s="317"/>
      <c r="H794" s="317"/>
      <c r="I794" s="317"/>
      <c r="J794" s="317"/>
      <c r="K794" s="317"/>
      <c r="L794" s="317"/>
      <c r="M794" s="317"/>
      <c r="N794" s="317"/>
      <c r="O794" s="317"/>
      <c r="P794" s="317"/>
      <c r="Q794" s="317"/>
      <c r="R794" s="317"/>
      <c r="S794" s="317"/>
      <c r="T794" s="317"/>
      <c r="U794" s="317"/>
      <c r="V794" s="317"/>
      <c r="W794" s="317"/>
      <c r="X794" s="317"/>
      <c r="Y794" s="317"/>
      <c r="Z794" s="317"/>
      <c r="AA794" s="317"/>
    </row>
    <row r="795">
      <c r="A795" s="317"/>
      <c r="B795" s="317"/>
      <c r="C795" s="317"/>
      <c r="D795" s="317"/>
      <c r="E795" s="317"/>
      <c r="F795" s="317"/>
      <c r="G795" s="317"/>
      <c r="H795" s="317"/>
      <c r="I795" s="317"/>
      <c r="J795" s="317"/>
      <c r="K795" s="317"/>
      <c r="L795" s="317"/>
      <c r="M795" s="317"/>
      <c r="N795" s="317"/>
      <c r="O795" s="317"/>
      <c r="P795" s="317"/>
      <c r="Q795" s="317"/>
      <c r="R795" s="317"/>
      <c r="S795" s="317"/>
      <c r="T795" s="317"/>
      <c r="U795" s="317"/>
      <c r="V795" s="317"/>
      <c r="W795" s="317"/>
      <c r="X795" s="317"/>
      <c r="Y795" s="317"/>
      <c r="Z795" s="317"/>
      <c r="AA795" s="317"/>
    </row>
    <row r="796">
      <c r="A796" s="317"/>
      <c r="B796" s="317"/>
      <c r="C796" s="317"/>
      <c r="D796" s="317"/>
      <c r="E796" s="317"/>
      <c r="F796" s="317"/>
      <c r="G796" s="317"/>
      <c r="H796" s="317"/>
      <c r="I796" s="317"/>
      <c r="J796" s="317"/>
      <c r="K796" s="317"/>
      <c r="L796" s="317"/>
      <c r="M796" s="317"/>
      <c r="N796" s="317"/>
      <c r="O796" s="317"/>
      <c r="P796" s="317"/>
      <c r="Q796" s="317"/>
      <c r="R796" s="317"/>
      <c r="S796" s="317"/>
      <c r="T796" s="317"/>
      <c r="U796" s="317"/>
      <c r="V796" s="317"/>
      <c r="W796" s="317"/>
      <c r="X796" s="317"/>
      <c r="Y796" s="317"/>
      <c r="Z796" s="317"/>
      <c r="AA796" s="317"/>
    </row>
    <row r="797">
      <c r="A797" s="317"/>
      <c r="B797" s="317"/>
      <c r="C797" s="317"/>
      <c r="D797" s="317"/>
      <c r="E797" s="317"/>
      <c r="F797" s="317"/>
      <c r="G797" s="317"/>
      <c r="H797" s="317"/>
      <c r="I797" s="317"/>
      <c r="J797" s="317"/>
      <c r="K797" s="317"/>
      <c r="L797" s="317"/>
      <c r="M797" s="317"/>
      <c r="N797" s="317"/>
      <c r="O797" s="317"/>
      <c r="P797" s="317"/>
      <c r="Q797" s="317"/>
      <c r="R797" s="317"/>
      <c r="S797" s="317"/>
      <c r="T797" s="317"/>
      <c r="U797" s="317"/>
      <c r="V797" s="317"/>
      <c r="W797" s="317"/>
      <c r="X797" s="317"/>
      <c r="Y797" s="317"/>
      <c r="Z797" s="317"/>
      <c r="AA797" s="317"/>
    </row>
    <row r="798">
      <c r="A798" s="317"/>
      <c r="B798" s="317"/>
      <c r="C798" s="317"/>
      <c r="D798" s="317"/>
      <c r="E798" s="317"/>
      <c r="F798" s="317"/>
      <c r="G798" s="317"/>
      <c r="H798" s="317"/>
      <c r="I798" s="317"/>
      <c r="J798" s="317"/>
      <c r="K798" s="317"/>
      <c r="L798" s="317"/>
      <c r="M798" s="317"/>
      <c r="N798" s="317"/>
      <c r="O798" s="317"/>
      <c r="P798" s="317"/>
      <c r="Q798" s="317"/>
      <c r="R798" s="317"/>
      <c r="S798" s="317"/>
      <c r="T798" s="317"/>
      <c r="U798" s="317"/>
      <c r="V798" s="317"/>
      <c r="W798" s="317"/>
      <c r="X798" s="317"/>
      <c r="Y798" s="317"/>
      <c r="Z798" s="317"/>
      <c r="AA798" s="317"/>
    </row>
    <row r="799">
      <c r="A799" s="317"/>
      <c r="B799" s="317"/>
      <c r="C799" s="317"/>
      <c r="D799" s="317"/>
      <c r="E799" s="317"/>
      <c r="F799" s="317"/>
      <c r="G799" s="317"/>
      <c r="H799" s="317"/>
      <c r="I799" s="317"/>
      <c r="J799" s="317"/>
      <c r="K799" s="317"/>
      <c r="L799" s="317"/>
      <c r="M799" s="317"/>
      <c r="N799" s="317"/>
      <c r="O799" s="317"/>
      <c r="P799" s="317"/>
      <c r="Q799" s="317"/>
      <c r="R799" s="317"/>
      <c r="S799" s="317"/>
      <c r="T799" s="317"/>
      <c r="U799" s="317"/>
      <c r="V799" s="317"/>
      <c r="W799" s="317"/>
      <c r="X799" s="317"/>
      <c r="Y799" s="317"/>
      <c r="Z799" s="317"/>
      <c r="AA799" s="317"/>
    </row>
    <row r="800">
      <c r="A800" s="317"/>
      <c r="B800" s="317"/>
      <c r="C800" s="317"/>
      <c r="D800" s="317"/>
      <c r="E800" s="317"/>
      <c r="F800" s="317"/>
      <c r="G800" s="317"/>
      <c r="H800" s="317"/>
      <c r="I800" s="317"/>
      <c r="J800" s="317"/>
      <c r="K800" s="317"/>
      <c r="L800" s="317"/>
      <c r="M800" s="317"/>
      <c r="N800" s="317"/>
      <c r="O800" s="317"/>
      <c r="P800" s="317"/>
      <c r="Q800" s="317"/>
      <c r="R800" s="317"/>
      <c r="S800" s="317"/>
      <c r="T800" s="317"/>
      <c r="U800" s="317"/>
      <c r="V800" s="317"/>
      <c r="W800" s="317"/>
      <c r="X800" s="317"/>
      <c r="Y800" s="317"/>
      <c r="Z800" s="317"/>
      <c r="AA800" s="317"/>
    </row>
    <row r="801">
      <c r="A801" s="317"/>
      <c r="B801" s="317"/>
      <c r="C801" s="317"/>
      <c r="D801" s="317"/>
      <c r="E801" s="317"/>
      <c r="F801" s="317"/>
      <c r="G801" s="317"/>
      <c r="H801" s="317"/>
      <c r="I801" s="317"/>
      <c r="J801" s="317"/>
      <c r="K801" s="317"/>
      <c r="L801" s="317"/>
      <c r="M801" s="317"/>
      <c r="N801" s="317"/>
      <c r="O801" s="317"/>
      <c r="P801" s="317"/>
      <c r="Q801" s="317"/>
      <c r="R801" s="317"/>
      <c r="S801" s="317"/>
      <c r="T801" s="317"/>
      <c r="U801" s="317"/>
      <c r="V801" s="317"/>
      <c r="W801" s="317"/>
      <c r="X801" s="317"/>
      <c r="Y801" s="317"/>
      <c r="Z801" s="317"/>
      <c r="AA801" s="317"/>
    </row>
    <row r="802">
      <c r="A802" s="317"/>
      <c r="B802" s="317"/>
      <c r="C802" s="317"/>
      <c r="D802" s="317"/>
      <c r="E802" s="317"/>
      <c r="F802" s="317"/>
      <c r="G802" s="317"/>
      <c r="H802" s="317"/>
      <c r="I802" s="317"/>
      <c r="J802" s="317"/>
      <c r="K802" s="317"/>
      <c r="L802" s="317"/>
      <c r="M802" s="317"/>
      <c r="N802" s="317"/>
      <c r="O802" s="317"/>
      <c r="P802" s="317"/>
      <c r="Q802" s="317"/>
      <c r="R802" s="317"/>
      <c r="S802" s="317"/>
      <c r="T802" s="317"/>
      <c r="U802" s="317"/>
      <c r="V802" s="317"/>
      <c r="W802" s="317"/>
      <c r="X802" s="317"/>
      <c r="Y802" s="317"/>
      <c r="Z802" s="317"/>
      <c r="AA802" s="317"/>
    </row>
    <row r="803">
      <c r="A803" s="317"/>
      <c r="B803" s="317"/>
      <c r="C803" s="317"/>
      <c r="D803" s="317"/>
      <c r="E803" s="317"/>
      <c r="F803" s="317"/>
      <c r="G803" s="317"/>
      <c r="H803" s="317"/>
      <c r="I803" s="317"/>
      <c r="J803" s="317"/>
      <c r="K803" s="317"/>
      <c r="L803" s="317"/>
      <c r="M803" s="317"/>
      <c r="N803" s="317"/>
      <c r="O803" s="317"/>
      <c r="P803" s="317"/>
      <c r="Q803" s="317"/>
      <c r="R803" s="317"/>
      <c r="S803" s="317"/>
      <c r="T803" s="317"/>
      <c r="U803" s="317"/>
      <c r="V803" s="317"/>
      <c r="W803" s="317"/>
      <c r="X803" s="317"/>
      <c r="Y803" s="317"/>
      <c r="Z803" s="317"/>
      <c r="AA803" s="317"/>
    </row>
    <row r="804">
      <c r="A804" s="317"/>
      <c r="B804" s="317"/>
      <c r="C804" s="317"/>
      <c r="D804" s="317"/>
      <c r="E804" s="317"/>
      <c r="F804" s="317"/>
      <c r="G804" s="317"/>
      <c r="H804" s="317"/>
      <c r="I804" s="317"/>
      <c r="J804" s="317"/>
      <c r="K804" s="317"/>
      <c r="L804" s="317"/>
      <c r="M804" s="317"/>
      <c r="N804" s="317"/>
      <c r="O804" s="317"/>
      <c r="P804" s="317"/>
      <c r="Q804" s="317"/>
      <c r="R804" s="317"/>
      <c r="S804" s="317"/>
      <c r="T804" s="317"/>
      <c r="U804" s="317"/>
      <c r="V804" s="317"/>
      <c r="W804" s="317"/>
      <c r="X804" s="317"/>
      <c r="Y804" s="317"/>
      <c r="Z804" s="317"/>
      <c r="AA804" s="317"/>
    </row>
    <row r="805">
      <c r="A805" s="317"/>
      <c r="B805" s="317"/>
      <c r="C805" s="317"/>
      <c r="D805" s="317"/>
      <c r="E805" s="317"/>
      <c r="F805" s="317"/>
      <c r="G805" s="317"/>
      <c r="H805" s="317"/>
      <c r="I805" s="317"/>
      <c r="J805" s="317"/>
      <c r="K805" s="317"/>
      <c r="L805" s="317"/>
      <c r="M805" s="317"/>
      <c r="N805" s="317"/>
      <c r="O805" s="317"/>
      <c r="P805" s="317"/>
      <c r="Q805" s="317"/>
      <c r="R805" s="317"/>
      <c r="S805" s="317"/>
      <c r="T805" s="317"/>
      <c r="U805" s="317"/>
      <c r="V805" s="317"/>
      <c r="W805" s="317"/>
      <c r="X805" s="317"/>
      <c r="Y805" s="317"/>
      <c r="Z805" s="317"/>
      <c r="AA805" s="317"/>
    </row>
    <row r="806">
      <c r="A806" s="317"/>
      <c r="B806" s="317"/>
      <c r="C806" s="317"/>
      <c r="D806" s="317"/>
      <c r="E806" s="317"/>
      <c r="F806" s="317"/>
      <c r="G806" s="317"/>
      <c r="H806" s="317"/>
      <c r="I806" s="317"/>
      <c r="J806" s="317"/>
      <c r="K806" s="317"/>
      <c r="L806" s="317"/>
      <c r="M806" s="317"/>
      <c r="N806" s="317"/>
      <c r="O806" s="317"/>
      <c r="P806" s="317"/>
      <c r="Q806" s="317"/>
      <c r="R806" s="317"/>
      <c r="S806" s="317"/>
      <c r="T806" s="317"/>
      <c r="U806" s="317"/>
      <c r="V806" s="317"/>
      <c r="W806" s="317"/>
      <c r="X806" s="317"/>
      <c r="Y806" s="317"/>
      <c r="Z806" s="317"/>
      <c r="AA806" s="317"/>
    </row>
    <row r="807">
      <c r="A807" s="317"/>
      <c r="B807" s="317"/>
      <c r="C807" s="317"/>
      <c r="D807" s="317"/>
      <c r="E807" s="317"/>
      <c r="F807" s="317"/>
      <c r="G807" s="317"/>
      <c r="H807" s="317"/>
      <c r="I807" s="317"/>
      <c r="J807" s="317"/>
      <c r="K807" s="317"/>
      <c r="L807" s="317"/>
      <c r="M807" s="317"/>
      <c r="N807" s="317"/>
      <c r="O807" s="317"/>
      <c r="P807" s="317"/>
      <c r="Q807" s="317"/>
      <c r="R807" s="317"/>
      <c r="S807" s="317"/>
      <c r="T807" s="317"/>
      <c r="U807" s="317"/>
      <c r="V807" s="317"/>
      <c r="W807" s="317"/>
      <c r="X807" s="317"/>
      <c r="Y807" s="317"/>
      <c r="Z807" s="317"/>
      <c r="AA807" s="317"/>
    </row>
    <row r="808">
      <c r="A808" s="317"/>
      <c r="B808" s="317"/>
      <c r="C808" s="317"/>
      <c r="D808" s="317"/>
      <c r="E808" s="317"/>
      <c r="F808" s="317"/>
      <c r="G808" s="317"/>
      <c r="H808" s="317"/>
      <c r="I808" s="317"/>
      <c r="J808" s="317"/>
      <c r="K808" s="317"/>
      <c r="L808" s="317"/>
      <c r="M808" s="317"/>
      <c r="N808" s="317"/>
      <c r="O808" s="317"/>
      <c r="P808" s="317"/>
      <c r="Q808" s="317"/>
      <c r="R808" s="317"/>
      <c r="S808" s="317"/>
      <c r="T808" s="317"/>
      <c r="U808" s="317"/>
      <c r="V808" s="317"/>
      <c r="W808" s="317"/>
      <c r="X808" s="317"/>
      <c r="Y808" s="317"/>
      <c r="Z808" s="317"/>
      <c r="AA808" s="317"/>
    </row>
    <row r="809">
      <c r="A809" s="317"/>
      <c r="B809" s="317"/>
      <c r="C809" s="317"/>
      <c r="D809" s="317"/>
      <c r="E809" s="317"/>
      <c r="F809" s="317"/>
      <c r="G809" s="317"/>
      <c r="H809" s="317"/>
      <c r="I809" s="317"/>
      <c r="J809" s="317"/>
      <c r="K809" s="317"/>
      <c r="L809" s="317"/>
      <c r="M809" s="317"/>
      <c r="N809" s="317"/>
      <c r="O809" s="317"/>
      <c r="P809" s="317"/>
      <c r="Q809" s="317"/>
      <c r="R809" s="317"/>
      <c r="S809" s="317"/>
      <c r="T809" s="317"/>
      <c r="U809" s="317"/>
      <c r="V809" s="317"/>
      <c r="W809" s="317"/>
      <c r="X809" s="317"/>
      <c r="Y809" s="317"/>
      <c r="Z809" s="317"/>
      <c r="AA809" s="317"/>
    </row>
    <row r="810">
      <c r="A810" s="317"/>
      <c r="B810" s="317"/>
      <c r="C810" s="317"/>
      <c r="D810" s="317"/>
      <c r="E810" s="317"/>
      <c r="F810" s="317"/>
      <c r="G810" s="317"/>
      <c r="H810" s="317"/>
      <c r="I810" s="317"/>
      <c r="J810" s="317"/>
      <c r="K810" s="317"/>
      <c r="L810" s="317"/>
      <c r="M810" s="317"/>
      <c r="N810" s="317"/>
      <c r="O810" s="317"/>
      <c r="P810" s="317"/>
      <c r="Q810" s="317"/>
      <c r="R810" s="317"/>
      <c r="S810" s="317"/>
      <c r="T810" s="317"/>
      <c r="U810" s="317"/>
      <c r="V810" s="317"/>
      <c r="W810" s="317"/>
      <c r="X810" s="317"/>
      <c r="Y810" s="317"/>
      <c r="Z810" s="317"/>
      <c r="AA810" s="317"/>
    </row>
    <row r="811">
      <c r="A811" s="317"/>
      <c r="B811" s="317"/>
      <c r="C811" s="317"/>
      <c r="D811" s="317"/>
      <c r="E811" s="317"/>
      <c r="F811" s="317"/>
      <c r="G811" s="317"/>
      <c r="H811" s="317"/>
      <c r="I811" s="317"/>
      <c r="J811" s="317"/>
      <c r="K811" s="317"/>
      <c r="L811" s="317"/>
      <c r="M811" s="317"/>
      <c r="N811" s="317"/>
      <c r="O811" s="317"/>
      <c r="P811" s="317"/>
      <c r="Q811" s="317"/>
      <c r="R811" s="317"/>
      <c r="S811" s="317"/>
      <c r="T811" s="317"/>
      <c r="U811" s="317"/>
      <c r="V811" s="317"/>
      <c r="W811" s="317"/>
      <c r="X811" s="317"/>
      <c r="Y811" s="317"/>
      <c r="Z811" s="317"/>
      <c r="AA811" s="317"/>
    </row>
    <row r="812">
      <c r="A812" s="317"/>
      <c r="B812" s="317"/>
      <c r="C812" s="317"/>
      <c r="D812" s="317"/>
      <c r="E812" s="317"/>
      <c r="F812" s="317"/>
      <c r="G812" s="317"/>
      <c r="H812" s="317"/>
      <c r="I812" s="317"/>
      <c r="J812" s="317"/>
      <c r="K812" s="317"/>
      <c r="L812" s="317"/>
      <c r="M812" s="317"/>
      <c r="N812" s="317"/>
      <c r="O812" s="317"/>
      <c r="P812" s="317"/>
      <c r="Q812" s="317"/>
      <c r="R812" s="317"/>
      <c r="S812" s="317"/>
      <c r="T812" s="317"/>
      <c r="U812" s="317"/>
      <c r="V812" s="317"/>
      <c r="W812" s="317"/>
      <c r="X812" s="317"/>
      <c r="Y812" s="317"/>
      <c r="Z812" s="317"/>
      <c r="AA812" s="317"/>
    </row>
    <row r="813">
      <c r="A813" s="317"/>
      <c r="B813" s="317"/>
      <c r="C813" s="317"/>
      <c r="D813" s="317"/>
      <c r="E813" s="317"/>
      <c r="F813" s="317"/>
      <c r="G813" s="317"/>
      <c r="H813" s="317"/>
      <c r="I813" s="317"/>
      <c r="J813" s="317"/>
      <c r="K813" s="317"/>
      <c r="L813" s="317"/>
      <c r="M813" s="317"/>
      <c r="N813" s="317"/>
      <c r="O813" s="317"/>
      <c r="P813" s="317"/>
      <c r="Q813" s="317"/>
      <c r="R813" s="317"/>
      <c r="S813" s="317"/>
      <c r="T813" s="317"/>
      <c r="U813" s="317"/>
      <c r="V813" s="317"/>
      <c r="W813" s="317"/>
      <c r="X813" s="317"/>
      <c r="Y813" s="317"/>
      <c r="Z813" s="317"/>
      <c r="AA813" s="317"/>
    </row>
    <row r="814">
      <c r="A814" s="317"/>
      <c r="B814" s="317"/>
      <c r="C814" s="317"/>
      <c r="D814" s="317"/>
      <c r="E814" s="317"/>
      <c r="F814" s="317"/>
      <c r="G814" s="317"/>
      <c r="H814" s="317"/>
      <c r="I814" s="317"/>
      <c r="J814" s="317"/>
      <c r="K814" s="317"/>
      <c r="L814" s="317"/>
      <c r="M814" s="317"/>
      <c r="N814" s="317"/>
      <c r="O814" s="317"/>
      <c r="P814" s="317"/>
      <c r="Q814" s="317"/>
      <c r="R814" s="317"/>
      <c r="S814" s="317"/>
      <c r="T814" s="317"/>
      <c r="U814" s="317"/>
      <c r="V814" s="317"/>
      <c r="W814" s="317"/>
      <c r="X814" s="317"/>
      <c r="Y814" s="317"/>
      <c r="Z814" s="317"/>
      <c r="AA814" s="317"/>
    </row>
    <row r="815">
      <c r="A815" s="317"/>
      <c r="B815" s="317"/>
      <c r="C815" s="317"/>
      <c r="D815" s="317"/>
      <c r="E815" s="317"/>
      <c r="F815" s="317"/>
      <c r="G815" s="317"/>
      <c r="H815" s="317"/>
      <c r="I815" s="317"/>
      <c r="J815" s="317"/>
      <c r="K815" s="317"/>
      <c r="L815" s="317"/>
      <c r="M815" s="317"/>
      <c r="N815" s="317"/>
      <c r="O815" s="317"/>
      <c r="P815" s="317"/>
      <c r="Q815" s="317"/>
      <c r="R815" s="317"/>
      <c r="S815" s="317"/>
      <c r="T815" s="317"/>
      <c r="U815" s="317"/>
      <c r="V815" s="317"/>
      <c r="W815" s="317"/>
      <c r="X815" s="317"/>
      <c r="Y815" s="317"/>
      <c r="Z815" s="317"/>
      <c r="AA815" s="317"/>
    </row>
    <row r="816">
      <c r="A816" s="317"/>
      <c r="B816" s="317"/>
      <c r="C816" s="317"/>
      <c r="D816" s="317"/>
      <c r="E816" s="317"/>
      <c r="F816" s="317"/>
      <c r="G816" s="317"/>
      <c r="H816" s="317"/>
      <c r="I816" s="317"/>
      <c r="J816" s="317"/>
      <c r="K816" s="317"/>
      <c r="L816" s="317"/>
      <c r="M816" s="317"/>
      <c r="N816" s="317"/>
      <c r="O816" s="317"/>
      <c r="P816" s="317"/>
      <c r="Q816" s="317"/>
      <c r="R816" s="317"/>
      <c r="S816" s="317"/>
      <c r="T816" s="317"/>
      <c r="U816" s="317"/>
      <c r="V816" s="317"/>
      <c r="W816" s="317"/>
      <c r="X816" s="317"/>
      <c r="Y816" s="317"/>
      <c r="Z816" s="317"/>
      <c r="AA816" s="317"/>
    </row>
    <row r="817">
      <c r="A817" s="317"/>
      <c r="B817" s="317"/>
      <c r="C817" s="317"/>
      <c r="D817" s="317"/>
      <c r="E817" s="317"/>
      <c r="F817" s="317"/>
      <c r="G817" s="317"/>
      <c r="H817" s="317"/>
      <c r="I817" s="317"/>
      <c r="J817" s="317"/>
      <c r="K817" s="317"/>
      <c r="L817" s="317"/>
      <c r="M817" s="317"/>
      <c r="N817" s="317"/>
      <c r="O817" s="317"/>
      <c r="P817" s="317"/>
      <c r="Q817" s="317"/>
      <c r="R817" s="317"/>
      <c r="S817" s="317"/>
      <c r="T817" s="317"/>
      <c r="U817" s="317"/>
      <c r="V817" s="317"/>
      <c r="W817" s="317"/>
      <c r="X817" s="317"/>
      <c r="Y817" s="317"/>
      <c r="Z817" s="317"/>
      <c r="AA817" s="317"/>
    </row>
    <row r="818">
      <c r="A818" s="317"/>
      <c r="B818" s="317"/>
      <c r="C818" s="317"/>
      <c r="D818" s="317"/>
      <c r="E818" s="317"/>
      <c r="F818" s="317"/>
      <c r="G818" s="317"/>
      <c r="H818" s="317"/>
      <c r="I818" s="317"/>
      <c r="J818" s="317"/>
      <c r="K818" s="317"/>
      <c r="L818" s="317"/>
      <c r="M818" s="317"/>
      <c r="N818" s="317"/>
      <c r="O818" s="317"/>
      <c r="P818" s="317"/>
      <c r="Q818" s="317"/>
      <c r="R818" s="317"/>
      <c r="S818" s="317"/>
      <c r="T818" s="317"/>
      <c r="U818" s="317"/>
      <c r="V818" s="317"/>
      <c r="W818" s="317"/>
      <c r="X818" s="317"/>
      <c r="Y818" s="317"/>
      <c r="Z818" s="317"/>
      <c r="AA818" s="317"/>
    </row>
    <row r="819">
      <c r="A819" s="317"/>
      <c r="B819" s="317"/>
      <c r="C819" s="317"/>
      <c r="D819" s="317"/>
      <c r="E819" s="317"/>
      <c r="F819" s="317"/>
      <c r="G819" s="317"/>
      <c r="H819" s="317"/>
      <c r="I819" s="317"/>
      <c r="J819" s="317"/>
      <c r="K819" s="317"/>
      <c r="L819" s="317"/>
      <c r="M819" s="317"/>
      <c r="N819" s="317"/>
      <c r="O819" s="317"/>
      <c r="P819" s="317"/>
      <c r="Q819" s="317"/>
      <c r="R819" s="317"/>
      <c r="S819" s="317"/>
      <c r="T819" s="317"/>
      <c r="U819" s="317"/>
      <c r="V819" s="317"/>
      <c r="W819" s="317"/>
      <c r="X819" s="317"/>
      <c r="Y819" s="317"/>
      <c r="Z819" s="317"/>
      <c r="AA819" s="317"/>
    </row>
    <row r="820">
      <c r="A820" s="317"/>
      <c r="B820" s="317"/>
      <c r="C820" s="317"/>
      <c r="D820" s="317"/>
      <c r="E820" s="317"/>
      <c r="F820" s="317"/>
      <c r="G820" s="317"/>
      <c r="H820" s="317"/>
      <c r="I820" s="317"/>
      <c r="J820" s="317"/>
      <c r="K820" s="317"/>
      <c r="L820" s="317"/>
      <c r="M820" s="317"/>
      <c r="N820" s="317"/>
      <c r="O820" s="317"/>
      <c r="P820" s="317"/>
      <c r="Q820" s="317"/>
      <c r="R820" s="317"/>
      <c r="S820" s="317"/>
      <c r="T820" s="317"/>
      <c r="U820" s="317"/>
      <c r="V820" s="317"/>
      <c r="W820" s="317"/>
      <c r="X820" s="317"/>
      <c r="Y820" s="317"/>
      <c r="Z820" s="317"/>
      <c r="AA820" s="317"/>
    </row>
    <row r="821">
      <c r="A821" s="317"/>
      <c r="B821" s="317"/>
      <c r="C821" s="317"/>
      <c r="D821" s="317"/>
      <c r="E821" s="317"/>
      <c r="F821" s="317"/>
      <c r="G821" s="317"/>
      <c r="H821" s="317"/>
      <c r="I821" s="317"/>
      <c r="J821" s="317"/>
      <c r="K821" s="317"/>
      <c r="L821" s="317"/>
      <c r="M821" s="317"/>
      <c r="N821" s="317"/>
      <c r="O821" s="317"/>
      <c r="P821" s="317"/>
      <c r="Q821" s="317"/>
      <c r="R821" s="317"/>
      <c r="S821" s="317"/>
      <c r="T821" s="317"/>
      <c r="U821" s="317"/>
      <c r="V821" s="317"/>
      <c r="W821" s="317"/>
      <c r="X821" s="317"/>
      <c r="Y821" s="317"/>
      <c r="Z821" s="317"/>
      <c r="AA821" s="317"/>
    </row>
    <row r="822">
      <c r="A822" s="317"/>
      <c r="B822" s="317"/>
      <c r="C822" s="317"/>
      <c r="D822" s="317"/>
      <c r="E822" s="317"/>
      <c r="F822" s="317"/>
      <c r="G822" s="317"/>
      <c r="H822" s="317"/>
      <c r="I822" s="317"/>
      <c r="J822" s="317"/>
      <c r="K822" s="317"/>
      <c r="L822" s="317"/>
      <c r="M822" s="317"/>
      <c r="N822" s="317"/>
      <c r="O822" s="317"/>
      <c r="P822" s="317"/>
      <c r="Q822" s="317"/>
      <c r="R822" s="317"/>
      <c r="S822" s="317"/>
      <c r="T822" s="317"/>
      <c r="U822" s="317"/>
      <c r="V822" s="317"/>
      <c r="W822" s="317"/>
      <c r="X822" s="317"/>
      <c r="Y822" s="317"/>
      <c r="Z822" s="317"/>
      <c r="AA822" s="317"/>
    </row>
    <row r="823">
      <c r="A823" s="317"/>
      <c r="B823" s="317"/>
      <c r="C823" s="317"/>
      <c r="D823" s="317"/>
      <c r="E823" s="317"/>
      <c r="F823" s="317"/>
      <c r="G823" s="317"/>
      <c r="H823" s="317"/>
      <c r="I823" s="317"/>
      <c r="J823" s="317"/>
      <c r="K823" s="317"/>
      <c r="L823" s="317"/>
      <c r="M823" s="317"/>
      <c r="N823" s="317"/>
      <c r="O823" s="317"/>
      <c r="P823" s="317"/>
      <c r="Q823" s="317"/>
      <c r="R823" s="317"/>
      <c r="S823" s="317"/>
      <c r="T823" s="317"/>
      <c r="U823" s="317"/>
      <c r="V823" s="317"/>
      <c r="W823" s="317"/>
      <c r="X823" s="317"/>
      <c r="Y823" s="317"/>
      <c r="Z823" s="317"/>
      <c r="AA823" s="317"/>
    </row>
    <row r="824">
      <c r="A824" s="317"/>
      <c r="B824" s="317"/>
      <c r="C824" s="317"/>
      <c r="D824" s="317"/>
      <c r="E824" s="317"/>
      <c r="F824" s="317"/>
      <c r="G824" s="317"/>
      <c r="H824" s="317"/>
      <c r="I824" s="317"/>
      <c r="J824" s="317"/>
      <c r="K824" s="317"/>
      <c r="L824" s="317"/>
      <c r="M824" s="317"/>
      <c r="N824" s="317"/>
      <c r="O824" s="317"/>
      <c r="P824" s="317"/>
      <c r="Q824" s="317"/>
      <c r="R824" s="317"/>
      <c r="S824" s="317"/>
      <c r="T824" s="317"/>
      <c r="U824" s="317"/>
      <c r="V824" s="317"/>
      <c r="W824" s="317"/>
      <c r="X824" s="317"/>
      <c r="Y824" s="317"/>
      <c r="Z824" s="317"/>
      <c r="AA824" s="317"/>
    </row>
    <row r="825">
      <c r="A825" s="317"/>
      <c r="B825" s="317"/>
      <c r="C825" s="317"/>
      <c r="D825" s="317"/>
      <c r="E825" s="317"/>
      <c r="F825" s="317"/>
      <c r="G825" s="317"/>
      <c r="H825" s="317"/>
      <c r="I825" s="317"/>
      <c r="J825" s="317"/>
      <c r="K825" s="317"/>
      <c r="L825" s="317"/>
      <c r="M825" s="317"/>
      <c r="N825" s="317"/>
      <c r="O825" s="317"/>
      <c r="P825" s="317"/>
      <c r="Q825" s="317"/>
      <c r="R825" s="317"/>
      <c r="S825" s="317"/>
      <c r="T825" s="317"/>
      <c r="U825" s="317"/>
      <c r="V825" s="317"/>
      <c r="W825" s="317"/>
      <c r="X825" s="317"/>
      <c r="Y825" s="317"/>
      <c r="Z825" s="317"/>
      <c r="AA825" s="317"/>
    </row>
    <row r="826">
      <c r="A826" s="317"/>
      <c r="B826" s="317"/>
      <c r="C826" s="317"/>
      <c r="D826" s="317"/>
      <c r="E826" s="317"/>
      <c r="F826" s="317"/>
      <c r="G826" s="317"/>
      <c r="H826" s="317"/>
      <c r="I826" s="317"/>
      <c r="J826" s="317"/>
      <c r="K826" s="317"/>
      <c r="L826" s="317"/>
      <c r="M826" s="317"/>
      <c r="N826" s="317"/>
      <c r="O826" s="317"/>
      <c r="P826" s="317"/>
      <c r="Q826" s="317"/>
      <c r="R826" s="317"/>
      <c r="S826" s="317"/>
      <c r="T826" s="317"/>
      <c r="U826" s="317"/>
      <c r="V826" s="317"/>
      <c r="W826" s="317"/>
      <c r="X826" s="317"/>
      <c r="Y826" s="317"/>
      <c r="Z826" s="317"/>
      <c r="AA826" s="317"/>
    </row>
    <row r="827">
      <c r="A827" s="317"/>
      <c r="B827" s="317"/>
      <c r="C827" s="317"/>
      <c r="D827" s="317"/>
      <c r="E827" s="317"/>
      <c r="F827" s="317"/>
      <c r="G827" s="317"/>
      <c r="H827" s="317"/>
      <c r="I827" s="317"/>
      <c r="J827" s="317"/>
      <c r="K827" s="317"/>
      <c r="L827" s="317"/>
      <c r="M827" s="317"/>
      <c r="N827" s="317"/>
      <c r="O827" s="317"/>
      <c r="P827" s="317"/>
      <c r="Q827" s="317"/>
      <c r="R827" s="317"/>
      <c r="S827" s="317"/>
      <c r="T827" s="317"/>
      <c r="U827" s="317"/>
      <c r="V827" s="317"/>
      <c r="W827" s="317"/>
      <c r="X827" s="317"/>
      <c r="Y827" s="317"/>
      <c r="Z827" s="317"/>
      <c r="AA827" s="317"/>
    </row>
    <row r="828">
      <c r="A828" s="317"/>
      <c r="B828" s="317"/>
      <c r="C828" s="317"/>
      <c r="D828" s="317"/>
      <c r="E828" s="317"/>
      <c r="F828" s="317"/>
      <c r="G828" s="317"/>
      <c r="H828" s="317"/>
      <c r="I828" s="317"/>
      <c r="J828" s="317"/>
      <c r="K828" s="317"/>
      <c r="L828" s="317"/>
      <c r="M828" s="317"/>
      <c r="N828" s="317"/>
      <c r="O828" s="317"/>
      <c r="P828" s="317"/>
      <c r="Q828" s="317"/>
      <c r="R828" s="317"/>
      <c r="S828" s="317"/>
      <c r="T828" s="317"/>
      <c r="U828" s="317"/>
      <c r="V828" s="317"/>
      <c r="W828" s="317"/>
      <c r="X828" s="317"/>
      <c r="Y828" s="317"/>
      <c r="Z828" s="317"/>
      <c r="AA828" s="317"/>
    </row>
    <row r="829">
      <c r="A829" s="317"/>
      <c r="B829" s="317"/>
      <c r="C829" s="317"/>
      <c r="D829" s="317"/>
      <c r="E829" s="317"/>
      <c r="F829" s="317"/>
      <c r="G829" s="317"/>
      <c r="H829" s="317"/>
      <c r="I829" s="317"/>
      <c r="J829" s="317"/>
      <c r="K829" s="317"/>
      <c r="L829" s="317"/>
      <c r="M829" s="317"/>
      <c r="N829" s="317"/>
      <c r="O829" s="317"/>
      <c r="P829" s="317"/>
      <c r="Q829" s="317"/>
      <c r="R829" s="317"/>
      <c r="S829" s="317"/>
      <c r="T829" s="317"/>
      <c r="U829" s="317"/>
      <c r="V829" s="317"/>
      <c r="W829" s="317"/>
      <c r="X829" s="317"/>
      <c r="Y829" s="317"/>
      <c r="Z829" s="317"/>
      <c r="AA829" s="317"/>
    </row>
    <row r="830">
      <c r="A830" s="317"/>
      <c r="B830" s="317"/>
      <c r="C830" s="317"/>
      <c r="D830" s="317"/>
      <c r="E830" s="317"/>
      <c r="F830" s="317"/>
      <c r="G830" s="317"/>
      <c r="H830" s="317"/>
      <c r="I830" s="317"/>
      <c r="J830" s="317"/>
      <c r="K830" s="317"/>
      <c r="L830" s="317"/>
      <c r="M830" s="317"/>
      <c r="N830" s="317"/>
      <c r="O830" s="317"/>
      <c r="P830" s="317"/>
      <c r="Q830" s="317"/>
      <c r="R830" s="317"/>
      <c r="S830" s="317"/>
      <c r="T830" s="317"/>
      <c r="U830" s="317"/>
      <c r="V830" s="317"/>
      <c r="W830" s="317"/>
      <c r="X830" s="317"/>
      <c r="Y830" s="317"/>
      <c r="Z830" s="317"/>
      <c r="AA830" s="317"/>
    </row>
    <row r="831">
      <c r="A831" s="317"/>
      <c r="B831" s="317"/>
      <c r="C831" s="317"/>
      <c r="D831" s="317"/>
      <c r="E831" s="317"/>
      <c r="F831" s="317"/>
      <c r="G831" s="317"/>
      <c r="H831" s="317"/>
      <c r="I831" s="317"/>
      <c r="J831" s="317"/>
      <c r="K831" s="317"/>
      <c r="L831" s="317"/>
      <c r="M831" s="317"/>
      <c r="N831" s="317"/>
      <c r="O831" s="317"/>
      <c r="P831" s="317"/>
      <c r="Q831" s="317"/>
      <c r="R831" s="317"/>
      <c r="S831" s="317"/>
      <c r="T831" s="317"/>
      <c r="U831" s="317"/>
      <c r="V831" s="317"/>
      <c r="W831" s="317"/>
      <c r="X831" s="317"/>
      <c r="Y831" s="317"/>
      <c r="Z831" s="317"/>
      <c r="AA831" s="317"/>
    </row>
    <row r="832">
      <c r="A832" s="317"/>
      <c r="B832" s="317"/>
      <c r="C832" s="317"/>
      <c r="D832" s="317"/>
      <c r="E832" s="317"/>
      <c r="F832" s="317"/>
      <c r="G832" s="317"/>
      <c r="H832" s="317"/>
      <c r="I832" s="317"/>
      <c r="J832" s="317"/>
      <c r="K832" s="317"/>
      <c r="L832" s="317"/>
      <c r="M832" s="317"/>
      <c r="N832" s="317"/>
      <c r="O832" s="317"/>
      <c r="P832" s="317"/>
      <c r="Q832" s="317"/>
      <c r="R832" s="317"/>
      <c r="S832" s="317"/>
      <c r="T832" s="317"/>
      <c r="U832" s="317"/>
      <c r="V832" s="317"/>
      <c r="W832" s="317"/>
      <c r="X832" s="317"/>
      <c r="Y832" s="317"/>
      <c r="Z832" s="317"/>
      <c r="AA832" s="317"/>
    </row>
    <row r="833">
      <c r="A833" s="317"/>
      <c r="B833" s="317"/>
      <c r="C833" s="317"/>
      <c r="D833" s="317"/>
      <c r="E833" s="317"/>
      <c r="F833" s="317"/>
      <c r="G833" s="317"/>
      <c r="H833" s="317"/>
      <c r="I833" s="317"/>
      <c r="J833" s="317"/>
      <c r="K833" s="317"/>
      <c r="L833" s="317"/>
      <c r="M833" s="317"/>
      <c r="N833" s="317"/>
      <c r="O833" s="317"/>
      <c r="P833" s="317"/>
      <c r="Q833" s="317"/>
      <c r="R833" s="317"/>
      <c r="S833" s="317"/>
      <c r="T833" s="317"/>
      <c r="U833" s="317"/>
      <c r="V833" s="317"/>
      <c r="W833" s="317"/>
      <c r="X833" s="317"/>
      <c r="Y833" s="317"/>
      <c r="Z833" s="317"/>
      <c r="AA833" s="317"/>
    </row>
    <row r="834">
      <c r="A834" s="317"/>
      <c r="B834" s="317"/>
      <c r="C834" s="317"/>
      <c r="D834" s="317"/>
      <c r="E834" s="317"/>
      <c r="F834" s="317"/>
      <c r="G834" s="317"/>
      <c r="H834" s="317"/>
      <c r="I834" s="317"/>
      <c r="J834" s="317"/>
      <c r="K834" s="317"/>
      <c r="L834" s="317"/>
      <c r="M834" s="317"/>
      <c r="N834" s="317"/>
      <c r="O834" s="317"/>
      <c r="P834" s="317"/>
      <c r="Q834" s="317"/>
      <c r="R834" s="317"/>
      <c r="S834" s="317"/>
      <c r="T834" s="317"/>
      <c r="U834" s="317"/>
      <c r="V834" s="317"/>
      <c r="W834" s="317"/>
      <c r="X834" s="317"/>
      <c r="Y834" s="317"/>
      <c r="Z834" s="317"/>
      <c r="AA834" s="317"/>
    </row>
    <row r="835">
      <c r="A835" s="317"/>
      <c r="B835" s="317"/>
      <c r="C835" s="317"/>
      <c r="D835" s="317"/>
      <c r="E835" s="317"/>
      <c r="F835" s="317"/>
      <c r="G835" s="317"/>
      <c r="H835" s="317"/>
      <c r="I835" s="317"/>
      <c r="J835" s="317"/>
      <c r="K835" s="317"/>
      <c r="L835" s="317"/>
      <c r="M835" s="317"/>
      <c r="N835" s="317"/>
      <c r="O835" s="317"/>
      <c r="P835" s="317"/>
      <c r="Q835" s="317"/>
      <c r="R835" s="317"/>
      <c r="S835" s="317"/>
      <c r="T835" s="317"/>
      <c r="U835" s="317"/>
      <c r="V835" s="317"/>
      <c r="W835" s="317"/>
      <c r="X835" s="317"/>
      <c r="Y835" s="317"/>
      <c r="Z835" s="317"/>
      <c r="AA835" s="317"/>
    </row>
    <row r="836">
      <c r="A836" s="317"/>
      <c r="B836" s="317"/>
      <c r="C836" s="317"/>
      <c r="D836" s="317"/>
      <c r="E836" s="317"/>
      <c r="F836" s="317"/>
      <c r="G836" s="317"/>
      <c r="H836" s="317"/>
      <c r="I836" s="317"/>
      <c r="J836" s="317"/>
      <c r="K836" s="317"/>
      <c r="L836" s="317"/>
      <c r="M836" s="317"/>
      <c r="N836" s="317"/>
      <c r="O836" s="317"/>
      <c r="P836" s="317"/>
      <c r="Q836" s="317"/>
      <c r="R836" s="317"/>
      <c r="S836" s="317"/>
      <c r="T836" s="317"/>
      <c r="U836" s="317"/>
      <c r="V836" s="317"/>
      <c r="W836" s="317"/>
      <c r="X836" s="317"/>
      <c r="Y836" s="317"/>
      <c r="Z836" s="317"/>
      <c r="AA836" s="317"/>
    </row>
    <row r="837">
      <c r="A837" s="317"/>
      <c r="B837" s="317"/>
      <c r="C837" s="317"/>
      <c r="D837" s="317"/>
      <c r="E837" s="317"/>
      <c r="F837" s="317"/>
      <c r="G837" s="317"/>
      <c r="H837" s="317"/>
      <c r="I837" s="317"/>
      <c r="J837" s="317"/>
      <c r="K837" s="317"/>
      <c r="L837" s="317"/>
      <c r="M837" s="317"/>
      <c r="N837" s="317"/>
      <c r="O837" s="317"/>
      <c r="P837" s="317"/>
      <c r="Q837" s="317"/>
      <c r="R837" s="317"/>
      <c r="S837" s="317"/>
      <c r="T837" s="317"/>
      <c r="U837" s="317"/>
      <c r="V837" s="317"/>
      <c r="W837" s="317"/>
      <c r="X837" s="317"/>
      <c r="Y837" s="317"/>
      <c r="Z837" s="317"/>
      <c r="AA837" s="317"/>
    </row>
    <row r="838">
      <c r="A838" s="317"/>
      <c r="B838" s="317"/>
      <c r="C838" s="317"/>
      <c r="D838" s="317"/>
      <c r="E838" s="317"/>
      <c r="F838" s="317"/>
      <c r="G838" s="317"/>
      <c r="H838" s="317"/>
      <c r="I838" s="317"/>
      <c r="J838" s="317"/>
      <c r="K838" s="317"/>
      <c r="L838" s="317"/>
      <c r="M838" s="317"/>
      <c r="N838" s="317"/>
      <c r="O838" s="317"/>
      <c r="P838" s="317"/>
      <c r="Q838" s="317"/>
      <c r="R838" s="317"/>
      <c r="S838" s="317"/>
      <c r="T838" s="317"/>
      <c r="U838" s="317"/>
      <c r="V838" s="317"/>
      <c r="W838" s="317"/>
      <c r="X838" s="317"/>
      <c r="Y838" s="317"/>
      <c r="Z838" s="317"/>
      <c r="AA838" s="317"/>
    </row>
    <row r="839">
      <c r="A839" s="317"/>
      <c r="B839" s="317"/>
      <c r="C839" s="317"/>
      <c r="D839" s="317"/>
      <c r="E839" s="317"/>
      <c r="F839" s="317"/>
      <c r="G839" s="317"/>
      <c r="H839" s="317"/>
      <c r="I839" s="317"/>
      <c r="J839" s="317"/>
      <c r="K839" s="317"/>
      <c r="L839" s="317"/>
      <c r="M839" s="317"/>
      <c r="N839" s="317"/>
      <c r="O839" s="317"/>
      <c r="P839" s="317"/>
      <c r="Q839" s="317"/>
      <c r="R839" s="317"/>
      <c r="S839" s="317"/>
      <c r="T839" s="317"/>
      <c r="U839" s="317"/>
      <c r="V839" s="317"/>
      <c r="W839" s="317"/>
      <c r="X839" s="317"/>
      <c r="Y839" s="317"/>
      <c r="Z839" s="317"/>
      <c r="AA839" s="317"/>
    </row>
    <row r="840">
      <c r="A840" s="317"/>
      <c r="B840" s="317"/>
      <c r="C840" s="317"/>
      <c r="D840" s="317"/>
      <c r="E840" s="317"/>
      <c r="F840" s="317"/>
      <c r="G840" s="317"/>
      <c r="H840" s="317"/>
      <c r="I840" s="317"/>
      <c r="J840" s="317"/>
      <c r="K840" s="317"/>
      <c r="L840" s="317"/>
      <c r="M840" s="317"/>
      <c r="N840" s="317"/>
      <c r="O840" s="317"/>
      <c r="P840" s="317"/>
      <c r="Q840" s="317"/>
      <c r="R840" s="317"/>
      <c r="S840" s="317"/>
      <c r="T840" s="317"/>
      <c r="U840" s="317"/>
      <c r="V840" s="317"/>
      <c r="W840" s="317"/>
      <c r="X840" s="317"/>
      <c r="Y840" s="317"/>
      <c r="Z840" s="317"/>
      <c r="AA840" s="317"/>
    </row>
    <row r="841">
      <c r="A841" s="317"/>
      <c r="B841" s="317"/>
      <c r="C841" s="317"/>
      <c r="D841" s="317"/>
      <c r="E841" s="317"/>
      <c r="F841" s="317"/>
      <c r="G841" s="317"/>
      <c r="H841" s="317"/>
      <c r="I841" s="317"/>
      <c r="J841" s="317"/>
      <c r="K841" s="317"/>
      <c r="L841" s="317"/>
      <c r="M841" s="317"/>
      <c r="N841" s="317"/>
      <c r="O841" s="317"/>
      <c r="P841" s="317"/>
      <c r="Q841" s="317"/>
      <c r="R841" s="317"/>
      <c r="S841" s="317"/>
      <c r="T841" s="317"/>
      <c r="U841" s="317"/>
      <c r="V841" s="317"/>
      <c r="W841" s="317"/>
      <c r="X841" s="317"/>
      <c r="Y841" s="317"/>
      <c r="Z841" s="317"/>
      <c r="AA841" s="317"/>
    </row>
    <row r="842">
      <c r="A842" s="317"/>
      <c r="B842" s="317"/>
      <c r="C842" s="317"/>
      <c r="D842" s="317"/>
      <c r="E842" s="317"/>
      <c r="F842" s="317"/>
      <c r="G842" s="317"/>
      <c r="H842" s="317"/>
      <c r="I842" s="317"/>
      <c r="J842" s="317"/>
      <c r="K842" s="317"/>
      <c r="L842" s="317"/>
      <c r="M842" s="317"/>
      <c r="N842" s="317"/>
      <c r="O842" s="317"/>
      <c r="P842" s="317"/>
      <c r="Q842" s="317"/>
      <c r="R842" s="317"/>
      <c r="S842" s="317"/>
      <c r="T842" s="317"/>
      <c r="U842" s="317"/>
      <c r="V842" s="317"/>
      <c r="W842" s="317"/>
      <c r="X842" s="317"/>
      <c r="Y842" s="317"/>
      <c r="Z842" s="317"/>
      <c r="AA842" s="317"/>
    </row>
    <row r="843">
      <c r="A843" s="317"/>
      <c r="B843" s="317"/>
      <c r="C843" s="317"/>
      <c r="D843" s="317"/>
      <c r="E843" s="317"/>
      <c r="F843" s="317"/>
      <c r="G843" s="317"/>
      <c r="H843" s="317"/>
      <c r="I843" s="317"/>
      <c r="J843" s="317"/>
      <c r="K843" s="317"/>
      <c r="L843" s="317"/>
      <c r="M843" s="317"/>
      <c r="N843" s="317"/>
      <c r="O843" s="317"/>
      <c r="P843" s="317"/>
      <c r="Q843" s="317"/>
      <c r="R843" s="317"/>
      <c r="S843" s="317"/>
      <c r="T843" s="317"/>
      <c r="U843" s="317"/>
      <c r="V843" s="317"/>
      <c r="W843" s="317"/>
      <c r="X843" s="317"/>
      <c r="Y843" s="317"/>
      <c r="Z843" s="317"/>
      <c r="AA843" s="317"/>
    </row>
    <row r="844">
      <c r="A844" s="317"/>
      <c r="B844" s="317"/>
      <c r="C844" s="317"/>
      <c r="D844" s="317"/>
      <c r="E844" s="317"/>
      <c r="F844" s="317"/>
      <c r="G844" s="317"/>
      <c r="H844" s="317"/>
      <c r="I844" s="317"/>
      <c r="J844" s="317"/>
      <c r="K844" s="317"/>
      <c r="L844" s="317"/>
      <c r="M844" s="317"/>
      <c r="N844" s="317"/>
      <c r="O844" s="317"/>
      <c r="P844" s="317"/>
      <c r="Q844" s="317"/>
      <c r="R844" s="317"/>
      <c r="S844" s="317"/>
      <c r="T844" s="317"/>
      <c r="U844" s="317"/>
      <c r="V844" s="317"/>
      <c r="W844" s="317"/>
      <c r="X844" s="317"/>
      <c r="Y844" s="317"/>
      <c r="Z844" s="317"/>
      <c r="AA844" s="317"/>
    </row>
    <row r="845">
      <c r="A845" s="317"/>
      <c r="B845" s="317"/>
      <c r="C845" s="317"/>
      <c r="D845" s="317"/>
      <c r="E845" s="317"/>
      <c r="F845" s="317"/>
      <c r="G845" s="317"/>
      <c r="H845" s="317"/>
      <c r="I845" s="317"/>
      <c r="J845" s="317"/>
      <c r="K845" s="317"/>
      <c r="L845" s="317"/>
      <c r="M845" s="317"/>
      <c r="N845" s="317"/>
      <c r="O845" s="317"/>
      <c r="P845" s="317"/>
      <c r="Q845" s="317"/>
      <c r="R845" s="317"/>
      <c r="S845" s="317"/>
      <c r="T845" s="317"/>
      <c r="U845" s="317"/>
      <c r="V845" s="317"/>
      <c r="W845" s="317"/>
      <c r="X845" s="317"/>
      <c r="Y845" s="317"/>
      <c r="Z845" s="317"/>
      <c r="AA845" s="317"/>
    </row>
    <row r="846">
      <c r="A846" s="317"/>
      <c r="B846" s="317"/>
      <c r="C846" s="317"/>
      <c r="D846" s="317"/>
      <c r="E846" s="317"/>
      <c r="F846" s="317"/>
      <c r="G846" s="317"/>
      <c r="H846" s="317"/>
      <c r="I846" s="317"/>
      <c r="J846" s="317"/>
      <c r="K846" s="317"/>
      <c r="L846" s="317"/>
      <c r="M846" s="317"/>
      <c r="N846" s="317"/>
      <c r="O846" s="317"/>
      <c r="P846" s="317"/>
      <c r="Q846" s="317"/>
      <c r="R846" s="317"/>
      <c r="S846" s="317"/>
      <c r="T846" s="317"/>
      <c r="U846" s="317"/>
      <c r="V846" s="317"/>
      <c r="W846" s="317"/>
      <c r="X846" s="317"/>
      <c r="Y846" s="317"/>
      <c r="Z846" s="317"/>
      <c r="AA846" s="317"/>
    </row>
    <row r="847">
      <c r="A847" s="317"/>
      <c r="B847" s="317"/>
      <c r="C847" s="317"/>
      <c r="D847" s="317"/>
      <c r="E847" s="317"/>
      <c r="F847" s="317"/>
      <c r="G847" s="317"/>
      <c r="H847" s="317"/>
      <c r="I847" s="317"/>
      <c r="J847" s="317"/>
      <c r="K847" s="317"/>
      <c r="L847" s="317"/>
      <c r="M847" s="317"/>
      <c r="N847" s="317"/>
      <c r="O847" s="317"/>
      <c r="P847" s="317"/>
      <c r="Q847" s="317"/>
      <c r="R847" s="317"/>
      <c r="S847" s="317"/>
      <c r="T847" s="317"/>
      <c r="U847" s="317"/>
      <c r="V847" s="317"/>
      <c r="W847" s="317"/>
      <c r="X847" s="317"/>
      <c r="Y847" s="317"/>
      <c r="Z847" s="317"/>
      <c r="AA847" s="317"/>
    </row>
    <row r="848">
      <c r="A848" s="317"/>
      <c r="B848" s="317"/>
      <c r="C848" s="317"/>
      <c r="D848" s="317"/>
      <c r="E848" s="317"/>
      <c r="F848" s="317"/>
      <c r="G848" s="317"/>
      <c r="H848" s="317"/>
      <c r="I848" s="317"/>
      <c r="J848" s="317"/>
      <c r="K848" s="317"/>
      <c r="L848" s="317"/>
      <c r="M848" s="317"/>
      <c r="N848" s="317"/>
      <c r="O848" s="317"/>
      <c r="P848" s="317"/>
      <c r="Q848" s="317"/>
      <c r="R848" s="317"/>
      <c r="S848" s="317"/>
      <c r="T848" s="317"/>
      <c r="U848" s="317"/>
      <c r="V848" s="317"/>
      <c r="W848" s="317"/>
      <c r="X848" s="317"/>
      <c r="Y848" s="317"/>
      <c r="Z848" s="317"/>
      <c r="AA848" s="317"/>
    </row>
    <row r="849">
      <c r="A849" s="317"/>
      <c r="B849" s="317"/>
      <c r="C849" s="317"/>
      <c r="D849" s="317"/>
      <c r="E849" s="317"/>
      <c r="F849" s="317"/>
      <c r="G849" s="317"/>
      <c r="H849" s="317"/>
      <c r="I849" s="317"/>
      <c r="J849" s="317"/>
      <c r="K849" s="317"/>
      <c r="L849" s="317"/>
      <c r="M849" s="317"/>
      <c r="N849" s="317"/>
      <c r="O849" s="317"/>
      <c r="P849" s="317"/>
      <c r="Q849" s="317"/>
      <c r="R849" s="317"/>
      <c r="S849" s="317"/>
      <c r="T849" s="317"/>
      <c r="U849" s="317"/>
      <c r="V849" s="317"/>
      <c r="W849" s="317"/>
      <c r="X849" s="317"/>
      <c r="Y849" s="317"/>
      <c r="Z849" s="317"/>
      <c r="AA849" s="317"/>
    </row>
    <row r="850">
      <c r="A850" s="317"/>
      <c r="B850" s="317"/>
      <c r="C850" s="317"/>
      <c r="D850" s="317"/>
      <c r="E850" s="317"/>
      <c r="F850" s="317"/>
      <c r="G850" s="317"/>
      <c r="H850" s="317"/>
      <c r="I850" s="317"/>
      <c r="J850" s="317"/>
      <c r="K850" s="317"/>
      <c r="L850" s="317"/>
      <c r="M850" s="317"/>
      <c r="N850" s="317"/>
      <c r="O850" s="317"/>
      <c r="P850" s="317"/>
      <c r="Q850" s="317"/>
      <c r="R850" s="317"/>
      <c r="S850" s="317"/>
      <c r="T850" s="317"/>
      <c r="U850" s="317"/>
      <c r="V850" s="317"/>
      <c r="W850" s="317"/>
      <c r="X850" s="317"/>
      <c r="Y850" s="317"/>
      <c r="Z850" s="317"/>
      <c r="AA850" s="317"/>
    </row>
    <row r="851">
      <c r="A851" s="317"/>
      <c r="B851" s="317"/>
      <c r="C851" s="317"/>
      <c r="D851" s="317"/>
      <c r="E851" s="317"/>
      <c r="F851" s="317"/>
      <c r="G851" s="317"/>
      <c r="H851" s="317"/>
      <c r="I851" s="317"/>
      <c r="J851" s="317"/>
      <c r="K851" s="317"/>
      <c r="L851" s="317"/>
      <c r="M851" s="317"/>
      <c r="N851" s="317"/>
      <c r="O851" s="317"/>
      <c r="P851" s="317"/>
      <c r="Q851" s="317"/>
      <c r="R851" s="317"/>
      <c r="S851" s="317"/>
      <c r="T851" s="317"/>
      <c r="U851" s="317"/>
      <c r="V851" s="317"/>
      <c r="W851" s="317"/>
      <c r="X851" s="317"/>
      <c r="Y851" s="317"/>
      <c r="Z851" s="317"/>
      <c r="AA851" s="317"/>
    </row>
    <row r="852">
      <c r="A852" s="317"/>
      <c r="B852" s="317"/>
      <c r="C852" s="317"/>
      <c r="D852" s="317"/>
      <c r="E852" s="317"/>
      <c r="F852" s="317"/>
      <c r="G852" s="317"/>
      <c r="H852" s="317"/>
      <c r="I852" s="317"/>
      <c r="J852" s="317"/>
      <c r="K852" s="317"/>
      <c r="L852" s="317"/>
      <c r="M852" s="317"/>
      <c r="N852" s="317"/>
      <c r="O852" s="317"/>
      <c r="P852" s="317"/>
      <c r="Q852" s="317"/>
      <c r="R852" s="317"/>
      <c r="S852" s="317"/>
      <c r="T852" s="317"/>
      <c r="U852" s="317"/>
      <c r="V852" s="317"/>
      <c r="W852" s="317"/>
      <c r="X852" s="317"/>
      <c r="Y852" s="317"/>
      <c r="Z852" s="317"/>
      <c r="AA852" s="317"/>
    </row>
    <row r="853">
      <c r="A853" s="317"/>
      <c r="B853" s="317"/>
      <c r="C853" s="317"/>
      <c r="D853" s="317"/>
      <c r="E853" s="317"/>
      <c r="F853" s="317"/>
      <c r="G853" s="317"/>
      <c r="H853" s="317"/>
      <c r="I853" s="317"/>
      <c r="J853" s="317"/>
      <c r="K853" s="317"/>
      <c r="L853" s="317"/>
      <c r="M853" s="317"/>
      <c r="N853" s="317"/>
      <c r="O853" s="317"/>
      <c r="P853" s="317"/>
      <c r="Q853" s="317"/>
      <c r="R853" s="317"/>
      <c r="S853" s="317"/>
      <c r="T853" s="317"/>
      <c r="U853" s="317"/>
      <c r="V853" s="317"/>
      <c r="W853" s="317"/>
      <c r="X853" s="317"/>
      <c r="Y853" s="317"/>
      <c r="Z853" s="317"/>
      <c r="AA853" s="317"/>
    </row>
    <row r="854">
      <c r="A854" s="317"/>
      <c r="B854" s="317"/>
      <c r="C854" s="317"/>
      <c r="D854" s="317"/>
      <c r="E854" s="317"/>
      <c r="F854" s="317"/>
      <c r="G854" s="317"/>
      <c r="H854" s="317"/>
      <c r="I854" s="317"/>
      <c r="J854" s="317"/>
      <c r="K854" s="317"/>
      <c r="L854" s="317"/>
      <c r="M854" s="317"/>
      <c r="N854" s="317"/>
      <c r="O854" s="317"/>
      <c r="P854" s="317"/>
      <c r="Q854" s="317"/>
      <c r="R854" s="317"/>
      <c r="S854" s="317"/>
      <c r="T854" s="317"/>
      <c r="U854" s="317"/>
      <c r="V854" s="317"/>
      <c r="W854" s="317"/>
      <c r="X854" s="317"/>
      <c r="Y854" s="317"/>
      <c r="Z854" s="317"/>
      <c r="AA854" s="317"/>
    </row>
    <row r="855">
      <c r="A855" s="317"/>
      <c r="B855" s="317"/>
      <c r="C855" s="317"/>
      <c r="D855" s="317"/>
      <c r="E855" s="317"/>
      <c r="F855" s="317"/>
      <c r="G855" s="317"/>
      <c r="H855" s="317"/>
      <c r="I855" s="317"/>
      <c r="J855" s="317"/>
      <c r="K855" s="317"/>
      <c r="L855" s="317"/>
      <c r="M855" s="317"/>
      <c r="N855" s="317"/>
      <c r="O855" s="317"/>
      <c r="P855" s="317"/>
      <c r="Q855" s="317"/>
      <c r="R855" s="317"/>
      <c r="S855" s="317"/>
      <c r="T855" s="317"/>
      <c r="U855" s="317"/>
      <c r="V855" s="317"/>
      <c r="W855" s="317"/>
      <c r="X855" s="317"/>
      <c r="Y855" s="317"/>
      <c r="Z855" s="317"/>
      <c r="AA855" s="317"/>
    </row>
    <row r="856">
      <c r="A856" s="317"/>
      <c r="B856" s="317"/>
      <c r="C856" s="317"/>
      <c r="D856" s="317"/>
      <c r="E856" s="317"/>
      <c r="F856" s="317"/>
      <c r="G856" s="317"/>
      <c r="H856" s="317"/>
      <c r="I856" s="317"/>
      <c r="J856" s="317"/>
      <c r="K856" s="317"/>
      <c r="L856" s="317"/>
      <c r="M856" s="317"/>
      <c r="N856" s="317"/>
      <c r="O856" s="317"/>
      <c r="P856" s="317"/>
      <c r="Q856" s="317"/>
      <c r="R856" s="317"/>
      <c r="S856" s="317"/>
      <c r="T856" s="317"/>
      <c r="U856" s="317"/>
      <c r="V856" s="317"/>
      <c r="W856" s="317"/>
      <c r="X856" s="317"/>
      <c r="Y856" s="317"/>
      <c r="Z856" s="317"/>
      <c r="AA856" s="317"/>
    </row>
    <row r="857">
      <c r="A857" s="317"/>
      <c r="B857" s="317"/>
      <c r="C857" s="317"/>
      <c r="D857" s="317"/>
      <c r="E857" s="317"/>
      <c r="F857" s="317"/>
      <c r="G857" s="317"/>
      <c r="H857" s="317"/>
      <c r="I857" s="317"/>
      <c r="J857" s="317"/>
      <c r="K857" s="317"/>
      <c r="L857" s="317"/>
      <c r="M857" s="317"/>
      <c r="N857" s="317"/>
      <c r="O857" s="317"/>
      <c r="P857" s="317"/>
      <c r="Q857" s="317"/>
      <c r="R857" s="317"/>
      <c r="S857" s="317"/>
      <c r="T857" s="317"/>
      <c r="U857" s="317"/>
      <c r="V857" s="317"/>
      <c r="W857" s="317"/>
      <c r="X857" s="317"/>
      <c r="Y857" s="317"/>
      <c r="Z857" s="317"/>
      <c r="AA857" s="317"/>
    </row>
    <row r="858">
      <c r="A858" s="317"/>
      <c r="B858" s="317"/>
      <c r="C858" s="317"/>
      <c r="D858" s="317"/>
      <c r="E858" s="317"/>
      <c r="F858" s="317"/>
      <c r="G858" s="317"/>
      <c r="H858" s="317"/>
      <c r="I858" s="317"/>
      <c r="J858" s="317"/>
      <c r="K858" s="317"/>
      <c r="L858" s="317"/>
      <c r="M858" s="317"/>
      <c r="N858" s="317"/>
      <c r="O858" s="317"/>
      <c r="P858" s="317"/>
      <c r="Q858" s="317"/>
      <c r="R858" s="317"/>
      <c r="S858" s="317"/>
      <c r="T858" s="317"/>
      <c r="U858" s="317"/>
      <c r="V858" s="317"/>
      <c r="W858" s="317"/>
      <c r="X858" s="317"/>
      <c r="Y858" s="317"/>
      <c r="Z858" s="317"/>
      <c r="AA858" s="317"/>
    </row>
    <row r="859">
      <c r="A859" s="317"/>
      <c r="B859" s="317"/>
      <c r="C859" s="317"/>
      <c r="D859" s="317"/>
      <c r="E859" s="317"/>
      <c r="F859" s="317"/>
      <c r="G859" s="317"/>
      <c r="H859" s="317"/>
      <c r="I859" s="317"/>
      <c r="J859" s="317"/>
      <c r="K859" s="317"/>
      <c r="L859" s="317"/>
      <c r="M859" s="317"/>
      <c r="N859" s="317"/>
      <c r="O859" s="317"/>
      <c r="P859" s="317"/>
      <c r="Q859" s="317"/>
      <c r="R859" s="317"/>
      <c r="S859" s="317"/>
      <c r="T859" s="317"/>
      <c r="U859" s="317"/>
      <c r="V859" s="317"/>
      <c r="W859" s="317"/>
      <c r="X859" s="317"/>
      <c r="Y859" s="317"/>
      <c r="Z859" s="317"/>
      <c r="AA859" s="317"/>
    </row>
    <row r="860">
      <c r="A860" s="317"/>
      <c r="B860" s="317"/>
      <c r="C860" s="317"/>
      <c r="D860" s="317"/>
      <c r="E860" s="317"/>
      <c r="F860" s="317"/>
      <c r="G860" s="317"/>
      <c r="H860" s="317"/>
      <c r="I860" s="317"/>
      <c r="J860" s="317"/>
      <c r="K860" s="317"/>
      <c r="L860" s="317"/>
      <c r="M860" s="317"/>
      <c r="N860" s="317"/>
      <c r="O860" s="317"/>
      <c r="P860" s="317"/>
      <c r="Q860" s="317"/>
      <c r="R860" s="317"/>
      <c r="S860" s="317"/>
      <c r="T860" s="317"/>
      <c r="U860" s="317"/>
      <c r="V860" s="317"/>
      <c r="W860" s="317"/>
      <c r="X860" s="317"/>
      <c r="Y860" s="317"/>
      <c r="Z860" s="317"/>
      <c r="AA860" s="317"/>
    </row>
    <row r="861">
      <c r="A861" s="317"/>
      <c r="B861" s="317"/>
      <c r="C861" s="317"/>
      <c r="D861" s="317"/>
      <c r="E861" s="317"/>
      <c r="F861" s="317"/>
      <c r="G861" s="317"/>
      <c r="H861" s="317"/>
      <c r="I861" s="317"/>
      <c r="J861" s="317"/>
      <c r="K861" s="317"/>
      <c r="L861" s="317"/>
      <c r="M861" s="317"/>
      <c r="N861" s="317"/>
      <c r="O861" s="317"/>
      <c r="P861" s="317"/>
      <c r="Q861" s="317"/>
      <c r="R861" s="317"/>
      <c r="S861" s="317"/>
      <c r="T861" s="317"/>
      <c r="U861" s="317"/>
      <c r="V861" s="317"/>
      <c r="W861" s="317"/>
      <c r="X861" s="317"/>
      <c r="Y861" s="317"/>
      <c r="Z861" s="317"/>
      <c r="AA861" s="317"/>
    </row>
    <row r="862">
      <c r="A862" s="317"/>
      <c r="B862" s="317"/>
      <c r="C862" s="317"/>
      <c r="D862" s="317"/>
      <c r="E862" s="317"/>
      <c r="F862" s="317"/>
      <c r="G862" s="317"/>
      <c r="H862" s="317"/>
      <c r="I862" s="317"/>
      <c r="J862" s="317"/>
      <c r="K862" s="317"/>
      <c r="L862" s="317"/>
      <c r="M862" s="317"/>
      <c r="N862" s="317"/>
      <c r="O862" s="317"/>
      <c r="P862" s="317"/>
      <c r="Q862" s="317"/>
      <c r="R862" s="317"/>
      <c r="S862" s="317"/>
      <c r="T862" s="317"/>
      <c r="U862" s="317"/>
      <c r="V862" s="317"/>
      <c r="W862" s="317"/>
      <c r="X862" s="317"/>
      <c r="Y862" s="317"/>
      <c r="Z862" s="317"/>
      <c r="AA862" s="317"/>
    </row>
    <row r="863">
      <c r="A863" s="317"/>
      <c r="B863" s="317"/>
      <c r="C863" s="317"/>
      <c r="D863" s="317"/>
      <c r="E863" s="317"/>
      <c r="F863" s="317"/>
      <c r="G863" s="317"/>
      <c r="H863" s="317"/>
      <c r="I863" s="317"/>
      <c r="J863" s="317"/>
      <c r="K863" s="317"/>
      <c r="L863" s="317"/>
      <c r="M863" s="317"/>
      <c r="N863" s="317"/>
      <c r="O863" s="317"/>
      <c r="P863" s="317"/>
      <c r="Q863" s="317"/>
      <c r="R863" s="317"/>
      <c r="S863" s="317"/>
      <c r="T863" s="317"/>
      <c r="U863" s="317"/>
      <c r="V863" s="317"/>
      <c r="W863" s="317"/>
      <c r="X863" s="317"/>
      <c r="Y863" s="317"/>
      <c r="Z863" s="317"/>
      <c r="AA863" s="317"/>
    </row>
    <row r="864">
      <c r="A864" s="317"/>
      <c r="B864" s="317"/>
      <c r="C864" s="317"/>
      <c r="D864" s="317"/>
      <c r="E864" s="317"/>
      <c r="F864" s="317"/>
      <c r="G864" s="317"/>
      <c r="H864" s="317"/>
      <c r="I864" s="317"/>
      <c r="J864" s="317"/>
      <c r="K864" s="317"/>
      <c r="L864" s="317"/>
      <c r="M864" s="317"/>
      <c r="N864" s="317"/>
      <c r="O864" s="317"/>
      <c r="P864" s="317"/>
      <c r="Q864" s="317"/>
      <c r="R864" s="317"/>
      <c r="S864" s="317"/>
      <c r="T864" s="317"/>
      <c r="U864" s="317"/>
      <c r="V864" s="317"/>
      <c r="W864" s="317"/>
      <c r="X864" s="317"/>
      <c r="Y864" s="317"/>
      <c r="Z864" s="317"/>
      <c r="AA864" s="317"/>
    </row>
    <row r="865">
      <c r="A865" s="317"/>
      <c r="B865" s="317"/>
      <c r="C865" s="317"/>
      <c r="D865" s="317"/>
      <c r="E865" s="317"/>
      <c r="F865" s="317"/>
      <c r="G865" s="317"/>
      <c r="H865" s="317"/>
      <c r="I865" s="317"/>
      <c r="J865" s="317"/>
      <c r="K865" s="317"/>
      <c r="L865" s="317"/>
      <c r="M865" s="317"/>
      <c r="N865" s="317"/>
      <c r="O865" s="317"/>
      <c r="P865" s="317"/>
      <c r="Q865" s="317"/>
      <c r="R865" s="317"/>
      <c r="S865" s="317"/>
      <c r="T865" s="317"/>
      <c r="U865" s="317"/>
      <c r="V865" s="317"/>
      <c r="W865" s="317"/>
      <c r="X865" s="317"/>
      <c r="Y865" s="317"/>
      <c r="Z865" s="317"/>
      <c r="AA865" s="317"/>
    </row>
    <row r="866">
      <c r="A866" s="317"/>
      <c r="B866" s="317"/>
      <c r="C866" s="317"/>
      <c r="D866" s="317"/>
      <c r="E866" s="317"/>
      <c r="F866" s="317"/>
      <c r="G866" s="317"/>
      <c r="H866" s="317"/>
      <c r="I866" s="317"/>
      <c r="J866" s="317"/>
      <c r="K866" s="317"/>
      <c r="L866" s="317"/>
      <c r="M866" s="317"/>
      <c r="N866" s="317"/>
      <c r="O866" s="317"/>
      <c r="P866" s="317"/>
      <c r="Q866" s="317"/>
      <c r="R866" s="317"/>
      <c r="S866" s="317"/>
      <c r="T866" s="317"/>
      <c r="U866" s="317"/>
      <c r="V866" s="317"/>
      <c r="W866" s="317"/>
      <c r="X866" s="317"/>
      <c r="Y866" s="317"/>
      <c r="Z866" s="317"/>
      <c r="AA866" s="317"/>
    </row>
    <row r="867">
      <c r="A867" s="317"/>
      <c r="B867" s="317"/>
      <c r="C867" s="317"/>
      <c r="D867" s="317"/>
      <c r="E867" s="317"/>
      <c r="F867" s="317"/>
      <c r="G867" s="317"/>
      <c r="H867" s="317"/>
      <c r="I867" s="317"/>
      <c r="J867" s="317"/>
      <c r="K867" s="317"/>
      <c r="L867" s="317"/>
      <c r="M867" s="317"/>
      <c r="N867" s="317"/>
      <c r="O867" s="317"/>
      <c r="P867" s="317"/>
      <c r="Q867" s="317"/>
      <c r="R867" s="317"/>
      <c r="S867" s="317"/>
      <c r="T867" s="317"/>
      <c r="U867" s="317"/>
      <c r="V867" s="317"/>
      <c r="W867" s="317"/>
      <c r="X867" s="317"/>
      <c r="Y867" s="317"/>
      <c r="Z867" s="317"/>
      <c r="AA867" s="317"/>
    </row>
    <row r="868">
      <c r="A868" s="317"/>
      <c r="B868" s="317"/>
      <c r="C868" s="317"/>
      <c r="D868" s="317"/>
      <c r="E868" s="317"/>
      <c r="F868" s="317"/>
      <c r="G868" s="317"/>
      <c r="H868" s="317"/>
      <c r="I868" s="317"/>
      <c r="J868" s="317"/>
      <c r="K868" s="317"/>
      <c r="L868" s="317"/>
      <c r="M868" s="317"/>
      <c r="N868" s="317"/>
      <c r="O868" s="317"/>
      <c r="P868" s="317"/>
      <c r="Q868" s="317"/>
      <c r="R868" s="317"/>
      <c r="S868" s="317"/>
      <c r="T868" s="317"/>
      <c r="U868" s="317"/>
      <c r="V868" s="317"/>
      <c r="W868" s="317"/>
      <c r="X868" s="317"/>
      <c r="Y868" s="317"/>
      <c r="Z868" s="317"/>
      <c r="AA868" s="317"/>
    </row>
    <row r="869">
      <c r="A869" s="317"/>
      <c r="B869" s="317"/>
      <c r="C869" s="317"/>
      <c r="D869" s="317"/>
      <c r="E869" s="317"/>
      <c r="F869" s="317"/>
      <c r="G869" s="317"/>
      <c r="H869" s="317"/>
      <c r="I869" s="317"/>
      <c r="J869" s="317"/>
      <c r="K869" s="317"/>
      <c r="L869" s="317"/>
      <c r="M869" s="317"/>
      <c r="N869" s="317"/>
      <c r="O869" s="317"/>
      <c r="P869" s="317"/>
      <c r="Q869" s="317"/>
      <c r="R869" s="317"/>
      <c r="S869" s="317"/>
      <c r="T869" s="317"/>
      <c r="U869" s="317"/>
      <c r="V869" s="317"/>
      <c r="W869" s="317"/>
      <c r="X869" s="317"/>
      <c r="Y869" s="317"/>
      <c r="Z869" s="317"/>
      <c r="AA869" s="317"/>
    </row>
    <row r="870">
      <c r="A870" s="317"/>
      <c r="B870" s="317"/>
      <c r="C870" s="317"/>
      <c r="D870" s="317"/>
      <c r="E870" s="317"/>
      <c r="F870" s="317"/>
      <c r="G870" s="317"/>
      <c r="H870" s="317"/>
      <c r="I870" s="317"/>
      <c r="J870" s="317"/>
      <c r="K870" s="317"/>
      <c r="L870" s="317"/>
      <c r="M870" s="317"/>
      <c r="N870" s="317"/>
      <c r="O870" s="317"/>
      <c r="P870" s="317"/>
      <c r="Q870" s="317"/>
      <c r="R870" s="317"/>
      <c r="S870" s="317"/>
      <c r="T870" s="317"/>
      <c r="U870" s="317"/>
      <c r="V870" s="317"/>
      <c r="W870" s="317"/>
      <c r="X870" s="317"/>
      <c r="Y870" s="317"/>
      <c r="Z870" s="317"/>
      <c r="AA870" s="317"/>
    </row>
    <row r="871">
      <c r="A871" s="317"/>
      <c r="B871" s="317"/>
      <c r="C871" s="317"/>
      <c r="D871" s="317"/>
      <c r="E871" s="317"/>
      <c r="F871" s="317"/>
      <c r="G871" s="317"/>
      <c r="H871" s="317"/>
      <c r="I871" s="317"/>
      <c r="J871" s="317"/>
      <c r="K871" s="317"/>
      <c r="L871" s="317"/>
      <c r="M871" s="317"/>
      <c r="N871" s="317"/>
      <c r="O871" s="317"/>
      <c r="P871" s="317"/>
      <c r="Q871" s="317"/>
      <c r="R871" s="317"/>
      <c r="S871" s="317"/>
      <c r="T871" s="317"/>
      <c r="U871" s="317"/>
      <c r="V871" s="317"/>
      <c r="W871" s="317"/>
      <c r="X871" s="317"/>
      <c r="Y871" s="317"/>
      <c r="Z871" s="317"/>
      <c r="AA871" s="317"/>
    </row>
    <row r="872">
      <c r="A872" s="317"/>
      <c r="B872" s="317"/>
      <c r="C872" s="317"/>
      <c r="D872" s="317"/>
      <c r="E872" s="317"/>
      <c r="F872" s="317"/>
      <c r="G872" s="317"/>
      <c r="H872" s="317"/>
      <c r="I872" s="317"/>
      <c r="J872" s="317"/>
      <c r="K872" s="317"/>
      <c r="L872" s="317"/>
      <c r="M872" s="317"/>
      <c r="N872" s="317"/>
      <c r="O872" s="317"/>
      <c r="P872" s="317"/>
      <c r="Q872" s="317"/>
      <c r="R872" s="317"/>
      <c r="S872" s="317"/>
      <c r="T872" s="317"/>
      <c r="U872" s="317"/>
      <c r="V872" s="317"/>
      <c r="W872" s="317"/>
      <c r="X872" s="317"/>
      <c r="Y872" s="317"/>
      <c r="Z872" s="317"/>
      <c r="AA872" s="317"/>
    </row>
    <row r="873">
      <c r="A873" s="317"/>
      <c r="B873" s="317"/>
      <c r="C873" s="317"/>
      <c r="D873" s="317"/>
      <c r="E873" s="317"/>
      <c r="F873" s="317"/>
      <c r="G873" s="317"/>
      <c r="H873" s="317"/>
      <c r="I873" s="317"/>
      <c r="J873" s="317"/>
      <c r="K873" s="317"/>
      <c r="L873" s="317"/>
      <c r="M873" s="317"/>
      <c r="N873" s="317"/>
      <c r="O873" s="317"/>
      <c r="P873" s="317"/>
      <c r="Q873" s="317"/>
      <c r="R873" s="317"/>
      <c r="S873" s="317"/>
      <c r="T873" s="317"/>
      <c r="U873" s="317"/>
      <c r="V873" s="317"/>
      <c r="W873" s="317"/>
      <c r="X873" s="317"/>
      <c r="Y873" s="317"/>
      <c r="Z873" s="317"/>
      <c r="AA873" s="317"/>
    </row>
    <row r="874">
      <c r="A874" s="317"/>
      <c r="B874" s="317"/>
      <c r="C874" s="317"/>
      <c r="D874" s="317"/>
      <c r="E874" s="317"/>
      <c r="F874" s="317"/>
      <c r="G874" s="317"/>
      <c r="H874" s="317"/>
      <c r="I874" s="317"/>
      <c r="J874" s="317"/>
      <c r="K874" s="317"/>
      <c r="L874" s="317"/>
      <c r="M874" s="317"/>
      <c r="N874" s="317"/>
      <c r="O874" s="317"/>
      <c r="P874" s="317"/>
      <c r="Q874" s="317"/>
      <c r="R874" s="317"/>
      <c r="S874" s="317"/>
      <c r="T874" s="317"/>
      <c r="U874" s="317"/>
      <c r="V874" s="317"/>
      <c r="W874" s="317"/>
      <c r="X874" s="317"/>
      <c r="Y874" s="317"/>
      <c r="Z874" s="317"/>
      <c r="AA874" s="317"/>
    </row>
    <row r="875">
      <c r="A875" s="317"/>
      <c r="B875" s="317"/>
      <c r="C875" s="317"/>
      <c r="D875" s="317"/>
      <c r="E875" s="317"/>
      <c r="F875" s="317"/>
      <c r="G875" s="317"/>
      <c r="H875" s="317"/>
      <c r="I875" s="317"/>
      <c r="J875" s="317"/>
      <c r="K875" s="317"/>
      <c r="L875" s="317"/>
      <c r="M875" s="317"/>
      <c r="N875" s="317"/>
      <c r="O875" s="317"/>
      <c r="P875" s="317"/>
      <c r="Q875" s="317"/>
      <c r="R875" s="317"/>
      <c r="S875" s="317"/>
      <c r="T875" s="317"/>
      <c r="U875" s="317"/>
      <c r="V875" s="317"/>
      <c r="W875" s="317"/>
      <c r="X875" s="317"/>
      <c r="Y875" s="317"/>
      <c r="Z875" s="317"/>
      <c r="AA875" s="317"/>
    </row>
    <row r="876">
      <c r="A876" s="317"/>
      <c r="B876" s="317"/>
      <c r="C876" s="317"/>
      <c r="D876" s="317"/>
      <c r="E876" s="317"/>
      <c r="F876" s="317"/>
      <c r="G876" s="317"/>
      <c r="H876" s="317"/>
      <c r="I876" s="317"/>
      <c r="J876" s="317"/>
      <c r="K876" s="317"/>
      <c r="L876" s="317"/>
      <c r="M876" s="317"/>
      <c r="N876" s="317"/>
      <c r="O876" s="317"/>
      <c r="P876" s="317"/>
      <c r="Q876" s="317"/>
      <c r="R876" s="317"/>
      <c r="S876" s="317"/>
      <c r="T876" s="317"/>
      <c r="U876" s="317"/>
      <c r="V876" s="317"/>
      <c r="W876" s="317"/>
      <c r="X876" s="317"/>
      <c r="Y876" s="317"/>
      <c r="Z876" s="317"/>
      <c r="AA876" s="317"/>
    </row>
    <row r="877">
      <c r="A877" s="317"/>
      <c r="B877" s="317"/>
      <c r="C877" s="317"/>
      <c r="D877" s="317"/>
      <c r="E877" s="317"/>
      <c r="F877" s="317"/>
      <c r="G877" s="317"/>
      <c r="H877" s="317"/>
      <c r="I877" s="317"/>
      <c r="J877" s="317"/>
      <c r="K877" s="317"/>
      <c r="L877" s="317"/>
      <c r="M877" s="317"/>
      <c r="N877" s="317"/>
      <c r="O877" s="317"/>
      <c r="P877" s="317"/>
      <c r="Q877" s="317"/>
      <c r="R877" s="317"/>
      <c r="S877" s="317"/>
      <c r="T877" s="317"/>
      <c r="U877" s="317"/>
      <c r="V877" s="317"/>
      <c r="W877" s="317"/>
      <c r="X877" s="317"/>
      <c r="Y877" s="317"/>
      <c r="Z877" s="317"/>
      <c r="AA877" s="317"/>
    </row>
    <row r="878">
      <c r="A878" s="317"/>
      <c r="B878" s="317"/>
      <c r="C878" s="317"/>
      <c r="D878" s="317"/>
      <c r="E878" s="317"/>
      <c r="F878" s="317"/>
      <c r="G878" s="317"/>
      <c r="H878" s="317"/>
      <c r="I878" s="317"/>
      <c r="J878" s="317"/>
      <c r="K878" s="317"/>
      <c r="L878" s="317"/>
      <c r="M878" s="317"/>
      <c r="N878" s="317"/>
      <c r="O878" s="317"/>
      <c r="P878" s="317"/>
      <c r="Q878" s="317"/>
      <c r="R878" s="317"/>
      <c r="S878" s="317"/>
      <c r="T878" s="317"/>
      <c r="U878" s="317"/>
      <c r="V878" s="317"/>
      <c r="W878" s="317"/>
      <c r="X878" s="317"/>
      <c r="Y878" s="317"/>
      <c r="Z878" s="317"/>
      <c r="AA878" s="317"/>
    </row>
    <row r="879">
      <c r="A879" s="317"/>
      <c r="B879" s="317"/>
      <c r="C879" s="317"/>
      <c r="D879" s="317"/>
      <c r="E879" s="317"/>
      <c r="F879" s="317"/>
      <c r="G879" s="317"/>
      <c r="H879" s="317"/>
      <c r="I879" s="317"/>
      <c r="J879" s="317"/>
      <c r="K879" s="317"/>
      <c r="L879" s="317"/>
      <c r="M879" s="317"/>
      <c r="N879" s="317"/>
      <c r="O879" s="317"/>
      <c r="P879" s="317"/>
      <c r="Q879" s="317"/>
      <c r="R879" s="317"/>
      <c r="S879" s="317"/>
      <c r="T879" s="317"/>
      <c r="U879" s="317"/>
      <c r="V879" s="317"/>
      <c r="W879" s="317"/>
      <c r="X879" s="317"/>
      <c r="Y879" s="317"/>
      <c r="Z879" s="317"/>
      <c r="AA879" s="317"/>
    </row>
    <row r="880">
      <c r="A880" s="317"/>
      <c r="B880" s="317"/>
      <c r="C880" s="317"/>
      <c r="D880" s="317"/>
      <c r="E880" s="317"/>
      <c r="F880" s="317"/>
      <c r="G880" s="317"/>
      <c r="H880" s="317"/>
      <c r="I880" s="317"/>
      <c r="J880" s="317"/>
      <c r="K880" s="317"/>
      <c r="L880" s="317"/>
      <c r="M880" s="317"/>
      <c r="N880" s="317"/>
      <c r="O880" s="317"/>
      <c r="P880" s="317"/>
      <c r="Q880" s="317"/>
      <c r="R880" s="317"/>
      <c r="S880" s="317"/>
      <c r="T880" s="317"/>
      <c r="U880" s="317"/>
      <c r="V880" s="317"/>
      <c r="W880" s="317"/>
      <c r="X880" s="317"/>
      <c r="Y880" s="317"/>
      <c r="Z880" s="317"/>
      <c r="AA880" s="317"/>
    </row>
    <row r="881">
      <c r="A881" s="317"/>
      <c r="B881" s="317"/>
      <c r="C881" s="317"/>
      <c r="D881" s="317"/>
      <c r="E881" s="317"/>
      <c r="F881" s="317"/>
      <c r="G881" s="317"/>
      <c r="H881" s="317"/>
      <c r="I881" s="317"/>
      <c r="J881" s="317"/>
      <c r="K881" s="317"/>
      <c r="L881" s="317"/>
      <c r="M881" s="317"/>
      <c r="N881" s="317"/>
      <c r="O881" s="317"/>
      <c r="P881" s="317"/>
      <c r="Q881" s="317"/>
      <c r="R881" s="317"/>
      <c r="S881" s="317"/>
      <c r="T881" s="317"/>
      <c r="U881" s="317"/>
      <c r="V881" s="317"/>
      <c r="W881" s="317"/>
      <c r="X881" s="317"/>
      <c r="Y881" s="317"/>
      <c r="Z881" s="317"/>
      <c r="AA881" s="317"/>
    </row>
    <row r="882">
      <c r="A882" s="317"/>
      <c r="B882" s="317"/>
      <c r="C882" s="317"/>
      <c r="D882" s="317"/>
      <c r="E882" s="317"/>
      <c r="F882" s="317"/>
      <c r="G882" s="317"/>
      <c r="H882" s="317"/>
      <c r="I882" s="317"/>
      <c r="J882" s="317"/>
      <c r="K882" s="317"/>
      <c r="L882" s="317"/>
      <c r="M882" s="317"/>
      <c r="N882" s="317"/>
      <c r="O882" s="317"/>
      <c r="P882" s="317"/>
      <c r="Q882" s="317"/>
      <c r="R882" s="317"/>
      <c r="S882" s="317"/>
      <c r="T882" s="317"/>
      <c r="U882" s="317"/>
      <c r="V882" s="317"/>
      <c r="W882" s="317"/>
      <c r="X882" s="317"/>
      <c r="Y882" s="317"/>
      <c r="Z882" s="317"/>
      <c r="AA882" s="317"/>
    </row>
    <row r="883">
      <c r="A883" s="317"/>
      <c r="B883" s="317"/>
      <c r="C883" s="317"/>
      <c r="D883" s="317"/>
      <c r="E883" s="317"/>
      <c r="F883" s="317"/>
      <c r="G883" s="317"/>
      <c r="H883" s="317"/>
      <c r="I883" s="317"/>
      <c r="J883" s="317"/>
      <c r="K883" s="317"/>
      <c r="L883" s="317"/>
      <c r="M883" s="317"/>
      <c r="N883" s="317"/>
      <c r="O883" s="317"/>
      <c r="P883" s="317"/>
      <c r="Q883" s="317"/>
      <c r="R883" s="317"/>
      <c r="S883" s="317"/>
      <c r="T883" s="317"/>
      <c r="U883" s="317"/>
      <c r="V883" s="317"/>
      <c r="W883" s="317"/>
      <c r="X883" s="317"/>
      <c r="Y883" s="317"/>
      <c r="Z883" s="317"/>
      <c r="AA883" s="317"/>
    </row>
    <row r="884">
      <c r="A884" s="317"/>
      <c r="B884" s="317"/>
      <c r="C884" s="317"/>
      <c r="D884" s="317"/>
      <c r="E884" s="317"/>
      <c r="F884" s="317"/>
      <c r="G884" s="317"/>
      <c r="H884" s="317"/>
      <c r="I884" s="317"/>
      <c r="J884" s="317"/>
      <c r="K884" s="317"/>
      <c r="L884" s="317"/>
      <c r="M884" s="317"/>
      <c r="N884" s="317"/>
      <c r="O884" s="317"/>
      <c r="P884" s="317"/>
      <c r="Q884" s="317"/>
      <c r="R884" s="317"/>
      <c r="S884" s="317"/>
      <c r="T884" s="317"/>
      <c r="U884" s="317"/>
      <c r="V884" s="317"/>
      <c r="W884" s="317"/>
      <c r="X884" s="317"/>
      <c r="Y884" s="317"/>
      <c r="Z884" s="317"/>
      <c r="AA884" s="317"/>
    </row>
    <row r="885">
      <c r="A885" s="317"/>
      <c r="B885" s="317"/>
      <c r="C885" s="317"/>
      <c r="D885" s="317"/>
      <c r="E885" s="317"/>
      <c r="F885" s="317"/>
      <c r="G885" s="317"/>
      <c r="H885" s="317"/>
      <c r="I885" s="317"/>
      <c r="J885" s="317"/>
      <c r="K885" s="317"/>
      <c r="L885" s="317"/>
      <c r="M885" s="317"/>
      <c r="N885" s="317"/>
      <c r="O885" s="317"/>
      <c r="P885" s="317"/>
      <c r="Q885" s="317"/>
      <c r="R885" s="317"/>
      <c r="S885" s="317"/>
      <c r="T885" s="317"/>
      <c r="U885" s="317"/>
      <c r="V885" s="317"/>
      <c r="W885" s="317"/>
      <c r="X885" s="317"/>
      <c r="Y885" s="317"/>
      <c r="Z885" s="317"/>
      <c r="AA885" s="317"/>
    </row>
    <row r="886">
      <c r="A886" s="317"/>
      <c r="B886" s="317"/>
      <c r="C886" s="317"/>
      <c r="D886" s="317"/>
      <c r="E886" s="317"/>
      <c r="F886" s="317"/>
      <c r="G886" s="317"/>
      <c r="H886" s="317"/>
      <c r="I886" s="317"/>
      <c r="J886" s="317"/>
      <c r="K886" s="317"/>
      <c r="L886" s="317"/>
      <c r="M886" s="317"/>
      <c r="N886" s="317"/>
      <c r="O886" s="317"/>
      <c r="P886" s="317"/>
      <c r="Q886" s="317"/>
      <c r="R886" s="317"/>
      <c r="S886" s="317"/>
      <c r="T886" s="317"/>
      <c r="U886" s="317"/>
      <c r="V886" s="317"/>
      <c r="W886" s="317"/>
      <c r="X886" s="317"/>
      <c r="Y886" s="317"/>
      <c r="Z886" s="317"/>
      <c r="AA886" s="317"/>
    </row>
    <row r="887">
      <c r="A887" s="317"/>
      <c r="B887" s="317"/>
      <c r="C887" s="317"/>
      <c r="D887" s="317"/>
      <c r="E887" s="317"/>
      <c r="F887" s="317"/>
      <c r="G887" s="317"/>
      <c r="H887" s="317"/>
      <c r="I887" s="317"/>
      <c r="J887" s="317"/>
      <c r="K887" s="317"/>
      <c r="L887" s="317"/>
      <c r="M887" s="317"/>
      <c r="N887" s="317"/>
      <c r="O887" s="317"/>
      <c r="P887" s="317"/>
      <c r="Q887" s="317"/>
      <c r="R887" s="317"/>
      <c r="S887" s="317"/>
      <c r="T887" s="317"/>
      <c r="U887" s="317"/>
      <c r="V887" s="317"/>
      <c r="W887" s="317"/>
      <c r="X887" s="317"/>
      <c r="Y887" s="317"/>
      <c r="Z887" s="317"/>
      <c r="AA887" s="317"/>
    </row>
    <row r="888">
      <c r="A888" s="317"/>
      <c r="B888" s="317"/>
      <c r="C888" s="317"/>
      <c r="D888" s="317"/>
      <c r="E888" s="317"/>
      <c r="F888" s="317"/>
      <c r="G888" s="317"/>
      <c r="H888" s="317"/>
      <c r="I888" s="317"/>
      <c r="J888" s="317"/>
      <c r="K888" s="317"/>
      <c r="L888" s="317"/>
      <c r="M888" s="317"/>
      <c r="N888" s="317"/>
      <c r="O888" s="317"/>
      <c r="P888" s="317"/>
      <c r="Q888" s="317"/>
      <c r="R888" s="317"/>
      <c r="S888" s="317"/>
      <c r="T888" s="317"/>
      <c r="U888" s="317"/>
      <c r="V888" s="317"/>
      <c r="W888" s="317"/>
      <c r="X888" s="317"/>
      <c r="Y888" s="317"/>
      <c r="Z888" s="317"/>
      <c r="AA888" s="317"/>
    </row>
    <row r="889">
      <c r="A889" s="317"/>
      <c r="B889" s="317"/>
      <c r="C889" s="317"/>
      <c r="D889" s="317"/>
      <c r="E889" s="317"/>
      <c r="F889" s="317"/>
      <c r="G889" s="317"/>
      <c r="H889" s="317"/>
      <c r="I889" s="317"/>
      <c r="J889" s="317"/>
      <c r="K889" s="317"/>
      <c r="L889" s="317"/>
      <c r="M889" s="317"/>
      <c r="N889" s="317"/>
      <c r="O889" s="317"/>
      <c r="P889" s="317"/>
      <c r="Q889" s="317"/>
      <c r="R889" s="317"/>
      <c r="S889" s="317"/>
      <c r="T889" s="317"/>
      <c r="U889" s="317"/>
      <c r="V889" s="317"/>
      <c r="W889" s="317"/>
      <c r="X889" s="317"/>
      <c r="Y889" s="317"/>
      <c r="Z889" s="317"/>
      <c r="AA889" s="317"/>
    </row>
    <row r="890">
      <c r="A890" s="317"/>
      <c r="B890" s="317"/>
      <c r="C890" s="317"/>
      <c r="D890" s="317"/>
      <c r="E890" s="317"/>
      <c r="F890" s="317"/>
      <c r="G890" s="317"/>
      <c r="H890" s="317"/>
      <c r="I890" s="317"/>
      <c r="J890" s="317"/>
      <c r="K890" s="317"/>
      <c r="L890" s="317"/>
      <c r="M890" s="317"/>
      <c r="N890" s="317"/>
      <c r="O890" s="317"/>
      <c r="P890" s="317"/>
      <c r="Q890" s="317"/>
      <c r="R890" s="317"/>
      <c r="S890" s="317"/>
      <c r="T890" s="317"/>
      <c r="U890" s="317"/>
      <c r="V890" s="317"/>
      <c r="W890" s="317"/>
      <c r="X890" s="317"/>
      <c r="Y890" s="317"/>
      <c r="Z890" s="317"/>
      <c r="AA890" s="317"/>
    </row>
    <row r="891">
      <c r="A891" s="317"/>
      <c r="B891" s="317"/>
      <c r="C891" s="317"/>
      <c r="D891" s="317"/>
      <c r="E891" s="317"/>
      <c r="F891" s="317"/>
      <c r="G891" s="317"/>
      <c r="H891" s="317"/>
      <c r="I891" s="317"/>
      <c r="J891" s="317"/>
      <c r="K891" s="317"/>
      <c r="L891" s="317"/>
      <c r="M891" s="317"/>
      <c r="N891" s="317"/>
      <c r="O891" s="317"/>
      <c r="P891" s="317"/>
      <c r="Q891" s="317"/>
      <c r="R891" s="317"/>
      <c r="S891" s="317"/>
      <c r="T891" s="317"/>
      <c r="U891" s="317"/>
      <c r="V891" s="317"/>
      <c r="W891" s="317"/>
      <c r="X891" s="317"/>
      <c r="Y891" s="317"/>
      <c r="Z891" s="317"/>
      <c r="AA891" s="317"/>
    </row>
    <row r="892">
      <c r="A892" s="317"/>
      <c r="B892" s="317"/>
      <c r="C892" s="317"/>
      <c r="D892" s="317"/>
      <c r="E892" s="317"/>
      <c r="F892" s="317"/>
      <c r="G892" s="317"/>
      <c r="H892" s="317"/>
      <c r="I892" s="317"/>
      <c r="J892" s="317"/>
      <c r="K892" s="317"/>
      <c r="L892" s="317"/>
      <c r="M892" s="317"/>
      <c r="N892" s="317"/>
      <c r="O892" s="317"/>
      <c r="P892" s="317"/>
      <c r="Q892" s="317"/>
      <c r="R892" s="317"/>
      <c r="S892" s="317"/>
      <c r="T892" s="317"/>
      <c r="U892" s="317"/>
      <c r="V892" s="317"/>
      <c r="W892" s="317"/>
      <c r="X892" s="317"/>
      <c r="Y892" s="317"/>
      <c r="Z892" s="317"/>
      <c r="AA892" s="317"/>
    </row>
    <row r="893">
      <c r="A893" s="317"/>
      <c r="B893" s="317"/>
      <c r="C893" s="317"/>
      <c r="D893" s="317"/>
      <c r="E893" s="317"/>
      <c r="F893" s="317"/>
      <c r="G893" s="317"/>
      <c r="H893" s="317"/>
      <c r="I893" s="317"/>
      <c r="J893" s="317"/>
      <c r="K893" s="317"/>
      <c r="L893" s="317"/>
      <c r="M893" s="317"/>
      <c r="N893" s="317"/>
      <c r="O893" s="317"/>
      <c r="P893" s="317"/>
      <c r="Q893" s="317"/>
      <c r="R893" s="317"/>
      <c r="S893" s="317"/>
      <c r="T893" s="317"/>
      <c r="U893" s="317"/>
      <c r="V893" s="317"/>
      <c r="W893" s="317"/>
      <c r="X893" s="317"/>
      <c r="Y893" s="317"/>
      <c r="Z893" s="317"/>
      <c r="AA893" s="317"/>
    </row>
    <row r="894">
      <c r="A894" s="317"/>
      <c r="B894" s="317"/>
      <c r="C894" s="317"/>
      <c r="D894" s="317"/>
      <c r="E894" s="317"/>
      <c r="F894" s="317"/>
      <c r="G894" s="317"/>
      <c r="H894" s="317"/>
      <c r="I894" s="317"/>
      <c r="J894" s="317"/>
      <c r="K894" s="317"/>
      <c r="L894" s="317"/>
      <c r="M894" s="317"/>
      <c r="N894" s="317"/>
      <c r="O894" s="317"/>
      <c r="P894" s="317"/>
      <c r="Q894" s="317"/>
      <c r="R894" s="317"/>
      <c r="S894" s="317"/>
      <c r="T894" s="317"/>
      <c r="U894" s="317"/>
      <c r="V894" s="317"/>
      <c r="W894" s="317"/>
      <c r="X894" s="317"/>
      <c r="Y894" s="317"/>
      <c r="Z894" s="317"/>
      <c r="AA894" s="317"/>
    </row>
    <row r="895">
      <c r="A895" s="317"/>
      <c r="B895" s="317"/>
      <c r="C895" s="317"/>
      <c r="D895" s="317"/>
      <c r="E895" s="317"/>
      <c r="F895" s="317"/>
      <c r="G895" s="317"/>
      <c r="H895" s="317"/>
      <c r="I895" s="317"/>
      <c r="J895" s="317"/>
      <c r="K895" s="317"/>
      <c r="L895" s="317"/>
      <c r="M895" s="317"/>
      <c r="N895" s="317"/>
      <c r="O895" s="317"/>
      <c r="P895" s="317"/>
      <c r="Q895" s="317"/>
      <c r="R895" s="317"/>
      <c r="S895" s="317"/>
      <c r="T895" s="317"/>
      <c r="U895" s="317"/>
      <c r="V895" s="317"/>
      <c r="W895" s="317"/>
      <c r="X895" s="317"/>
      <c r="Y895" s="317"/>
      <c r="Z895" s="317"/>
      <c r="AA895" s="317"/>
    </row>
    <row r="896">
      <c r="A896" s="317"/>
      <c r="B896" s="317"/>
      <c r="C896" s="317"/>
      <c r="D896" s="317"/>
      <c r="E896" s="317"/>
      <c r="F896" s="317"/>
      <c r="G896" s="317"/>
      <c r="H896" s="317"/>
      <c r="I896" s="317"/>
      <c r="J896" s="317"/>
      <c r="K896" s="317"/>
      <c r="L896" s="317"/>
      <c r="M896" s="317"/>
      <c r="N896" s="317"/>
      <c r="O896" s="317"/>
      <c r="P896" s="317"/>
      <c r="Q896" s="317"/>
      <c r="R896" s="317"/>
      <c r="S896" s="317"/>
      <c r="T896" s="317"/>
      <c r="U896" s="317"/>
      <c r="V896" s="317"/>
      <c r="W896" s="317"/>
      <c r="X896" s="317"/>
      <c r="Y896" s="317"/>
      <c r="Z896" s="317"/>
      <c r="AA896" s="317"/>
    </row>
    <row r="897">
      <c r="A897" s="317"/>
      <c r="B897" s="317"/>
      <c r="C897" s="317"/>
      <c r="D897" s="317"/>
      <c r="E897" s="317"/>
      <c r="F897" s="317"/>
      <c r="G897" s="317"/>
      <c r="H897" s="317"/>
      <c r="I897" s="317"/>
      <c r="J897" s="317"/>
      <c r="K897" s="317"/>
      <c r="L897" s="317"/>
      <c r="M897" s="317"/>
      <c r="N897" s="317"/>
      <c r="O897" s="317"/>
      <c r="P897" s="317"/>
      <c r="Q897" s="317"/>
      <c r="R897" s="317"/>
      <c r="S897" s="317"/>
      <c r="T897" s="317"/>
      <c r="U897" s="317"/>
      <c r="V897" s="317"/>
      <c r="W897" s="317"/>
      <c r="X897" s="317"/>
      <c r="Y897" s="317"/>
      <c r="Z897" s="317"/>
      <c r="AA897" s="317"/>
    </row>
    <row r="898">
      <c r="A898" s="317"/>
      <c r="B898" s="317"/>
      <c r="C898" s="317"/>
      <c r="D898" s="317"/>
      <c r="E898" s="317"/>
      <c r="F898" s="317"/>
      <c r="G898" s="317"/>
      <c r="H898" s="317"/>
      <c r="I898" s="317"/>
      <c r="J898" s="317"/>
      <c r="K898" s="317"/>
      <c r="L898" s="317"/>
      <c r="M898" s="317"/>
      <c r="N898" s="317"/>
      <c r="O898" s="317"/>
      <c r="P898" s="317"/>
      <c r="Q898" s="317"/>
      <c r="R898" s="317"/>
      <c r="S898" s="317"/>
      <c r="T898" s="317"/>
      <c r="U898" s="317"/>
      <c r="V898" s="317"/>
      <c r="W898" s="317"/>
      <c r="X898" s="317"/>
      <c r="Y898" s="317"/>
      <c r="Z898" s="317"/>
      <c r="AA898" s="317"/>
    </row>
    <row r="899">
      <c r="A899" s="317"/>
      <c r="B899" s="317"/>
      <c r="C899" s="317"/>
      <c r="D899" s="317"/>
      <c r="E899" s="317"/>
      <c r="F899" s="317"/>
      <c r="G899" s="317"/>
      <c r="H899" s="317"/>
      <c r="I899" s="317"/>
      <c r="J899" s="317"/>
      <c r="K899" s="317"/>
      <c r="L899" s="317"/>
      <c r="M899" s="317"/>
      <c r="N899" s="317"/>
      <c r="O899" s="317"/>
      <c r="P899" s="317"/>
      <c r="Q899" s="317"/>
      <c r="R899" s="317"/>
      <c r="S899" s="317"/>
      <c r="T899" s="317"/>
      <c r="U899" s="317"/>
      <c r="V899" s="317"/>
      <c r="W899" s="317"/>
      <c r="X899" s="317"/>
      <c r="Y899" s="317"/>
      <c r="Z899" s="317"/>
      <c r="AA899" s="317"/>
    </row>
    <row r="900">
      <c r="A900" s="317"/>
      <c r="B900" s="317"/>
      <c r="C900" s="317"/>
      <c r="D900" s="317"/>
      <c r="E900" s="317"/>
      <c r="F900" s="317"/>
      <c r="G900" s="317"/>
      <c r="H900" s="317"/>
      <c r="I900" s="317"/>
      <c r="J900" s="317"/>
      <c r="K900" s="317"/>
      <c r="L900" s="317"/>
      <c r="M900" s="317"/>
      <c r="N900" s="317"/>
      <c r="O900" s="317"/>
      <c r="P900" s="317"/>
      <c r="Q900" s="317"/>
      <c r="R900" s="317"/>
      <c r="S900" s="317"/>
      <c r="T900" s="317"/>
      <c r="U900" s="317"/>
      <c r="V900" s="317"/>
      <c r="W900" s="317"/>
      <c r="X900" s="317"/>
      <c r="Y900" s="317"/>
      <c r="Z900" s="317"/>
      <c r="AA900" s="317"/>
    </row>
    <row r="901">
      <c r="A901" s="317"/>
      <c r="B901" s="317"/>
      <c r="C901" s="317"/>
      <c r="D901" s="317"/>
      <c r="E901" s="317"/>
      <c r="F901" s="317"/>
      <c r="G901" s="317"/>
      <c r="H901" s="317"/>
      <c r="I901" s="317"/>
      <c r="J901" s="317"/>
      <c r="K901" s="317"/>
      <c r="L901" s="317"/>
      <c r="M901" s="317"/>
      <c r="N901" s="317"/>
      <c r="O901" s="317"/>
      <c r="P901" s="317"/>
      <c r="Q901" s="317"/>
      <c r="R901" s="317"/>
      <c r="S901" s="317"/>
      <c r="T901" s="317"/>
      <c r="U901" s="317"/>
      <c r="V901" s="317"/>
      <c r="W901" s="317"/>
      <c r="X901" s="317"/>
      <c r="Y901" s="317"/>
      <c r="Z901" s="317"/>
      <c r="AA901" s="317"/>
    </row>
    <row r="902">
      <c r="A902" s="317"/>
      <c r="B902" s="317"/>
      <c r="C902" s="317"/>
      <c r="D902" s="317"/>
      <c r="E902" s="317"/>
      <c r="F902" s="317"/>
      <c r="G902" s="317"/>
      <c r="H902" s="317"/>
      <c r="I902" s="317"/>
      <c r="J902" s="317"/>
      <c r="K902" s="317"/>
      <c r="L902" s="317"/>
      <c r="M902" s="317"/>
      <c r="N902" s="317"/>
      <c r="O902" s="317"/>
      <c r="P902" s="317"/>
      <c r="Q902" s="317"/>
      <c r="R902" s="317"/>
      <c r="S902" s="317"/>
      <c r="T902" s="317"/>
      <c r="U902" s="317"/>
      <c r="V902" s="317"/>
      <c r="W902" s="317"/>
      <c r="X902" s="317"/>
      <c r="Y902" s="317"/>
      <c r="Z902" s="317"/>
      <c r="AA902" s="317"/>
    </row>
    <row r="903">
      <c r="A903" s="317"/>
      <c r="B903" s="317"/>
      <c r="C903" s="317"/>
      <c r="D903" s="317"/>
      <c r="E903" s="317"/>
      <c r="F903" s="317"/>
      <c r="G903" s="317"/>
      <c r="H903" s="317"/>
      <c r="I903" s="317"/>
      <c r="J903" s="317"/>
      <c r="K903" s="317"/>
      <c r="L903" s="317"/>
      <c r="M903" s="317"/>
      <c r="N903" s="317"/>
      <c r="O903" s="317"/>
      <c r="P903" s="317"/>
      <c r="Q903" s="317"/>
      <c r="R903" s="317"/>
      <c r="S903" s="317"/>
      <c r="T903" s="317"/>
      <c r="U903" s="317"/>
      <c r="V903" s="317"/>
      <c r="W903" s="317"/>
      <c r="X903" s="317"/>
      <c r="Y903" s="317"/>
      <c r="Z903" s="317"/>
      <c r="AA903" s="317"/>
    </row>
    <row r="904">
      <c r="A904" s="317"/>
      <c r="B904" s="317"/>
      <c r="C904" s="317"/>
      <c r="D904" s="317"/>
      <c r="E904" s="317"/>
      <c r="F904" s="317"/>
      <c r="G904" s="317"/>
      <c r="H904" s="317"/>
      <c r="I904" s="317"/>
      <c r="J904" s="317"/>
      <c r="K904" s="317"/>
      <c r="L904" s="317"/>
      <c r="M904" s="317"/>
      <c r="N904" s="317"/>
      <c r="O904" s="317"/>
      <c r="P904" s="317"/>
      <c r="Q904" s="317"/>
      <c r="R904" s="317"/>
      <c r="S904" s="317"/>
      <c r="T904" s="317"/>
      <c r="U904" s="317"/>
      <c r="V904" s="317"/>
      <c r="W904" s="317"/>
      <c r="X904" s="317"/>
      <c r="Y904" s="317"/>
      <c r="Z904" s="317"/>
      <c r="AA904" s="317"/>
    </row>
    <row r="905">
      <c r="A905" s="317"/>
      <c r="B905" s="317"/>
      <c r="C905" s="317"/>
      <c r="D905" s="317"/>
      <c r="E905" s="317"/>
      <c r="F905" s="317"/>
      <c r="G905" s="317"/>
      <c r="H905" s="317"/>
      <c r="I905" s="317"/>
      <c r="J905" s="317"/>
      <c r="K905" s="317"/>
      <c r="L905" s="317"/>
      <c r="M905" s="317"/>
      <c r="N905" s="317"/>
      <c r="O905" s="317"/>
      <c r="P905" s="317"/>
      <c r="Q905" s="317"/>
      <c r="R905" s="317"/>
      <c r="S905" s="317"/>
      <c r="T905" s="317"/>
      <c r="U905" s="317"/>
      <c r="V905" s="317"/>
      <c r="W905" s="317"/>
      <c r="X905" s="317"/>
      <c r="Y905" s="317"/>
      <c r="Z905" s="317"/>
      <c r="AA905" s="317"/>
    </row>
    <row r="906">
      <c r="A906" s="317"/>
      <c r="B906" s="317"/>
      <c r="C906" s="317"/>
      <c r="D906" s="317"/>
      <c r="E906" s="317"/>
      <c r="F906" s="317"/>
      <c r="G906" s="317"/>
      <c r="H906" s="317"/>
      <c r="I906" s="317"/>
      <c r="J906" s="317"/>
      <c r="K906" s="317"/>
      <c r="L906" s="317"/>
      <c r="M906" s="317"/>
      <c r="N906" s="317"/>
      <c r="O906" s="317"/>
      <c r="P906" s="317"/>
      <c r="Q906" s="317"/>
      <c r="R906" s="317"/>
      <c r="S906" s="317"/>
      <c r="T906" s="317"/>
      <c r="U906" s="317"/>
      <c r="V906" s="317"/>
      <c r="W906" s="317"/>
      <c r="X906" s="317"/>
      <c r="Y906" s="317"/>
      <c r="Z906" s="317"/>
      <c r="AA906" s="317"/>
    </row>
    <row r="907">
      <c r="A907" s="317"/>
      <c r="B907" s="317"/>
      <c r="C907" s="317"/>
      <c r="D907" s="317"/>
      <c r="E907" s="317"/>
      <c r="F907" s="317"/>
      <c r="G907" s="317"/>
      <c r="H907" s="317"/>
      <c r="I907" s="317"/>
      <c r="J907" s="317"/>
      <c r="K907" s="317"/>
      <c r="L907" s="317"/>
      <c r="M907" s="317"/>
      <c r="N907" s="317"/>
      <c r="O907" s="317"/>
      <c r="P907" s="317"/>
      <c r="Q907" s="317"/>
      <c r="R907" s="317"/>
      <c r="S907" s="317"/>
      <c r="T907" s="317"/>
      <c r="U907" s="317"/>
      <c r="V907" s="317"/>
      <c r="W907" s="317"/>
      <c r="X907" s="317"/>
      <c r="Y907" s="317"/>
      <c r="Z907" s="317"/>
      <c r="AA907" s="317"/>
    </row>
    <row r="908">
      <c r="A908" s="317"/>
      <c r="B908" s="317"/>
      <c r="C908" s="317"/>
      <c r="D908" s="317"/>
      <c r="E908" s="317"/>
      <c r="F908" s="317"/>
      <c r="G908" s="317"/>
      <c r="H908" s="317"/>
      <c r="I908" s="317"/>
      <c r="J908" s="317"/>
      <c r="K908" s="317"/>
      <c r="L908" s="317"/>
      <c r="M908" s="317"/>
      <c r="N908" s="317"/>
      <c r="O908" s="317"/>
      <c r="P908" s="317"/>
      <c r="Q908" s="317"/>
      <c r="R908" s="317"/>
      <c r="S908" s="317"/>
      <c r="T908" s="317"/>
      <c r="U908" s="317"/>
      <c r="V908" s="317"/>
      <c r="W908" s="317"/>
      <c r="X908" s="317"/>
      <c r="Y908" s="317"/>
      <c r="Z908" s="317"/>
      <c r="AA908" s="317"/>
    </row>
    <row r="909">
      <c r="A909" s="317"/>
      <c r="B909" s="317"/>
      <c r="C909" s="317"/>
      <c r="D909" s="317"/>
      <c r="E909" s="317"/>
      <c r="F909" s="317"/>
      <c r="G909" s="317"/>
      <c r="H909" s="317"/>
      <c r="I909" s="317"/>
      <c r="J909" s="317"/>
      <c r="K909" s="317"/>
      <c r="L909" s="317"/>
      <c r="M909" s="317"/>
      <c r="N909" s="317"/>
      <c r="O909" s="317"/>
      <c r="P909" s="317"/>
      <c r="Q909" s="317"/>
      <c r="R909" s="317"/>
      <c r="S909" s="317"/>
      <c r="T909" s="317"/>
      <c r="U909" s="317"/>
      <c r="V909" s="317"/>
      <c r="W909" s="317"/>
      <c r="X909" s="317"/>
      <c r="Y909" s="317"/>
      <c r="Z909" s="317"/>
      <c r="AA909" s="317"/>
    </row>
    <row r="910">
      <c r="A910" s="317"/>
      <c r="B910" s="317"/>
      <c r="C910" s="317"/>
      <c r="D910" s="317"/>
      <c r="E910" s="317"/>
      <c r="F910" s="317"/>
      <c r="G910" s="317"/>
      <c r="H910" s="317"/>
      <c r="I910" s="317"/>
      <c r="J910" s="317"/>
      <c r="K910" s="317"/>
      <c r="L910" s="317"/>
      <c r="M910" s="317"/>
      <c r="N910" s="317"/>
      <c r="O910" s="317"/>
      <c r="P910" s="317"/>
      <c r="Q910" s="317"/>
      <c r="R910" s="317"/>
      <c r="S910" s="317"/>
      <c r="T910" s="317"/>
      <c r="U910" s="317"/>
      <c r="V910" s="317"/>
      <c r="W910" s="317"/>
      <c r="X910" s="317"/>
      <c r="Y910" s="317"/>
      <c r="Z910" s="317"/>
      <c r="AA910" s="317"/>
    </row>
    <row r="911">
      <c r="A911" s="317"/>
      <c r="B911" s="317"/>
      <c r="C911" s="317"/>
      <c r="D911" s="317"/>
      <c r="E911" s="317"/>
      <c r="F911" s="317"/>
      <c r="G911" s="317"/>
      <c r="H911" s="317"/>
      <c r="I911" s="317"/>
      <c r="J911" s="317"/>
      <c r="K911" s="317"/>
      <c r="L911" s="317"/>
      <c r="M911" s="317"/>
      <c r="N911" s="317"/>
      <c r="O911" s="317"/>
      <c r="P911" s="317"/>
      <c r="Q911" s="317"/>
      <c r="R911" s="317"/>
      <c r="S911" s="317"/>
      <c r="T911" s="317"/>
      <c r="U911" s="317"/>
      <c r="V911" s="317"/>
      <c r="W911" s="317"/>
      <c r="X911" s="317"/>
      <c r="Y911" s="317"/>
      <c r="Z911" s="317"/>
      <c r="AA911" s="317"/>
    </row>
    <row r="912">
      <c r="A912" s="317"/>
      <c r="B912" s="317"/>
      <c r="C912" s="317"/>
      <c r="D912" s="317"/>
      <c r="E912" s="317"/>
      <c r="F912" s="317"/>
      <c r="G912" s="317"/>
      <c r="H912" s="317"/>
      <c r="I912" s="317"/>
      <c r="J912" s="317"/>
      <c r="K912" s="317"/>
      <c r="L912" s="317"/>
      <c r="M912" s="317"/>
      <c r="N912" s="317"/>
      <c r="O912" s="317"/>
      <c r="P912" s="317"/>
      <c r="Q912" s="317"/>
      <c r="R912" s="317"/>
      <c r="S912" s="317"/>
      <c r="T912" s="317"/>
      <c r="U912" s="317"/>
      <c r="V912" s="317"/>
      <c r="W912" s="317"/>
      <c r="X912" s="317"/>
      <c r="Y912" s="317"/>
      <c r="Z912" s="317"/>
      <c r="AA912" s="317"/>
    </row>
    <row r="913">
      <c r="A913" s="317"/>
      <c r="B913" s="317"/>
      <c r="C913" s="317"/>
      <c r="D913" s="317"/>
      <c r="E913" s="317"/>
      <c r="F913" s="317"/>
      <c r="G913" s="317"/>
      <c r="H913" s="317"/>
      <c r="I913" s="317"/>
      <c r="J913" s="317"/>
      <c r="K913" s="317"/>
      <c r="L913" s="317"/>
      <c r="M913" s="317"/>
      <c r="N913" s="317"/>
      <c r="O913" s="317"/>
      <c r="P913" s="317"/>
      <c r="Q913" s="317"/>
      <c r="R913" s="317"/>
      <c r="S913" s="317"/>
      <c r="T913" s="317"/>
      <c r="U913" s="317"/>
      <c r="V913" s="317"/>
      <c r="W913" s="317"/>
      <c r="X913" s="317"/>
      <c r="Y913" s="317"/>
      <c r="Z913" s="317"/>
      <c r="AA913" s="317"/>
    </row>
    <row r="914">
      <c r="A914" s="317"/>
      <c r="B914" s="317"/>
      <c r="C914" s="317"/>
      <c r="D914" s="317"/>
      <c r="E914" s="317"/>
      <c r="F914" s="317"/>
      <c r="G914" s="317"/>
      <c r="H914" s="317"/>
      <c r="I914" s="317"/>
      <c r="J914" s="317"/>
      <c r="K914" s="317"/>
      <c r="L914" s="317"/>
      <c r="M914" s="317"/>
      <c r="N914" s="317"/>
      <c r="O914" s="317"/>
      <c r="P914" s="317"/>
      <c r="Q914" s="317"/>
      <c r="R914" s="317"/>
      <c r="S914" s="317"/>
      <c r="T914" s="317"/>
      <c r="U914" s="317"/>
      <c r="V914" s="317"/>
      <c r="W914" s="317"/>
      <c r="X914" s="317"/>
      <c r="Y914" s="317"/>
      <c r="Z914" s="317"/>
      <c r="AA914" s="317"/>
    </row>
    <row r="915">
      <c r="A915" s="317"/>
      <c r="B915" s="317"/>
      <c r="C915" s="317"/>
      <c r="D915" s="317"/>
      <c r="E915" s="317"/>
      <c r="F915" s="317"/>
      <c r="G915" s="317"/>
      <c r="H915" s="317"/>
      <c r="I915" s="317"/>
      <c r="J915" s="317"/>
      <c r="K915" s="317"/>
      <c r="L915" s="317"/>
      <c r="M915" s="317"/>
      <c r="N915" s="317"/>
      <c r="O915" s="317"/>
      <c r="P915" s="317"/>
      <c r="Q915" s="317"/>
      <c r="R915" s="317"/>
      <c r="S915" s="317"/>
      <c r="T915" s="317"/>
      <c r="U915" s="317"/>
      <c r="V915" s="317"/>
      <c r="W915" s="317"/>
      <c r="X915" s="317"/>
      <c r="Y915" s="317"/>
      <c r="Z915" s="317"/>
      <c r="AA915" s="317"/>
    </row>
    <row r="916">
      <c r="A916" s="317"/>
      <c r="B916" s="317"/>
      <c r="C916" s="317"/>
      <c r="D916" s="317"/>
      <c r="E916" s="317"/>
      <c r="F916" s="317"/>
      <c r="G916" s="317"/>
      <c r="H916" s="317"/>
      <c r="I916" s="317"/>
      <c r="J916" s="317"/>
      <c r="K916" s="317"/>
      <c r="L916" s="317"/>
      <c r="M916" s="317"/>
      <c r="N916" s="317"/>
      <c r="O916" s="317"/>
      <c r="P916" s="317"/>
      <c r="Q916" s="317"/>
      <c r="R916" s="317"/>
      <c r="S916" s="317"/>
      <c r="T916" s="317"/>
      <c r="U916" s="317"/>
      <c r="V916" s="317"/>
      <c r="W916" s="317"/>
      <c r="X916" s="317"/>
      <c r="Y916" s="317"/>
      <c r="Z916" s="317"/>
      <c r="AA916" s="317"/>
    </row>
    <row r="917">
      <c r="A917" s="317"/>
      <c r="B917" s="317"/>
      <c r="C917" s="317"/>
      <c r="D917" s="317"/>
      <c r="E917" s="317"/>
      <c r="F917" s="317"/>
      <c r="G917" s="317"/>
      <c r="H917" s="317"/>
      <c r="I917" s="317"/>
      <c r="J917" s="317"/>
      <c r="K917" s="317"/>
      <c r="L917" s="317"/>
      <c r="M917" s="317"/>
      <c r="N917" s="317"/>
      <c r="O917" s="317"/>
      <c r="P917" s="317"/>
      <c r="Q917" s="317"/>
      <c r="R917" s="317"/>
      <c r="S917" s="317"/>
      <c r="T917" s="317"/>
      <c r="U917" s="317"/>
      <c r="V917" s="317"/>
      <c r="W917" s="317"/>
      <c r="X917" s="317"/>
      <c r="Y917" s="317"/>
      <c r="Z917" s="317"/>
      <c r="AA917" s="317"/>
    </row>
    <row r="918">
      <c r="A918" s="317"/>
      <c r="B918" s="317"/>
      <c r="C918" s="317"/>
      <c r="D918" s="317"/>
      <c r="E918" s="317"/>
      <c r="F918" s="317"/>
      <c r="G918" s="317"/>
      <c r="H918" s="317"/>
      <c r="I918" s="317"/>
      <c r="J918" s="317"/>
      <c r="K918" s="317"/>
      <c r="L918" s="317"/>
      <c r="M918" s="317"/>
      <c r="N918" s="317"/>
      <c r="O918" s="317"/>
      <c r="P918" s="317"/>
      <c r="Q918" s="317"/>
      <c r="R918" s="317"/>
      <c r="S918" s="317"/>
      <c r="T918" s="317"/>
      <c r="U918" s="317"/>
      <c r="V918" s="317"/>
      <c r="W918" s="317"/>
      <c r="X918" s="317"/>
      <c r="Y918" s="317"/>
      <c r="Z918" s="317"/>
      <c r="AA918" s="317"/>
    </row>
    <row r="919">
      <c r="A919" s="317"/>
      <c r="B919" s="317"/>
      <c r="C919" s="317"/>
      <c r="D919" s="317"/>
      <c r="E919" s="317"/>
      <c r="F919" s="317"/>
      <c r="G919" s="317"/>
      <c r="H919" s="317"/>
      <c r="I919" s="317"/>
      <c r="J919" s="317"/>
      <c r="K919" s="317"/>
      <c r="L919" s="317"/>
      <c r="M919" s="317"/>
      <c r="N919" s="317"/>
      <c r="O919" s="317"/>
      <c r="P919" s="317"/>
      <c r="Q919" s="317"/>
      <c r="R919" s="317"/>
      <c r="S919" s="317"/>
      <c r="T919" s="317"/>
      <c r="U919" s="317"/>
      <c r="V919" s="317"/>
      <c r="W919" s="317"/>
      <c r="X919" s="317"/>
      <c r="Y919" s="317"/>
      <c r="Z919" s="317"/>
      <c r="AA919" s="317"/>
    </row>
    <row r="920">
      <c r="A920" s="317"/>
      <c r="B920" s="317"/>
      <c r="C920" s="317"/>
      <c r="D920" s="317"/>
      <c r="E920" s="317"/>
      <c r="F920" s="317"/>
      <c r="G920" s="317"/>
      <c r="H920" s="317"/>
      <c r="I920" s="317"/>
      <c r="J920" s="317"/>
      <c r="K920" s="317"/>
      <c r="L920" s="317"/>
      <c r="M920" s="317"/>
      <c r="N920" s="317"/>
      <c r="O920" s="317"/>
      <c r="P920" s="317"/>
      <c r="Q920" s="317"/>
      <c r="R920" s="317"/>
      <c r="S920" s="317"/>
      <c r="T920" s="317"/>
      <c r="U920" s="317"/>
      <c r="V920" s="317"/>
      <c r="W920" s="317"/>
      <c r="X920" s="317"/>
      <c r="Y920" s="317"/>
      <c r="Z920" s="317"/>
      <c r="AA920" s="317"/>
    </row>
    <row r="921">
      <c r="A921" s="317"/>
      <c r="B921" s="317"/>
      <c r="C921" s="317"/>
      <c r="D921" s="317"/>
      <c r="E921" s="317"/>
      <c r="F921" s="317"/>
      <c r="G921" s="317"/>
      <c r="H921" s="317"/>
      <c r="I921" s="317"/>
      <c r="J921" s="317"/>
      <c r="K921" s="317"/>
      <c r="L921" s="317"/>
      <c r="M921" s="317"/>
      <c r="N921" s="317"/>
      <c r="O921" s="317"/>
      <c r="P921" s="317"/>
      <c r="Q921" s="317"/>
      <c r="R921" s="317"/>
      <c r="S921" s="317"/>
      <c r="T921" s="317"/>
      <c r="U921" s="317"/>
      <c r="V921" s="317"/>
      <c r="W921" s="317"/>
      <c r="X921" s="317"/>
      <c r="Y921" s="317"/>
      <c r="Z921" s="317"/>
      <c r="AA921" s="317"/>
    </row>
    <row r="922">
      <c r="A922" s="317"/>
      <c r="B922" s="317"/>
      <c r="C922" s="317"/>
      <c r="D922" s="317"/>
      <c r="E922" s="317"/>
      <c r="F922" s="317"/>
      <c r="G922" s="317"/>
      <c r="H922" s="317"/>
      <c r="I922" s="317"/>
      <c r="J922" s="317"/>
      <c r="K922" s="317"/>
      <c r="L922" s="317"/>
      <c r="M922" s="317"/>
      <c r="N922" s="317"/>
      <c r="O922" s="317"/>
      <c r="P922" s="317"/>
      <c r="Q922" s="317"/>
      <c r="R922" s="317"/>
      <c r="S922" s="317"/>
      <c r="T922" s="317"/>
      <c r="U922" s="317"/>
      <c r="V922" s="317"/>
      <c r="W922" s="317"/>
      <c r="X922" s="317"/>
      <c r="Y922" s="317"/>
      <c r="Z922" s="317"/>
      <c r="AA922" s="317"/>
    </row>
    <row r="923">
      <c r="A923" s="317"/>
      <c r="B923" s="317"/>
      <c r="C923" s="317"/>
      <c r="D923" s="317"/>
      <c r="E923" s="317"/>
      <c r="F923" s="317"/>
      <c r="G923" s="317"/>
      <c r="H923" s="317"/>
      <c r="I923" s="317"/>
      <c r="J923" s="317"/>
      <c r="K923" s="317"/>
      <c r="L923" s="317"/>
      <c r="M923" s="317"/>
      <c r="N923" s="317"/>
      <c r="O923" s="317"/>
      <c r="P923" s="317"/>
      <c r="Q923" s="317"/>
      <c r="R923" s="317"/>
      <c r="S923" s="317"/>
      <c r="T923" s="317"/>
      <c r="U923" s="317"/>
      <c r="V923" s="317"/>
      <c r="W923" s="317"/>
      <c r="X923" s="317"/>
      <c r="Y923" s="317"/>
      <c r="Z923" s="317"/>
      <c r="AA923" s="317"/>
    </row>
    <row r="924">
      <c r="A924" s="317"/>
      <c r="B924" s="317"/>
      <c r="C924" s="317"/>
      <c r="D924" s="317"/>
      <c r="E924" s="317"/>
      <c r="F924" s="317"/>
      <c r="G924" s="317"/>
      <c r="H924" s="317"/>
      <c r="I924" s="317"/>
      <c r="J924" s="317"/>
      <c r="K924" s="317"/>
      <c r="L924" s="317"/>
      <c r="M924" s="317"/>
      <c r="N924" s="317"/>
      <c r="O924" s="317"/>
      <c r="P924" s="317"/>
      <c r="Q924" s="317"/>
      <c r="R924" s="317"/>
      <c r="S924" s="317"/>
      <c r="T924" s="317"/>
      <c r="U924" s="317"/>
      <c r="V924" s="317"/>
      <c r="W924" s="317"/>
      <c r="X924" s="317"/>
      <c r="Y924" s="317"/>
      <c r="Z924" s="317"/>
      <c r="AA924" s="317"/>
    </row>
    <row r="925">
      <c r="A925" s="317"/>
      <c r="B925" s="317"/>
      <c r="C925" s="317"/>
      <c r="D925" s="317"/>
      <c r="E925" s="317"/>
      <c r="F925" s="317"/>
      <c r="G925" s="317"/>
      <c r="H925" s="317"/>
      <c r="I925" s="317"/>
      <c r="J925" s="317"/>
      <c r="K925" s="317"/>
      <c r="L925" s="317"/>
      <c r="M925" s="317"/>
      <c r="N925" s="317"/>
      <c r="O925" s="317"/>
      <c r="P925" s="317"/>
      <c r="Q925" s="317"/>
      <c r="R925" s="317"/>
      <c r="S925" s="317"/>
      <c r="T925" s="317"/>
      <c r="U925" s="317"/>
      <c r="V925" s="317"/>
      <c r="W925" s="317"/>
      <c r="X925" s="317"/>
      <c r="Y925" s="317"/>
      <c r="Z925" s="317"/>
      <c r="AA925" s="317"/>
    </row>
    <row r="926">
      <c r="A926" s="317"/>
      <c r="B926" s="317"/>
      <c r="C926" s="317"/>
      <c r="D926" s="317"/>
      <c r="E926" s="317"/>
      <c r="F926" s="317"/>
      <c r="G926" s="317"/>
      <c r="H926" s="317"/>
      <c r="I926" s="317"/>
      <c r="J926" s="317"/>
      <c r="K926" s="317"/>
      <c r="L926" s="317"/>
      <c r="M926" s="317"/>
      <c r="N926" s="317"/>
      <c r="O926" s="317"/>
      <c r="P926" s="317"/>
      <c r="Q926" s="317"/>
      <c r="R926" s="317"/>
      <c r="S926" s="317"/>
      <c r="T926" s="317"/>
      <c r="U926" s="317"/>
      <c r="V926" s="317"/>
      <c r="W926" s="317"/>
      <c r="X926" s="317"/>
      <c r="Y926" s="317"/>
      <c r="Z926" s="317"/>
      <c r="AA926" s="317"/>
    </row>
    <row r="927">
      <c r="A927" s="317"/>
      <c r="B927" s="317"/>
      <c r="C927" s="317"/>
      <c r="D927" s="317"/>
      <c r="E927" s="317"/>
      <c r="F927" s="317"/>
      <c r="G927" s="317"/>
      <c r="H927" s="317"/>
      <c r="I927" s="317"/>
      <c r="J927" s="317"/>
      <c r="K927" s="317"/>
      <c r="L927" s="317"/>
      <c r="M927" s="317"/>
      <c r="N927" s="317"/>
      <c r="O927" s="317"/>
      <c r="P927" s="317"/>
      <c r="Q927" s="317"/>
      <c r="R927" s="317"/>
      <c r="S927" s="317"/>
      <c r="T927" s="317"/>
      <c r="U927" s="317"/>
      <c r="V927" s="317"/>
      <c r="W927" s="317"/>
      <c r="X927" s="317"/>
      <c r="Y927" s="317"/>
      <c r="Z927" s="317"/>
      <c r="AA927" s="317"/>
    </row>
    <row r="928">
      <c r="A928" s="317"/>
      <c r="B928" s="317"/>
      <c r="C928" s="317"/>
      <c r="D928" s="317"/>
      <c r="E928" s="317"/>
      <c r="F928" s="317"/>
      <c r="G928" s="317"/>
      <c r="H928" s="317"/>
      <c r="I928" s="317"/>
      <c r="J928" s="317"/>
      <c r="K928" s="317"/>
      <c r="L928" s="317"/>
      <c r="M928" s="317"/>
      <c r="N928" s="317"/>
      <c r="O928" s="317"/>
      <c r="P928" s="317"/>
      <c r="Q928" s="317"/>
      <c r="R928" s="317"/>
      <c r="S928" s="317"/>
      <c r="T928" s="317"/>
      <c r="U928" s="317"/>
      <c r="V928" s="317"/>
      <c r="W928" s="317"/>
      <c r="X928" s="317"/>
      <c r="Y928" s="317"/>
      <c r="Z928" s="317"/>
      <c r="AA928" s="317"/>
    </row>
    <row r="929">
      <c r="A929" s="317"/>
      <c r="B929" s="317"/>
      <c r="C929" s="317"/>
      <c r="D929" s="317"/>
      <c r="E929" s="317"/>
      <c r="F929" s="317"/>
      <c r="G929" s="317"/>
      <c r="H929" s="317"/>
      <c r="I929" s="317"/>
      <c r="J929" s="317"/>
      <c r="K929" s="317"/>
      <c r="L929" s="317"/>
      <c r="M929" s="317"/>
      <c r="N929" s="317"/>
      <c r="O929" s="317"/>
      <c r="P929" s="317"/>
      <c r="Q929" s="317"/>
      <c r="R929" s="317"/>
      <c r="S929" s="317"/>
      <c r="T929" s="317"/>
      <c r="U929" s="317"/>
      <c r="V929" s="317"/>
      <c r="W929" s="317"/>
      <c r="X929" s="317"/>
      <c r="Y929" s="317"/>
      <c r="Z929" s="317"/>
      <c r="AA929" s="317"/>
    </row>
    <row r="930">
      <c r="A930" s="317"/>
      <c r="B930" s="317"/>
      <c r="C930" s="317"/>
      <c r="D930" s="317"/>
      <c r="E930" s="317"/>
      <c r="F930" s="317"/>
      <c r="G930" s="317"/>
      <c r="H930" s="317"/>
      <c r="I930" s="317"/>
      <c r="J930" s="317"/>
      <c r="K930" s="317"/>
      <c r="L930" s="317"/>
      <c r="M930" s="317"/>
      <c r="N930" s="317"/>
      <c r="O930" s="317"/>
      <c r="P930" s="317"/>
      <c r="Q930" s="317"/>
      <c r="R930" s="317"/>
      <c r="S930" s="317"/>
      <c r="T930" s="317"/>
      <c r="U930" s="317"/>
      <c r="V930" s="317"/>
      <c r="W930" s="317"/>
      <c r="X930" s="317"/>
      <c r="Y930" s="317"/>
      <c r="Z930" s="317"/>
      <c r="AA930" s="317"/>
    </row>
    <row r="931">
      <c r="A931" s="317"/>
      <c r="B931" s="317"/>
      <c r="C931" s="317"/>
      <c r="D931" s="317"/>
      <c r="E931" s="317"/>
      <c r="F931" s="317"/>
      <c r="G931" s="317"/>
      <c r="H931" s="317"/>
      <c r="I931" s="317"/>
      <c r="J931" s="317"/>
      <c r="K931" s="317"/>
      <c r="L931" s="317"/>
      <c r="M931" s="317"/>
      <c r="N931" s="317"/>
      <c r="O931" s="317"/>
      <c r="P931" s="317"/>
      <c r="Q931" s="317"/>
      <c r="R931" s="317"/>
      <c r="S931" s="317"/>
      <c r="T931" s="317"/>
      <c r="U931" s="317"/>
      <c r="V931" s="317"/>
      <c r="W931" s="317"/>
      <c r="X931" s="317"/>
      <c r="Y931" s="317"/>
      <c r="Z931" s="317"/>
      <c r="AA931" s="317"/>
    </row>
    <row r="932">
      <c r="A932" s="317"/>
      <c r="B932" s="317"/>
      <c r="C932" s="317"/>
      <c r="D932" s="317"/>
      <c r="E932" s="317"/>
      <c r="F932" s="317"/>
      <c r="G932" s="317"/>
      <c r="H932" s="317"/>
      <c r="I932" s="317"/>
      <c r="J932" s="317"/>
      <c r="K932" s="317"/>
      <c r="L932" s="317"/>
      <c r="M932" s="317"/>
      <c r="N932" s="317"/>
      <c r="O932" s="317"/>
      <c r="P932" s="317"/>
      <c r="Q932" s="317"/>
      <c r="R932" s="317"/>
      <c r="S932" s="317"/>
      <c r="T932" s="317"/>
      <c r="U932" s="317"/>
      <c r="V932" s="317"/>
      <c r="W932" s="317"/>
      <c r="X932" s="317"/>
      <c r="Y932" s="317"/>
      <c r="Z932" s="317"/>
      <c r="AA932" s="317"/>
    </row>
    <row r="933">
      <c r="A933" s="317"/>
      <c r="B933" s="317"/>
      <c r="C933" s="317"/>
      <c r="D933" s="317"/>
      <c r="E933" s="317"/>
      <c r="F933" s="317"/>
      <c r="G933" s="317"/>
      <c r="H933" s="317"/>
      <c r="I933" s="317"/>
      <c r="J933" s="317"/>
      <c r="K933" s="317"/>
      <c r="L933" s="317"/>
      <c r="M933" s="317"/>
      <c r="N933" s="317"/>
      <c r="O933" s="317"/>
      <c r="P933" s="317"/>
      <c r="Q933" s="317"/>
      <c r="R933" s="317"/>
      <c r="S933" s="317"/>
      <c r="T933" s="317"/>
      <c r="U933" s="317"/>
      <c r="V933" s="317"/>
      <c r="W933" s="317"/>
      <c r="X933" s="317"/>
      <c r="Y933" s="317"/>
      <c r="Z933" s="317"/>
      <c r="AA933" s="317"/>
    </row>
    <row r="934">
      <c r="A934" s="317"/>
      <c r="B934" s="317"/>
      <c r="C934" s="317"/>
      <c r="D934" s="317"/>
      <c r="E934" s="317"/>
      <c r="F934" s="317"/>
      <c r="G934" s="317"/>
      <c r="H934" s="317"/>
      <c r="I934" s="317"/>
      <c r="J934" s="317"/>
      <c r="K934" s="317"/>
      <c r="L934" s="317"/>
      <c r="M934" s="317"/>
      <c r="N934" s="317"/>
      <c r="O934" s="317"/>
      <c r="P934" s="317"/>
      <c r="Q934" s="317"/>
      <c r="R934" s="317"/>
      <c r="S934" s="317"/>
      <c r="T934" s="317"/>
      <c r="U934" s="317"/>
      <c r="V934" s="317"/>
      <c r="W934" s="317"/>
      <c r="X934" s="317"/>
      <c r="Y934" s="317"/>
      <c r="Z934" s="317"/>
      <c r="AA934" s="317"/>
    </row>
    <row r="935">
      <c r="A935" s="317"/>
      <c r="B935" s="317"/>
      <c r="C935" s="317"/>
      <c r="D935" s="317"/>
      <c r="E935" s="317"/>
      <c r="F935" s="317"/>
      <c r="G935" s="317"/>
      <c r="H935" s="317"/>
      <c r="I935" s="317"/>
      <c r="J935" s="317"/>
      <c r="K935" s="317"/>
      <c r="L935" s="317"/>
      <c r="M935" s="317"/>
      <c r="N935" s="317"/>
      <c r="O935" s="317"/>
      <c r="P935" s="317"/>
      <c r="Q935" s="317"/>
      <c r="R935" s="317"/>
      <c r="S935" s="317"/>
      <c r="T935" s="317"/>
      <c r="U935" s="317"/>
      <c r="V935" s="317"/>
      <c r="W935" s="317"/>
      <c r="X935" s="317"/>
      <c r="Y935" s="317"/>
      <c r="Z935" s="317"/>
      <c r="AA935" s="317"/>
    </row>
    <row r="936">
      <c r="A936" s="317"/>
      <c r="B936" s="317"/>
      <c r="C936" s="317"/>
      <c r="D936" s="317"/>
      <c r="E936" s="317"/>
      <c r="F936" s="317"/>
      <c r="G936" s="317"/>
      <c r="H936" s="317"/>
      <c r="I936" s="317"/>
      <c r="J936" s="317"/>
      <c r="K936" s="317"/>
      <c r="L936" s="317"/>
      <c r="M936" s="317"/>
      <c r="N936" s="317"/>
      <c r="O936" s="317"/>
      <c r="P936" s="317"/>
      <c r="Q936" s="317"/>
      <c r="R936" s="317"/>
      <c r="S936" s="317"/>
      <c r="T936" s="317"/>
      <c r="U936" s="317"/>
      <c r="V936" s="317"/>
      <c r="W936" s="317"/>
      <c r="X936" s="317"/>
      <c r="Y936" s="317"/>
      <c r="Z936" s="317"/>
      <c r="AA936" s="317"/>
    </row>
    <row r="937">
      <c r="A937" s="317"/>
      <c r="B937" s="317"/>
      <c r="C937" s="317"/>
      <c r="D937" s="317"/>
      <c r="E937" s="317"/>
      <c r="F937" s="317"/>
      <c r="G937" s="317"/>
      <c r="H937" s="317"/>
      <c r="I937" s="317"/>
      <c r="J937" s="317"/>
      <c r="K937" s="317"/>
      <c r="L937" s="317"/>
      <c r="M937" s="317"/>
      <c r="N937" s="317"/>
      <c r="O937" s="317"/>
      <c r="P937" s="317"/>
      <c r="Q937" s="317"/>
      <c r="R937" s="317"/>
      <c r="S937" s="317"/>
      <c r="T937" s="317"/>
      <c r="U937" s="317"/>
      <c r="V937" s="317"/>
      <c r="W937" s="317"/>
      <c r="X937" s="317"/>
      <c r="Y937" s="317"/>
      <c r="Z937" s="317"/>
      <c r="AA937" s="317"/>
    </row>
    <row r="938">
      <c r="A938" s="317"/>
      <c r="B938" s="317"/>
      <c r="C938" s="317"/>
      <c r="D938" s="317"/>
      <c r="E938" s="317"/>
      <c r="F938" s="317"/>
      <c r="G938" s="317"/>
      <c r="H938" s="317"/>
      <c r="I938" s="317"/>
      <c r="J938" s="317"/>
      <c r="K938" s="317"/>
      <c r="L938" s="317"/>
      <c r="M938" s="317"/>
      <c r="N938" s="317"/>
      <c r="O938" s="317"/>
      <c r="P938" s="317"/>
      <c r="Q938" s="317"/>
      <c r="R938" s="317"/>
      <c r="S938" s="317"/>
      <c r="T938" s="317"/>
      <c r="U938" s="317"/>
      <c r="V938" s="317"/>
      <c r="W938" s="317"/>
      <c r="X938" s="317"/>
      <c r="Y938" s="317"/>
      <c r="Z938" s="317"/>
      <c r="AA938" s="317"/>
    </row>
    <row r="939">
      <c r="A939" s="317"/>
      <c r="B939" s="317"/>
      <c r="C939" s="317"/>
      <c r="D939" s="317"/>
      <c r="E939" s="317"/>
      <c r="F939" s="317"/>
      <c r="G939" s="317"/>
      <c r="H939" s="317"/>
      <c r="I939" s="317"/>
      <c r="J939" s="317"/>
      <c r="K939" s="317"/>
      <c r="L939" s="317"/>
      <c r="M939" s="317"/>
      <c r="N939" s="317"/>
      <c r="O939" s="317"/>
      <c r="P939" s="317"/>
      <c r="Q939" s="317"/>
      <c r="R939" s="317"/>
      <c r="S939" s="317"/>
      <c r="T939" s="317"/>
      <c r="U939" s="317"/>
      <c r="V939" s="317"/>
      <c r="W939" s="317"/>
      <c r="X939" s="317"/>
      <c r="Y939" s="317"/>
      <c r="Z939" s="317"/>
      <c r="AA939" s="317"/>
    </row>
    <row r="940">
      <c r="A940" s="317"/>
      <c r="B940" s="317"/>
      <c r="C940" s="317"/>
      <c r="D940" s="317"/>
      <c r="E940" s="317"/>
      <c r="F940" s="317"/>
      <c r="G940" s="317"/>
      <c r="H940" s="317"/>
      <c r="I940" s="317"/>
      <c r="J940" s="317"/>
      <c r="K940" s="317"/>
      <c r="L940" s="317"/>
      <c r="M940" s="317"/>
      <c r="N940" s="317"/>
      <c r="O940" s="317"/>
      <c r="P940" s="317"/>
      <c r="Q940" s="317"/>
      <c r="R940" s="317"/>
      <c r="S940" s="317"/>
      <c r="T940" s="317"/>
      <c r="U940" s="317"/>
      <c r="V940" s="317"/>
      <c r="W940" s="317"/>
      <c r="X940" s="317"/>
      <c r="Y940" s="317"/>
      <c r="Z940" s="317"/>
      <c r="AA940" s="317"/>
    </row>
    <row r="941">
      <c r="A941" s="317"/>
      <c r="B941" s="317"/>
      <c r="C941" s="317"/>
      <c r="D941" s="317"/>
      <c r="E941" s="317"/>
      <c r="F941" s="317"/>
      <c r="G941" s="317"/>
      <c r="H941" s="317"/>
      <c r="I941" s="317"/>
      <c r="J941" s="317"/>
      <c r="K941" s="317"/>
      <c r="L941" s="317"/>
      <c r="M941" s="317"/>
      <c r="N941" s="317"/>
      <c r="O941" s="317"/>
      <c r="P941" s="317"/>
      <c r="Q941" s="317"/>
      <c r="R941" s="317"/>
      <c r="S941" s="317"/>
      <c r="T941" s="317"/>
      <c r="U941" s="317"/>
      <c r="V941" s="317"/>
      <c r="W941" s="317"/>
      <c r="X941" s="317"/>
      <c r="Y941" s="317"/>
      <c r="Z941" s="317"/>
      <c r="AA941" s="317"/>
    </row>
    <row r="942">
      <c r="A942" s="317"/>
      <c r="B942" s="317"/>
      <c r="C942" s="317"/>
      <c r="D942" s="317"/>
      <c r="E942" s="317"/>
      <c r="F942" s="317"/>
      <c r="G942" s="317"/>
      <c r="H942" s="317"/>
      <c r="I942" s="317"/>
      <c r="J942" s="317"/>
      <c r="K942" s="317"/>
      <c r="L942" s="317"/>
      <c r="M942" s="317"/>
      <c r="N942" s="317"/>
      <c r="O942" s="317"/>
      <c r="P942" s="317"/>
      <c r="Q942" s="317"/>
      <c r="R942" s="317"/>
      <c r="S942" s="317"/>
      <c r="T942" s="317"/>
      <c r="U942" s="317"/>
      <c r="V942" s="317"/>
      <c r="W942" s="317"/>
      <c r="X942" s="317"/>
      <c r="Y942" s="317"/>
      <c r="Z942" s="317"/>
      <c r="AA942" s="317"/>
    </row>
    <row r="943">
      <c r="A943" s="317"/>
      <c r="B943" s="317"/>
      <c r="C943" s="317"/>
      <c r="D943" s="317"/>
      <c r="E943" s="317"/>
      <c r="F943" s="317"/>
      <c r="G943" s="317"/>
      <c r="H943" s="317"/>
      <c r="I943" s="317"/>
      <c r="J943" s="317"/>
      <c r="K943" s="317"/>
      <c r="L943" s="317"/>
      <c r="M943" s="317"/>
      <c r="N943" s="317"/>
      <c r="O943" s="317"/>
      <c r="P943" s="317"/>
      <c r="Q943" s="317"/>
      <c r="R943" s="317"/>
      <c r="S943" s="317"/>
      <c r="T943" s="317"/>
      <c r="U943" s="317"/>
      <c r="V943" s="317"/>
      <c r="W943" s="317"/>
      <c r="X943" s="317"/>
      <c r="Y943" s="317"/>
      <c r="Z943" s="317"/>
      <c r="AA943" s="317"/>
    </row>
    <row r="944">
      <c r="A944" s="317"/>
      <c r="B944" s="317"/>
      <c r="C944" s="317"/>
      <c r="D944" s="317"/>
      <c r="E944" s="317"/>
      <c r="F944" s="317"/>
      <c r="G944" s="317"/>
      <c r="H944" s="317"/>
      <c r="I944" s="317"/>
      <c r="J944" s="317"/>
      <c r="K944" s="317"/>
      <c r="L944" s="317"/>
      <c r="M944" s="317"/>
      <c r="N944" s="317"/>
      <c r="O944" s="317"/>
      <c r="P944" s="317"/>
      <c r="Q944" s="317"/>
      <c r="R944" s="317"/>
      <c r="S944" s="317"/>
      <c r="T944" s="317"/>
      <c r="U944" s="317"/>
      <c r="V944" s="317"/>
      <c r="W944" s="317"/>
      <c r="X944" s="317"/>
      <c r="Y944" s="317"/>
      <c r="Z944" s="317"/>
      <c r="AA944" s="317"/>
    </row>
    <row r="945">
      <c r="A945" s="317"/>
      <c r="B945" s="317"/>
      <c r="C945" s="317"/>
      <c r="D945" s="317"/>
      <c r="E945" s="317"/>
      <c r="F945" s="317"/>
      <c r="G945" s="317"/>
      <c r="H945" s="317"/>
      <c r="I945" s="317"/>
      <c r="J945" s="317"/>
      <c r="K945" s="317"/>
      <c r="L945" s="317"/>
      <c r="M945" s="317"/>
      <c r="N945" s="317"/>
      <c r="O945" s="317"/>
      <c r="P945" s="317"/>
      <c r="Q945" s="317"/>
      <c r="R945" s="317"/>
      <c r="S945" s="317"/>
      <c r="T945" s="317"/>
      <c r="U945" s="317"/>
      <c r="V945" s="317"/>
      <c r="W945" s="317"/>
      <c r="X945" s="317"/>
      <c r="Y945" s="317"/>
      <c r="Z945" s="317"/>
      <c r="AA945" s="317"/>
    </row>
    <row r="946">
      <c r="A946" s="317"/>
      <c r="B946" s="317"/>
      <c r="C946" s="317"/>
      <c r="D946" s="317"/>
      <c r="E946" s="317"/>
      <c r="F946" s="317"/>
      <c r="G946" s="317"/>
      <c r="H946" s="317"/>
      <c r="I946" s="317"/>
      <c r="J946" s="317"/>
      <c r="K946" s="317"/>
      <c r="L946" s="317"/>
      <c r="M946" s="317"/>
      <c r="N946" s="317"/>
      <c r="O946" s="317"/>
      <c r="P946" s="317"/>
      <c r="Q946" s="317"/>
      <c r="R946" s="317"/>
      <c r="S946" s="317"/>
      <c r="T946" s="317"/>
      <c r="U946" s="317"/>
      <c r="V946" s="317"/>
      <c r="W946" s="317"/>
      <c r="X946" s="317"/>
      <c r="Y946" s="317"/>
      <c r="Z946" s="317"/>
      <c r="AA946" s="317"/>
    </row>
    <row r="947">
      <c r="A947" s="317"/>
      <c r="B947" s="317"/>
      <c r="C947" s="317"/>
      <c r="D947" s="317"/>
      <c r="E947" s="317"/>
      <c r="F947" s="317"/>
      <c r="G947" s="317"/>
      <c r="H947" s="317"/>
      <c r="I947" s="317"/>
      <c r="J947" s="317"/>
      <c r="K947" s="317"/>
      <c r="L947" s="317"/>
      <c r="M947" s="317"/>
      <c r="N947" s="317"/>
      <c r="O947" s="317"/>
      <c r="P947" s="317"/>
      <c r="Q947" s="317"/>
      <c r="R947" s="317"/>
      <c r="S947" s="317"/>
      <c r="T947" s="317"/>
      <c r="U947" s="317"/>
      <c r="V947" s="317"/>
      <c r="W947" s="317"/>
      <c r="X947" s="317"/>
      <c r="Y947" s="317"/>
      <c r="Z947" s="317"/>
      <c r="AA947" s="317"/>
    </row>
    <row r="948">
      <c r="A948" s="317"/>
      <c r="B948" s="317"/>
      <c r="C948" s="317"/>
      <c r="D948" s="317"/>
      <c r="E948" s="317"/>
      <c r="F948" s="317"/>
      <c r="G948" s="317"/>
      <c r="H948" s="317"/>
      <c r="I948" s="317"/>
      <c r="J948" s="317"/>
      <c r="K948" s="317"/>
      <c r="L948" s="317"/>
      <c r="M948" s="317"/>
      <c r="N948" s="317"/>
      <c r="O948" s="317"/>
      <c r="P948" s="317"/>
      <c r="Q948" s="317"/>
      <c r="R948" s="317"/>
      <c r="S948" s="317"/>
      <c r="T948" s="317"/>
      <c r="U948" s="317"/>
      <c r="V948" s="317"/>
      <c r="W948" s="317"/>
      <c r="X948" s="317"/>
      <c r="Y948" s="317"/>
      <c r="Z948" s="317"/>
      <c r="AA948" s="317"/>
    </row>
    <row r="949">
      <c r="A949" s="317"/>
      <c r="B949" s="317"/>
      <c r="C949" s="317"/>
      <c r="D949" s="317"/>
      <c r="E949" s="317"/>
      <c r="F949" s="317"/>
      <c r="G949" s="317"/>
      <c r="H949" s="317"/>
      <c r="I949" s="317"/>
      <c r="J949" s="317"/>
      <c r="K949" s="317"/>
      <c r="L949" s="317"/>
      <c r="M949" s="317"/>
      <c r="N949" s="317"/>
      <c r="O949" s="317"/>
      <c r="P949" s="317"/>
      <c r="Q949" s="317"/>
      <c r="R949" s="317"/>
      <c r="S949" s="317"/>
      <c r="T949" s="317"/>
      <c r="U949" s="317"/>
      <c r="V949" s="317"/>
      <c r="W949" s="317"/>
      <c r="X949" s="317"/>
      <c r="Y949" s="317"/>
      <c r="Z949" s="317"/>
      <c r="AA949" s="317"/>
    </row>
    <row r="950">
      <c r="A950" s="317"/>
      <c r="B950" s="317"/>
      <c r="C950" s="317"/>
      <c r="D950" s="317"/>
      <c r="E950" s="317"/>
      <c r="F950" s="317"/>
      <c r="G950" s="317"/>
      <c r="H950" s="317"/>
      <c r="I950" s="317"/>
      <c r="J950" s="317"/>
      <c r="K950" s="317"/>
      <c r="L950" s="317"/>
      <c r="M950" s="317"/>
      <c r="N950" s="317"/>
      <c r="O950" s="317"/>
      <c r="P950" s="317"/>
      <c r="Q950" s="317"/>
      <c r="R950" s="317"/>
      <c r="S950" s="317"/>
      <c r="T950" s="317"/>
      <c r="U950" s="317"/>
      <c r="V950" s="317"/>
      <c r="W950" s="317"/>
      <c r="X950" s="317"/>
      <c r="Y950" s="317"/>
      <c r="Z950" s="317"/>
      <c r="AA950" s="317"/>
    </row>
    <row r="951">
      <c r="A951" s="317"/>
      <c r="B951" s="317"/>
      <c r="C951" s="317"/>
      <c r="D951" s="317"/>
      <c r="E951" s="317"/>
      <c r="F951" s="317"/>
      <c r="G951" s="317"/>
      <c r="H951" s="317"/>
      <c r="I951" s="317"/>
      <c r="J951" s="317"/>
      <c r="K951" s="317"/>
      <c r="L951" s="317"/>
      <c r="M951" s="317"/>
      <c r="N951" s="317"/>
      <c r="O951" s="317"/>
      <c r="P951" s="317"/>
      <c r="Q951" s="317"/>
      <c r="R951" s="317"/>
      <c r="S951" s="317"/>
      <c r="T951" s="317"/>
      <c r="U951" s="317"/>
      <c r="V951" s="317"/>
      <c r="W951" s="317"/>
      <c r="X951" s="317"/>
      <c r="Y951" s="317"/>
      <c r="Z951" s="317"/>
      <c r="AA951" s="317"/>
    </row>
    <row r="952">
      <c r="A952" s="317"/>
      <c r="B952" s="317"/>
      <c r="C952" s="317"/>
      <c r="D952" s="317"/>
      <c r="E952" s="317"/>
      <c r="F952" s="317"/>
      <c r="G952" s="317"/>
      <c r="H952" s="317"/>
      <c r="I952" s="317"/>
      <c r="J952" s="317"/>
      <c r="K952" s="317"/>
      <c r="L952" s="317"/>
      <c r="M952" s="317"/>
      <c r="N952" s="317"/>
      <c r="O952" s="317"/>
      <c r="P952" s="317"/>
      <c r="Q952" s="317"/>
      <c r="R952" s="317"/>
      <c r="S952" s="317"/>
      <c r="T952" s="317"/>
      <c r="U952" s="317"/>
      <c r="V952" s="317"/>
      <c r="W952" s="317"/>
      <c r="X952" s="317"/>
      <c r="Y952" s="317"/>
      <c r="Z952" s="317"/>
      <c r="AA952" s="317"/>
    </row>
    <row r="953">
      <c r="A953" s="317"/>
      <c r="B953" s="317"/>
      <c r="C953" s="317"/>
      <c r="D953" s="317"/>
      <c r="E953" s="317"/>
      <c r="F953" s="317"/>
      <c r="G953" s="317"/>
      <c r="H953" s="317"/>
      <c r="I953" s="317"/>
      <c r="J953" s="317"/>
      <c r="K953" s="317"/>
      <c r="L953" s="317"/>
      <c r="M953" s="317"/>
      <c r="N953" s="317"/>
      <c r="O953" s="317"/>
      <c r="P953" s="317"/>
      <c r="Q953" s="317"/>
      <c r="R953" s="317"/>
      <c r="S953" s="317"/>
      <c r="T953" s="317"/>
      <c r="U953" s="317"/>
      <c r="V953" s="317"/>
      <c r="W953" s="317"/>
      <c r="X953" s="317"/>
      <c r="Y953" s="317"/>
      <c r="Z953" s="317"/>
      <c r="AA953" s="317"/>
    </row>
    <row r="954">
      <c r="A954" s="317"/>
      <c r="B954" s="317"/>
      <c r="C954" s="317"/>
      <c r="D954" s="317"/>
      <c r="E954" s="317"/>
      <c r="F954" s="317"/>
      <c r="G954" s="317"/>
      <c r="H954" s="317"/>
      <c r="I954" s="317"/>
      <c r="J954" s="317"/>
      <c r="K954" s="317"/>
      <c r="L954" s="317"/>
      <c r="M954" s="317"/>
      <c r="N954" s="317"/>
      <c r="O954" s="317"/>
      <c r="P954" s="317"/>
      <c r="Q954" s="317"/>
      <c r="R954" s="317"/>
      <c r="S954" s="317"/>
      <c r="T954" s="317"/>
      <c r="U954" s="317"/>
      <c r="V954" s="317"/>
      <c r="W954" s="317"/>
      <c r="X954" s="317"/>
      <c r="Y954" s="317"/>
      <c r="Z954" s="317"/>
      <c r="AA954" s="317"/>
    </row>
    <row r="955">
      <c r="A955" s="317"/>
      <c r="B955" s="317"/>
      <c r="C955" s="317"/>
      <c r="D955" s="317"/>
      <c r="E955" s="317"/>
      <c r="F955" s="317"/>
      <c r="G955" s="317"/>
      <c r="H955" s="317"/>
      <c r="I955" s="317"/>
      <c r="J955" s="317"/>
      <c r="K955" s="317"/>
      <c r="L955" s="317"/>
      <c r="M955" s="317"/>
      <c r="N955" s="317"/>
      <c r="O955" s="317"/>
      <c r="P955" s="317"/>
      <c r="Q955" s="317"/>
      <c r="R955" s="317"/>
      <c r="S955" s="317"/>
      <c r="T955" s="317"/>
      <c r="U955" s="317"/>
      <c r="V955" s="317"/>
      <c r="W955" s="317"/>
      <c r="X955" s="317"/>
      <c r="Y955" s="317"/>
      <c r="Z955" s="317"/>
      <c r="AA955" s="317"/>
    </row>
    <row r="956">
      <c r="A956" s="317"/>
      <c r="B956" s="317"/>
      <c r="C956" s="317"/>
      <c r="D956" s="317"/>
      <c r="E956" s="317"/>
      <c r="F956" s="317"/>
      <c r="G956" s="317"/>
      <c r="H956" s="317"/>
      <c r="I956" s="317"/>
      <c r="J956" s="317"/>
      <c r="K956" s="317"/>
      <c r="L956" s="317"/>
      <c r="M956" s="317"/>
      <c r="N956" s="317"/>
      <c r="O956" s="317"/>
      <c r="P956" s="317"/>
      <c r="Q956" s="317"/>
      <c r="R956" s="317"/>
      <c r="S956" s="317"/>
      <c r="T956" s="317"/>
      <c r="U956" s="317"/>
      <c r="V956" s="317"/>
      <c r="W956" s="317"/>
      <c r="X956" s="317"/>
      <c r="Y956" s="317"/>
      <c r="Z956" s="317"/>
      <c r="AA956" s="317"/>
    </row>
    <row r="957">
      <c r="A957" s="317"/>
      <c r="B957" s="317"/>
      <c r="C957" s="317"/>
      <c r="D957" s="317"/>
      <c r="E957" s="317"/>
      <c r="F957" s="317"/>
      <c r="G957" s="317"/>
      <c r="H957" s="317"/>
      <c r="I957" s="317"/>
      <c r="J957" s="317"/>
      <c r="K957" s="317"/>
      <c r="L957" s="317"/>
      <c r="M957" s="317"/>
      <c r="N957" s="317"/>
      <c r="O957" s="317"/>
      <c r="P957" s="317"/>
      <c r="Q957" s="317"/>
      <c r="R957" s="317"/>
      <c r="S957" s="317"/>
      <c r="T957" s="317"/>
      <c r="U957" s="317"/>
      <c r="V957" s="317"/>
      <c r="W957" s="317"/>
      <c r="X957" s="317"/>
      <c r="Y957" s="317"/>
      <c r="Z957" s="317"/>
      <c r="AA957" s="317"/>
    </row>
    <row r="958">
      <c r="A958" s="317"/>
      <c r="B958" s="317"/>
      <c r="C958" s="317"/>
      <c r="D958" s="317"/>
      <c r="E958" s="317"/>
      <c r="F958" s="317"/>
      <c r="G958" s="317"/>
      <c r="H958" s="317"/>
      <c r="I958" s="317"/>
      <c r="J958" s="317"/>
      <c r="K958" s="317"/>
      <c r="L958" s="317"/>
      <c r="M958" s="317"/>
      <c r="N958" s="317"/>
      <c r="O958" s="317"/>
      <c r="P958" s="317"/>
      <c r="Q958" s="317"/>
      <c r="R958" s="317"/>
      <c r="S958" s="317"/>
      <c r="T958" s="317"/>
      <c r="U958" s="317"/>
      <c r="V958" s="317"/>
      <c r="W958" s="317"/>
      <c r="X958" s="317"/>
      <c r="Y958" s="317"/>
      <c r="Z958" s="317"/>
      <c r="AA958" s="317"/>
    </row>
    <row r="959">
      <c r="A959" s="317"/>
      <c r="B959" s="317"/>
      <c r="C959" s="317"/>
      <c r="D959" s="317"/>
      <c r="E959" s="317"/>
      <c r="F959" s="317"/>
      <c r="G959" s="317"/>
      <c r="H959" s="317"/>
      <c r="I959" s="317"/>
      <c r="J959" s="317"/>
      <c r="K959" s="317"/>
      <c r="L959" s="317"/>
      <c r="M959" s="317"/>
      <c r="N959" s="317"/>
      <c r="O959" s="317"/>
      <c r="P959" s="317"/>
      <c r="Q959" s="317"/>
      <c r="R959" s="317"/>
      <c r="S959" s="317"/>
      <c r="T959" s="317"/>
      <c r="U959" s="317"/>
      <c r="V959" s="317"/>
      <c r="W959" s="317"/>
      <c r="X959" s="317"/>
      <c r="Y959" s="317"/>
      <c r="Z959" s="317"/>
      <c r="AA959" s="317"/>
    </row>
    <row r="960">
      <c r="A960" s="317"/>
      <c r="B960" s="317"/>
      <c r="C960" s="317"/>
      <c r="D960" s="317"/>
      <c r="E960" s="317"/>
      <c r="F960" s="317"/>
      <c r="G960" s="317"/>
      <c r="H960" s="317"/>
      <c r="I960" s="317"/>
      <c r="J960" s="317"/>
      <c r="K960" s="317"/>
      <c r="L960" s="317"/>
      <c r="M960" s="317"/>
      <c r="N960" s="317"/>
      <c r="O960" s="317"/>
      <c r="P960" s="317"/>
      <c r="Q960" s="317"/>
      <c r="R960" s="317"/>
      <c r="S960" s="317"/>
      <c r="T960" s="317"/>
      <c r="U960" s="317"/>
      <c r="V960" s="317"/>
      <c r="W960" s="317"/>
      <c r="X960" s="317"/>
      <c r="Y960" s="317"/>
      <c r="Z960" s="317"/>
      <c r="AA960" s="317"/>
    </row>
    <row r="961">
      <c r="A961" s="317"/>
      <c r="B961" s="317"/>
      <c r="C961" s="317"/>
      <c r="D961" s="317"/>
      <c r="E961" s="317"/>
      <c r="F961" s="317"/>
      <c r="G961" s="317"/>
      <c r="H961" s="317"/>
      <c r="I961" s="317"/>
      <c r="J961" s="317"/>
      <c r="K961" s="317"/>
      <c r="L961" s="317"/>
      <c r="M961" s="317"/>
      <c r="N961" s="317"/>
      <c r="O961" s="317"/>
      <c r="P961" s="317"/>
      <c r="Q961" s="317"/>
      <c r="R961" s="317"/>
      <c r="S961" s="317"/>
      <c r="T961" s="317"/>
      <c r="U961" s="317"/>
      <c r="V961" s="317"/>
      <c r="W961" s="317"/>
      <c r="X961" s="317"/>
      <c r="Y961" s="317"/>
      <c r="Z961" s="317"/>
      <c r="AA961" s="317"/>
    </row>
    <row r="962">
      <c r="A962" s="317"/>
      <c r="B962" s="317"/>
      <c r="C962" s="317"/>
      <c r="D962" s="317"/>
      <c r="E962" s="317"/>
      <c r="F962" s="317"/>
      <c r="G962" s="317"/>
      <c r="H962" s="317"/>
      <c r="I962" s="317"/>
      <c r="J962" s="317"/>
      <c r="K962" s="317"/>
      <c r="L962" s="317"/>
      <c r="M962" s="317"/>
      <c r="N962" s="317"/>
      <c r="O962" s="317"/>
      <c r="P962" s="317"/>
      <c r="Q962" s="317"/>
      <c r="R962" s="317"/>
      <c r="S962" s="317"/>
      <c r="T962" s="317"/>
      <c r="U962" s="317"/>
      <c r="V962" s="317"/>
      <c r="W962" s="317"/>
      <c r="X962" s="317"/>
      <c r="Y962" s="317"/>
      <c r="Z962" s="317"/>
      <c r="AA962" s="317"/>
    </row>
    <row r="963">
      <c r="A963" s="317"/>
      <c r="B963" s="317"/>
      <c r="C963" s="317"/>
      <c r="D963" s="317"/>
      <c r="E963" s="317"/>
      <c r="F963" s="317"/>
      <c r="G963" s="317"/>
      <c r="H963" s="317"/>
      <c r="I963" s="317"/>
      <c r="J963" s="317"/>
      <c r="K963" s="317"/>
      <c r="L963" s="317"/>
      <c r="M963" s="317"/>
      <c r="N963" s="317"/>
      <c r="O963" s="317"/>
      <c r="P963" s="317"/>
      <c r="Q963" s="317"/>
      <c r="R963" s="317"/>
      <c r="S963" s="317"/>
      <c r="T963" s="317"/>
      <c r="U963" s="317"/>
      <c r="V963" s="317"/>
      <c r="W963" s="317"/>
      <c r="X963" s="317"/>
      <c r="Y963" s="317"/>
      <c r="Z963" s="317"/>
      <c r="AA963" s="317"/>
    </row>
    <row r="964">
      <c r="A964" s="317"/>
      <c r="B964" s="317"/>
      <c r="C964" s="317"/>
      <c r="D964" s="317"/>
      <c r="E964" s="317"/>
      <c r="F964" s="317"/>
      <c r="G964" s="317"/>
      <c r="H964" s="317"/>
      <c r="I964" s="317"/>
      <c r="J964" s="317"/>
      <c r="K964" s="317"/>
      <c r="L964" s="317"/>
      <c r="M964" s="317"/>
      <c r="N964" s="317"/>
      <c r="O964" s="317"/>
      <c r="P964" s="317"/>
      <c r="Q964" s="317"/>
      <c r="R964" s="317"/>
      <c r="S964" s="317"/>
      <c r="T964" s="317"/>
      <c r="U964" s="317"/>
      <c r="V964" s="317"/>
      <c r="W964" s="317"/>
      <c r="X964" s="317"/>
      <c r="Y964" s="317"/>
      <c r="Z964" s="317"/>
      <c r="AA964" s="317"/>
    </row>
    <row r="965">
      <c r="A965" s="317"/>
      <c r="B965" s="317"/>
      <c r="C965" s="317"/>
      <c r="D965" s="317"/>
      <c r="E965" s="317"/>
      <c r="F965" s="317"/>
      <c r="G965" s="317"/>
      <c r="H965" s="317"/>
      <c r="I965" s="317"/>
      <c r="J965" s="317"/>
      <c r="K965" s="317"/>
      <c r="L965" s="317"/>
      <c r="M965" s="317"/>
      <c r="N965" s="317"/>
      <c r="O965" s="317"/>
      <c r="P965" s="317"/>
      <c r="Q965" s="317"/>
      <c r="R965" s="317"/>
      <c r="S965" s="317"/>
      <c r="T965" s="317"/>
      <c r="U965" s="317"/>
      <c r="V965" s="317"/>
      <c r="W965" s="317"/>
      <c r="X965" s="317"/>
      <c r="Y965" s="317"/>
      <c r="Z965" s="317"/>
      <c r="AA965" s="317"/>
    </row>
    <row r="966">
      <c r="A966" s="317"/>
      <c r="B966" s="317"/>
      <c r="C966" s="317"/>
      <c r="D966" s="317"/>
      <c r="E966" s="317"/>
      <c r="F966" s="317"/>
      <c r="G966" s="317"/>
      <c r="H966" s="317"/>
      <c r="I966" s="317"/>
      <c r="J966" s="317"/>
      <c r="K966" s="317"/>
      <c r="L966" s="317"/>
      <c r="M966" s="317"/>
      <c r="N966" s="317"/>
      <c r="O966" s="317"/>
      <c r="P966" s="317"/>
      <c r="Q966" s="317"/>
      <c r="R966" s="317"/>
      <c r="S966" s="317"/>
      <c r="T966" s="317"/>
      <c r="U966" s="317"/>
      <c r="V966" s="317"/>
      <c r="W966" s="317"/>
      <c r="X966" s="317"/>
      <c r="Y966" s="317"/>
      <c r="Z966" s="317"/>
      <c r="AA966" s="317"/>
    </row>
    <row r="967">
      <c r="A967" s="317"/>
      <c r="B967" s="317"/>
      <c r="C967" s="317"/>
      <c r="D967" s="317"/>
      <c r="E967" s="317"/>
      <c r="F967" s="317"/>
      <c r="G967" s="317"/>
      <c r="H967" s="317"/>
      <c r="I967" s="317"/>
      <c r="J967" s="317"/>
      <c r="K967" s="317"/>
      <c r="L967" s="317"/>
      <c r="M967" s="317"/>
      <c r="N967" s="317"/>
      <c r="O967" s="317"/>
      <c r="P967" s="317"/>
      <c r="Q967" s="317"/>
      <c r="R967" s="317"/>
      <c r="S967" s="317"/>
      <c r="T967" s="317"/>
      <c r="U967" s="317"/>
      <c r="V967" s="317"/>
      <c r="W967" s="317"/>
      <c r="X967" s="317"/>
      <c r="Y967" s="317"/>
      <c r="Z967" s="317"/>
      <c r="AA967" s="317"/>
    </row>
    <row r="968">
      <c r="A968" s="317"/>
      <c r="B968" s="317"/>
      <c r="C968" s="317"/>
      <c r="D968" s="317"/>
      <c r="E968" s="317"/>
      <c r="F968" s="317"/>
      <c r="G968" s="317"/>
      <c r="H968" s="317"/>
      <c r="I968" s="317"/>
      <c r="J968" s="317"/>
      <c r="K968" s="317"/>
      <c r="L968" s="317"/>
      <c r="M968" s="317"/>
      <c r="N968" s="317"/>
      <c r="O968" s="317"/>
      <c r="P968" s="317"/>
      <c r="Q968" s="317"/>
      <c r="R968" s="317"/>
      <c r="S968" s="317"/>
      <c r="T968" s="317"/>
      <c r="U968" s="317"/>
      <c r="V968" s="317"/>
      <c r="W968" s="317"/>
      <c r="X968" s="317"/>
      <c r="Y968" s="317"/>
      <c r="Z968" s="317"/>
      <c r="AA968" s="317"/>
    </row>
    <row r="969">
      <c r="A969" s="317"/>
      <c r="B969" s="317"/>
      <c r="C969" s="317"/>
      <c r="D969" s="317"/>
      <c r="E969" s="317"/>
      <c r="F969" s="317"/>
      <c r="G969" s="317"/>
      <c r="H969" s="317"/>
      <c r="I969" s="317"/>
      <c r="J969" s="317"/>
      <c r="K969" s="317"/>
      <c r="L969" s="317"/>
      <c r="M969" s="317"/>
      <c r="N969" s="317"/>
      <c r="O969" s="317"/>
      <c r="P969" s="317"/>
      <c r="Q969" s="317"/>
      <c r="R969" s="317"/>
      <c r="S969" s="317"/>
      <c r="T969" s="317"/>
      <c r="U969" s="317"/>
      <c r="V969" s="317"/>
      <c r="W969" s="317"/>
      <c r="X969" s="317"/>
      <c r="Y969" s="317"/>
      <c r="Z969" s="317"/>
      <c r="AA969" s="317"/>
    </row>
    <row r="970">
      <c r="A970" s="317"/>
      <c r="B970" s="317"/>
      <c r="C970" s="317"/>
      <c r="D970" s="317"/>
      <c r="E970" s="317"/>
      <c r="F970" s="317"/>
      <c r="G970" s="317"/>
      <c r="H970" s="317"/>
      <c r="I970" s="317"/>
      <c r="J970" s="317"/>
      <c r="K970" s="317"/>
      <c r="L970" s="317"/>
      <c r="M970" s="317"/>
      <c r="N970" s="317"/>
      <c r="O970" s="317"/>
      <c r="P970" s="317"/>
      <c r="Q970" s="317"/>
      <c r="R970" s="317"/>
      <c r="S970" s="317"/>
      <c r="T970" s="317"/>
      <c r="U970" s="317"/>
      <c r="V970" s="317"/>
      <c r="W970" s="317"/>
      <c r="X970" s="317"/>
      <c r="Y970" s="317"/>
      <c r="Z970" s="317"/>
      <c r="AA970" s="317"/>
    </row>
    <row r="971">
      <c r="A971" s="317"/>
      <c r="B971" s="317"/>
      <c r="C971" s="317"/>
      <c r="D971" s="317"/>
      <c r="E971" s="317"/>
      <c r="F971" s="317"/>
      <c r="G971" s="317"/>
      <c r="H971" s="317"/>
      <c r="I971" s="317"/>
      <c r="J971" s="317"/>
      <c r="K971" s="317"/>
      <c r="L971" s="317"/>
      <c r="M971" s="317"/>
      <c r="N971" s="317"/>
      <c r="O971" s="317"/>
      <c r="P971" s="317"/>
      <c r="Q971" s="317"/>
      <c r="R971" s="317"/>
      <c r="S971" s="317"/>
      <c r="T971" s="317"/>
      <c r="U971" s="317"/>
      <c r="V971" s="317"/>
      <c r="W971" s="317"/>
      <c r="X971" s="317"/>
      <c r="Y971" s="317"/>
      <c r="Z971" s="317"/>
      <c r="AA971" s="317"/>
    </row>
    <row r="972">
      <c r="A972" s="317"/>
      <c r="B972" s="317"/>
      <c r="C972" s="317"/>
      <c r="D972" s="317"/>
      <c r="E972" s="317"/>
      <c r="F972" s="317"/>
      <c r="G972" s="317"/>
      <c r="H972" s="317"/>
      <c r="I972" s="317"/>
      <c r="J972" s="317"/>
      <c r="K972" s="317"/>
      <c r="L972" s="317"/>
      <c r="M972" s="317"/>
      <c r="N972" s="317"/>
      <c r="O972" s="317"/>
      <c r="P972" s="317"/>
      <c r="Q972" s="317"/>
      <c r="R972" s="317"/>
      <c r="S972" s="317"/>
      <c r="T972" s="317"/>
      <c r="U972" s="317"/>
      <c r="V972" s="317"/>
      <c r="W972" s="317"/>
      <c r="X972" s="317"/>
      <c r="Y972" s="317"/>
      <c r="Z972" s="317"/>
      <c r="AA972" s="317"/>
    </row>
    <row r="973">
      <c r="A973" s="317"/>
      <c r="B973" s="317"/>
      <c r="C973" s="317"/>
      <c r="D973" s="317"/>
      <c r="E973" s="317"/>
      <c r="F973" s="317"/>
      <c r="G973" s="317"/>
      <c r="H973" s="317"/>
      <c r="I973" s="317"/>
      <c r="J973" s="317"/>
      <c r="K973" s="317"/>
      <c r="L973" s="317"/>
      <c r="M973" s="317"/>
      <c r="N973" s="317"/>
      <c r="O973" s="317"/>
      <c r="P973" s="317"/>
      <c r="Q973" s="317"/>
      <c r="R973" s="317"/>
      <c r="S973" s="317"/>
      <c r="T973" s="317"/>
      <c r="U973" s="317"/>
      <c r="V973" s="317"/>
      <c r="W973" s="317"/>
      <c r="X973" s="317"/>
      <c r="Y973" s="317"/>
      <c r="Z973" s="317"/>
      <c r="AA973" s="317"/>
    </row>
    <row r="974">
      <c r="A974" s="317"/>
      <c r="B974" s="317"/>
      <c r="C974" s="317"/>
      <c r="D974" s="317"/>
      <c r="E974" s="317"/>
      <c r="F974" s="317"/>
      <c r="G974" s="317"/>
      <c r="H974" s="317"/>
      <c r="I974" s="317"/>
      <c r="J974" s="317"/>
      <c r="K974" s="317"/>
      <c r="L974" s="317"/>
      <c r="M974" s="317"/>
      <c r="N974" s="317"/>
      <c r="O974" s="317"/>
      <c r="P974" s="317"/>
      <c r="Q974" s="317"/>
      <c r="R974" s="317"/>
      <c r="S974" s="317"/>
      <c r="T974" s="317"/>
      <c r="U974" s="317"/>
      <c r="V974" s="317"/>
      <c r="W974" s="317"/>
      <c r="X974" s="317"/>
      <c r="Y974" s="317"/>
      <c r="Z974" s="317"/>
      <c r="AA974" s="317"/>
    </row>
    <row r="975">
      <c r="A975" s="317"/>
      <c r="B975" s="317"/>
      <c r="C975" s="317"/>
      <c r="D975" s="317"/>
      <c r="E975" s="317"/>
      <c r="F975" s="317"/>
      <c r="G975" s="317"/>
      <c r="H975" s="317"/>
      <c r="I975" s="317"/>
      <c r="J975" s="317"/>
      <c r="K975" s="317"/>
      <c r="L975" s="317"/>
      <c r="M975" s="317"/>
      <c r="N975" s="317"/>
      <c r="O975" s="317"/>
      <c r="P975" s="317"/>
      <c r="Q975" s="317"/>
      <c r="R975" s="317"/>
      <c r="S975" s="317"/>
      <c r="T975" s="317"/>
      <c r="U975" s="317"/>
      <c r="V975" s="317"/>
      <c r="W975" s="317"/>
      <c r="X975" s="317"/>
      <c r="Y975" s="317"/>
      <c r="Z975" s="317"/>
      <c r="AA975" s="317"/>
    </row>
    <row r="976">
      <c r="A976" s="317"/>
      <c r="B976" s="317"/>
      <c r="C976" s="317"/>
      <c r="D976" s="317"/>
      <c r="E976" s="317"/>
      <c r="F976" s="317"/>
      <c r="G976" s="317"/>
      <c r="H976" s="317"/>
      <c r="I976" s="317"/>
      <c r="J976" s="317"/>
      <c r="K976" s="317"/>
      <c r="L976" s="317"/>
      <c r="M976" s="317"/>
      <c r="N976" s="317"/>
      <c r="O976" s="317"/>
      <c r="P976" s="317"/>
      <c r="Q976" s="317"/>
      <c r="R976" s="317"/>
      <c r="S976" s="317"/>
      <c r="T976" s="317"/>
      <c r="U976" s="317"/>
      <c r="V976" s="317"/>
      <c r="W976" s="317"/>
      <c r="X976" s="317"/>
      <c r="Y976" s="317"/>
      <c r="Z976" s="317"/>
      <c r="AA976" s="317"/>
    </row>
    <row r="977">
      <c r="A977" s="317"/>
      <c r="B977" s="317"/>
      <c r="C977" s="317"/>
      <c r="D977" s="317"/>
      <c r="E977" s="317"/>
      <c r="F977" s="317"/>
      <c r="G977" s="317"/>
      <c r="H977" s="317"/>
      <c r="I977" s="317"/>
      <c r="J977" s="317"/>
      <c r="K977" s="317"/>
      <c r="L977" s="317"/>
      <c r="M977" s="317"/>
      <c r="N977" s="317"/>
      <c r="O977" s="317"/>
      <c r="P977" s="317"/>
      <c r="Q977" s="317"/>
      <c r="R977" s="317"/>
      <c r="S977" s="317"/>
      <c r="T977" s="317"/>
      <c r="U977" s="317"/>
      <c r="V977" s="317"/>
      <c r="W977" s="317"/>
      <c r="X977" s="317"/>
      <c r="Y977" s="317"/>
      <c r="Z977" s="317"/>
      <c r="AA977" s="317"/>
    </row>
    <row r="978">
      <c r="A978" s="317"/>
      <c r="B978" s="317"/>
      <c r="C978" s="317"/>
      <c r="D978" s="317"/>
      <c r="E978" s="317"/>
      <c r="F978" s="317"/>
      <c r="G978" s="317"/>
      <c r="H978" s="317"/>
      <c r="I978" s="317"/>
      <c r="J978" s="317"/>
      <c r="K978" s="317"/>
      <c r="L978" s="317"/>
      <c r="M978" s="317"/>
      <c r="N978" s="317"/>
      <c r="O978" s="317"/>
      <c r="P978" s="317"/>
      <c r="Q978" s="317"/>
      <c r="R978" s="317"/>
      <c r="S978" s="317"/>
      <c r="T978" s="317"/>
      <c r="U978" s="317"/>
      <c r="V978" s="317"/>
      <c r="W978" s="317"/>
      <c r="X978" s="317"/>
      <c r="Y978" s="317"/>
      <c r="Z978" s="317"/>
      <c r="AA978" s="317"/>
    </row>
    <row r="979">
      <c r="A979" s="317"/>
      <c r="B979" s="317"/>
      <c r="C979" s="317"/>
      <c r="D979" s="317"/>
      <c r="E979" s="317"/>
      <c r="F979" s="317"/>
      <c r="G979" s="317"/>
      <c r="H979" s="317"/>
      <c r="I979" s="317"/>
      <c r="J979" s="317"/>
      <c r="K979" s="317"/>
      <c r="L979" s="317"/>
      <c r="M979" s="317"/>
      <c r="N979" s="317"/>
      <c r="O979" s="317"/>
      <c r="P979" s="317"/>
      <c r="Q979" s="317"/>
      <c r="R979" s="317"/>
      <c r="S979" s="317"/>
      <c r="T979" s="317"/>
      <c r="U979" s="317"/>
      <c r="V979" s="317"/>
      <c r="W979" s="317"/>
      <c r="X979" s="317"/>
      <c r="Y979" s="317"/>
      <c r="Z979" s="317"/>
      <c r="AA979" s="317"/>
    </row>
    <row r="980">
      <c r="A980" s="317"/>
      <c r="B980" s="317"/>
      <c r="C980" s="317"/>
      <c r="D980" s="317"/>
      <c r="E980" s="317"/>
      <c r="F980" s="317"/>
      <c r="G980" s="317"/>
      <c r="H980" s="317"/>
      <c r="I980" s="317"/>
      <c r="J980" s="317"/>
      <c r="K980" s="317"/>
      <c r="L980" s="317"/>
      <c r="M980" s="317"/>
      <c r="N980" s="317"/>
      <c r="O980" s="317"/>
      <c r="P980" s="317"/>
      <c r="Q980" s="317"/>
      <c r="R980" s="317"/>
      <c r="S980" s="317"/>
      <c r="T980" s="317"/>
      <c r="U980" s="317"/>
      <c r="V980" s="317"/>
      <c r="W980" s="317"/>
      <c r="X980" s="317"/>
      <c r="Y980" s="317"/>
      <c r="Z980" s="317"/>
      <c r="AA980" s="317"/>
    </row>
    <row r="981">
      <c r="A981" s="317"/>
      <c r="B981" s="317"/>
      <c r="C981" s="317"/>
      <c r="D981" s="317"/>
      <c r="E981" s="317"/>
      <c r="F981" s="317"/>
      <c r="G981" s="317"/>
      <c r="H981" s="317"/>
      <c r="I981" s="317"/>
      <c r="J981" s="317"/>
      <c r="K981" s="317"/>
      <c r="L981" s="317"/>
      <c r="M981" s="317"/>
      <c r="N981" s="317"/>
      <c r="O981" s="317"/>
      <c r="P981" s="317"/>
      <c r="Q981" s="317"/>
      <c r="R981" s="317"/>
      <c r="S981" s="317"/>
      <c r="T981" s="317"/>
      <c r="U981" s="317"/>
      <c r="V981" s="317"/>
      <c r="W981" s="317"/>
      <c r="X981" s="317"/>
      <c r="Y981" s="317"/>
      <c r="Z981" s="317"/>
      <c r="AA981" s="317"/>
    </row>
    <row r="982">
      <c r="A982" s="317"/>
      <c r="B982" s="317"/>
      <c r="C982" s="317"/>
      <c r="D982" s="317"/>
      <c r="E982" s="317"/>
      <c r="F982" s="317"/>
      <c r="G982" s="317"/>
      <c r="H982" s="317"/>
      <c r="I982" s="317"/>
      <c r="J982" s="317"/>
      <c r="K982" s="317"/>
      <c r="L982" s="317"/>
      <c r="M982" s="317"/>
      <c r="N982" s="317"/>
      <c r="O982" s="317"/>
      <c r="P982" s="317"/>
      <c r="Q982" s="317"/>
      <c r="R982" s="317"/>
      <c r="S982" s="317"/>
      <c r="T982" s="317"/>
      <c r="U982" s="317"/>
      <c r="V982" s="317"/>
      <c r="W982" s="317"/>
      <c r="X982" s="317"/>
      <c r="Y982" s="317"/>
      <c r="Z982" s="317"/>
      <c r="AA982" s="317"/>
    </row>
    <row r="983">
      <c r="A983" s="317"/>
      <c r="B983" s="317"/>
      <c r="C983" s="317"/>
      <c r="D983" s="317"/>
      <c r="E983" s="317"/>
      <c r="F983" s="317"/>
      <c r="G983" s="317"/>
      <c r="H983" s="317"/>
      <c r="I983" s="317"/>
      <c r="J983" s="317"/>
      <c r="K983" s="317"/>
      <c r="L983" s="317"/>
      <c r="M983" s="317"/>
      <c r="N983" s="317"/>
      <c r="O983" s="317"/>
      <c r="P983" s="317"/>
      <c r="Q983" s="317"/>
      <c r="R983" s="317"/>
      <c r="S983" s="317"/>
      <c r="T983" s="317"/>
      <c r="U983" s="317"/>
      <c r="V983" s="317"/>
      <c r="W983" s="317"/>
      <c r="X983" s="317"/>
      <c r="Y983" s="317"/>
      <c r="Z983" s="317"/>
      <c r="AA983" s="317"/>
    </row>
    <row r="984">
      <c r="A984" s="317"/>
      <c r="B984" s="317"/>
      <c r="C984" s="317"/>
      <c r="D984" s="317"/>
      <c r="E984" s="317"/>
      <c r="F984" s="317"/>
      <c r="G984" s="317"/>
      <c r="H984" s="317"/>
      <c r="I984" s="317"/>
      <c r="J984" s="317"/>
      <c r="K984" s="317"/>
      <c r="L984" s="317"/>
      <c r="M984" s="317"/>
      <c r="N984" s="317"/>
      <c r="O984" s="317"/>
      <c r="P984" s="317"/>
      <c r="Q984" s="317"/>
      <c r="R984" s="317"/>
      <c r="S984" s="317"/>
      <c r="T984" s="317"/>
      <c r="U984" s="317"/>
      <c r="V984" s="317"/>
      <c r="W984" s="317"/>
      <c r="X984" s="317"/>
      <c r="Y984" s="317"/>
      <c r="Z984" s="317"/>
      <c r="AA984" s="317"/>
    </row>
    <row r="985">
      <c r="A985" s="317"/>
      <c r="B985" s="317"/>
      <c r="C985" s="317"/>
      <c r="D985" s="317"/>
      <c r="E985" s="317"/>
      <c r="F985" s="317"/>
      <c r="G985" s="317"/>
      <c r="H985" s="317"/>
      <c r="I985" s="317"/>
      <c r="J985" s="317"/>
      <c r="K985" s="317"/>
      <c r="L985" s="317"/>
      <c r="M985" s="317"/>
      <c r="N985" s="317"/>
      <c r="O985" s="317"/>
      <c r="P985" s="317"/>
      <c r="Q985" s="317"/>
      <c r="R985" s="317"/>
      <c r="S985" s="317"/>
      <c r="T985" s="317"/>
      <c r="U985" s="317"/>
      <c r="V985" s="317"/>
      <c r="W985" s="317"/>
      <c r="X985" s="317"/>
      <c r="Y985" s="317"/>
      <c r="Z985" s="317"/>
      <c r="AA985" s="317"/>
    </row>
    <row r="986">
      <c r="A986" s="317"/>
      <c r="B986" s="317"/>
      <c r="C986" s="317"/>
      <c r="D986" s="317"/>
      <c r="E986" s="317"/>
      <c r="F986" s="317"/>
      <c r="G986" s="317"/>
      <c r="H986" s="317"/>
      <c r="I986" s="317"/>
      <c r="J986" s="317"/>
      <c r="K986" s="317"/>
      <c r="L986" s="317"/>
      <c r="M986" s="317"/>
      <c r="N986" s="317"/>
      <c r="O986" s="317"/>
      <c r="P986" s="317"/>
      <c r="Q986" s="317"/>
      <c r="R986" s="317"/>
      <c r="S986" s="317"/>
      <c r="T986" s="317"/>
      <c r="U986" s="317"/>
      <c r="V986" s="317"/>
      <c r="W986" s="317"/>
      <c r="X986" s="317"/>
      <c r="Y986" s="317"/>
      <c r="Z986" s="317"/>
      <c r="AA986" s="317"/>
    </row>
    <row r="987">
      <c r="A987" s="317"/>
      <c r="B987" s="317"/>
      <c r="C987" s="317"/>
      <c r="D987" s="317"/>
      <c r="E987" s="317"/>
      <c r="F987" s="317"/>
      <c r="G987" s="317"/>
      <c r="H987" s="317"/>
      <c r="I987" s="317"/>
      <c r="J987" s="317"/>
      <c r="K987" s="317"/>
      <c r="L987" s="317"/>
      <c r="M987" s="317"/>
      <c r="N987" s="317"/>
      <c r="O987" s="317"/>
      <c r="P987" s="317"/>
      <c r="Q987" s="317"/>
      <c r="R987" s="317"/>
      <c r="S987" s="317"/>
      <c r="T987" s="317"/>
      <c r="U987" s="317"/>
      <c r="V987" s="317"/>
      <c r="W987" s="317"/>
      <c r="X987" s="317"/>
      <c r="Y987" s="317"/>
      <c r="Z987" s="317"/>
      <c r="AA987" s="317"/>
    </row>
    <row r="988">
      <c r="A988" s="317"/>
      <c r="B988" s="317"/>
      <c r="C988" s="317"/>
      <c r="D988" s="317"/>
      <c r="E988" s="317"/>
      <c r="F988" s="317"/>
      <c r="G988" s="317"/>
      <c r="H988" s="317"/>
      <c r="I988" s="317"/>
      <c r="J988" s="317"/>
      <c r="K988" s="317"/>
      <c r="L988" s="317"/>
      <c r="M988" s="317"/>
      <c r="N988" s="317"/>
      <c r="O988" s="317"/>
      <c r="P988" s="317"/>
      <c r="Q988" s="317"/>
      <c r="R988" s="317"/>
      <c r="S988" s="317"/>
      <c r="T988" s="317"/>
      <c r="U988" s="317"/>
      <c r="V988" s="317"/>
      <c r="W988" s="317"/>
      <c r="X988" s="317"/>
      <c r="Y988" s="317"/>
      <c r="Z988" s="317"/>
      <c r="AA988" s="317"/>
    </row>
    <row r="989">
      <c r="A989" s="317"/>
      <c r="B989" s="317"/>
      <c r="C989" s="317"/>
      <c r="D989" s="317"/>
      <c r="E989" s="317"/>
      <c r="F989" s="317"/>
      <c r="G989" s="317"/>
      <c r="H989" s="317"/>
      <c r="I989" s="317"/>
      <c r="J989" s="317"/>
      <c r="K989" s="317"/>
      <c r="L989" s="317"/>
      <c r="M989" s="317"/>
      <c r="N989" s="317"/>
      <c r="O989" s="317"/>
      <c r="P989" s="317"/>
      <c r="Q989" s="317"/>
      <c r="R989" s="317"/>
      <c r="S989" s="317"/>
      <c r="T989" s="317"/>
      <c r="U989" s="317"/>
      <c r="V989" s="317"/>
      <c r="W989" s="317"/>
      <c r="X989" s="317"/>
      <c r="Y989" s="317"/>
      <c r="Z989" s="317"/>
      <c r="AA989" s="317"/>
    </row>
    <row r="990">
      <c r="A990" s="317"/>
      <c r="B990" s="317"/>
      <c r="C990" s="317"/>
      <c r="D990" s="317"/>
      <c r="E990" s="317"/>
      <c r="F990" s="317"/>
      <c r="G990" s="317"/>
      <c r="H990" s="317"/>
      <c r="I990" s="317"/>
      <c r="J990" s="317"/>
      <c r="K990" s="317"/>
      <c r="L990" s="317"/>
      <c r="M990" s="317"/>
      <c r="N990" s="317"/>
      <c r="O990" s="317"/>
      <c r="P990" s="317"/>
      <c r="Q990" s="317"/>
      <c r="R990" s="317"/>
      <c r="S990" s="317"/>
      <c r="T990" s="317"/>
      <c r="U990" s="317"/>
      <c r="V990" s="317"/>
      <c r="W990" s="317"/>
      <c r="X990" s="317"/>
      <c r="Y990" s="317"/>
      <c r="Z990" s="317"/>
      <c r="AA990" s="317"/>
    </row>
    <row r="991">
      <c r="A991" s="317"/>
      <c r="B991" s="317"/>
      <c r="C991" s="317"/>
      <c r="D991" s="317"/>
      <c r="E991" s="317"/>
      <c r="F991" s="317"/>
      <c r="G991" s="317"/>
      <c r="H991" s="317"/>
      <c r="I991" s="317"/>
      <c r="J991" s="317"/>
      <c r="K991" s="317"/>
      <c r="L991" s="317"/>
      <c r="M991" s="317"/>
      <c r="N991" s="317"/>
      <c r="O991" s="317"/>
      <c r="P991" s="317"/>
      <c r="Q991" s="317"/>
      <c r="R991" s="317"/>
      <c r="S991" s="317"/>
      <c r="T991" s="317"/>
      <c r="U991" s="317"/>
      <c r="V991" s="317"/>
      <c r="W991" s="317"/>
      <c r="X991" s="317"/>
      <c r="Y991" s="317"/>
      <c r="Z991" s="317"/>
      <c r="AA991" s="317"/>
    </row>
    <row r="992">
      <c r="A992" s="317"/>
      <c r="B992" s="317"/>
      <c r="C992" s="317"/>
      <c r="D992" s="317"/>
      <c r="E992" s="317"/>
      <c r="F992" s="317"/>
      <c r="G992" s="317"/>
      <c r="H992" s="317"/>
      <c r="I992" s="317"/>
      <c r="J992" s="317"/>
      <c r="K992" s="317"/>
      <c r="L992" s="317"/>
      <c r="M992" s="317"/>
      <c r="N992" s="317"/>
      <c r="O992" s="317"/>
      <c r="P992" s="317"/>
      <c r="Q992" s="317"/>
      <c r="R992" s="317"/>
      <c r="S992" s="317"/>
      <c r="T992" s="317"/>
      <c r="U992" s="317"/>
      <c r="V992" s="317"/>
      <c r="W992" s="317"/>
      <c r="X992" s="317"/>
      <c r="Y992" s="317"/>
      <c r="Z992" s="317"/>
      <c r="AA992" s="317"/>
    </row>
    <row r="993">
      <c r="A993" s="317"/>
      <c r="B993" s="317"/>
      <c r="C993" s="317"/>
      <c r="D993" s="317"/>
      <c r="E993" s="317"/>
      <c r="F993" s="317"/>
      <c r="G993" s="317"/>
      <c r="H993" s="317"/>
      <c r="I993" s="317"/>
      <c r="J993" s="317"/>
      <c r="K993" s="317"/>
      <c r="L993" s="317"/>
      <c r="M993" s="317"/>
      <c r="N993" s="317"/>
      <c r="O993" s="317"/>
      <c r="P993" s="317"/>
      <c r="Q993" s="317"/>
      <c r="R993" s="317"/>
      <c r="S993" s="317"/>
      <c r="T993" s="317"/>
      <c r="U993" s="317"/>
      <c r="V993" s="317"/>
      <c r="W993" s="317"/>
      <c r="X993" s="317"/>
      <c r="Y993" s="317"/>
      <c r="Z993" s="317"/>
      <c r="AA993" s="317"/>
    </row>
    <row r="994">
      <c r="A994" s="317"/>
      <c r="B994" s="317"/>
      <c r="C994" s="317"/>
      <c r="D994" s="317"/>
      <c r="E994" s="317"/>
      <c r="F994" s="317"/>
      <c r="G994" s="317"/>
      <c r="H994" s="317"/>
      <c r="I994" s="317"/>
      <c r="J994" s="317"/>
      <c r="K994" s="317"/>
      <c r="L994" s="317"/>
      <c r="M994" s="317"/>
      <c r="N994" s="317"/>
      <c r="O994" s="317"/>
      <c r="P994" s="317"/>
      <c r="Q994" s="317"/>
      <c r="R994" s="317"/>
      <c r="S994" s="317"/>
      <c r="T994" s="317"/>
      <c r="U994" s="317"/>
      <c r="V994" s="317"/>
      <c r="W994" s="317"/>
      <c r="X994" s="317"/>
      <c r="Y994" s="317"/>
      <c r="Z994" s="317"/>
      <c r="AA994" s="317"/>
    </row>
    <row r="995">
      <c r="A995" s="317"/>
      <c r="B995" s="317"/>
      <c r="C995" s="317"/>
      <c r="D995" s="317"/>
      <c r="E995" s="317"/>
      <c r="F995" s="317"/>
      <c r="G995" s="317"/>
      <c r="H995" s="317"/>
      <c r="I995" s="317"/>
      <c r="J995" s="317"/>
      <c r="K995" s="317"/>
      <c r="L995" s="317"/>
      <c r="M995" s="317"/>
      <c r="N995" s="317"/>
      <c r="O995" s="317"/>
      <c r="P995" s="317"/>
      <c r="Q995" s="317"/>
      <c r="R995" s="317"/>
      <c r="S995" s="317"/>
      <c r="T995" s="317"/>
      <c r="U995" s="317"/>
      <c r="V995" s="317"/>
      <c r="W995" s="317"/>
      <c r="X995" s="317"/>
      <c r="Y995" s="317"/>
      <c r="Z995" s="317"/>
      <c r="AA995" s="317"/>
    </row>
    <row r="996">
      <c r="A996" s="317"/>
      <c r="B996" s="317"/>
      <c r="C996" s="317"/>
      <c r="D996" s="317"/>
      <c r="E996" s="317"/>
      <c r="F996" s="317"/>
      <c r="G996" s="317"/>
      <c r="H996" s="317"/>
      <c r="I996" s="317"/>
      <c r="J996" s="317"/>
      <c r="K996" s="317"/>
      <c r="L996" s="317"/>
      <c r="M996" s="317"/>
      <c r="N996" s="317"/>
      <c r="O996" s="317"/>
      <c r="P996" s="317"/>
      <c r="Q996" s="317"/>
      <c r="R996" s="317"/>
      <c r="S996" s="317"/>
      <c r="T996" s="317"/>
      <c r="U996" s="317"/>
      <c r="V996" s="317"/>
      <c r="W996" s="317"/>
      <c r="X996" s="317"/>
      <c r="Y996" s="317"/>
      <c r="Z996" s="317"/>
      <c r="AA996" s="317"/>
    </row>
    <row r="997">
      <c r="A997" s="317"/>
      <c r="B997" s="317"/>
      <c r="C997" s="317"/>
      <c r="D997" s="317"/>
      <c r="E997" s="317"/>
      <c r="F997" s="317"/>
      <c r="G997" s="317"/>
      <c r="H997" s="317"/>
      <c r="I997" s="317"/>
      <c r="J997" s="317"/>
      <c r="K997" s="317"/>
      <c r="L997" s="317"/>
      <c r="M997" s="317"/>
      <c r="N997" s="317"/>
      <c r="O997" s="317"/>
      <c r="P997" s="317"/>
      <c r="Q997" s="317"/>
      <c r="R997" s="317"/>
      <c r="S997" s="317"/>
      <c r="T997" s="317"/>
      <c r="U997" s="317"/>
      <c r="V997" s="317"/>
      <c r="W997" s="317"/>
      <c r="X997" s="317"/>
      <c r="Y997" s="317"/>
      <c r="Z997" s="317"/>
      <c r="AA997" s="317"/>
    </row>
    <row r="998">
      <c r="A998" s="317"/>
      <c r="B998" s="317"/>
      <c r="C998" s="317"/>
      <c r="D998" s="317"/>
      <c r="E998" s="317"/>
      <c r="F998" s="317"/>
      <c r="G998" s="317"/>
      <c r="H998" s="317"/>
      <c r="I998" s="317"/>
      <c r="J998" s="317"/>
      <c r="K998" s="317"/>
      <c r="L998" s="317"/>
      <c r="M998" s="317"/>
      <c r="N998" s="317"/>
      <c r="O998" s="317"/>
      <c r="P998" s="317"/>
      <c r="Q998" s="317"/>
      <c r="R998" s="317"/>
      <c r="S998" s="317"/>
      <c r="T998" s="317"/>
      <c r="U998" s="317"/>
      <c r="V998" s="317"/>
      <c r="W998" s="317"/>
      <c r="X998" s="317"/>
      <c r="Y998" s="317"/>
      <c r="Z998" s="317"/>
      <c r="AA998" s="317"/>
    </row>
    <row r="999">
      <c r="A999" s="317"/>
      <c r="B999" s="317"/>
      <c r="C999" s="317"/>
      <c r="D999" s="317"/>
      <c r="E999" s="317"/>
      <c r="F999" s="317"/>
      <c r="G999" s="317"/>
      <c r="H999" s="317"/>
      <c r="I999" s="317"/>
      <c r="J999" s="317"/>
      <c r="K999" s="317"/>
      <c r="L999" s="317"/>
      <c r="M999" s="317"/>
      <c r="N999" s="317"/>
      <c r="O999" s="317"/>
      <c r="P999" s="317"/>
      <c r="Q999" s="317"/>
      <c r="R999" s="317"/>
      <c r="S999" s="317"/>
      <c r="T999" s="317"/>
      <c r="U999" s="317"/>
      <c r="V999" s="317"/>
      <c r="W999" s="317"/>
      <c r="X999" s="317"/>
      <c r="Y999" s="317"/>
      <c r="Z999" s="317"/>
      <c r="AA999" s="317"/>
    </row>
    <row r="1000">
      <c r="A1000" s="317"/>
      <c r="B1000" s="317"/>
      <c r="C1000" s="317"/>
      <c r="D1000" s="317"/>
      <c r="E1000" s="317"/>
      <c r="F1000" s="317"/>
      <c r="G1000" s="317"/>
      <c r="H1000" s="317"/>
      <c r="I1000" s="317"/>
      <c r="J1000" s="317"/>
      <c r="K1000" s="317"/>
      <c r="L1000" s="317"/>
      <c r="M1000" s="317"/>
      <c r="N1000" s="317"/>
      <c r="O1000" s="317"/>
      <c r="P1000" s="317"/>
      <c r="Q1000" s="317"/>
      <c r="R1000" s="317"/>
      <c r="S1000" s="317"/>
      <c r="T1000" s="317"/>
      <c r="U1000" s="317"/>
      <c r="V1000" s="317"/>
      <c r="W1000" s="317"/>
      <c r="X1000" s="317"/>
      <c r="Y1000" s="317"/>
      <c r="Z1000" s="317"/>
      <c r="AA1000" s="317"/>
    </row>
    <row r="1001">
      <c r="A1001" s="317"/>
      <c r="B1001" s="317"/>
      <c r="C1001" s="317"/>
      <c r="D1001" s="317"/>
      <c r="E1001" s="317"/>
      <c r="F1001" s="317"/>
      <c r="G1001" s="317"/>
      <c r="H1001" s="317"/>
      <c r="I1001" s="317"/>
      <c r="J1001" s="317"/>
      <c r="K1001" s="317"/>
      <c r="L1001" s="317"/>
      <c r="M1001" s="317"/>
      <c r="N1001" s="317"/>
      <c r="O1001" s="317"/>
      <c r="P1001" s="317"/>
      <c r="Q1001" s="317"/>
      <c r="R1001" s="317"/>
      <c r="S1001" s="317"/>
      <c r="T1001" s="317"/>
      <c r="U1001" s="317"/>
      <c r="V1001" s="317"/>
      <c r="W1001" s="317"/>
      <c r="X1001" s="317"/>
      <c r="Y1001" s="317"/>
      <c r="Z1001" s="317"/>
      <c r="AA1001" s="317"/>
    </row>
    <row r="1002">
      <c r="A1002" s="317"/>
      <c r="B1002" s="317"/>
      <c r="C1002" s="317"/>
      <c r="D1002" s="317"/>
      <c r="E1002" s="317"/>
      <c r="F1002" s="317"/>
      <c r="G1002" s="317"/>
      <c r="H1002" s="317"/>
      <c r="I1002" s="317"/>
      <c r="J1002" s="317"/>
      <c r="K1002" s="317"/>
      <c r="L1002" s="317"/>
      <c r="M1002" s="317"/>
      <c r="N1002" s="317"/>
      <c r="O1002" s="317"/>
      <c r="P1002" s="317"/>
      <c r="Q1002" s="317"/>
      <c r="R1002" s="317"/>
      <c r="S1002" s="317"/>
      <c r="T1002" s="317"/>
      <c r="U1002" s="317"/>
      <c r="V1002" s="317"/>
      <c r="W1002" s="317"/>
      <c r="X1002" s="317"/>
      <c r="Y1002" s="317"/>
      <c r="Z1002" s="317"/>
      <c r="AA1002" s="317"/>
    </row>
  </sheetData>
  <conditionalFormatting sqref="K6:K13 K18:K24 K28:K29 K33:K35 K39:K40 K44:K45 Q6:Q7 Q11:Q12 Q16:Q18 Q22 Q26:Q29 Q33:Q34 Q39:Q40 Q44:Q46 Q50:Q51">
    <cfRule type="colorScale" priority="1">
      <colorScale>
        <cfvo type="formula" val="0"/>
        <cfvo type="formula" val="0.5"/>
        <cfvo type="formula" val="1"/>
        <color rgb="FF666666"/>
        <color rgb="FF6AA84F"/>
        <color rgb="FF3C78D8"/>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5.38"/>
  </cols>
  <sheetData>
    <row r="1">
      <c r="A1" s="71" t="s">
        <v>814</v>
      </c>
      <c r="B1" s="367"/>
      <c r="C1" s="367"/>
      <c r="D1" s="367"/>
      <c r="E1" s="48"/>
      <c r="F1" s="367"/>
    </row>
    <row r="2">
      <c r="A2" s="71" t="s">
        <v>815</v>
      </c>
      <c r="B2" s="367"/>
      <c r="C2" s="367"/>
      <c r="D2" s="367"/>
      <c r="E2" s="48"/>
      <c r="F2" s="367"/>
    </row>
    <row r="3">
      <c r="A3" s="71" t="s">
        <v>816</v>
      </c>
      <c r="B3" s="367"/>
      <c r="C3" s="367"/>
      <c r="D3" s="367"/>
      <c r="E3" s="48"/>
      <c r="F3" s="367"/>
    </row>
    <row r="4">
      <c r="A4" s="71" t="s">
        <v>817</v>
      </c>
      <c r="B4" s="367"/>
      <c r="C4" s="367"/>
      <c r="D4" s="367"/>
      <c r="E4" s="48"/>
      <c r="F4" s="367"/>
    </row>
    <row r="5">
      <c r="A5" s="367"/>
      <c r="B5" s="367"/>
      <c r="C5" s="367"/>
      <c r="D5" s="367"/>
      <c r="E5" s="48"/>
      <c r="F5" s="367"/>
    </row>
    <row r="6">
      <c r="A6" s="367" t="s">
        <v>818</v>
      </c>
      <c r="B6" s="367" t="s">
        <v>819</v>
      </c>
      <c r="C6" s="367" t="s">
        <v>820</v>
      </c>
      <c r="D6" s="367" t="s">
        <v>821</v>
      </c>
      <c r="E6" s="48"/>
      <c r="F6" s="367" t="s">
        <v>822</v>
      </c>
    </row>
    <row r="7">
      <c r="A7" s="48"/>
      <c r="B7" s="48"/>
      <c r="C7" s="48"/>
      <c r="D7" s="48"/>
      <c r="E7" s="48"/>
      <c r="F7" s="48" t="s">
        <v>823</v>
      </c>
    </row>
    <row r="8">
      <c r="A8" s="48" t="s">
        <v>824</v>
      </c>
      <c r="B8" s="99" t="s">
        <v>824</v>
      </c>
      <c r="C8" s="99" t="s">
        <v>825</v>
      </c>
      <c r="D8" s="99" t="s">
        <v>826</v>
      </c>
      <c r="E8" s="48"/>
      <c r="F8" s="48"/>
    </row>
    <row r="9">
      <c r="A9" s="48" t="s">
        <v>827</v>
      </c>
      <c r="B9" s="99" t="s">
        <v>827</v>
      </c>
      <c r="C9" s="99" t="s">
        <v>828</v>
      </c>
      <c r="D9" s="99" t="s">
        <v>829</v>
      </c>
      <c r="E9" s="48"/>
      <c r="F9" s="48"/>
    </row>
    <row r="10">
      <c r="A10" s="48" t="s">
        <v>830</v>
      </c>
      <c r="B10" s="99" t="s">
        <v>830</v>
      </c>
      <c r="C10" s="99" t="s">
        <v>828</v>
      </c>
      <c r="D10" s="99" t="s">
        <v>825</v>
      </c>
      <c r="E10" s="48"/>
      <c r="F10" s="48"/>
    </row>
    <row r="11">
      <c r="A11" s="48" t="s">
        <v>831</v>
      </c>
      <c r="B11" s="99" t="s">
        <v>831</v>
      </c>
      <c r="C11" s="368" t="s">
        <v>832</v>
      </c>
      <c r="D11" s="95" t="s">
        <v>833</v>
      </c>
      <c r="E11" s="48"/>
      <c r="F11" s="48"/>
    </row>
    <row r="12">
      <c r="A12" s="48" t="s">
        <v>834</v>
      </c>
      <c r="B12" s="99" t="s">
        <v>834</v>
      </c>
      <c r="C12" s="99" t="s">
        <v>835</v>
      </c>
      <c r="D12" s="95" t="s">
        <v>836</v>
      </c>
      <c r="E12" s="48"/>
      <c r="F12" s="48"/>
    </row>
    <row r="13">
      <c r="A13" s="48" t="s">
        <v>837</v>
      </c>
      <c r="B13" s="99" t="s">
        <v>837</v>
      </c>
      <c r="C13" s="99" t="s">
        <v>838</v>
      </c>
      <c r="D13" s="95" t="s">
        <v>839</v>
      </c>
      <c r="E13" s="48"/>
      <c r="F13" s="48"/>
    </row>
    <row r="14">
      <c r="A14" s="48" t="s">
        <v>840</v>
      </c>
      <c r="B14" s="99" t="s">
        <v>840</v>
      </c>
      <c r="C14" s="99" t="s">
        <v>824</v>
      </c>
      <c r="D14" s="95" t="s">
        <v>841</v>
      </c>
      <c r="E14" s="48"/>
      <c r="F14" s="48"/>
    </row>
    <row r="15">
      <c r="A15" s="48" t="s">
        <v>842</v>
      </c>
      <c r="B15" s="99" t="s">
        <v>842</v>
      </c>
      <c r="C15" s="99" t="s">
        <v>843</v>
      </c>
      <c r="D15" s="95" t="s">
        <v>839</v>
      </c>
      <c r="E15" s="48"/>
      <c r="F15" s="48"/>
    </row>
    <row r="16">
      <c r="A16" s="48" t="s">
        <v>844</v>
      </c>
      <c r="B16" s="99" t="s">
        <v>844</v>
      </c>
      <c r="C16" s="99" t="s">
        <v>831</v>
      </c>
      <c r="D16" s="95" t="s">
        <v>845</v>
      </c>
      <c r="E16" s="48"/>
      <c r="F16" s="48"/>
    </row>
    <row r="17">
      <c r="A17" s="48" t="s">
        <v>838</v>
      </c>
      <c r="B17" s="99" t="s">
        <v>838</v>
      </c>
      <c r="C17" s="99" t="s">
        <v>843</v>
      </c>
      <c r="D17" s="95" t="s">
        <v>839</v>
      </c>
      <c r="E17" s="48"/>
      <c r="F17" s="48"/>
    </row>
    <row r="18">
      <c r="A18" s="48" t="s">
        <v>846</v>
      </c>
      <c r="B18" s="99" t="s">
        <v>846</v>
      </c>
      <c r="C18" s="99" t="s">
        <v>825</v>
      </c>
      <c r="D18" s="95" t="s">
        <v>847</v>
      </c>
      <c r="E18" s="48"/>
      <c r="F18" s="48"/>
    </row>
    <row r="19">
      <c r="A19" s="71" t="s">
        <v>832</v>
      </c>
      <c r="B19" s="368" t="s">
        <v>832</v>
      </c>
      <c r="C19" s="99" t="s">
        <v>840</v>
      </c>
      <c r="D19" s="95" t="s">
        <v>833</v>
      </c>
      <c r="E19" s="48"/>
      <c r="F19" s="48"/>
    </row>
    <row r="20">
      <c r="A20" s="48" t="s">
        <v>848</v>
      </c>
      <c r="B20" s="99" t="s">
        <v>848</v>
      </c>
      <c r="C20" s="99" t="s">
        <v>825</v>
      </c>
      <c r="D20" s="369" t="s">
        <v>849</v>
      </c>
      <c r="E20" s="48"/>
      <c r="F20" s="48"/>
    </row>
    <row r="21">
      <c r="A21" s="48" t="s">
        <v>850</v>
      </c>
      <c r="B21" s="99" t="s">
        <v>850</v>
      </c>
      <c r="C21" s="99" t="s">
        <v>824</v>
      </c>
      <c r="D21" s="95" t="s">
        <v>836</v>
      </c>
      <c r="E21" s="48"/>
      <c r="F21" s="48"/>
    </row>
    <row r="22">
      <c r="A22" s="48" t="s">
        <v>851</v>
      </c>
      <c r="B22" s="99" t="s">
        <v>851</v>
      </c>
      <c r="C22" s="99" t="s">
        <v>848</v>
      </c>
      <c r="D22" s="95" t="s">
        <v>836</v>
      </c>
      <c r="E22" s="48"/>
      <c r="F22" s="48"/>
    </row>
    <row r="23">
      <c r="A23" s="48" t="s">
        <v>835</v>
      </c>
      <c r="B23" s="99" t="s">
        <v>835</v>
      </c>
      <c r="C23" s="98" t="s">
        <v>852</v>
      </c>
      <c r="D23" s="95" t="s">
        <v>836</v>
      </c>
      <c r="E23" s="48"/>
      <c r="F23" s="48"/>
    </row>
    <row r="24">
      <c r="A24" s="48" t="s">
        <v>825</v>
      </c>
      <c r="B24" s="99" t="s">
        <v>825</v>
      </c>
      <c r="C24" s="98" t="s">
        <v>853</v>
      </c>
      <c r="D24" s="95" t="s">
        <v>854</v>
      </c>
      <c r="E24" s="48"/>
      <c r="F24" s="48"/>
    </row>
    <row r="25">
      <c r="A25" s="48" t="s">
        <v>855</v>
      </c>
      <c r="B25" s="99" t="s">
        <v>855</v>
      </c>
      <c r="C25" s="98" t="s">
        <v>856</v>
      </c>
      <c r="D25" s="95" t="s">
        <v>857</v>
      </c>
      <c r="E25" s="48"/>
      <c r="F25" s="48"/>
    </row>
    <row r="26">
      <c r="A26" s="48" t="s">
        <v>853</v>
      </c>
      <c r="B26" s="98" t="s">
        <v>853</v>
      </c>
      <c r="C26" s="99" t="s">
        <v>855</v>
      </c>
      <c r="D26" s="95" t="s">
        <v>836</v>
      </c>
      <c r="E26" s="48"/>
      <c r="F26" s="48"/>
    </row>
    <row r="27">
      <c r="A27" s="48" t="s">
        <v>858</v>
      </c>
      <c r="B27" s="98" t="s">
        <v>858</v>
      </c>
      <c r="C27" s="99" t="s">
        <v>859</v>
      </c>
      <c r="D27" s="95" t="s">
        <v>860</v>
      </c>
      <c r="E27" s="48"/>
      <c r="F27" s="48"/>
    </row>
    <row r="28">
      <c r="A28" s="48" t="s">
        <v>861</v>
      </c>
      <c r="B28" s="98" t="s">
        <v>861</v>
      </c>
      <c r="C28" s="99" t="s">
        <v>862</v>
      </c>
      <c r="D28" s="95" t="s">
        <v>860</v>
      </c>
      <c r="E28" s="48"/>
      <c r="F28" s="48"/>
    </row>
    <row r="29">
      <c r="A29" s="48" t="s">
        <v>852</v>
      </c>
      <c r="B29" s="98" t="s">
        <v>852</v>
      </c>
      <c r="C29" s="98" t="s">
        <v>853</v>
      </c>
      <c r="D29" s="95" t="s">
        <v>857</v>
      </c>
      <c r="E29" s="48"/>
      <c r="F29" s="48"/>
    </row>
    <row r="30">
      <c r="A30" s="48" t="s">
        <v>862</v>
      </c>
      <c r="B30" s="99" t="s">
        <v>862</v>
      </c>
      <c r="C30" s="95" t="s">
        <v>860</v>
      </c>
      <c r="D30" s="95" t="s">
        <v>841</v>
      </c>
      <c r="E30" s="48"/>
      <c r="F30" s="48"/>
    </row>
    <row r="31">
      <c r="A31" s="48"/>
      <c r="B31" s="48"/>
      <c r="C31" s="48"/>
      <c r="D31" s="48"/>
      <c r="E31" s="48"/>
      <c r="F31" s="48"/>
    </row>
    <row r="32">
      <c r="A32" s="48" t="s">
        <v>863</v>
      </c>
      <c r="B32" s="99" t="s">
        <v>863</v>
      </c>
      <c r="C32" s="99" t="s">
        <v>831</v>
      </c>
      <c r="D32" s="98" t="s">
        <v>861</v>
      </c>
      <c r="E32" s="48"/>
      <c r="F32" s="48"/>
    </row>
    <row r="33">
      <c r="A33" s="48" t="s">
        <v>826</v>
      </c>
      <c r="B33" s="99" t="s">
        <v>826</v>
      </c>
      <c r="C33" s="99" t="s">
        <v>829</v>
      </c>
      <c r="D33" s="95" t="s">
        <v>841</v>
      </c>
      <c r="E33" s="48"/>
      <c r="F33" s="48"/>
    </row>
    <row r="34">
      <c r="A34" s="48" t="s">
        <v>828</v>
      </c>
      <c r="B34" s="99" t="s">
        <v>828</v>
      </c>
      <c r="C34" s="99" t="s">
        <v>859</v>
      </c>
      <c r="D34" s="95" t="s">
        <v>860</v>
      </c>
      <c r="E34" s="48"/>
      <c r="F34" s="48"/>
    </row>
    <row r="35">
      <c r="A35" s="48" t="s">
        <v>859</v>
      </c>
      <c r="B35" s="99" t="s">
        <v>859</v>
      </c>
      <c r="C35" s="99" t="s">
        <v>864</v>
      </c>
      <c r="D35" s="95" t="s">
        <v>860</v>
      </c>
      <c r="E35" s="48"/>
      <c r="F35" s="48"/>
    </row>
    <row r="36">
      <c r="A36" s="48" t="s">
        <v>865</v>
      </c>
      <c r="B36" s="99" t="s">
        <v>865</v>
      </c>
      <c r="C36" s="99" t="s">
        <v>830</v>
      </c>
      <c r="D36" s="95" t="s">
        <v>847</v>
      </c>
      <c r="E36" s="48"/>
      <c r="F36" s="48"/>
    </row>
    <row r="37">
      <c r="A37" s="48" t="s">
        <v>866</v>
      </c>
      <c r="B37" s="99" t="s">
        <v>866</v>
      </c>
      <c r="C37" s="98" t="s">
        <v>852</v>
      </c>
      <c r="D37" s="95" t="s">
        <v>839</v>
      </c>
      <c r="E37" s="48"/>
      <c r="F37" s="48"/>
    </row>
    <row r="38">
      <c r="A38" s="48" t="s">
        <v>829</v>
      </c>
      <c r="B38" s="99" t="s">
        <v>829</v>
      </c>
      <c r="C38" s="99" t="s">
        <v>862</v>
      </c>
      <c r="D38" s="370" t="s">
        <v>867</v>
      </c>
      <c r="E38" s="48"/>
      <c r="F38" s="48"/>
    </row>
    <row r="39">
      <c r="A39" s="48"/>
      <c r="B39" s="48"/>
      <c r="C39" s="48"/>
      <c r="D39" s="48"/>
      <c r="E39" s="48"/>
      <c r="F39" s="48"/>
    </row>
    <row r="40">
      <c r="A40" s="48" t="s">
        <v>841</v>
      </c>
      <c r="B40" s="95" t="s">
        <v>841</v>
      </c>
      <c r="C40" s="99" t="s">
        <v>843</v>
      </c>
      <c r="D40" s="99" t="s">
        <v>827</v>
      </c>
      <c r="E40" s="48"/>
      <c r="F40" s="48"/>
    </row>
    <row r="41">
      <c r="A41" s="48" t="s">
        <v>857</v>
      </c>
      <c r="B41" s="95" t="s">
        <v>857</v>
      </c>
      <c r="C41" s="98" t="s">
        <v>852</v>
      </c>
      <c r="D41" s="99" t="s">
        <v>851</v>
      </c>
      <c r="E41" s="48"/>
      <c r="F41" s="48"/>
    </row>
    <row r="42">
      <c r="A42" s="48" t="s">
        <v>868</v>
      </c>
      <c r="B42" s="95" t="s">
        <v>868</v>
      </c>
      <c r="C42" s="98" t="s">
        <v>853</v>
      </c>
      <c r="D42" s="99" t="s">
        <v>869</v>
      </c>
      <c r="E42" s="48"/>
      <c r="F42" s="48"/>
    </row>
    <row r="43">
      <c r="A43" s="48" t="s">
        <v>839</v>
      </c>
      <c r="B43" s="95" t="s">
        <v>839</v>
      </c>
      <c r="C43" s="95" t="s">
        <v>860</v>
      </c>
      <c r="D43" s="99" t="s">
        <v>843</v>
      </c>
      <c r="E43" s="48"/>
      <c r="F43" s="48"/>
    </row>
    <row r="44">
      <c r="A44" s="48" t="s">
        <v>836</v>
      </c>
      <c r="B44" s="95" t="s">
        <v>836</v>
      </c>
      <c r="C44" s="95" t="s">
        <v>857</v>
      </c>
      <c r="D44" s="99" t="s">
        <v>838</v>
      </c>
      <c r="E44" s="48"/>
      <c r="F44" s="48"/>
    </row>
    <row r="45">
      <c r="A45" s="48" t="s">
        <v>833</v>
      </c>
      <c r="B45" s="95" t="s">
        <v>833</v>
      </c>
      <c r="C45" s="95" t="s">
        <v>870</v>
      </c>
      <c r="D45" s="99" t="s">
        <v>835</v>
      </c>
      <c r="E45" s="48"/>
      <c r="F45" s="48"/>
    </row>
    <row r="46">
      <c r="A46" s="48" t="s">
        <v>871</v>
      </c>
      <c r="B46" s="95" t="s">
        <v>871</v>
      </c>
      <c r="C46" s="95" t="s">
        <v>839</v>
      </c>
      <c r="D46" s="99" t="s">
        <v>843</v>
      </c>
      <c r="E46" s="48"/>
      <c r="F46" s="48"/>
    </row>
    <row r="47">
      <c r="A47" s="48" t="s">
        <v>872</v>
      </c>
      <c r="B47" s="95" t="s">
        <v>872</v>
      </c>
      <c r="C47" s="95" t="s">
        <v>857</v>
      </c>
      <c r="D47" s="99" t="s">
        <v>851</v>
      </c>
      <c r="E47" s="48"/>
      <c r="F47" s="48"/>
    </row>
    <row r="48">
      <c r="A48" s="48" t="s">
        <v>873</v>
      </c>
      <c r="B48" s="95" t="s">
        <v>873</v>
      </c>
      <c r="C48" s="95" t="s">
        <v>847</v>
      </c>
      <c r="D48" s="99" t="s">
        <v>838</v>
      </c>
      <c r="E48" s="48"/>
      <c r="F48" s="48"/>
    </row>
    <row r="49">
      <c r="A49" s="48" t="s">
        <v>870</v>
      </c>
      <c r="B49" s="95" t="s">
        <v>870</v>
      </c>
      <c r="C49" s="95" t="s">
        <v>833</v>
      </c>
      <c r="D49" s="99" t="s">
        <v>835</v>
      </c>
      <c r="E49" s="48"/>
      <c r="F49" s="48"/>
    </row>
    <row r="50">
      <c r="A50" s="48" t="s">
        <v>849</v>
      </c>
      <c r="B50" s="95" t="s">
        <v>849</v>
      </c>
      <c r="C50" s="95" t="s">
        <v>874</v>
      </c>
      <c r="D50" s="368" t="s">
        <v>832</v>
      </c>
      <c r="E50" s="48"/>
      <c r="F50" s="48"/>
    </row>
    <row r="51">
      <c r="A51" s="48" t="s">
        <v>845</v>
      </c>
      <c r="B51" s="95" t="s">
        <v>845</v>
      </c>
      <c r="C51" s="370" t="s">
        <v>875</v>
      </c>
      <c r="D51" s="99" t="s">
        <v>830</v>
      </c>
      <c r="E51" s="48"/>
      <c r="F51" s="48"/>
    </row>
    <row r="52">
      <c r="A52" s="48" t="s">
        <v>847</v>
      </c>
      <c r="B52" s="95" t="s">
        <v>847</v>
      </c>
      <c r="C52" s="370" t="s">
        <v>867</v>
      </c>
      <c r="D52" s="99" t="s">
        <v>823</v>
      </c>
      <c r="E52" s="48"/>
      <c r="F52" s="48"/>
    </row>
    <row r="53">
      <c r="A53" s="48" t="s">
        <v>860</v>
      </c>
      <c r="B53" s="95" t="s">
        <v>860</v>
      </c>
      <c r="C53" s="370" t="s">
        <v>867</v>
      </c>
      <c r="D53" s="99" t="s">
        <v>862</v>
      </c>
      <c r="E53" s="48"/>
      <c r="F53" s="48"/>
    </row>
    <row r="54">
      <c r="A54" s="48" t="s">
        <v>867</v>
      </c>
      <c r="B54" s="370" t="s">
        <v>867</v>
      </c>
      <c r="C54" s="95" t="s">
        <v>871</v>
      </c>
      <c r="D54" s="99" t="s">
        <v>823</v>
      </c>
      <c r="E54" s="48"/>
      <c r="F54" s="48"/>
    </row>
    <row r="55">
      <c r="A55" s="48" t="s">
        <v>875</v>
      </c>
      <c r="B55" s="370" t="s">
        <v>875</v>
      </c>
      <c r="C55" s="95" t="s">
        <v>871</v>
      </c>
      <c r="D55" s="370" t="s">
        <v>867</v>
      </c>
      <c r="E55" s="48"/>
      <c r="F55" s="48"/>
    </row>
    <row r="56">
      <c r="A56" s="48"/>
      <c r="B56" s="48"/>
      <c r="C56" s="48"/>
      <c r="D56" s="48"/>
      <c r="E56" s="48"/>
      <c r="F56" s="48"/>
    </row>
    <row r="57">
      <c r="A57" s="48"/>
      <c r="B57" s="48"/>
      <c r="C57" s="48"/>
      <c r="D57" s="48"/>
      <c r="E57" s="48"/>
      <c r="F57" s="48"/>
    </row>
    <row r="58">
      <c r="A58" s="48"/>
      <c r="B58" s="48"/>
      <c r="C58" s="48"/>
      <c r="D58" s="48"/>
      <c r="E58" s="48"/>
      <c r="F58" s="48"/>
    </row>
    <row r="59">
      <c r="A59" s="48"/>
      <c r="B59" s="48"/>
      <c r="C59" s="48"/>
      <c r="D59" s="48"/>
      <c r="E59" s="48"/>
      <c r="F59" s="48"/>
    </row>
    <row r="60">
      <c r="A60" s="48"/>
      <c r="B60" s="48"/>
      <c r="C60" s="48"/>
      <c r="D60" s="48"/>
      <c r="E60" s="48"/>
      <c r="F60" s="48"/>
    </row>
    <row r="61">
      <c r="A61" s="48"/>
      <c r="B61" s="48"/>
      <c r="C61" s="48"/>
      <c r="D61" s="48"/>
      <c r="E61" s="48"/>
      <c r="F61" s="48"/>
    </row>
    <row r="62">
      <c r="A62" s="48"/>
      <c r="B62" s="48"/>
      <c r="C62" s="48"/>
      <c r="D62" s="48"/>
      <c r="E62" s="48"/>
      <c r="F62" s="48"/>
    </row>
    <row r="63">
      <c r="A63" s="48"/>
      <c r="B63" s="48"/>
      <c r="C63" s="48"/>
      <c r="D63" s="48"/>
      <c r="E63" s="48"/>
      <c r="F63" s="48"/>
    </row>
    <row r="64">
      <c r="A64" s="48"/>
      <c r="B64" s="48"/>
      <c r="C64" s="48"/>
      <c r="D64" s="48"/>
      <c r="E64" s="48"/>
      <c r="F64" s="48"/>
    </row>
    <row r="65">
      <c r="A65" s="48"/>
      <c r="B65" s="48"/>
      <c r="C65" s="48"/>
      <c r="D65" s="48"/>
      <c r="E65" s="48"/>
      <c r="F65" s="48"/>
    </row>
    <row r="66">
      <c r="A66" s="48"/>
      <c r="B66" s="48"/>
      <c r="C66" s="48"/>
      <c r="D66" s="48"/>
      <c r="E66" s="48"/>
      <c r="F66" s="48"/>
    </row>
    <row r="67">
      <c r="A67" s="48"/>
      <c r="B67" s="48"/>
      <c r="C67" s="48"/>
      <c r="D67" s="48"/>
      <c r="E67" s="48"/>
      <c r="F67" s="48"/>
    </row>
    <row r="68">
      <c r="A68" s="48"/>
      <c r="B68" s="48"/>
      <c r="C68" s="48"/>
      <c r="D68" s="48"/>
      <c r="E68" s="48"/>
      <c r="F68" s="48"/>
    </row>
    <row r="69">
      <c r="A69" s="48"/>
      <c r="B69" s="48"/>
      <c r="C69" s="48"/>
      <c r="D69" s="48"/>
      <c r="E69" s="48"/>
      <c r="F69" s="48"/>
    </row>
    <row r="70">
      <c r="A70" s="48"/>
      <c r="B70" s="48"/>
      <c r="C70" s="48"/>
      <c r="D70" s="48"/>
      <c r="E70" s="48"/>
      <c r="F70" s="48"/>
    </row>
    <row r="71">
      <c r="A71" s="48"/>
      <c r="B71" s="48"/>
      <c r="C71" s="48"/>
      <c r="D71" s="48"/>
      <c r="E71" s="48"/>
      <c r="F71" s="48"/>
    </row>
    <row r="72">
      <c r="A72" s="48"/>
      <c r="B72" s="48"/>
      <c r="C72" s="48"/>
      <c r="D72" s="48"/>
      <c r="E72" s="48"/>
      <c r="F72" s="48"/>
    </row>
    <row r="73">
      <c r="A73" s="48"/>
      <c r="B73" s="48"/>
      <c r="C73" s="48"/>
      <c r="D73" s="48"/>
      <c r="E73" s="48"/>
      <c r="F73" s="48"/>
    </row>
    <row r="74">
      <c r="A74" s="48"/>
      <c r="B74" s="48"/>
      <c r="C74" s="48"/>
      <c r="D74" s="48"/>
      <c r="E74" s="48"/>
      <c r="F74" s="48"/>
    </row>
    <row r="75">
      <c r="A75" s="48"/>
      <c r="B75" s="48"/>
      <c r="C75" s="48"/>
      <c r="D75" s="48"/>
      <c r="E75" s="48"/>
      <c r="F75" s="48"/>
    </row>
    <row r="76">
      <c r="A76" s="48"/>
      <c r="B76" s="48"/>
      <c r="C76" s="48"/>
      <c r="D76" s="48"/>
      <c r="E76" s="48"/>
      <c r="F76" s="48"/>
    </row>
    <row r="77">
      <c r="A77" s="48"/>
      <c r="B77" s="48"/>
      <c r="C77" s="48"/>
      <c r="D77" s="48"/>
      <c r="E77" s="48"/>
      <c r="F77" s="48"/>
    </row>
    <row r="78">
      <c r="A78" s="48"/>
      <c r="B78" s="48"/>
      <c r="C78" s="48"/>
      <c r="D78" s="48"/>
      <c r="E78" s="48"/>
      <c r="F78" s="48"/>
    </row>
    <row r="79">
      <c r="A79" s="48"/>
      <c r="B79" s="48"/>
      <c r="C79" s="48"/>
      <c r="D79" s="48"/>
      <c r="E79" s="48"/>
      <c r="F79" s="48"/>
    </row>
    <row r="80">
      <c r="A80" s="48"/>
      <c r="B80" s="48"/>
      <c r="C80" s="48"/>
      <c r="D80" s="48"/>
      <c r="E80" s="48"/>
      <c r="F80" s="48"/>
    </row>
    <row r="81">
      <c r="A81" s="48"/>
      <c r="B81" s="48"/>
      <c r="C81" s="48"/>
      <c r="D81" s="48"/>
      <c r="E81" s="48"/>
      <c r="F81" s="48"/>
    </row>
    <row r="82">
      <c r="A82" s="48"/>
      <c r="B82" s="48"/>
      <c r="C82" s="48"/>
      <c r="D82" s="48"/>
      <c r="E82" s="48"/>
      <c r="F82" s="48"/>
    </row>
    <row r="83">
      <c r="A83" s="48"/>
      <c r="B83" s="48"/>
      <c r="C83" s="48"/>
      <c r="D83" s="48"/>
      <c r="E83" s="48"/>
      <c r="F83" s="48"/>
    </row>
    <row r="84">
      <c r="A84" s="48"/>
      <c r="B84" s="48"/>
      <c r="C84" s="48"/>
      <c r="D84" s="48"/>
      <c r="E84" s="48"/>
      <c r="F84" s="48"/>
    </row>
    <row r="85">
      <c r="A85" s="48"/>
      <c r="B85" s="48"/>
      <c r="C85" s="48"/>
      <c r="D85" s="48"/>
      <c r="E85" s="48"/>
      <c r="F85" s="48"/>
    </row>
    <row r="86">
      <c r="A86" s="48"/>
      <c r="B86" s="48"/>
      <c r="C86" s="48"/>
      <c r="D86" s="48"/>
      <c r="E86" s="48"/>
      <c r="F86" s="48"/>
    </row>
    <row r="87">
      <c r="A87" s="48"/>
      <c r="B87" s="48"/>
      <c r="C87" s="48"/>
      <c r="D87" s="48"/>
      <c r="E87" s="48"/>
      <c r="F87" s="48"/>
    </row>
    <row r="88">
      <c r="A88" s="48"/>
      <c r="B88" s="48"/>
      <c r="C88" s="48"/>
      <c r="D88" s="48"/>
      <c r="E88" s="48"/>
      <c r="F88" s="48"/>
    </row>
    <row r="89">
      <c r="A89" s="48"/>
      <c r="B89" s="48"/>
      <c r="C89" s="48"/>
      <c r="D89" s="48"/>
      <c r="E89" s="48"/>
      <c r="F89" s="48"/>
    </row>
    <row r="90">
      <c r="A90" s="48"/>
      <c r="B90" s="48"/>
      <c r="C90" s="48"/>
      <c r="D90" s="48"/>
      <c r="E90" s="48"/>
      <c r="F90" s="48"/>
    </row>
    <row r="91">
      <c r="A91" s="48"/>
      <c r="B91" s="48"/>
      <c r="C91" s="48"/>
      <c r="D91" s="48"/>
      <c r="E91" s="48"/>
      <c r="F91" s="48"/>
    </row>
    <row r="92">
      <c r="A92" s="48"/>
      <c r="B92" s="48"/>
      <c r="C92" s="48"/>
      <c r="D92" s="48"/>
      <c r="E92" s="48"/>
      <c r="F92" s="48"/>
    </row>
    <row r="93">
      <c r="A93" s="48"/>
      <c r="B93" s="48"/>
      <c r="C93" s="48"/>
      <c r="D93" s="48"/>
      <c r="E93" s="48"/>
      <c r="F93" s="48"/>
    </row>
    <row r="94">
      <c r="A94" s="48"/>
      <c r="B94" s="48"/>
      <c r="C94" s="48"/>
      <c r="D94" s="48"/>
      <c r="E94" s="48"/>
      <c r="F94" s="48"/>
    </row>
    <row r="95">
      <c r="A95" s="48"/>
      <c r="B95" s="48"/>
      <c r="C95" s="48"/>
      <c r="D95" s="48"/>
      <c r="E95" s="48"/>
      <c r="F95" s="48"/>
    </row>
    <row r="96">
      <c r="A96" s="48"/>
      <c r="B96" s="48"/>
      <c r="C96" s="48"/>
      <c r="D96" s="48"/>
      <c r="E96" s="48"/>
      <c r="F96" s="48"/>
    </row>
    <row r="97">
      <c r="A97" s="48"/>
      <c r="B97" s="48"/>
      <c r="C97" s="48"/>
      <c r="D97" s="48"/>
      <c r="E97" s="48"/>
      <c r="F97" s="48"/>
    </row>
    <row r="98">
      <c r="A98" s="48"/>
      <c r="B98" s="48"/>
      <c r="C98" s="48"/>
      <c r="D98" s="48"/>
      <c r="E98" s="48"/>
      <c r="F98" s="48"/>
    </row>
    <row r="99">
      <c r="A99" s="48"/>
      <c r="B99" s="48"/>
      <c r="C99" s="48"/>
      <c r="D99" s="48"/>
      <c r="E99" s="48"/>
      <c r="F99" s="48"/>
    </row>
    <row r="100">
      <c r="A100" s="48"/>
      <c r="B100" s="48"/>
      <c r="C100" s="48"/>
      <c r="D100" s="48"/>
      <c r="E100" s="48"/>
      <c r="F100" s="48"/>
    </row>
    <row r="101">
      <c r="A101" s="48"/>
      <c r="B101" s="48"/>
      <c r="C101" s="48"/>
      <c r="D101" s="48"/>
      <c r="E101" s="48"/>
      <c r="F101" s="48"/>
    </row>
    <row r="102">
      <c r="A102" s="48"/>
      <c r="B102" s="48"/>
      <c r="C102" s="48"/>
      <c r="D102" s="48"/>
      <c r="E102" s="48"/>
      <c r="F102" s="48"/>
    </row>
    <row r="103">
      <c r="A103" s="48"/>
      <c r="B103" s="48"/>
      <c r="C103" s="48"/>
      <c r="D103" s="48"/>
      <c r="E103" s="48"/>
      <c r="F103" s="48"/>
    </row>
    <row r="104">
      <c r="A104" s="48"/>
      <c r="B104" s="48"/>
      <c r="C104" s="48"/>
      <c r="D104" s="48"/>
      <c r="E104" s="48"/>
      <c r="F104" s="48"/>
    </row>
    <row r="105">
      <c r="A105" s="48"/>
      <c r="B105" s="48"/>
      <c r="C105" s="48"/>
      <c r="D105" s="48"/>
      <c r="E105" s="48"/>
      <c r="F105" s="48"/>
    </row>
    <row r="106">
      <c r="A106" s="48"/>
      <c r="B106" s="48"/>
      <c r="C106" s="48"/>
      <c r="D106" s="48"/>
      <c r="E106" s="48"/>
      <c r="F106" s="48"/>
    </row>
    <row r="107">
      <c r="A107" s="48"/>
      <c r="B107" s="48"/>
      <c r="C107" s="48"/>
      <c r="D107" s="48"/>
      <c r="E107" s="48"/>
      <c r="F107" s="48"/>
    </row>
    <row r="108">
      <c r="A108" s="48"/>
      <c r="B108" s="48"/>
      <c r="C108" s="48"/>
      <c r="D108" s="48"/>
      <c r="E108" s="48"/>
      <c r="F108" s="48"/>
    </row>
    <row r="109">
      <c r="A109" s="48"/>
      <c r="B109" s="48"/>
      <c r="C109" s="48"/>
      <c r="D109" s="48"/>
      <c r="E109" s="48"/>
      <c r="F109" s="48"/>
    </row>
    <row r="110">
      <c r="A110" s="48"/>
      <c r="B110" s="48"/>
      <c r="C110" s="48"/>
      <c r="D110" s="48"/>
      <c r="E110" s="48"/>
      <c r="F110" s="48"/>
    </row>
    <row r="111">
      <c r="A111" s="48"/>
      <c r="B111" s="48"/>
      <c r="C111" s="48"/>
      <c r="D111" s="48"/>
      <c r="E111" s="48"/>
      <c r="F111" s="48"/>
    </row>
    <row r="112">
      <c r="A112" s="48"/>
      <c r="B112" s="48"/>
      <c r="C112" s="48"/>
      <c r="D112" s="48"/>
      <c r="E112" s="48"/>
      <c r="F112" s="48"/>
    </row>
    <row r="113">
      <c r="A113" s="48"/>
      <c r="B113" s="48"/>
      <c r="C113" s="48"/>
      <c r="D113" s="48"/>
      <c r="E113" s="48"/>
      <c r="F113" s="48"/>
    </row>
    <row r="114">
      <c r="A114" s="48"/>
      <c r="B114" s="48"/>
      <c r="C114" s="48"/>
      <c r="D114" s="48"/>
      <c r="E114" s="48"/>
      <c r="F114" s="48"/>
    </row>
    <row r="115">
      <c r="A115" s="48"/>
      <c r="B115" s="48"/>
      <c r="C115" s="48"/>
      <c r="D115" s="48"/>
      <c r="E115" s="48"/>
      <c r="F115" s="48"/>
    </row>
    <row r="116">
      <c r="A116" s="48"/>
      <c r="B116" s="48"/>
      <c r="C116" s="48"/>
      <c r="D116" s="48"/>
      <c r="E116" s="48"/>
      <c r="F116" s="48"/>
    </row>
    <row r="117">
      <c r="A117" s="48"/>
      <c r="B117" s="48"/>
      <c r="C117" s="48"/>
      <c r="D117" s="48"/>
      <c r="E117" s="48"/>
      <c r="F117" s="48"/>
    </row>
    <row r="118">
      <c r="A118" s="48"/>
      <c r="B118" s="48"/>
      <c r="C118" s="48"/>
      <c r="D118" s="48"/>
      <c r="E118" s="48"/>
      <c r="F118" s="48"/>
    </row>
    <row r="119">
      <c r="A119" s="48"/>
      <c r="B119" s="48"/>
      <c r="C119" s="48"/>
      <c r="D119" s="48"/>
      <c r="E119" s="48"/>
      <c r="F119" s="48"/>
    </row>
    <row r="120">
      <c r="A120" s="48"/>
      <c r="B120" s="48"/>
      <c r="C120" s="48"/>
      <c r="D120" s="48"/>
      <c r="E120" s="48"/>
      <c r="F120" s="48"/>
    </row>
    <row r="121">
      <c r="A121" s="48"/>
      <c r="B121" s="48"/>
      <c r="C121" s="48"/>
      <c r="D121" s="48"/>
      <c r="E121" s="48"/>
      <c r="F121" s="48"/>
    </row>
    <row r="122">
      <c r="A122" s="48"/>
      <c r="B122" s="48"/>
      <c r="C122" s="48"/>
      <c r="D122" s="48"/>
      <c r="E122" s="48"/>
      <c r="F122" s="48"/>
    </row>
    <row r="123">
      <c r="A123" s="48"/>
      <c r="B123" s="48"/>
      <c r="C123" s="48"/>
      <c r="D123" s="48"/>
      <c r="E123" s="48"/>
      <c r="F123" s="48"/>
    </row>
    <row r="124">
      <c r="A124" s="48"/>
      <c r="B124" s="48"/>
      <c r="C124" s="48"/>
      <c r="D124" s="48"/>
      <c r="E124" s="48"/>
      <c r="F124" s="48"/>
    </row>
    <row r="125">
      <c r="A125" s="48"/>
      <c r="B125" s="48"/>
      <c r="C125" s="48"/>
      <c r="D125" s="48"/>
      <c r="E125" s="48"/>
      <c r="F125" s="48"/>
    </row>
    <row r="126">
      <c r="A126" s="48"/>
      <c r="B126" s="48"/>
      <c r="C126" s="48"/>
      <c r="D126" s="48"/>
      <c r="E126" s="48"/>
      <c r="F126" s="48"/>
    </row>
    <row r="127">
      <c r="A127" s="48"/>
      <c r="B127" s="48"/>
      <c r="C127" s="48"/>
      <c r="D127" s="48"/>
      <c r="E127" s="48"/>
      <c r="F127" s="48"/>
    </row>
    <row r="128">
      <c r="A128" s="48"/>
      <c r="B128" s="48"/>
      <c r="C128" s="48"/>
      <c r="D128" s="48"/>
      <c r="E128" s="48"/>
      <c r="F128" s="48"/>
    </row>
    <row r="129">
      <c r="A129" s="48"/>
      <c r="B129" s="48"/>
      <c r="C129" s="48"/>
      <c r="D129" s="48"/>
      <c r="E129" s="48"/>
      <c r="F129" s="48"/>
    </row>
    <row r="130">
      <c r="A130" s="48"/>
      <c r="B130" s="48"/>
      <c r="C130" s="48"/>
      <c r="D130" s="48"/>
      <c r="E130" s="48"/>
      <c r="F130" s="48"/>
    </row>
    <row r="131">
      <c r="A131" s="48"/>
      <c r="B131" s="48"/>
      <c r="C131" s="48"/>
      <c r="D131" s="48"/>
      <c r="E131" s="48"/>
      <c r="F131" s="48"/>
    </row>
    <row r="132">
      <c r="A132" s="48"/>
      <c r="B132" s="48"/>
      <c r="C132" s="48"/>
      <c r="D132" s="48"/>
      <c r="E132" s="48"/>
      <c r="F132" s="48"/>
    </row>
    <row r="133">
      <c r="A133" s="48"/>
      <c r="B133" s="48"/>
      <c r="C133" s="48"/>
      <c r="D133" s="48"/>
      <c r="E133" s="48"/>
      <c r="F133" s="48"/>
    </row>
    <row r="134">
      <c r="A134" s="48"/>
      <c r="B134" s="48"/>
      <c r="C134" s="48"/>
      <c r="D134" s="48"/>
      <c r="E134" s="48"/>
      <c r="F134" s="48"/>
    </row>
    <row r="135">
      <c r="A135" s="48"/>
      <c r="B135" s="48"/>
      <c r="C135" s="48"/>
      <c r="D135" s="48"/>
      <c r="E135" s="48"/>
      <c r="F135" s="48"/>
    </row>
    <row r="136">
      <c r="A136" s="48"/>
      <c r="B136" s="48"/>
      <c r="C136" s="48"/>
      <c r="D136" s="48"/>
      <c r="E136" s="48"/>
      <c r="F136" s="48"/>
    </row>
    <row r="137">
      <c r="A137" s="48"/>
      <c r="B137" s="48"/>
      <c r="C137" s="48"/>
      <c r="D137" s="48"/>
      <c r="E137" s="48"/>
      <c r="F137" s="48"/>
    </row>
    <row r="138">
      <c r="A138" s="48"/>
      <c r="B138" s="48"/>
      <c r="C138" s="48"/>
      <c r="D138" s="48"/>
      <c r="E138" s="48"/>
      <c r="F138" s="48"/>
    </row>
    <row r="139">
      <c r="A139" s="48"/>
      <c r="B139" s="48"/>
      <c r="C139" s="48"/>
      <c r="D139" s="48"/>
      <c r="E139" s="48"/>
      <c r="F139" s="48"/>
    </row>
    <row r="140">
      <c r="A140" s="48"/>
      <c r="B140" s="48"/>
      <c r="C140" s="48"/>
      <c r="D140" s="48"/>
      <c r="E140" s="48"/>
      <c r="F140" s="48"/>
    </row>
    <row r="141">
      <c r="A141" s="48"/>
      <c r="B141" s="48"/>
      <c r="C141" s="48"/>
      <c r="D141" s="48"/>
      <c r="E141" s="48"/>
      <c r="F141" s="48"/>
    </row>
    <row r="142">
      <c r="A142" s="48"/>
      <c r="B142" s="48"/>
      <c r="C142" s="48"/>
      <c r="D142" s="48"/>
      <c r="E142" s="48"/>
      <c r="F142" s="48"/>
    </row>
    <row r="143">
      <c r="A143" s="48"/>
      <c r="B143" s="48"/>
      <c r="C143" s="48"/>
      <c r="D143" s="48"/>
      <c r="E143" s="48"/>
      <c r="F143" s="48"/>
    </row>
    <row r="144">
      <c r="A144" s="48"/>
      <c r="B144" s="48"/>
      <c r="C144" s="48"/>
      <c r="D144" s="48"/>
      <c r="E144" s="48"/>
      <c r="F144" s="48"/>
    </row>
    <row r="145">
      <c r="A145" s="48"/>
      <c r="B145" s="48"/>
      <c r="C145" s="48"/>
      <c r="D145" s="48"/>
      <c r="E145" s="48"/>
      <c r="F145" s="48"/>
    </row>
    <row r="146">
      <c r="A146" s="48"/>
      <c r="B146" s="48"/>
      <c r="C146" s="48"/>
      <c r="D146" s="48"/>
      <c r="E146" s="48"/>
      <c r="F146" s="48"/>
    </row>
    <row r="147">
      <c r="A147" s="48"/>
      <c r="B147" s="48"/>
      <c r="C147" s="48"/>
      <c r="D147" s="48"/>
      <c r="E147" s="48"/>
      <c r="F147" s="48"/>
    </row>
    <row r="148">
      <c r="A148" s="48"/>
      <c r="B148" s="48"/>
      <c r="C148" s="48"/>
      <c r="D148" s="48"/>
      <c r="E148" s="48"/>
      <c r="F148" s="48"/>
    </row>
    <row r="149">
      <c r="A149" s="48"/>
      <c r="B149" s="48"/>
      <c r="C149" s="48"/>
      <c r="D149" s="48"/>
      <c r="E149" s="48"/>
      <c r="F149" s="48"/>
    </row>
    <row r="150">
      <c r="A150" s="48"/>
      <c r="B150" s="48"/>
      <c r="C150" s="48"/>
      <c r="D150" s="48"/>
      <c r="E150" s="48"/>
      <c r="F150" s="48"/>
    </row>
    <row r="151">
      <c r="A151" s="48"/>
      <c r="B151" s="48"/>
      <c r="C151" s="48"/>
      <c r="D151" s="48"/>
      <c r="E151" s="48"/>
      <c r="F151" s="48"/>
    </row>
    <row r="152">
      <c r="A152" s="48"/>
      <c r="B152" s="48"/>
      <c r="C152" s="48"/>
      <c r="D152" s="48"/>
      <c r="E152" s="48"/>
      <c r="F152" s="48"/>
    </row>
    <row r="153">
      <c r="A153" s="48"/>
      <c r="B153" s="48"/>
      <c r="C153" s="48"/>
      <c r="D153" s="48"/>
      <c r="E153" s="48"/>
      <c r="F153" s="48"/>
    </row>
    <row r="154">
      <c r="A154" s="48"/>
      <c r="B154" s="48"/>
      <c r="C154" s="48"/>
      <c r="D154" s="48"/>
      <c r="E154" s="48"/>
      <c r="F154" s="48"/>
    </row>
    <row r="155">
      <c r="A155" s="48"/>
      <c r="B155" s="48"/>
      <c r="C155" s="48"/>
      <c r="D155" s="48"/>
      <c r="E155" s="48"/>
      <c r="F155" s="48"/>
    </row>
    <row r="156">
      <c r="A156" s="48"/>
      <c r="B156" s="48"/>
      <c r="C156" s="48"/>
      <c r="D156" s="48"/>
      <c r="E156" s="48"/>
      <c r="F156" s="48"/>
    </row>
    <row r="157">
      <c r="A157" s="48"/>
      <c r="B157" s="48"/>
      <c r="C157" s="48"/>
      <c r="D157" s="48"/>
      <c r="E157" s="48"/>
      <c r="F157" s="48"/>
    </row>
    <row r="158">
      <c r="A158" s="48"/>
      <c r="B158" s="48"/>
      <c r="C158" s="48"/>
      <c r="D158" s="48"/>
      <c r="E158" s="48"/>
      <c r="F158" s="48"/>
    </row>
    <row r="159">
      <c r="A159" s="48"/>
      <c r="B159" s="48"/>
      <c r="C159" s="48"/>
      <c r="D159" s="48"/>
      <c r="E159" s="48"/>
      <c r="F159" s="48"/>
    </row>
    <row r="160">
      <c r="A160" s="48"/>
      <c r="B160" s="48"/>
      <c r="C160" s="48"/>
      <c r="D160" s="48"/>
      <c r="E160" s="48"/>
      <c r="F160" s="48"/>
    </row>
    <row r="161">
      <c r="A161" s="48"/>
      <c r="B161" s="48"/>
      <c r="C161" s="48"/>
      <c r="D161" s="48"/>
      <c r="E161" s="48"/>
      <c r="F161" s="48"/>
    </row>
    <row r="162">
      <c r="A162" s="48"/>
      <c r="B162" s="48"/>
      <c r="C162" s="48"/>
      <c r="D162" s="48"/>
      <c r="E162" s="48"/>
      <c r="F162" s="48"/>
    </row>
    <row r="163">
      <c r="A163" s="48"/>
      <c r="B163" s="48"/>
      <c r="C163" s="48"/>
      <c r="D163" s="48"/>
      <c r="E163" s="48"/>
      <c r="F163" s="48"/>
    </row>
    <row r="164">
      <c r="A164" s="48"/>
      <c r="B164" s="48"/>
      <c r="C164" s="48"/>
      <c r="D164" s="48"/>
      <c r="E164" s="48"/>
      <c r="F164" s="48"/>
    </row>
    <row r="165">
      <c r="A165" s="48"/>
      <c r="B165" s="48"/>
      <c r="C165" s="48"/>
      <c r="D165" s="48"/>
      <c r="E165" s="48"/>
      <c r="F165" s="48"/>
    </row>
    <row r="166">
      <c r="A166" s="48"/>
      <c r="B166" s="48"/>
      <c r="C166" s="48"/>
      <c r="D166" s="48"/>
      <c r="E166" s="48"/>
      <c r="F166" s="48"/>
    </row>
    <row r="167">
      <c r="A167" s="48"/>
      <c r="B167" s="48"/>
      <c r="C167" s="48"/>
      <c r="D167" s="48"/>
      <c r="E167" s="48"/>
      <c r="F167" s="48"/>
    </row>
    <row r="168">
      <c r="A168" s="48"/>
      <c r="B168" s="48"/>
      <c r="C168" s="48"/>
      <c r="D168" s="48"/>
      <c r="E168" s="48"/>
      <c r="F168" s="48"/>
    </row>
    <row r="169">
      <c r="A169" s="48"/>
      <c r="B169" s="48"/>
      <c r="C169" s="48"/>
      <c r="D169" s="48"/>
      <c r="E169" s="48"/>
      <c r="F169" s="48"/>
    </row>
    <row r="170">
      <c r="A170" s="48"/>
      <c r="B170" s="48"/>
      <c r="C170" s="48"/>
      <c r="D170" s="48"/>
      <c r="E170" s="48"/>
      <c r="F170" s="48"/>
    </row>
    <row r="171">
      <c r="A171" s="48"/>
      <c r="B171" s="48"/>
      <c r="C171" s="48"/>
      <c r="D171" s="48"/>
      <c r="E171" s="48"/>
      <c r="F171" s="48"/>
    </row>
    <row r="172">
      <c r="A172" s="48"/>
      <c r="B172" s="48"/>
      <c r="C172" s="48"/>
      <c r="D172" s="48"/>
      <c r="E172" s="48"/>
      <c r="F172" s="48"/>
    </row>
    <row r="173">
      <c r="A173" s="48"/>
      <c r="B173" s="48"/>
      <c r="C173" s="48"/>
      <c r="D173" s="48"/>
      <c r="E173" s="48"/>
      <c r="F173" s="48"/>
    </row>
    <row r="174">
      <c r="A174" s="48"/>
      <c r="B174" s="48"/>
      <c r="C174" s="48"/>
      <c r="D174" s="48"/>
      <c r="E174" s="48"/>
      <c r="F174" s="48"/>
    </row>
    <row r="175">
      <c r="A175" s="48"/>
      <c r="B175" s="48"/>
      <c r="C175" s="48"/>
      <c r="D175" s="48"/>
      <c r="E175" s="48"/>
      <c r="F175" s="48"/>
    </row>
    <row r="176">
      <c r="A176" s="48"/>
      <c r="B176" s="48"/>
      <c r="C176" s="48"/>
      <c r="D176" s="48"/>
      <c r="E176" s="48"/>
      <c r="F176" s="48"/>
    </row>
    <row r="177">
      <c r="A177" s="48"/>
      <c r="B177" s="48"/>
      <c r="C177" s="48"/>
      <c r="D177" s="48"/>
      <c r="E177" s="48"/>
      <c r="F177" s="48"/>
    </row>
    <row r="178">
      <c r="A178" s="48"/>
      <c r="B178" s="48"/>
      <c r="C178" s="48"/>
      <c r="D178" s="48"/>
      <c r="E178" s="48"/>
      <c r="F178" s="48"/>
    </row>
    <row r="179">
      <c r="A179" s="48"/>
      <c r="B179" s="48"/>
      <c r="C179" s="48"/>
      <c r="D179" s="48"/>
      <c r="E179" s="48"/>
      <c r="F179" s="48"/>
    </row>
    <row r="180">
      <c r="A180" s="48"/>
      <c r="B180" s="48"/>
      <c r="C180" s="48"/>
      <c r="D180" s="48"/>
      <c r="E180" s="48"/>
      <c r="F180" s="48"/>
    </row>
    <row r="181">
      <c r="A181" s="48"/>
      <c r="B181" s="48"/>
      <c r="C181" s="48"/>
      <c r="D181" s="48"/>
      <c r="E181" s="48"/>
      <c r="F181" s="48"/>
    </row>
    <row r="182">
      <c r="A182" s="48"/>
      <c r="B182" s="48"/>
      <c r="C182" s="48"/>
      <c r="D182" s="48"/>
      <c r="E182" s="48"/>
      <c r="F182" s="48"/>
    </row>
    <row r="183">
      <c r="A183" s="48"/>
      <c r="B183" s="48"/>
      <c r="C183" s="48"/>
      <c r="D183" s="48"/>
      <c r="E183" s="48"/>
      <c r="F183" s="48"/>
    </row>
    <row r="184">
      <c r="A184" s="48"/>
      <c r="B184" s="48"/>
      <c r="C184" s="48"/>
      <c r="D184" s="48"/>
      <c r="E184" s="48"/>
      <c r="F184" s="48"/>
    </row>
    <row r="185">
      <c r="A185" s="48"/>
      <c r="B185" s="48"/>
      <c r="C185" s="48"/>
      <c r="D185" s="48"/>
      <c r="E185" s="48"/>
      <c r="F185" s="48"/>
    </row>
    <row r="186">
      <c r="A186" s="48"/>
      <c r="B186" s="48"/>
      <c r="C186" s="48"/>
      <c r="D186" s="48"/>
      <c r="E186" s="48"/>
      <c r="F186" s="48"/>
    </row>
    <row r="187">
      <c r="A187" s="48"/>
      <c r="B187" s="48"/>
      <c r="C187" s="48"/>
      <c r="D187" s="48"/>
      <c r="E187" s="48"/>
      <c r="F187" s="48"/>
    </row>
    <row r="188">
      <c r="A188" s="48"/>
      <c r="B188" s="48"/>
      <c r="C188" s="48"/>
      <c r="D188" s="48"/>
      <c r="E188" s="48"/>
      <c r="F188" s="48"/>
    </row>
    <row r="189">
      <c r="A189" s="48"/>
      <c r="B189" s="48"/>
      <c r="C189" s="48"/>
      <c r="D189" s="48"/>
      <c r="E189" s="48"/>
      <c r="F189" s="48"/>
    </row>
    <row r="190">
      <c r="A190" s="48"/>
      <c r="B190" s="48"/>
      <c r="C190" s="48"/>
      <c r="D190" s="48"/>
      <c r="E190" s="48"/>
      <c r="F190" s="48"/>
    </row>
    <row r="191">
      <c r="A191" s="48"/>
      <c r="B191" s="48"/>
      <c r="C191" s="48"/>
      <c r="D191" s="48"/>
      <c r="E191" s="48"/>
      <c r="F191" s="48"/>
    </row>
    <row r="192">
      <c r="A192" s="48"/>
      <c r="B192" s="48"/>
      <c r="C192" s="48"/>
      <c r="D192" s="48"/>
      <c r="E192" s="48"/>
      <c r="F192" s="48"/>
    </row>
    <row r="193">
      <c r="A193" s="48"/>
      <c r="B193" s="48"/>
      <c r="C193" s="48"/>
      <c r="D193" s="48"/>
      <c r="E193" s="48"/>
      <c r="F193" s="48"/>
    </row>
    <row r="194">
      <c r="A194" s="48"/>
      <c r="B194" s="48"/>
      <c r="C194" s="48"/>
      <c r="D194" s="48"/>
      <c r="E194" s="48"/>
      <c r="F194" s="48"/>
    </row>
    <row r="195">
      <c r="A195" s="48"/>
      <c r="B195" s="48"/>
      <c r="C195" s="48"/>
      <c r="D195" s="48"/>
      <c r="E195" s="48"/>
      <c r="F195" s="48"/>
    </row>
    <row r="196">
      <c r="A196" s="48"/>
      <c r="B196" s="48"/>
      <c r="C196" s="48"/>
      <c r="D196" s="48"/>
      <c r="E196" s="48"/>
      <c r="F196" s="48"/>
    </row>
    <row r="197">
      <c r="A197" s="48"/>
      <c r="B197" s="48"/>
      <c r="C197" s="48"/>
      <c r="D197" s="48"/>
      <c r="E197" s="48"/>
      <c r="F197" s="48"/>
    </row>
    <row r="198">
      <c r="A198" s="48"/>
      <c r="B198" s="48"/>
      <c r="C198" s="48"/>
      <c r="D198" s="48"/>
      <c r="E198" s="48"/>
      <c r="F198" s="48"/>
    </row>
    <row r="199">
      <c r="A199" s="48"/>
      <c r="B199" s="48"/>
      <c r="C199" s="48"/>
      <c r="D199" s="48"/>
      <c r="E199" s="48"/>
      <c r="F199" s="48"/>
    </row>
    <row r="200">
      <c r="A200" s="48"/>
      <c r="B200" s="48"/>
      <c r="C200" s="48"/>
      <c r="D200" s="48"/>
      <c r="E200" s="48"/>
      <c r="F200" s="48"/>
    </row>
    <row r="201">
      <c r="A201" s="48"/>
      <c r="B201" s="48"/>
      <c r="C201" s="48"/>
      <c r="D201" s="48"/>
      <c r="E201" s="48"/>
      <c r="F201" s="48"/>
    </row>
    <row r="202">
      <c r="A202" s="48"/>
      <c r="B202" s="48"/>
      <c r="C202" s="48"/>
      <c r="D202" s="48"/>
      <c r="E202" s="48"/>
      <c r="F202" s="48"/>
    </row>
    <row r="203">
      <c r="A203" s="48"/>
      <c r="B203" s="48"/>
      <c r="C203" s="48"/>
      <c r="D203" s="48"/>
      <c r="E203" s="48"/>
      <c r="F203" s="48"/>
    </row>
    <row r="204">
      <c r="A204" s="48"/>
      <c r="B204" s="48"/>
      <c r="C204" s="48"/>
      <c r="D204" s="48"/>
      <c r="E204" s="48"/>
      <c r="F204" s="48"/>
    </row>
    <row r="205">
      <c r="A205" s="48"/>
      <c r="B205" s="48"/>
      <c r="C205" s="48"/>
      <c r="D205" s="48"/>
      <c r="E205" s="48"/>
      <c r="F205" s="48"/>
    </row>
    <row r="206">
      <c r="A206" s="48"/>
      <c r="B206" s="48"/>
      <c r="C206" s="48"/>
      <c r="D206" s="48"/>
      <c r="E206" s="48"/>
      <c r="F206" s="48"/>
    </row>
    <row r="207">
      <c r="A207" s="48"/>
      <c r="B207" s="48"/>
      <c r="C207" s="48"/>
      <c r="D207" s="48"/>
      <c r="E207" s="48"/>
      <c r="F207" s="48"/>
    </row>
    <row r="208">
      <c r="A208" s="48"/>
      <c r="B208" s="48"/>
      <c r="C208" s="48"/>
      <c r="D208" s="48"/>
      <c r="E208" s="48"/>
      <c r="F208" s="48"/>
    </row>
    <row r="209">
      <c r="A209" s="48"/>
      <c r="B209" s="48"/>
      <c r="C209" s="48"/>
      <c r="D209" s="48"/>
      <c r="E209" s="48"/>
      <c r="F209" s="48"/>
    </row>
    <row r="210">
      <c r="A210" s="48"/>
      <c r="B210" s="48"/>
      <c r="C210" s="48"/>
      <c r="D210" s="48"/>
      <c r="E210" s="48"/>
      <c r="F210" s="48"/>
    </row>
    <row r="211">
      <c r="A211" s="48"/>
      <c r="B211" s="48"/>
      <c r="C211" s="48"/>
      <c r="D211" s="48"/>
      <c r="E211" s="48"/>
      <c r="F211" s="48"/>
    </row>
    <row r="212">
      <c r="A212" s="48"/>
      <c r="B212" s="48"/>
      <c r="C212" s="48"/>
      <c r="D212" s="48"/>
      <c r="E212" s="48"/>
      <c r="F212" s="48"/>
    </row>
    <row r="213">
      <c r="A213" s="48"/>
      <c r="B213" s="48"/>
      <c r="C213" s="48"/>
      <c r="D213" s="48"/>
      <c r="E213" s="48"/>
      <c r="F213" s="48"/>
    </row>
    <row r="214">
      <c r="A214" s="48"/>
      <c r="B214" s="48"/>
      <c r="C214" s="48"/>
      <c r="D214" s="48"/>
      <c r="E214" s="48"/>
      <c r="F214" s="48"/>
    </row>
    <row r="215">
      <c r="A215" s="48"/>
      <c r="B215" s="48"/>
      <c r="C215" s="48"/>
      <c r="D215" s="48"/>
      <c r="E215" s="48"/>
      <c r="F215" s="48"/>
    </row>
    <row r="216">
      <c r="A216" s="48"/>
      <c r="B216" s="48"/>
      <c r="C216" s="48"/>
      <c r="D216" s="48"/>
      <c r="E216" s="48"/>
      <c r="F216" s="48"/>
    </row>
    <row r="217">
      <c r="A217" s="48"/>
      <c r="B217" s="48"/>
      <c r="C217" s="48"/>
      <c r="D217" s="48"/>
      <c r="E217" s="48"/>
      <c r="F217" s="48"/>
    </row>
    <row r="218">
      <c r="A218" s="48"/>
      <c r="B218" s="48"/>
      <c r="C218" s="48"/>
      <c r="D218" s="48"/>
      <c r="E218" s="48"/>
      <c r="F218" s="48"/>
    </row>
    <row r="219">
      <c r="A219" s="48"/>
      <c r="B219" s="48"/>
      <c r="C219" s="48"/>
      <c r="D219" s="48"/>
      <c r="E219" s="48"/>
      <c r="F219" s="48"/>
    </row>
    <row r="220">
      <c r="A220" s="48"/>
      <c r="B220" s="48"/>
      <c r="C220" s="48"/>
      <c r="D220" s="48"/>
      <c r="E220" s="48"/>
      <c r="F220" s="48"/>
    </row>
    <row r="221">
      <c r="A221" s="48"/>
      <c r="B221" s="48"/>
      <c r="C221" s="48"/>
      <c r="D221" s="48"/>
      <c r="E221" s="48"/>
      <c r="F221" s="48"/>
    </row>
    <row r="222">
      <c r="A222" s="48"/>
      <c r="B222" s="48"/>
      <c r="C222" s="48"/>
      <c r="D222" s="48"/>
      <c r="E222" s="48"/>
      <c r="F222" s="48"/>
    </row>
    <row r="223">
      <c r="A223" s="48"/>
      <c r="B223" s="48"/>
      <c r="C223" s="48"/>
      <c r="D223" s="48"/>
      <c r="E223" s="48"/>
      <c r="F223" s="48"/>
    </row>
    <row r="224">
      <c r="A224" s="48"/>
      <c r="B224" s="48"/>
      <c r="C224" s="48"/>
      <c r="D224" s="48"/>
      <c r="E224" s="48"/>
      <c r="F224" s="48"/>
    </row>
    <row r="225">
      <c r="A225" s="48"/>
      <c r="B225" s="48"/>
      <c r="C225" s="48"/>
      <c r="D225" s="48"/>
      <c r="E225" s="48"/>
      <c r="F225" s="48"/>
    </row>
    <row r="226">
      <c r="A226" s="48"/>
      <c r="B226" s="48"/>
      <c r="C226" s="48"/>
      <c r="D226" s="48"/>
      <c r="E226" s="48"/>
      <c r="F226" s="48"/>
    </row>
    <row r="227">
      <c r="A227" s="48"/>
      <c r="B227" s="48"/>
      <c r="C227" s="48"/>
      <c r="D227" s="48"/>
      <c r="E227" s="48"/>
      <c r="F227" s="48"/>
    </row>
    <row r="228">
      <c r="A228" s="48"/>
      <c r="B228" s="48"/>
      <c r="C228" s="48"/>
      <c r="D228" s="48"/>
      <c r="E228" s="48"/>
      <c r="F228" s="48"/>
    </row>
    <row r="229">
      <c r="A229" s="48"/>
      <c r="B229" s="48"/>
      <c r="C229" s="48"/>
      <c r="D229" s="48"/>
      <c r="E229" s="48"/>
      <c r="F229" s="48"/>
    </row>
    <row r="230">
      <c r="A230" s="48"/>
      <c r="B230" s="48"/>
      <c r="C230" s="48"/>
      <c r="D230" s="48"/>
      <c r="E230" s="48"/>
      <c r="F230" s="48"/>
    </row>
    <row r="231">
      <c r="A231" s="48"/>
      <c r="B231" s="48"/>
      <c r="C231" s="48"/>
      <c r="D231" s="48"/>
      <c r="E231" s="48"/>
      <c r="F231" s="48"/>
    </row>
    <row r="232">
      <c r="A232" s="48"/>
      <c r="B232" s="48"/>
      <c r="C232" s="48"/>
      <c r="D232" s="48"/>
      <c r="E232" s="48"/>
      <c r="F232" s="48"/>
    </row>
    <row r="233">
      <c r="A233" s="48"/>
      <c r="B233" s="48"/>
      <c r="C233" s="48"/>
      <c r="D233" s="48"/>
      <c r="E233" s="48"/>
      <c r="F233" s="48"/>
    </row>
    <row r="234">
      <c r="A234" s="48"/>
      <c r="B234" s="48"/>
      <c r="C234" s="48"/>
      <c r="D234" s="48"/>
      <c r="E234" s="48"/>
      <c r="F234" s="48"/>
    </row>
    <row r="235">
      <c r="A235" s="48"/>
      <c r="B235" s="48"/>
      <c r="C235" s="48"/>
      <c r="D235" s="48"/>
      <c r="E235" s="48"/>
      <c r="F235" s="48"/>
    </row>
    <row r="236">
      <c r="A236" s="48"/>
      <c r="B236" s="48"/>
      <c r="C236" s="48"/>
      <c r="D236" s="48"/>
      <c r="E236" s="48"/>
      <c r="F236" s="48"/>
    </row>
    <row r="237">
      <c r="A237" s="48"/>
      <c r="B237" s="48"/>
      <c r="C237" s="48"/>
      <c r="D237" s="48"/>
      <c r="E237" s="48"/>
      <c r="F237" s="48"/>
    </row>
    <row r="238">
      <c r="A238" s="48"/>
      <c r="B238" s="48"/>
      <c r="C238" s="48"/>
      <c r="D238" s="48"/>
      <c r="E238" s="48"/>
      <c r="F238" s="48"/>
    </row>
    <row r="239">
      <c r="A239" s="48"/>
      <c r="B239" s="48"/>
      <c r="C239" s="48"/>
      <c r="D239" s="48"/>
      <c r="E239" s="48"/>
      <c r="F239" s="48"/>
    </row>
    <row r="240">
      <c r="A240" s="48"/>
      <c r="B240" s="48"/>
      <c r="C240" s="48"/>
      <c r="D240" s="48"/>
      <c r="E240" s="48"/>
      <c r="F240" s="48"/>
    </row>
    <row r="241">
      <c r="A241" s="48"/>
      <c r="B241" s="48"/>
      <c r="C241" s="48"/>
      <c r="D241" s="48"/>
      <c r="E241" s="48"/>
      <c r="F241" s="48"/>
    </row>
    <row r="242">
      <c r="A242" s="48"/>
      <c r="B242" s="48"/>
      <c r="C242" s="48"/>
      <c r="D242" s="48"/>
      <c r="E242" s="48"/>
      <c r="F242" s="48"/>
    </row>
    <row r="243">
      <c r="A243" s="48"/>
      <c r="B243" s="48"/>
      <c r="C243" s="48"/>
      <c r="D243" s="48"/>
      <c r="E243" s="48"/>
      <c r="F243" s="48"/>
    </row>
    <row r="244">
      <c r="A244" s="48"/>
      <c r="B244" s="48"/>
      <c r="C244" s="48"/>
      <c r="D244" s="48"/>
      <c r="E244" s="48"/>
      <c r="F244" s="48"/>
    </row>
    <row r="245">
      <c r="A245" s="48"/>
      <c r="B245" s="48"/>
      <c r="C245" s="48"/>
      <c r="D245" s="48"/>
      <c r="E245" s="48"/>
      <c r="F245" s="48"/>
    </row>
    <row r="246">
      <c r="A246" s="48"/>
      <c r="B246" s="48"/>
      <c r="C246" s="48"/>
      <c r="D246" s="48"/>
      <c r="E246" s="48"/>
      <c r="F246" s="48"/>
    </row>
    <row r="247">
      <c r="A247" s="48"/>
      <c r="B247" s="48"/>
      <c r="C247" s="48"/>
      <c r="D247" s="48"/>
      <c r="E247" s="48"/>
      <c r="F247" s="48"/>
    </row>
    <row r="248">
      <c r="A248" s="48"/>
      <c r="B248" s="48"/>
      <c r="C248" s="48"/>
      <c r="D248" s="48"/>
      <c r="E248" s="48"/>
      <c r="F248" s="48"/>
    </row>
    <row r="249">
      <c r="A249" s="48"/>
      <c r="B249" s="48"/>
      <c r="C249" s="48"/>
      <c r="D249" s="48"/>
      <c r="E249" s="48"/>
      <c r="F249" s="48"/>
    </row>
    <row r="250">
      <c r="A250" s="48"/>
      <c r="B250" s="48"/>
      <c r="C250" s="48"/>
      <c r="D250" s="48"/>
      <c r="E250" s="48"/>
      <c r="F250" s="48"/>
    </row>
    <row r="251">
      <c r="A251" s="48"/>
      <c r="B251" s="48"/>
      <c r="C251" s="48"/>
      <c r="D251" s="48"/>
      <c r="E251" s="48"/>
      <c r="F251" s="48"/>
    </row>
    <row r="252">
      <c r="A252" s="48"/>
      <c r="B252" s="48"/>
      <c r="C252" s="48"/>
      <c r="D252" s="48"/>
      <c r="E252" s="48"/>
      <c r="F252" s="48"/>
    </row>
    <row r="253">
      <c r="A253" s="48"/>
      <c r="B253" s="48"/>
      <c r="C253" s="48"/>
      <c r="D253" s="48"/>
      <c r="E253" s="48"/>
      <c r="F253" s="48"/>
    </row>
    <row r="254">
      <c r="A254" s="48"/>
      <c r="B254" s="48"/>
      <c r="C254" s="48"/>
      <c r="D254" s="48"/>
      <c r="E254" s="48"/>
      <c r="F254" s="48"/>
    </row>
    <row r="255">
      <c r="A255" s="48"/>
      <c r="B255" s="48"/>
      <c r="C255" s="48"/>
      <c r="D255" s="48"/>
      <c r="E255" s="48"/>
      <c r="F255" s="48"/>
    </row>
    <row r="256">
      <c r="A256" s="48"/>
      <c r="B256" s="48"/>
      <c r="C256" s="48"/>
      <c r="D256" s="48"/>
      <c r="E256" s="48"/>
      <c r="F256" s="48"/>
    </row>
    <row r="257">
      <c r="A257" s="48"/>
      <c r="B257" s="48"/>
      <c r="C257" s="48"/>
      <c r="D257" s="48"/>
      <c r="E257" s="48"/>
      <c r="F257" s="48"/>
    </row>
    <row r="258">
      <c r="A258" s="48"/>
      <c r="B258" s="48"/>
      <c r="C258" s="48"/>
      <c r="D258" s="48"/>
      <c r="E258" s="48"/>
      <c r="F258" s="48"/>
    </row>
    <row r="259">
      <c r="A259" s="48"/>
      <c r="B259" s="48"/>
      <c r="C259" s="48"/>
      <c r="D259" s="48"/>
      <c r="E259" s="48"/>
      <c r="F259" s="48"/>
    </row>
    <row r="260">
      <c r="A260" s="48"/>
      <c r="B260" s="48"/>
      <c r="C260" s="48"/>
      <c r="D260" s="48"/>
      <c r="E260" s="48"/>
      <c r="F260" s="48"/>
    </row>
    <row r="261">
      <c r="A261" s="48"/>
      <c r="B261" s="48"/>
      <c r="C261" s="48"/>
      <c r="D261" s="48"/>
      <c r="E261" s="48"/>
      <c r="F261" s="48"/>
    </row>
    <row r="262">
      <c r="A262" s="48"/>
      <c r="B262" s="48"/>
      <c r="C262" s="48"/>
      <c r="D262" s="48"/>
      <c r="E262" s="48"/>
      <c r="F262" s="48"/>
    </row>
    <row r="263">
      <c r="A263" s="48"/>
      <c r="B263" s="48"/>
      <c r="C263" s="48"/>
      <c r="D263" s="48"/>
      <c r="E263" s="48"/>
      <c r="F263" s="48"/>
    </row>
    <row r="264">
      <c r="A264" s="48"/>
      <c r="B264" s="48"/>
      <c r="C264" s="48"/>
      <c r="D264" s="48"/>
      <c r="E264" s="48"/>
      <c r="F264" s="48"/>
    </row>
    <row r="265">
      <c r="A265" s="48"/>
      <c r="B265" s="48"/>
      <c r="C265" s="48"/>
      <c r="D265" s="48"/>
      <c r="E265" s="48"/>
      <c r="F265" s="48"/>
    </row>
    <row r="266">
      <c r="A266" s="48"/>
      <c r="B266" s="48"/>
      <c r="C266" s="48"/>
      <c r="D266" s="48"/>
      <c r="E266" s="48"/>
      <c r="F266" s="48"/>
    </row>
    <row r="267">
      <c r="A267" s="48"/>
      <c r="B267" s="48"/>
      <c r="C267" s="48"/>
      <c r="D267" s="48"/>
      <c r="E267" s="48"/>
      <c r="F267" s="48"/>
    </row>
    <row r="268">
      <c r="A268" s="48"/>
      <c r="B268" s="48"/>
      <c r="C268" s="48"/>
      <c r="D268" s="48"/>
      <c r="E268" s="48"/>
      <c r="F268" s="48"/>
    </row>
    <row r="269">
      <c r="A269" s="48"/>
      <c r="B269" s="48"/>
      <c r="C269" s="48"/>
      <c r="D269" s="48"/>
      <c r="E269" s="48"/>
      <c r="F269" s="48"/>
    </row>
    <row r="270">
      <c r="A270" s="48"/>
      <c r="B270" s="48"/>
      <c r="C270" s="48"/>
      <c r="D270" s="48"/>
      <c r="E270" s="48"/>
      <c r="F270" s="48"/>
    </row>
    <row r="271">
      <c r="A271" s="48"/>
      <c r="B271" s="48"/>
      <c r="C271" s="48"/>
      <c r="D271" s="48"/>
      <c r="E271" s="48"/>
      <c r="F271" s="48"/>
    </row>
    <row r="272">
      <c r="A272" s="48"/>
      <c r="B272" s="48"/>
      <c r="C272" s="48"/>
      <c r="D272" s="48"/>
      <c r="E272" s="48"/>
      <c r="F272" s="48"/>
    </row>
    <row r="273">
      <c r="A273" s="48"/>
      <c r="B273" s="48"/>
      <c r="C273" s="48"/>
      <c r="D273" s="48"/>
      <c r="E273" s="48"/>
      <c r="F273" s="48"/>
    </row>
    <row r="274">
      <c r="A274" s="48"/>
      <c r="B274" s="48"/>
      <c r="C274" s="48"/>
      <c r="D274" s="48"/>
      <c r="E274" s="48"/>
      <c r="F274" s="48"/>
    </row>
    <row r="275">
      <c r="A275" s="48"/>
      <c r="B275" s="48"/>
      <c r="C275" s="48"/>
      <c r="D275" s="48"/>
      <c r="E275" s="48"/>
      <c r="F275" s="48"/>
    </row>
    <row r="276">
      <c r="A276" s="48"/>
      <c r="B276" s="48"/>
      <c r="C276" s="48"/>
      <c r="D276" s="48"/>
      <c r="E276" s="48"/>
      <c r="F276" s="48"/>
    </row>
    <row r="277">
      <c r="A277" s="48"/>
      <c r="B277" s="48"/>
      <c r="C277" s="48"/>
      <c r="D277" s="48"/>
      <c r="E277" s="48"/>
      <c r="F277" s="48"/>
    </row>
    <row r="278">
      <c r="A278" s="48"/>
      <c r="B278" s="48"/>
      <c r="C278" s="48"/>
      <c r="D278" s="48"/>
      <c r="E278" s="48"/>
      <c r="F278" s="48"/>
    </row>
    <row r="279">
      <c r="A279" s="48"/>
      <c r="B279" s="48"/>
      <c r="C279" s="48"/>
      <c r="D279" s="48"/>
      <c r="E279" s="48"/>
      <c r="F279" s="48"/>
    </row>
    <row r="280">
      <c r="A280" s="48"/>
      <c r="B280" s="48"/>
      <c r="C280" s="48"/>
      <c r="D280" s="48"/>
      <c r="E280" s="48"/>
      <c r="F280" s="48"/>
    </row>
    <row r="281">
      <c r="A281" s="48"/>
      <c r="B281" s="48"/>
      <c r="C281" s="48"/>
      <c r="D281" s="48"/>
      <c r="E281" s="48"/>
      <c r="F281" s="48"/>
    </row>
    <row r="282">
      <c r="A282" s="48"/>
      <c r="B282" s="48"/>
      <c r="C282" s="48"/>
      <c r="D282" s="48"/>
      <c r="E282" s="48"/>
      <c r="F282" s="48"/>
    </row>
    <row r="283">
      <c r="A283" s="48"/>
      <c r="B283" s="48"/>
      <c r="C283" s="48"/>
      <c r="D283" s="48"/>
      <c r="E283" s="48"/>
      <c r="F283" s="48"/>
    </row>
    <row r="284">
      <c r="A284" s="48"/>
      <c r="B284" s="48"/>
      <c r="C284" s="48"/>
      <c r="D284" s="48"/>
      <c r="E284" s="48"/>
      <c r="F284" s="48"/>
    </row>
    <row r="285">
      <c r="A285" s="48"/>
      <c r="B285" s="48"/>
      <c r="C285" s="48"/>
      <c r="D285" s="48"/>
      <c r="E285" s="48"/>
      <c r="F285" s="48"/>
    </row>
    <row r="286">
      <c r="A286" s="48"/>
      <c r="B286" s="48"/>
      <c r="C286" s="48"/>
      <c r="D286" s="48"/>
      <c r="E286" s="48"/>
      <c r="F286" s="48"/>
    </row>
    <row r="287">
      <c r="A287" s="48"/>
      <c r="B287" s="48"/>
      <c r="C287" s="48"/>
      <c r="D287" s="48"/>
      <c r="E287" s="48"/>
      <c r="F287" s="48"/>
    </row>
    <row r="288">
      <c r="A288" s="48"/>
      <c r="B288" s="48"/>
      <c r="C288" s="48"/>
      <c r="D288" s="48"/>
      <c r="E288" s="48"/>
      <c r="F288" s="48"/>
    </row>
    <row r="289">
      <c r="A289" s="48"/>
      <c r="B289" s="48"/>
      <c r="C289" s="48"/>
      <c r="D289" s="48"/>
      <c r="E289" s="48"/>
      <c r="F289" s="48"/>
    </row>
    <row r="290">
      <c r="A290" s="48"/>
      <c r="B290" s="48"/>
      <c r="C290" s="48"/>
      <c r="D290" s="48"/>
      <c r="E290" s="48"/>
      <c r="F290" s="48"/>
    </row>
    <row r="291">
      <c r="A291" s="48"/>
      <c r="B291" s="48"/>
      <c r="C291" s="48"/>
      <c r="D291" s="48"/>
      <c r="E291" s="48"/>
      <c r="F291" s="48"/>
    </row>
    <row r="292">
      <c r="A292" s="48"/>
      <c r="B292" s="48"/>
      <c r="C292" s="48"/>
      <c r="D292" s="48"/>
      <c r="E292" s="48"/>
      <c r="F292" s="48"/>
    </row>
    <row r="293">
      <c r="A293" s="48"/>
      <c r="B293" s="48"/>
      <c r="C293" s="48"/>
      <c r="D293" s="48"/>
      <c r="E293" s="48"/>
      <c r="F293" s="48"/>
    </row>
    <row r="294">
      <c r="A294" s="48"/>
      <c r="B294" s="48"/>
      <c r="C294" s="48"/>
      <c r="D294" s="48"/>
      <c r="E294" s="48"/>
      <c r="F294" s="48"/>
    </row>
    <row r="295">
      <c r="A295" s="48"/>
      <c r="B295" s="48"/>
      <c r="C295" s="48"/>
      <c r="D295" s="48"/>
      <c r="E295" s="48"/>
      <c r="F295" s="48"/>
    </row>
    <row r="296">
      <c r="A296" s="48"/>
      <c r="B296" s="48"/>
      <c r="C296" s="48"/>
      <c r="D296" s="48"/>
      <c r="E296" s="48"/>
      <c r="F296" s="48"/>
    </row>
    <row r="297">
      <c r="A297" s="48"/>
      <c r="B297" s="48"/>
      <c r="C297" s="48"/>
      <c r="D297" s="48"/>
      <c r="E297" s="48"/>
      <c r="F297" s="48"/>
    </row>
    <row r="298">
      <c r="A298" s="48"/>
      <c r="B298" s="48"/>
      <c r="C298" s="48"/>
      <c r="D298" s="48"/>
      <c r="E298" s="48"/>
      <c r="F298" s="48"/>
    </row>
    <row r="299">
      <c r="A299" s="48"/>
      <c r="B299" s="48"/>
      <c r="C299" s="48"/>
      <c r="D299" s="48"/>
      <c r="E299" s="48"/>
      <c r="F299" s="48"/>
    </row>
    <row r="300">
      <c r="A300" s="48"/>
      <c r="B300" s="48"/>
      <c r="C300" s="48"/>
      <c r="D300" s="48"/>
      <c r="E300" s="48"/>
      <c r="F300" s="48"/>
    </row>
    <row r="301">
      <c r="A301" s="48"/>
      <c r="B301" s="48"/>
      <c r="C301" s="48"/>
      <c r="D301" s="48"/>
      <c r="E301" s="48"/>
      <c r="F301" s="48"/>
    </row>
    <row r="302">
      <c r="A302" s="48"/>
      <c r="B302" s="48"/>
      <c r="C302" s="48"/>
      <c r="D302" s="48"/>
      <c r="E302" s="48"/>
      <c r="F302" s="48"/>
    </row>
    <row r="303">
      <c r="A303" s="48"/>
      <c r="B303" s="48"/>
      <c r="C303" s="48"/>
      <c r="D303" s="48"/>
      <c r="E303" s="48"/>
      <c r="F303" s="48"/>
    </row>
    <row r="304">
      <c r="A304" s="48"/>
      <c r="B304" s="48"/>
      <c r="C304" s="48"/>
      <c r="D304" s="48"/>
      <c r="E304" s="48"/>
      <c r="F304" s="48"/>
    </row>
    <row r="305">
      <c r="A305" s="48"/>
      <c r="B305" s="48"/>
      <c r="C305" s="48"/>
      <c r="D305" s="48"/>
      <c r="E305" s="48"/>
      <c r="F305" s="48"/>
    </row>
    <row r="306">
      <c r="A306" s="48"/>
      <c r="B306" s="48"/>
      <c r="C306" s="48"/>
      <c r="D306" s="48"/>
      <c r="E306" s="48"/>
      <c r="F306" s="48"/>
    </row>
    <row r="307">
      <c r="A307" s="48"/>
      <c r="B307" s="48"/>
      <c r="C307" s="48"/>
      <c r="D307" s="48"/>
      <c r="E307" s="48"/>
      <c r="F307" s="48"/>
    </row>
    <row r="308">
      <c r="A308" s="48"/>
      <c r="B308" s="48"/>
      <c r="C308" s="48"/>
      <c r="D308" s="48"/>
      <c r="E308" s="48"/>
      <c r="F308" s="48"/>
    </row>
    <row r="309">
      <c r="A309" s="48"/>
      <c r="B309" s="48"/>
      <c r="C309" s="48"/>
      <c r="D309" s="48"/>
      <c r="E309" s="48"/>
      <c r="F309" s="48"/>
    </row>
    <row r="310">
      <c r="A310" s="48"/>
      <c r="B310" s="48"/>
      <c r="C310" s="48"/>
      <c r="D310" s="48"/>
      <c r="E310" s="48"/>
      <c r="F310" s="48"/>
    </row>
    <row r="311">
      <c r="A311" s="48"/>
      <c r="B311" s="48"/>
      <c r="C311" s="48"/>
      <c r="D311" s="48"/>
      <c r="E311" s="48"/>
      <c r="F311" s="48"/>
    </row>
    <row r="312">
      <c r="A312" s="48"/>
      <c r="B312" s="48"/>
      <c r="C312" s="48"/>
      <c r="D312" s="48"/>
      <c r="E312" s="48"/>
      <c r="F312" s="48"/>
    </row>
    <row r="313">
      <c r="A313" s="48"/>
      <c r="B313" s="48"/>
      <c r="C313" s="48"/>
      <c r="D313" s="48"/>
      <c r="E313" s="48"/>
      <c r="F313" s="48"/>
    </row>
    <row r="314">
      <c r="A314" s="48"/>
      <c r="B314" s="48"/>
      <c r="C314" s="48"/>
      <c r="D314" s="48"/>
      <c r="E314" s="48"/>
      <c r="F314" s="48"/>
    </row>
    <row r="315">
      <c r="A315" s="48"/>
      <c r="B315" s="48"/>
      <c r="C315" s="48"/>
      <c r="D315" s="48"/>
      <c r="E315" s="48"/>
      <c r="F315" s="48"/>
    </row>
    <row r="316">
      <c r="A316" s="48"/>
      <c r="B316" s="48"/>
      <c r="C316" s="48"/>
      <c r="D316" s="48"/>
      <c r="E316" s="48"/>
      <c r="F316" s="48"/>
    </row>
    <row r="317">
      <c r="A317" s="48"/>
      <c r="B317" s="48"/>
      <c r="C317" s="48"/>
      <c r="D317" s="48"/>
      <c r="E317" s="48"/>
      <c r="F317" s="48"/>
    </row>
    <row r="318">
      <c r="A318" s="48"/>
      <c r="B318" s="48"/>
      <c r="C318" s="48"/>
      <c r="D318" s="48"/>
      <c r="E318" s="48"/>
      <c r="F318" s="48"/>
    </row>
    <row r="319">
      <c r="A319" s="48"/>
      <c r="B319" s="48"/>
      <c r="C319" s="48"/>
      <c r="D319" s="48"/>
      <c r="E319" s="48"/>
      <c r="F319" s="48"/>
    </row>
    <row r="320">
      <c r="A320" s="48"/>
      <c r="B320" s="48"/>
      <c r="C320" s="48"/>
      <c r="D320" s="48"/>
      <c r="E320" s="48"/>
      <c r="F320" s="48"/>
    </row>
    <row r="321">
      <c r="A321" s="48"/>
      <c r="B321" s="48"/>
      <c r="C321" s="48"/>
      <c r="D321" s="48"/>
      <c r="E321" s="48"/>
      <c r="F321" s="48"/>
    </row>
    <row r="322">
      <c r="A322" s="48"/>
      <c r="B322" s="48"/>
      <c r="C322" s="48"/>
      <c r="D322" s="48"/>
      <c r="E322" s="48"/>
      <c r="F322" s="48"/>
    </row>
    <row r="323">
      <c r="A323" s="48"/>
      <c r="B323" s="48"/>
      <c r="C323" s="48"/>
      <c r="D323" s="48"/>
      <c r="E323" s="48"/>
      <c r="F323" s="48"/>
    </row>
    <row r="324">
      <c r="A324" s="48"/>
      <c r="B324" s="48"/>
      <c r="C324" s="48"/>
      <c r="D324" s="48"/>
      <c r="E324" s="48"/>
      <c r="F324" s="48"/>
    </row>
    <row r="325">
      <c r="A325" s="48"/>
      <c r="B325" s="48"/>
      <c r="C325" s="48"/>
      <c r="D325" s="48"/>
      <c r="E325" s="48"/>
      <c r="F325" s="48"/>
    </row>
    <row r="326">
      <c r="A326" s="48"/>
      <c r="B326" s="48"/>
      <c r="C326" s="48"/>
      <c r="D326" s="48"/>
      <c r="E326" s="48"/>
      <c r="F326" s="48"/>
    </row>
    <row r="327">
      <c r="A327" s="48"/>
      <c r="B327" s="48"/>
      <c r="C327" s="48"/>
      <c r="D327" s="48"/>
      <c r="E327" s="48"/>
      <c r="F327" s="48"/>
    </row>
    <row r="328">
      <c r="A328" s="48"/>
      <c r="B328" s="48"/>
      <c r="C328" s="48"/>
      <c r="D328" s="48"/>
      <c r="E328" s="48"/>
      <c r="F328" s="48"/>
    </row>
    <row r="329">
      <c r="A329" s="48"/>
      <c r="B329" s="48"/>
      <c r="C329" s="48"/>
      <c r="D329" s="48"/>
      <c r="E329" s="48"/>
      <c r="F329" s="48"/>
    </row>
    <row r="330">
      <c r="A330" s="48"/>
      <c r="B330" s="48"/>
      <c r="C330" s="48"/>
      <c r="D330" s="48"/>
      <c r="E330" s="48"/>
      <c r="F330" s="48"/>
    </row>
    <row r="331">
      <c r="A331" s="48"/>
      <c r="B331" s="48"/>
      <c r="C331" s="48"/>
      <c r="D331" s="48"/>
      <c r="E331" s="48"/>
      <c r="F331" s="48"/>
    </row>
    <row r="332">
      <c r="A332" s="48"/>
      <c r="B332" s="48"/>
      <c r="C332" s="48"/>
      <c r="D332" s="48"/>
      <c r="E332" s="48"/>
      <c r="F332" s="48"/>
    </row>
    <row r="333">
      <c r="A333" s="48"/>
      <c r="B333" s="48"/>
      <c r="C333" s="48"/>
      <c r="D333" s="48"/>
      <c r="E333" s="48"/>
      <c r="F333" s="48"/>
    </row>
    <row r="334">
      <c r="A334" s="48"/>
      <c r="B334" s="48"/>
      <c r="C334" s="48"/>
      <c r="D334" s="48"/>
      <c r="E334" s="48"/>
      <c r="F334" s="48"/>
    </row>
    <row r="335">
      <c r="A335" s="48"/>
      <c r="B335" s="48"/>
      <c r="C335" s="48"/>
      <c r="D335" s="48"/>
      <c r="E335" s="48"/>
      <c r="F335" s="48"/>
    </row>
    <row r="336">
      <c r="A336" s="48"/>
      <c r="B336" s="48"/>
      <c r="C336" s="48"/>
      <c r="D336" s="48"/>
      <c r="E336" s="48"/>
      <c r="F336" s="48"/>
    </row>
    <row r="337">
      <c r="A337" s="48"/>
      <c r="B337" s="48"/>
      <c r="C337" s="48"/>
      <c r="D337" s="48"/>
      <c r="E337" s="48"/>
      <c r="F337" s="48"/>
    </row>
    <row r="338">
      <c r="A338" s="48"/>
      <c r="B338" s="48"/>
      <c r="C338" s="48"/>
      <c r="D338" s="48"/>
      <c r="E338" s="48"/>
      <c r="F338" s="48"/>
    </row>
    <row r="339">
      <c r="A339" s="48"/>
      <c r="B339" s="48"/>
      <c r="C339" s="48"/>
      <c r="D339" s="48"/>
      <c r="E339" s="48"/>
      <c r="F339" s="48"/>
    </row>
    <row r="340">
      <c r="A340" s="48"/>
      <c r="B340" s="48"/>
      <c r="C340" s="48"/>
      <c r="D340" s="48"/>
      <c r="E340" s="48"/>
      <c r="F340" s="48"/>
    </row>
    <row r="341">
      <c r="A341" s="48"/>
      <c r="B341" s="48"/>
      <c r="C341" s="48"/>
      <c r="D341" s="48"/>
      <c r="E341" s="48"/>
      <c r="F341" s="48"/>
    </row>
    <row r="342">
      <c r="A342" s="48"/>
      <c r="B342" s="48"/>
      <c r="C342" s="48"/>
      <c r="D342" s="48"/>
      <c r="E342" s="48"/>
      <c r="F342" s="48"/>
    </row>
    <row r="343">
      <c r="A343" s="48"/>
      <c r="B343" s="48"/>
      <c r="C343" s="48"/>
      <c r="D343" s="48"/>
      <c r="E343" s="48"/>
      <c r="F343" s="48"/>
    </row>
    <row r="344">
      <c r="A344" s="48"/>
      <c r="B344" s="48"/>
      <c r="C344" s="48"/>
      <c r="D344" s="48"/>
      <c r="E344" s="48"/>
      <c r="F344" s="48"/>
    </row>
    <row r="345">
      <c r="A345" s="48"/>
      <c r="B345" s="48"/>
      <c r="C345" s="48"/>
      <c r="D345" s="48"/>
      <c r="E345" s="48"/>
      <c r="F345" s="48"/>
    </row>
    <row r="346">
      <c r="A346" s="48"/>
      <c r="B346" s="48"/>
      <c r="C346" s="48"/>
      <c r="D346" s="48"/>
      <c r="E346" s="48"/>
      <c r="F346" s="48"/>
    </row>
    <row r="347">
      <c r="A347" s="48"/>
      <c r="B347" s="48"/>
      <c r="C347" s="48"/>
      <c r="D347" s="48"/>
      <c r="E347" s="48"/>
      <c r="F347" s="48"/>
    </row>
    <row r="348">
      <c r="A348" s="48"/>
      <c r="B348" s="48"/>
      <c r="C348" s="48"/>
      <c r="D348" s="48"/>
      <c r="E348" s="48"/>
      <c r="F348" s="48"/>
    </row>
    <row r="349">
      <c r="A349" s="48"/>
      <c r="B349" s="48"/>
      <c r="C349" s="48"/>
      <c r="D349" s="48"/>
      <c r="E349" s="48"/>
      <c r="F349" s="48"/>
    </row>
    <row r="350">
      <c r="A350" s="48"/>
      <c r="B350" s="48"/>
      <c r="C350" s="48"/>
      <c r="D350" s="48"/>
      <c r="E350" s="48"/>
      <c r="F350" s="48"/>
    </row>
    <row r="351">
      <c r="A351" s="48"/>
      <c r="B351" s="48"/>
      <c r="C351" s="48"/>
      <c r="D351" s="48"/>
      <c r="E351" s="48"/>
      <c r="F351" s="48"/>
    </row>
    <row r="352">
      <c r="A352" s="48"/>
      <c r="B352" s="48"/>
      <c r="C352" s="48"/>
      <c r="D352" s="48"/>
      <c r="E352" s="48"/>
      <c r="F352" s="48"/>
    </row>
    <row r="353">
      <c r="A353" s="48"/>
      <c r="B353" s="48"/>
      <c r="C353" s="48"/>
      <c r="D353" s="48"/>
      <c r="E353" s="48"/>
      <c r="F353" s="48"/>
    </row>
    <row r="354">
      <c r="A354" s="48"/>
      <c r="B354" s="48"/>
      <c r="C354" s="48"/>
      <c r="D354" s="48"/>
      <c r="E354" s="48"/>
      <c r="F354" s="48"/>
    </row>
    <row r="355">
      <c r="A355" s="48"/>
      <c r="B355" s="48"/>
      <c r="C355" s="48"/>
      <c r="D355" s="48"/>
      <c r="E355" s="48"/>
      <c r="F355" s="48"/>
    </row>
    <row r="356">
      <c r="A356" s="48"/>
      <c r="B356" s="48"/>
      <c r="C356" s="48"/>
      <c r="D356" s="48"/>
      <c r="E356" s="48"/>
      <c r="F356" s="48"/>
    </row>
    <row r="357">
      <c r="A357" s="48"/>
      <c r="B357" s="48"/>
      <c r="C357" s="48"/>
      <c r="D357" s="48"/>
      <c r="E357" s="48"/>
      <c r="F357" s="48"/>
    </row>
    <row r="358">
      <c r="A358" s="48"/>
      <c r="B358" s="48"/>
      <c r="C358" s="48"/>
      <c r="D358" s="48"/>
      <c r="E358" s="48"/>
      <c r="F358" s="48"/>
    </row>
    <row r="359">
      <c r="A359" s="48"/>
      <c r="B359" s="48"/>
      <c r="C359" s="48"/>
      <c r="D359" s="48"/>
      <c r="E359" s="48"/>
      <c r="F359" s="48"/>
    </row>
    <row r="360">
      <c r="A360" s="48"/>
      <c r="B360" s="48"/>
      <c r="C360" s="48"/>
      <c r="D360" s="48"/>
      <c r="E360" s="48"/>
      <c r="F360" s="48"/>
    </row>
    <row r="361">
      <c r="A361" s="48"/>
      <c r="B361" s="48"/>
      <c r="C361" s="48"/>
      <c r="D361" s="48"/>
      <c r="E361" s="48"/>
      <c r="F361" s="48"/>
    </row>
    <row r="362">
      <c r="A362" s="48"/>
      <c r="B362" s="48"/>
      <c r="C362" s="48"/>
      <c r="D362" s="48"/>
      <c r="E362" s="48"/>
      <c r="F362" s="48"/>
    </row>
    <row r="363">
      <c r="A363" s="48"/>
      <c r="B363" s="48"/>
      <c r="C363" s="48"/>
      <c r="D363" s="48"/>
      <c r="E363" s="48"/>
      <c r="F363" s="48"/>
    </row>
    <row r="364">
      <c r="A364" s="48"/>
      <c r="B364" s="48"/>
      <c r="C364" s="48"/>
      <c r="D364" s="48"/>
      <c r="E364" s="48"/>
      <c r="F364" s="48"/>
    </row>
    <row r="365">
      <c r="A365" s="48"/>
      <c r="B365" s="48"/>
      <c r="C365" s="48"/>
      <c r="D365" s="48"/>
      <c r="E365" s="48"/>
      <c r="F365" s="48"/>
    </row>
    <row r="366">
      <c r="A366" s="48"/>
      <c r="B366" s="48"/>
      <c r="C366" s="48"/>
      <c r="D366" s="48"/>
      <c r="E366" s="48"/>
      <c r="F366" s="48"/>
    </row>
    <row r="367">
      <c r="A367" s="48"/>
      <c r="B367" s="48"/>
      <c r="C367" s="48"/>
      <c r="D367" s="48"/>
      <c r="E367" s="48"/>
      <c r="F367" s="48"/>
    </row>
    <row r="368">
      <c r="A368" s="48"/>
      <c r="B368" s="48"/>
      <c r="C368" s="48"/>
      <c r="D368" s="48"/>
      <c r="E368" s="48"/>
      <c r="F368" s="48"/>
    </row>
    <row r="369">
      <c r="A369" s="48"/>
      <c r="B369" s="48"/>
      <c r="C369" s="48"/>
      <c r="D369" s="48"/>
      <c r="E369" s="48"/>
      <c r="F369" s="48"/>
    </row>
    <row r="370">
      <c r="A370" s="48"/>
      <c r="B370" s="48"/>
      <c r="C370" s="48"/>
      <c r="D370" s="48"/>
      <c r="E370" s="48"/>
      <c r="F370" s="48"/>
    </row>
    <row r="371">
      <c r="A371" s="48"/>
      <c r="B371" s="48"/>
      <c r="C371" s="48"/>
      <c r="D371" s="48"/>
      <c r="E371" s="48"/>
      <c r="F371" s="48"/>
    </row>
    <row r="372">
      <c r="A372" s="48"/>
      <c r="B372" s="48"/>
      <c r="C372" s="48"/>
      <c r="D372" s="48"/>
      <c r="E372" s="48"/>
      <c r="F372" s="48"/>
    </row>
    <row r="373">
      <c r="A373" s="48"/>
      <c r="B373" s="48"/>
      <c r="C373" s="48"/>
      <c r="D373" s="48"/>
      <c r="E373" s="48"/>
      <c r="F373" s="48"/>
    </row>
    <row r="374">
      <c r="A374" s="48"/>
      <c r="B374" s="48"/>
      <c r="C374" s="48"/>
      <c r="D374" s="48"/>
      <c r="E374" s="48"/>
      <c r="F374" s="48"/>
    </row>
    <row r="375">
      <c r="A375" s="48"/>
      <c r="B375" s="48"/>
      <c r="C375" s="48"/>
      <c r="D375" s="48"/>
      <c r="E375" s="48"/>
      <c r="F375" s="48"/>
    </row>
    <row r="376">
      <c r="A376" s="48"/>
      <c r="B376" s="48"/>
      <c r="C376" s="48"/>
      <c r="D376" s="48"/>
      <c r="E376" s="48"/>
      <c r="F376" s="48"/>
    </row>
    <row r="377">
      <c r="A377" s="48"/>
      <c r="B377" s="48"/>
      <c r="C377" s="48"/>
      <c r="D377" s="48"/>
      <c r="E377" s="48"/>
      <c r="F377" s="48"/>
    </row>
    <row r="378">
      <c r="A378" s="48"/>
      <c r="B378" s="48"/>
      <c r="C378" s="48"/>
      <c r="D378" s="48"/>
      <c r="E378" s="48"/>
      <c r="F378" s="48"/>
    </row>
    <row r="379">
      <c r="A379" s="48"/>
      <c r="B379" s="48"/>
      <c r="C379" s="48"/>
      <c r="D379" s="48"/>
      <c r="E379" s="48"/>
      <c r="F379" s="48"/>
    </row>
    <row r="380">
      <c r="A380" s="48"/>
      <c r="B380" s="48"/>
      <c r="C380" s="48"/>
      <c r="D380" s="48"/>
      <c r="E380" s="48"/>
      <c r="F380" s="48"/>
    </row>
    <row r="381">
      <c r="A381" s="48"/>
      <c r="B381" s="48"/>
      <c r="C381" s="48"/>
      <c r="D381" s="48"/>
      <c r="E381" s="48"/>
      <c r="F381" s="48"/>
    </row>
    <row r="382">
      <c r="A382" s="48"/>
      <c r="B382" s="48"/>
      <c r="C382" s="48"/>
      <c r="D382" s="48"/>
      <c r="E382" s="48"/>
      <c r="F382" s="48"/>
    </row>
    <row r="383">
      <c r="A383" s="48"/>
      <c r="B383" s="48"/>
      <c r="C383" s="48"/>
      <c r="D383" s="48"/>
      <c r="E383" s="48"/>
      <c r="F383" s="48"/>
    </row>
    <row r="384">
      <c r="A384" s="48"/>
      <c r="B384" s="48"/>
      <c r="C384" s="48"/>
      <c r="D384" s="48"/>
      <c r="E384" s="48"/>
      <c r="F384" s="48"/>
    </row>
    <row r="385">
      <c r="A385" s="48"/>
      <c r="B385" s="48"/>
      <c r="C385" s="48"/>
      <c r="D385" s="48"/>
      <c r="E385" s="48"/>
      <c r="F385" s="48"/>
    </row>
    <row r="386">
      <c r="A386" s="48"/>
      <c r="B386" s="48"/>
      <c r="C386" s="48"/>
      <c r="D386" s="48"/>
      <c r="E386" s="48"/>
      <c r="F386" s="48"/>
    </row>
    <row r="387">
      <c r="A387" s="48"/>
      <c r="B387" s="48"/>
      <c r="C387" s="48"/>
      <c r="D387" s="48"/>
      <c r="E387" s="48"/>
      <c r="F387" s="48"/>
    </row>
    <row r="388">
      <c r="A388" s="48"/>
      <c r="B388" s="48"/>
      <c r="C388" s="48"/>
      <c r="D388" s="48"/>
      <c r="E388" s="48"/>
      <c r="F388" s="48"/>
    </row>
    <row r="389">
      <c r="A389" s="48"/>
      <c r="B389" s="48"/>
      <c r="C389" s="48"/>
      <c r="D389" s="48"/>
      <c r="E389" s="48"/>
      <c r="F389" s="48"/>
    </row>
    <row r="390">
      <c r="A390" s="48"/>
      <c r="B390" s="48"/>
      <c r="C390" s="48"/>
      <c r="D390" s="48"/>
      <c r="E390" s="48"/>
      <c r="F390" s="48"/>
    </row>
    <row r="391">
      <c r="A391" s="48"/>
      <c r="B391" s="48"/>
      <c r="C391" s="48"/>
      <c r="D391" s="48"/>
      <c r="E391" s="48"/>
      <c r="F391" s="48"/>
    </row>
    <row r="392">
      <c r="A392" s="48"/>
      <c r="B392" s="48"/>
      <c r="C392" s="48"/>
      <c r="D392" s="48"/>
      <c r="E392" s="48"/>
      <c r="F392" s="48"/>
    </row>
    <row r="393">
      <c r="A393" s="48"/>
      <c r="B393" s="48"/>
      <c r="C393" s="48"/>
      <c r="D393" s="48"/>
      <c r="E393" s="48"/>
      <c r="F393" s="48"/>
    </row>
    <row r="394">
      <c r="A394" s="48"/>
      <c r="B394" s="48"/>
      <c r="C394" s="48"/>
      <c r="D394" s="48"/>
      <c r="E394" s="48"/>
      <c r="F394" s="48"/>
    </row>
    <row r="395">
      <c r="A395" s="48"/>
      <c r="B395" s="48"/>
      <c r="C395" s="48"/>
      <c r="D395" s="48"/>
      <c r="E395" s="48"/>
      <c r="F395" s="48"/>
    </row>
    <row r="396">
      <c r="A396" s="48"/>
      <c r="B396" s="48"/>
      <c r="C396" s="48"/>
      <c r="D396" s="48"/>
      <c r="E396" s="48"/>
      <c r="F396" s="48"/>
    </row>
    <row r="397">
      <c r="A397" s="48"/>
      <c r="B397" s="48"/>
      <c r="C397" s="48"/>
      <c r="D397" s="48"/>
      <c r="E397" s="48"/>
      <c r="F397" s="48"/>
    </row>
    <row r="398">
      <c r="A398" s="48"/>
      <c r="B398" s="48"/>
      <c r="C398" s="48"/>
      <c r="D398" s="48"/>
      <c r="E398" s="48"/>
      <c r="F398" s="48"/>
    </row>
    <row r="399">
      <c r="A399" s="48"/>
      <c r="B399" s="48"/>
      <c r="C399" s="48"/>
      <c r="D399" s="48"/>
      <c r="E399" s="48"/>
      <c r="F399" s="48"/>
    </row>
    <row r="400">
      <c r="A400" s="48"/>
      <c r="B400" s="48"/>
      <c r="C400" s="48"/>
      <c r="D400" s="48"/>
      <c r="E400" s="48"/>
      <c r="F400" s="48"/>
    </row>
    <row r="401">
      <c r="A401" s="48"/>
      <c r="B401" s="48"/>
      <c r="C401" s="48"/>
      <c r="D401" s="48"/>
      <c r="E401" s="48"/>
      <c r="F401" s="48"/>
    </row>
    <row r="402">
      <c r="A402" s="48"/>
      <c r="B402" s="48"/>
      <c r="C402" s="48"/>
      <c r="D402" s="48"/>
      <c r="E402" s="48"/>
      <c r="F402" s="48"/>
    </row>
    <row r="403">
      <c r="A403" s="48"/>
      <c r="B403" s="48"/>
      <c r="C403" s="48"/>
      <c r="D403" s="48"/>
      <c r="E403" s="48"/>
      <c r="F403" s="48"/>
    </row>
    <row r="404">
      <c r="A404" s="48"/>
      <c r="B404" s="48"/>
      <c r="C404" s="48"/>
      <c r="D404" s="48"/>
      <c r="E404" s="48"/>
      <c r="F404" s="48"/>
    </row>
    <row r="405">
      <c r="A405" s="48"/>
      <c r="B405" s="48"/>
      <c r="C405" s="48"/>
      <c r="D405" s="48"/>
      <c r="E405" s="48"/>
      <c r="F405" s="48"/>
    </row>
    <row r="406">
      <c r="A406" s="48"/>
      <c r="B406" s="48"/>
      <c r="C406" s="48"/>
      <c r="D406" s="48"/>
      <c r="E406" s="48"/>
      <c r="F406" s="48"/>
    </row>
    <row r="407">
      <c r="A407" s="48"/>
      <c r="B407" s="48"/>
      <c r="C407" s="48"/>
      <c r="D407" s="48"/>
      <c r="E407" s="48"/>
      <c r="F407" s="48"/>
    </row>
    <row r="408">
      <c r="A408" s="48"/>
      <c r="B408" s="48"/>
      <c r="C408" s="48"/>
      <c r="D408" s="48"/>
      <c r="E408" s="48"/>
      <c r="F408" s="48"/>
    </row>
    <row r="409">
      <c r="A409" s="48"/>
      <c r="B409" s="48"/>
      <c r="C409" s="48"/>
      <c r="D409" s="48"/>
      <c r="E409" s="48"/>
      <c r="F409" s="48"/>
    </row>
    <row r="410">
      <c r="A410" s="48"/>
      <c r="B410" s="48"/>
      <c r="C410" s="48"/>
      <c r="D410" s="48"/>
      <c r="E410" s="48"/>
      <c r="F410" s="48"/>
    </row>
    <row r="411">
      <c r="A411" s="48"/>
      <c r="B411" s="48"/>
      <c r="C411" s="48"/>
      <c r="D411" s="48"/>
      <c r="E411" s="48"/>
      <c r="F411" s="48"/>
    </row>
    <row r="412">
      <c r="A412" s="48"/>
      <c r="B412" s="48"/>
      <c r="C412" s="48"/>
      <c r="D412" s="48"/>
      <c r="E412" s="48"/>
      <c r="F412" s="48"/>
    </row>
    <row r="413">
      <c r="A413" s="48"/>
      <c r="B413" s="48"/>
      <c r="C413" s="48"/>
      <c r="D413" s="48"/>
      <c r="E413" s="48"/>
      <c r="F413" s="48"/>
    </row>
    <row r="414">
      <c r="A414" s="48"/>
      <c r="B414" s="48"/>
      <c r="C414" s="48"/>
      <c r="D414" s="48"/>
      <c r="E414" s="48"/>
      <c r="F414" s="48"/>
    </row>
    <row r="415">
      <c r="A415" s="48"/>
      <c r="B415" s="48"/>
      <c r="C415" s="48"/>
      <c r="D415" s="48"/>
      <c r="E415" s="48"/>
      <c r="F415" s="48"/>
    </row>
    <row r="416">
      <c r="A416" s="48"/>
      <c r="B416" s="48"/>
      <c r="C416" s="48"/>
      <c r="D416" s="48"/>
      <c r="E416" s="48"/>
      <c r="F416" s="48"/>
    </row>
    <row r="417">
      <c r="A417" s="48"/>
      <c r="B417" s="48"/>
      <c r="C417" s="48"/>
      <c r="D417" s="48"/>
      <c r="E417" s="48"/>
      <c r="F417" s="48"/>
    </row>
    <row r="418">
      <c r="A418" s="48"/>
      <c r="B418" s="48"/>
      <c r="C418" s="48"/>
      <c r="D418" s="48"/>
      <c r="E418" s="48"/>
      <c r="F418" s="48"/>
    </row>
    <row r="419">
      <c r="A419" s="48"/>
      <c r="B419" s="48"/>
      <c r="C419" s="48"/>
      <c r="D419" s="48"/>
      <c r="E419" s="48"/>
      <c r="F419" s="48"/>
    </row>
    <row r="420">
      <c r="A420" s="48"/>
      <c r="B420" s="48"/>
      <c r="C420" s="48"/>
      <c r="D420" s="48"/>
      <c r="E420" s="48"/>
      <c r="F420" s="48"/>
    </row>
    <row r="421">
      <c r="A421" s="48"/>
      <c r="B421" s="48"/>
      <c r="C421" s="48"/>
      <c r="D421" s="48"/>
      <c r="E421" s="48"/>
      <c r="F421" s="48"/>
    </row>
    <row r="422">
      <c r="A422" s="48"/>
      <c r="B422" s="48"/>
      <c r="C422" s="48"/>
      <c r="D422" s="48"/>
      <c r="E422" s="48"/>
      <c r="F422" s="48"/>
    </row>
    <row r="423">
      <c r="A423" s="48"/>
      <c r="B423" s="48"/>
      <c r="C423" s="48"/>
      <c r="D423" s="48"/>
      <c r="E423" s="48"/>
      <c r="F423" s="48"/>
    </row>
    <row r="424">
      <c r="A424" s="48"/>
      <c r="B424" s="48"/>
      <c r="C424" s="48"/>
      <c r="D424" s="48"/>
      <c r="E424" s="48"/>
      <c r="F424" s="48"/>
    </row>
    <row r="425">
      <c r="A425" s="48"/>
      <c r="B425" s="48"/>
      <c r="C425" s="48"/>
      <c r="D425" s="48"/>
      <c r="E425" s="48"/>
      <c r="F425" s="48"/>
    </row>
    <row r="426">
      <c r="A426" s="48"/>
      <c r="B426" s="48"/>
      <c r="C426" s="48"/>
      <c r="D426" s="48"/>
      <c r="E426" s="48"/>
      <c r="F426" s="48"/>
    </row>
    <row r="427">
      <c r="A427" s="48"/>
      <c r="B427" s="48"/>
      <c r="C427" s="48"/>
      <c r="D427" s="48"/>
      <c r="E427" s="48"/>
      <c r="F427" s="48"/>
    </row>
    <row r="428">
      <c r="A428" s="48"/>
      <c r="B428" s="48"/>
      <c r="C428" s="48"/>
      <c r="D428" s="48"/>
      <c r="E428" s="48"/>
      <c r="F428" s="48"/>
    </row>
    <row r="429">
      <c r="A429" s="48"/>
      <c r="B429" s="48"/>
      <c r="C429" s="48"/>
      <c r="D429" s="48"/>
      <c r="E429" s="48"/>
      <c r="F429" s="48"/>
    </row>
    <row r="430">
      <c r="A430" s="48"/>
      <c r="B430" s="48"/>
      <c r="C430" s="48"/>
      <c r="D430" s="48"/>
      <c r="E430" s="48"/>
      <c r="F430" s="48"/>
    </row>
    <row r="431">
      <c r="A431" s="48"/>
      <c r="B431" s="48"/>
      <c r="C431" s="48"/>
      <c r="D431" s="48"/>
      <c r="E431" s="48"/>
      <c r="F431" s="48"/>
    </row>
    <row r="432">
      <c r="A432" s="48"/>
      <c r="B432" s="48"/>
      <c r="C432" s="48"/>
      <c r="D432" s="48"/>
      <c r="E432" s="48"/>
      <c r="F432" s="48"/>
    </row>
    <row r="433">
      <c r="A433" s="48"/>
      <c r="B433" s="48"/>
      <c r="C433" s="48"/>
      <c r="D433" s="48"/>
      <c r="E433" s="48"/>
      <c r="F433" s="48"/>
    </row>
    <row r="434">
      <c r="A434" s="48"/>
      <c r="B434" s="48"/>
      <c r="C434" s="48"/>
      <c r="D434" s="48"/>
      <c r="E434" s="48"/>
      <c r="F434" s="48"/>
    </row>
    <row r="435">
      <c r="A435" s="48"/>
      <c r="B435" s="48"/>
      <c r="C435" s="48"/>
      <c r="D435" s="48"/>
      <c r="E435" s="48"/>
      <c r="F435" s="48"/>
    </row>
    <row r="436">
      <c r="A436" s="48"/>
      <c r="B436" s="48"/>
      <c r="C436" s="48"/>
      <c r="D436" s="48"/>
      <c r="E436" s="48"/>
      <c r="F436" s="48"/>
    </row>
    <row r="437">
      <c r="A437" s="48"/>
      <c r="B437" s="48"/>
      <c r="C437" s="48"/>
      <c r="D437" s="48"/>
      <c r="E437" s="48"/>
      <c r="F437" s="48"/>
    </row>
    <row r="438">
      <c r="A438" s="48"/>
      <c r="B438" s="48"/>
      <c r="C438" s="48"/>
      <c r="D438" s="48"/>
      <c r="E438" s="48"/>
      <c r="F438" s="48"/>
    </row>
    <row r="439">
      <c r="A439" s="48"/>
      <c r="B439" s="48"/>
      <c r="C439" s="48"/>
      <c r="D439" s="48"/>
      <c r="E439" s="48"/>
      <c r="F439" s="48"/>
    </row>
    <row r="440">
      <c r="A440" s="48"/>
      <c r="B440" s="48"/>
      <c r="C440" s="48"/>
      <c r="D440" s="48"/>
      <c r="E440" s="48"/>
      <c r="F440" s="48"/>
    </row>
    <row r="441">
      <c r="A441" s="48"/>
      <c r="B441" s="48"/>
      <c r="C441" s="48"/>
      <c r="D441" s="48"/>
      <c r="E441" s="48"/>
      <c r="F441" s="48"/>
    </row>
    <row r="442">
      <c r="A442" s="48"/>
      <c r="B442" s="48"/>
      <c r="C442" s="48"/>
      <c r="D442" s="48"/>
      <c r="E442" s="48"/>
      <c r="F442" s="48"/>
    </row>
    <row r="443">
      <c r="A443" s="48"/>
      <c r="B443" s="48"/>
      <c r="C443" s="48"/>
      <c r="D443" s="48"/>
      <c r="E443" s="48"/>
      <c r="F443" s="48"/>
    </row>
    <row r="444">
      <c r="A444" s="48"/>
      <c r="B444" s="48"/>
      <c r="C444" s="48"/>
      <c r="D444" s="48"/>
      <c r="E444" s="48"/>
      <c r="F444" s="48"/>
    </row>
    <row r="445">
      <c r="A445" s="48"/>
      <c r="B445" s="48"/>
      <c r="C445" s="48"/>
      <c r="D445" s="48"/>
      <c r="E445" s="48"/>
      <c r="F445" s="48"/>
    </row>
    <row r="446">
      <c r="A446" s="48"/>
      <c r="B446" s="48"/>
      <c r="C446" s="48"/>
      <c r="D446" s="48"/>
      <c r="E446" s="48"/>
      <c r="F446" s="48"/>
    </row>
    <row r="447">
      <c r="A447" s="48"/>
      <c r="B447" s="48"/>
      <c r="C447" s="48"/>
      <c r="D447" s="48"/>
      <c r="E447" s="48"/>
      <c r="F447" s="48"/>
    </row>
    <row r="448">
      <c r="A448" s="48"/>
      <c r="B448" s="48"/>
      <c r="C448" s="48"/>
      <c r="D448" s="48"/>
      <c r="E448" s="48"/>
      <c r="F448" s="48"/>
    </row>
    <row r="449">
      <c r="A449" s="48"/>
      <c r="B449" s="48"/>
      <c r="C449" s="48"/>
      <c r="D449" s="48"/>
      <c r="E449" s="48"/>
      <c r="F449" s="48"/>
    </row>
    <row r="450">
      <c r="A450" s="48"/>
      <c r="B450" s="48"/>
      <c r="C450" s="48"/>
      <c r="D450" s="48"/>
      <c r="E450" s="48"/>
      <c r="F450" s="48"/>
    </row>
    <row r="451">
      <c r="A451" s="48"/>
      <c r="B451" s="48"/>
      <c r="C451" s="48"/>
      <c r="D451" s="48"/>
      <c r="E451" s="48"/>
      <c r="F451" s="48"/>
    </row>
    <row r="452">
      <c r="A452" s="48"/>
      <c r="B452" s="48"/>
      <c r="C452" s="48"/>
      <c r="D452" s="48"/>
      <c r="E452" s="48"/>
      <c r="F452" s="48"/>
    </row>
    <row r="453">
      <c r="A453" s="48"/>
      <c r="B453" s="48"/>
      <c r="C453" s="48"/>
      <c r="D453" s="48"/>
      <c r="E453" s="48"/>
      <c r="F453" s="48"/>
    </row>
    <row r="454">
      <c r="A454" s="48"/>
      <c r="B454" s="48"/>
      <c r="C454" s="48"/>
      <c r="D454" s="48"/>
      <c r="E454" s="48"/>
      <c r="F454" s="48"/>
    </row>
    <row r="455">
      <c r="A455" s="48"/>
      <c r="B455" s="48"/>
      <c r="C455" s="48"/>
      <c r="D455" s="48"/>
      <c r="E455" s="48"/>
      <c r="F455" s="48"/>
    </row>
    <row r="456">
      <c r="A456" s="48"/>
      <c r="B456" s="48"/>
      <c r="C456" s="48"/>
      <c r="D456" s="48"/>
      <c r="E456" s="48"/>
      <c r="F456" s="48"/>
    </row>
    <row r="457">
      <c r="A457" s="48"/>
      <c r="B457" s="48"/>
      <c r="C457" s="48"/>
      <c r="D457" s="48"/>
      <c r="E457" s="48"/>
      <c r="F457" s="48"/>
    </row>
    <row r="458">
      <c r="A458" s="48"/>
      <c r="B458" s="48"/>
      <c r="C458" s="48"/>
      <c r="D458" s="48"/>
      <c r="E458" s="48"/>
      <c r="F458" s="48"/>
    </row>
    <row r="459">
      <c r="A459" s="48"/>
      <c r="B459" s="48"/>
      <c r="C459" s="48"/>
      <c r="D459" s="48"/>
      <c r="E459" s="48"/>
      <c r="F459" s="48"/>
    </row>
    <row r="460">
      <c r="A460" s="48"/>
      <c r="B460" s="48"/>
      <c r="C460" s="48"/>
      <c r="D460" s="48"/>
      <c r="E460" s="48"/>
      <c r="F460" s="48"/>
    </row>
    <row r="461">
      <c r="A461" s="48"/>
      <c r="B461" s="48"/>
      <c r="C461" s="48"/>
      <c r="D461" s="48"/>
      <c r="E461" s="48"/>
      <c r="F461" s="48"/>
    </row>
    <row r="462">
      <c r="A462" s="48"/>
      <c r="B462" s="48"/>
      <c r="C462" s="48"/>
      <c r="D462" s="48"/>
      <c r="E462" s="48"/>
      <c r="F462" s="48"/>
    </row>
    <row r="463">
      <c r="A463" s="48"/>
      <c r="B463" s="48"/>
      <c r="C463" s="48"/>
      <c r="D463" s="48"/>
      <c r="E463" s="48"/>
      <c r="F463" s="48"/>
    </row>
    <row r="464">
      <c r="A464" s="48"/>
      <c r="B464" s="48"/>
      <c r="C464" s="48"/>
      <c r="D464" s="48"/>
      <c r="E464" s="48"/>
      <c r="F464" s="48"/>
    </row>
    <row r="465">
      <c r="A465" s="48"/>
      <c r="B465" s="48"/>
      <c r="C465" s="48"/>
      <c r="D465" s="48"/>
      <c r="E465" s="48"/>
      <c r="F465" s="48"/>
    </row>
    <row r="466">
      <c r="A466" s="48"/>
      <c r="B466" s="48"/>
      <c r="C466" s="48"/>
      <c r="D466" s="48"/>
      <c r="E466" s="48"/>
      <c r="F466" s="48"/>
    </row>
    <row r="467">
      <c r="A467" s="48"/>
      <c r="B467" s="48"/>
      <c r="C467" s="48"/>
      <c r="D467" s="48"/>
      <c r="E467" s="48"/>
      <c r="F467" s="48"/>
    </row>
    <row r="468">
      <c r="A468" s="48"/>
      <c r="B468" s="48"/>
      <c r="C468" s="48"/>
      <c r="D468" s="48"/>
      <c r="E468" s="48"/>
      <c r="F468" s="48"/>
    </row>
    <row r="469">
      <c r="A469" s="48"/>
      <c r="B469" s="48"/>
      <c r="C469" s="48"/>
      <c r="D469" s="48"/>
      <c r="E469" s="48"/>
      <c r="F469" s="48"/>
    </row>
    <row r="470">
      <c r="A470" s="48"/>
      <c r="B470" s="48"/>
      <c r="C470" s="48"/>
      <c r="D470" s="48"/>
      <c r="E470" s="48"/>
      <c r="F470" s="48"/>
    </row>
    <row r="471">
      <c r="A471" s="48"/>
      <c r="B471" s="48"/>
      <c r="C471" s="48"/>
      <c r="D471" s="48"/>
      <c r="E471" s="48"/>
      <c r="F471" s="48"/>
    </row>
    <row r="472">
      <c r="A472" s="48"/>
      <c r="B472" s="48"/>
      <c r="C472" s="48"/>
      <c r="D472" s="48"/>
      <c r="E472" s="48"/>
      <c r="F472" s="48"/>
    </row>
    <row r="473">
      <c r="A473" s="48"/>
      <c r="B473" s="48"/>
      <c r="C473" s="48"/>
      <c r="D473" s="48"/>
      <c r="E473" s="48"/>
      <c r="F473" s="48"/>
    </row>
    <row r="474">
      <c r="A474" s="48"/>
      <c r="B474" s="48"/>
      <c r="C474" s="48"/>
      <c r="D474" s="48"/>
      <c r="E474" s="48"/>
      <c r="F474" s="48"/>
    </row>
    <row r="475">
      <c r="A475" s="48"/>
      <c r="B475" s="48"/>
      <c r="C475" s="48"/>
      <c r="D475" s="48"/>
      <c r="E475" s="48"/>
      <c r="F475" s="48"/>
    </row>
    <row r="476">
      <c r="A476" s="48"/>
      <c r="B476" s="48"/>
      <c r="C476" s="48"/>
      <c r="D476" s="48"/>
      <c r="E476" s="48"/>
      <c r="F476" s="48"/>
    </row>
    <row r="477">
      <c r="A477" s="48"/>
      <c r="B477" s="48"/>
      <c r="C477" s="48"/>
      <c r="D477" s="48"/>
      <c r="E477" s="48"/>
      <c r="F477" s="48"/>
    </row>
    <row r="478">
      <c r="A478" s="48"/>
      <c r="B478" s="48"/>
      <c r="C478" s="48"/>
      <c r="D478" s="48"/>
      <c r="E478" s="48"/>
      <c r="F478" s="48"/>
    </row>
    <row r="479">
      <c r="A479" s="48"/>
      <c r="B479" s="48"/>
      <c r="C479" s="48"/>
      <c r="D479" s="48"/>
      <c r="E479" s="48"/>
      <c r="F479" s="48"/>
    </row>
    <row r="480">
      <c r="A480" s="48"/>
      <c r="B480" s="48"/>
      <c r="C480" s="48"/>
      <c r="D480" s="48"/>
      <c r="E480" s="48"/>
      <c r="F480" s="48"/>
    </row>
    <row r="481">
      <c r="A481" s="48"/>
      <c r="B481" s="48"/>
      <c r="C481" s="48"/>
      <c r="D481" s="48"/>
      <c r="E481" s="48"/>
      <c r="F481" s="48"/>
    </row>
    <row r="482">
      <c r="A482" s="48"/>
      <c r="B482" s="48"/>
      <c r="C482" s="48"/>
      <c r="D482" s="48"/>
      <c r="E482" s="48"/>
      <c r="F482" s="48"/>
    </row>
    <row r="483">
      <c r="A483" s="48"/>
      <c r="B483" s="48"/>
      <c r="C483" s="48"/>
      <c r="D483" s="48"/>
      <c r="E483" s="48"/>
      <c r="F483" s="48"/>
    </row>
    <row r="484">
      <c r="A484" s="48"/>
      <c r="B484" s="48"/>
      <c r="C484" s="48"/>
      <c r="D484" s="48"/>
      <c r="E484" s="48"/>
      <c r="F484" s="48"/>
    </row>
    <row r="485">
      <c r="A485" s="48"/>
      <c r="B485" s="48"/>
      <c r="C485" s="48"/>
      <c r="D485" s="48"/>
      <c r="E485" s="48"/>
      <c r="F485" s="48"/>
    </row>
    <row r="486">
      <c r="A486" s="48"/>
      <c r="B486" s="48"/>
      <c r="C486" s="48"/>
      <c r="D486" s="48"/>
      <c r="E486" s="48"/>
      <c r="F486" s="48"/>
    </row>
    <row r="487">
      <c r="A487" s="48"/>
      <c r="B487" s="48"/>
      <c r="C487" s="48"/>
      <c r="D487" s="48"/>
      <c r="E487" s="48"/>
      <c r="F487" s="48"/>
    </row>
    <row r="488">
      <c r="A488" s="48"/>
      <c r="B488" s="48"/>
      <c r="C488" s="48"/>
      <c r="D488" s="48"/>
      <c r="E488" s="48"/>
      <c r="F488" s="48"/>
    </row>
    <row r="489">
      <c r="A489" s="48"/>
      <c r="B489" s="48"/>
      <c r="C489" s="48"/>
      <c r="D489" s="48"/>
      <c r="E489" s="48"/>
      <c r="F489" s="48"/>
    </row>
    <row r="490">
      <c r="A490" s="48"/>
      <c r="B490" s="48"/>
      <c r="C490" s="48"/>
      <c r="D490" s="48"/>
      <c r="E490" s="48"/>
      <c r="F490" s="48"/>
    </row>
    <row r="491">
      <c r="A491" s="48"/>
      <c r="B491" s="48"/>
      <c r="C491" s="48"/>
      <c r="D491" s="48"/>
      <c r="E491" s="48"/>
      <c r="F491" s="48"/>
    </row>
    <row r="492">
      <c r="A492" s="48"/>
      <c r="B492" s="48"/>
      <c r="C492" s="48"/>
      <c r="D492" s="48"/>
      <c r="E492" s="48"/>
      <c r="F492" s="48"/>
    </row>
    <row r="493">
      <c r="A493" s="48"/>
      <c r="B493" s="48"/>
      <c r="C493" s="48"/>
      <c r="D493" s="48"/>
      <c r="E493" s="48"/>
      <c r="F493" s="48"/>
    </row>
    <row r="494">
      <c r="A494" s="48"/>
      <c r="B494" s="48"/>
      <c r="C494" s="48"/>
      <c r="D494" s="48"/>
      <c r="E494" s="48"/>
      <c r="F494" s="48"/>
    </row>
    <row r="495">
      <c r="A495" s="48"/>
      <c r="B495" s="48"/>
      <c r="C495" s="48"/>
      <c r="D495" s="48"/>
      <c r="E495" s="48"/>
      <c r="F495" s="48"/>
    </row>
    <row r="496">
      <c r="A496" s="48"/>
      <c r="B496" s="48"/>
      <c r="C496" s="48"/>
      <c r="D496" s="48"/>
      <c r="E496" s="48"/>
      <c r="F496" s="48"/>
    </row>
    <row r="497">
      <c r="A497" s="48"/>
      <c r="B497" s="48"/>
      <c r="C497" s="48"/>
      <c r="D497" s="48"/>
      <c r="E497" s="48"/>
      <c r="F497" s="48"/>
    </row>
    <row r="498">
      <c r="A498" s="48"/>
      <c r="B498" s="48"/>
      <c r="C498" s="48"/>
      <c r="D498" s="48"/>
      <c r="E498" s="48"/>
      <c r="F498" s="48"/>
    </row>
    <row r="499">
      <c r="A499" s="48"/>
      <c r="B499" s="48"/>
      <c r="C499" s="48"/>
      <c r="D499" s="48"/>
      <c r="E499" s="48"/>
      <c r="F499" s="48"/>
    </row>
    <row r="500">
      <c r="A500" s="48"/>
      <c r="B500" s="48"/>
      <c r="C500" s="48"/>
      <c r="D500" s="48"/>
      <c r="E500" s="48"/>
      <c r="F500" s="48"/>
    </row>
    <row r="501">
      <c r="A501" s="48"/>
      <c r="B501" s="48"/>
      <c r="C501" s="48"/>
      <c r="D501" s="48"/>
      <c r="E501" s="48"/>
      <c r="F501" s="48"/>
    </row>
    <row r="502">
      <c r="A502" s="48"/>
      <c r="B502" s="48"/>
      <c r="C502" s="48"/>
      <c r="D502" s="48"/>
      <c r="E502" s="48"/>
      <c r="F502" s="48"/>
    </row>
    <row r="503">
      <c r="A503" s="48"/>
      <c r="B503" s="48"/>
      <c r="C503" s="48"/>
      <c r="D503" s="48"/>
      <c r="E503" s="48"/>
      <c r="F503" s="48"/>
    </row>
    <row r="504">
      <c r="A504" s="48"/>
      <c r="B504" s="48"/>
      <c r="C504" s="48"/>
      <c r="D504" s="48"/>
      <c r="E504" s="48"/>
      <c r="F504" s="48"/>
    </row>
    <row r="505">
      <c r="A505" s="48"/>
      <c r="B505" s="48"/>
      <c r="C505" s="48"/>
      <c r="D505" s="48"/>
      <c r="E505" s="48"/>
      <c r="F505" s="48"/>
    </row>
    <row r="506">
      <c r="A506" s="48"/>
      <c r="B506" s="48"/>
      <c r="C506" s="48"/>
      <c r="D506" s="48"/>
      <c r="E506" s="48"/>
      <c r="F506" s="48"/>
    </row>
    <row r="507">
      <c r="A507" s="48"/>
      <c r="B507" s="48"/>
      <c r="C507" s="48"/>
      <c r="D507" s="48"/>
      <c r="E507" s="48"/>
      <c r="F507" s="48"/>
    </row>
    <row r="508">
      <c r="A508" s="48"/>
      <c r="B508" s="48"/>
      <c r="C508" s="48"/>
      <c r="D508" s="48"/>
      <c r="E508" s="48"/>
      <c r="F508" s="48"/>
    </row>
    <row r="509">
      <c r="A509" s="48"/>
      <c r="B509" s="48"/>
      <c r="C509" s="48"/>
      <c r="D509" s="48"/>
      <c r="E509" s="48"/>
      <c r="F509" s="48"/>
    </row>
    <row r="510">
      <c r="A510" s="48"/>
      <c r="B510" s="48"/>
      <c r="C510" s="48"/>
      <c r="D510" s="48"/>
      <c r="E510" s="48"/>
      <c r="F510" s="48"/>
    </row>
    <row r="511">
      <c r="A511" s="48"/>
      <c r="B511" s="48"/>
      <c r="C511" s="48"/>
      <c r="D511" s="48"/>
      <c r="E511" s="48"/>
      <c r="F511" s="48"/>
    </row>
    <row r="512">
      <c r="A512" s="48"/>
      <c r="B512" s="48"/>
      <c r="C512" s="48"/>
      <c r="D512" s="48"/>
      <c r="E512" s="48"/>
      <c r="F512" s="48"/>
    </row>
    <row r="513">
      <c r="A513" s="48"/>
      <c r="B513" s="48"/>
      <c r="C513" s="48"/>
      <c r="D513" s="48"/>
      <c r="E513" s="48"/>
      <c r="F513" s="48"/>
    </row>
    <row r="514">
      <c r="A514" s="48"/>
      <c r="B514" s="48"/>
      <c r="C514" s="48"/>
      <c r="D514" s="48"/>
      <c r="E514" s="48"/>
      <c r="F514" s="48"/>
    </row>
    <row r="515">
      <c r="A515" s="48"/>
      <c r="B515" s="48"/>
      <c r="C515" s="48"/>
      <c r="D515" s="48"/>
      <c r="E515" s="48"/>
      <c r="F515" s="48"/>
    </row>
    <row r="516">
      <c r="A516" s="48"/>
      <c r="B516" s="48"/>
      <c r="C516" s="48"/>
      <c r="D516" s="48"/>
      <c r="E516" s="48"/>
      <c r="F516" s="48"/>
    </row>
    <row r="517">
      <c r="A517" s="48"/>
      <c r="B517" s="48"/>
      <c r="C517" s="48"/>
      <c r="D517" s="48"/>
      <c r="E517" s="48"/>
      <c r="F517" s="48"/>
    </row>
    <row r="518">
      <c r="A518" s="48"/>
      <c r="B518" s="48"/>
      <c r="C518" s="48"/>
      <c r="D518" s="48"/>
      <c r="E518" s="48"/>
      <c r="F518" s="48"/>
    </row>
    <row r="519">
      <c r="A519" s="48"/>
      <c r="B519" s="48"/>
      <c r="C519" s="48"/>
      <c r="D519" s="48"/>
      <c r="E519" s="48"/>
      <c r="F519" s="48"/>
    </row>
    <row r="520">
      <c r="A520" s="48"/>
      <c r="B520" s="48"/>
      <c r="C520" s="48"/>
      <c r="D520" s="48"/>
      <c r="E520" s="48"/>
      <c r="F520" s="48"/>
    </row>
    <row r="521">
      <c r="A521" s="48"/>
      <c r="B521" s="48"/>
      <c r="C521" s="48"/>
      <c r="D521" s="48"/>
      <c r="E521" s="48"/>
      <c r="F521" s="48"/>
    </row>
    <row r="522">
      <c r="A522" s="48"/>
      <c r="B522" s="48"/>
      <c r="C522" s="48"/>
      <c r="D522" s="48"/>
      <c r="E522" s="48"/>
      <c r="F522" s="48"/>
    </row>
    <row r="523">
      <c r="A523" s="48"/>
      <c r="B523" s="48"/>
      <c r="C523" s="48"/>
      <c r="D523" s="48"/>
      <c r="E523" s="48"/>
      <c r="F523" s="48"/>
    </row>
    <row r="524">
      <c r="A524" s="48"/>
      <c r="B524" s="48"/>
      <c r="C524" s="48"/>
      <c r="D524" s="48"/>
      <c r="E524" s="48"/>
      <c r="F524" s="48"/>
    </row>
    <row r="525">
      <c r="A525" s="48"/>
      <c r="B525" s="48"/>
      <c r="C525" s="48"/>
      <c r="D525" s="48"/>
      <c r="E525" s="48"/>
      <c r="F525" s="48"/>
    </row>
    <row r="526">
      <c r="A526" s="48"/>
      <c r="B526" s="48"/>
      <c r="C526" s="48"/>
      <c r="D526" s="48"/>
      <c r="E526" s="48"/>
      <c r="F526" s="48"/>
    </row>
    <row r="527">
      <c r="A527" s="48"/>
      <c r="B527" s="48"/>
      <c r="C527" s="48"/>
      <c r="D527" s="48"/>
      <c r="E527" s="48"/>
      <c r="F527" s="48"/>
    </row>
    <row r="528">
      <c r="A528" s="48"/>
      <c r="B528" s="48"/>
      <c r="C528" s="48"/>
      <c r="D528" s="48"/>
      <c r="E528" s="48"/>
      <c r="F528" s="48"/>
    </row>
    <row r="529">
      <c r="A529" s="48"/>
      <c r="B529" s="48"/>
      <c r="C529" s="48"/>
      <c r="D529" s="48"/>
      <c r="E529" s="48"/>
      <c r="F529" s="48"/>
    </row>
    <row r="530">
      <c r="A530" s="48"/>
      <c r="B530" s="48"/>
      <c r="C530" s="48"/>
      <c r="D530" s="48"/>
      <c r="E530" s="48"/>
      <c r="F530" s="48"/>
    </row>
    <row r="531">
      <c r="A531" s="48"/>
      <c r="B531" s="48"/>
      <c r="C531" s="48"/>
      <c r="D531" s="48"/>
      <c r="E531" s="48"/>
      <c r="F531" s="48"/>
    </row>
    <row r="532">
      <c r="A532" s="48"/>
      <c r="B532" s="48"/>
      <c r="C532" s="48"/>
      <c r="D532" s="48"/>
      <c r="E532" s="48"/>
      <c r="F532" s="48"/>
    </row>
    <row r="533">
      <c r="A533" s="48"/>
      <c r="B533" s="48"/>
      <c r="C533" s="48"/>
      <c r="D533" s="48"/>
      <c r="E533" s="48"/>
      <c r="F533" s="48"/>
    </row>
    <row r="534">
      <c r="A534" s="48"/>
      <c r="B534" s="48"/>
      <c r="C534" s="48"/>
      <c r="D534" s="48"/>
      <c r="E534" s="48"/>
      <c r="F534" s="48"/>
    </row>
    <row r="535">
      <c r="A535" s="48"/>
      <c r="B535" s="48"/>
      <c r="C535" s="48"/>
      <c r="D535" s="48"/>
      <c r="E535" s="48"/>
      <c r="F535" s="48"/>
    </row>
    <row r="536">
      <c r="A536" s="48"/>
      <c r="B536" s="48"/>
      <c r="C536" s="48"/>
      <c r="D536" s="48"/>
      <c r="E536" s="48"/>
      <c r="F536" s="48"/>
    </row>
    <row r="537">
      <c r="A537" s="48"/>
      <c r="B537" s="48"/>
      <c r="C537" s="48"/>
      <c r="D537" s="48"/>
      <c r="E537" s="48"/>
      <c r="F537" s="48"/>
    </row>
    <row r="538">
      <c r="A538" s="48"/>
      <c r="B538" s="48"/>
      <c r="C538" s="48"/>
      <c r="D538" s="48"/>
      <c r="E538" s="48"/>
      <c r="F538" s="48"/>
    </row>
    <row r="539">
      <c r="A539" s="48"/>
      <c r="B539" s="48"/>
      <c r="C539" s="48"/>
      <c r="D539" s="48"/>
      <c r="E539" s="48"/>
      <c r="F539" s="48"/>
    </row>
    <row r="540">
      <c r="A540" s="48"/>
      <c r="B540" s="48"/>
      <c r="C540" s="48"/>
      <c r="D540" s="48"/>
      <c r="E540" s="48"/>
      <c r="F540" s="48"/>
    </row>
    <row r="541">
      <c r="A541" s="48"/>
      <c r="B541" s="48"/>
      <c r="C541" s="48"/>
      <c r="D541" s="48"/>
      <c r="E541" s="48"/>
      <c r="F541" s="48"/>
    </row>
    <row r="542">
      <c r="A542" s="48"/>
      <c r="B542" s="48"/>
      <c r="C542" s="48"/>
      <c r="D542" s="48"/>
      <c r="E542" s="48"/>
      <c r="F542" s="48"/>
    </row>
    <row r="543">
      <c r="A543" s="48"/>
      <c r="B543" s="48"/>
      <c r="C543" s="48"/>
      <c r="D543" s="48"/>
      <c r="E543" s="48"/>
      <c r="F543" s="48"/>
    </row>
    <row r="544">
      <c r="A544" s="48"/>
      <c r="B544" s="48"/>
      <c r="C544" s="48"/>
      <c r="D544" s="48"/>
      <c r="E544" s="48"/>
      <c r="F544" s="48"/>
    </row>
    <row r="545">
      <c r="A545" s="48"/>
      <c r="B545" s="48"/>
      <c r="C545" s="48"/>
      <c r="D545" s="48"/>
      <c r="E545" s="48"/>
      <c r="F545" s="48"/>
    </row>
    <row r="546">
      <c r="A546" s="48"/>
      <c r="B546" s="48"/>
      <c r="C546" s="48"/>
      <c r="D546" s="48"/>
      <c r="E546" s="48"/>
      <c r="F546" s="48"/>
    </row>
    <row r="547">
      <c r="A547" s="48"/>
      <c r="B547" s="48"/>
      <c r="C547" s="48"/>
      <c r="D547" s="48"/>
      <c r="E547" s="48"/>
      <c r="F547" s="48"/>
    </row>
    <row r="548">
      <c r="A548" s="48"/>
      <c r="B548" s="48"/>
      <c r="C548" s="48"/>
      <c r="D548" s="48"/>
      <c r="E548" s="48"/>
      <c r="F548" s="48"/>
    </row>
    <row r="549">
      <c r="A549" s="48"/>
      <c r="B549" s="48"/>
      <c r="C549" s="48"/>
      <c r="D549" s="48"/>
      <c r="E549" s="48"/>
      <c r="F549" s="48"/>
    </row>
    <row r="550">
      <c r="A550" s="48"/>
      <c r="B550" s="48"/>
      <c r="C550" s="48"/>
      <c r="D550" s="48"/>
      <c r="E550" s="48"/>
      <c r="F550" s="48"/>
    </row>
    <row r="551">
      <c r="A551" s="48"/>
      <c r="B551" s="48"/>
      <c r="C551" s="48"/>
      <c r="D551" s="48"/>
      <c r="E551" s="48"/>
      <c r="F551" s="48"/>
    </row>
    <row r="552">
      <c r="A552" s="48"/>
      <c r="B552" s="48"/>
      <c r="C552" s="48"/>
      <c r="D552" s="48"/>
      <c r="E552" s="48"/>
      <c r="F552" s="48"/>
    </row>
    <row r="553">
      <c r="A553" s="48"/>
      <c r="B553" s="48"/>
      <c r="C553" s="48"/>
      <c r="D553" s="48"/>
      <c r="E553" s="48"/>
      <c r="F553" s="48"/>
    </row>
    <row r="554">
      <c r="A554" s="48"/>
      <c r="B554" s="48"/>
      <c r="C554" s="48"/>
      <c r="D554" s="48"/>
      <c r="E554" s="48"/>
      <c r="F554" s="48"/>
    </row>
    <row r="555">
      <c r="A555" s="48"/>
      <c r="B555" s="48"/>
      <c r="C555" s="48"/>
      <c r="D555" s="48"/>
      <c r="E555" s="48"/>
      <c r="F555" s="48"/>
    </row>
    <row r="556">
      <c r="A556" s="48"/>
      <c r="B556" s="48"/>
      <c r="C556" s="48"/>
      <c r="D556" s="48"/>
      <c r="E556" s="48"/>
      <c r="F556" s="48"/>
    </row>
    <row r="557">
      <c r="A557" s="48"/>
      <c r="B557" s="48"/>
      <c r="C557" s="48"/>
      <c r="D557" s="48"/>
      <c r="E557" s="48"/>
      <c r="F557" s="48"/>
    </row>
    <row r="558">
      <c r="A558" s="48"/>
      <c r="B558" s="48"/>
      <c r="C558" s="48"/>
      <c r="D558" s="48"/>
      <c r="E558" s="48"/>
      <c r="F558" s="48"/>
    </row>
    <row r="559">
      <c r="A559" s="48"/>
      <c r="B559" s="48"/>
      <c r="C559" s="48"/>
      <c r="D559" s="48"/>
      <c r="E559" s="48"/>
      <c r="F559" s="48"/>
    </row>
    <row r="560">
      <c r="A560" s="48"/>
      <c r="B560" s="48"/>
      <c r="C560" s="48"/>
      <c r="D560" s="48"/>
      <c r="E560" s="48"/>
      <c r="F560" s="48"/>
    </row>
    <row r="561">
      <c r="A561" s="48"/>
      <c r="B561" s="48"/>
      <c r="C561" s="48"/>
      <c r="D561" s="48"/>
      <c r="E561" s="48"/>
      <c r="F561" s="48"/>
    </row>
    <row r="562">
      <c r="A562" s="48"/>
      <c r="B562" s="48"/>
      <c r="C562" s="48"/>
      <c r="D562" s="48"/>
      <c r="E562" s="48"/>
      <c r="F562" s="48"/>
    </row>
    <row r="563">
      <c r="A563" s="48"/>
      <c r="B563" s="48"/>
      <c r="C563" s="48"/>
      <c r="D563" s="48"/>
      <c r="E563" s="48"/>
      <c r="F563" s="48"/>
    </row>
    <row r="564">
      <c r="A564" s="48"/>
      <c r="B564" s="48"/>
      <c r="C564" s="48"/>
      <c r="D564" s="48"/>
      <c r="E564" s="48"/>
      <c r="F564" s="48"/>
    </row>
    <row r="565">
      <c r="A565" s="48"/>
      <c r="B565" s="48"/>
      <c r="C565" s="48"/>
      <c r="D565" s="48"/>
      <c r="E565" s="48"/>
      <c r="F565" s="48"/>
    </row>
    <row r="566">
      <c r="A566" s="48"/>
      <c r="B566" s="48"/>
      <c r="C566" s="48"/>
      <c r="D566" s="48"/>
      <c r="E566" s="48"/>
      <c r="F566" s="48"/>
    </row>
    <row r="567">
      <c r="A567" s="48"/>
      <c r="B567" s="48"/>
      <c r="C567" s="48"/>
      <c r="D567" s="48"/>
      <c r="E567" s="48"/>
      <c r="F567" s="48"/>
    </row>
    <row r="568">
      <c r="A568" s="48"/>
      <c r="B568" s="48"/>
      <c r="C568" s="48"/>
      <c r="D568" s="48"/>
      <c r="E568" s="48"/>
      <c r="F568" s="48"/>
    </row>
    <row r="569">
      <c r="A569" s="48"/>
      <c r="B569" s="48"/>
      <c r="C569" s="48"/>
      <c r="D569" s="48"/>
      <c r="E569" s="48"/>
      <c r="F569" s="48"/>
    </row>
    <row r="570">
      <c r="A570" s="48"/>
      <c r="B570" s="48"/>
      <c r="C570" s="48"/>
      <c r="D570" s="48"/>
      <c r="E570" s="48"/>
      <c r="F570" s="48"/>
    </row>
    <row r="571">
      <c r="A571" s="48"/>
      <c r="B571" s="48"/>
      <c r="C571" s="48"/>
      <c r="D571" s="48"/>
      <c r="E571" s="48"/>
      <c r="F571" s="48"/>
    </row>
    <row r="572">
      <c r="A572" s="48"/>
      <c r="B572" s="48"/>
      <c r="C572" s="48"/>
      <c r="D572" s="48"/>
      <c r="E572" s="48"/>
      <c r="F572" s="48"/>
    </row>
    <row r="573">
      <c r="A573" s="48"/>
      <c r="B573" s="48"/>
      <c r="C573" s="48"/>
      <c r="D573" s="48"/>
      <c r="E573" s="48"/>
      <c r="F573" s="48"/>
    </row>
    <row r="574">
      <c r="A574" s="48"/>
      <c r="B574" s="48"/>
      <c r="C574" s="48"/>
      <c r="D574" s="48"/>
      <c r="E574" s="48"/>
      <c r="F574" s="48"/>
    </row>
    <row r="575">
      <c r="A575" s="48"/>
      <c r="B575" s="48"/>
      <c r="C575" s="48"/>
      <c r="D575" s="48"/>
      <c r="E575" s="48"/>
      <c r="F575" s="48"/>
    </row>
    <row r="576">
      <c r="A576" s="48"/>
      <c r="B576" s="48"/>
      <c r="C576" s="48"/>
      <c r="D576" s="48"/>
      <c r="E576" s="48"/>
      <c r="F576" s="48"/>
    </row>
    <row r="577">
      <c r="A577" s="48"/>
      <c r="B577" s="48"/>
      <c r="C577" s="48"/>
      <c r="D577" s="48"/>
      <c r="E577" s="48"/>
      <c r="F577" s="48"/>
    </row>
    <row r="578">
      <c r="A578" s="48"/>
      <c r="B578" s="48"/>
      <c r="C578" s="48"/>
      <c r="D578" s="48"/>
      <c r="E578" s="48"/>
      <c r="F578" s="48"/>
    </row>
    <row r="579">
      <c r="A579" s="48"/>
      <c r="B579" s="48"/>
      <c r="C579" s="48"/>
      <c r="D579" s="48"/>
      <c r="E579" s="48"/>
      <c r="F579" s="48"/>
    </row>
    <row r="580">
      <c r="A580" s="48"/>
      <c r="B580" s="48"/>
      <c r="C580" s="48"/>
      <c r="D580" s="48"/>
      <c r="E580" s="48"/>
      <c r="F580" s="48"/>
    </row>
    <row r="581">
      <c r="A581" s="48"/>
      <c r="B581" s="48"/>
      <c r="C581" s="48"/>
      <c r="D581" s="48"/>
      <c r="E581" s="48"/>
      <c r="F581" s="48"/>
    </row>
    <row r="582">
      <c r="A582" s="48"/>
      <c r="B582" s="48"/>
      <c r="C582" s="48"/>
      <c r="D582" s="48"/>
      <c r="E582" s="48"/>
      <c r="F582" s="48"/>
    </row>
    <row r="583">
      <c r="A583" s="48"/>
      <c r="B583" s="48"/>
      <c r="C583" s="48"/>
      <c r="D583" s="48"/>
      <c r="E583" s="48"/>
      <c r="F583" s="48"/>
    </row>
    <row r="584">
      <c r="A584" s="48"/>
      <c r="B584" s="48"/>
      <c r="C584" s="48"/>
      <c r="D584" s="48"/>
      <c r="E584" s="48"/>
      <c r="F584" s="48"/>
    </row>
    <row r="585">
      <c r="A585" s="48"/>
      <c r="B585" s="48"/>
      <c r="C585" s="48"/>
      <c r="D585" s="48"/>
      <c r="E585" s="48"/>
      <c r="F585" s="48"/>
    </row>
    <row r="586">
      <c r="A586" s="48"/>
      <c r="B586" s="48"/>
      <c r="C586" s="48"/>
      <c r="D586" s="48"/>
      <c r="E586" s="48"/>
      <c r="F586" s="48"/>
    </row>
    <row r="587">
      <c r="A587" s="48"/>
      <c r="B587" s="48"/>
      <c r="C587" s="48"/>
      <c r="D587" s="48"/>
      <c r="E587" s="48"/>
      <c r="F587" s="48"/>
    </row>
    <row r="588">
      <c r="A588" s="48"/>
      <c r="B588" s="48"/>
      <c r="C588" s="48"/>
      <c r="D588" s="48"/>
      <c r="E588" s="48"/>
      <c r="F588" s="48"/>
    </row>
    <row r="589">
      <c r="A589" s="48"/>
      <c r="B589" s="48"/>
      <c r="C589" s="48"/>
      <c r="D589" s="48"/>
      <c r="E589" s="48"/>
      <c r="F589" s="48"/>
    </row>
    <row r="590">
      <c r="A590" s="48"/>
      <c r="B590" s="48"/>
      <c r="C590" s="48"/>
      <c r="D590" s="48"/>
      <c r="E590" s="48"/>
      <c r="F590" s="48"/>
    </row>
    <row r="591">
      <c r="A591" s="48"/>
      <c r="B591" s="48"/>
      <c r="C591" s="48"/>
      <c r="D591" s="48"/>
      <c r="E591" s="48"/>
      <c r="F591" s="48"/>
    </row>
    <row r="592">
      <c r="A592" s="48"/>
      <c r="B592" s="48"/>
      <c r="C592" s="48"/>
      <c r="D592" s="48"/>
      <c r="E592" s="48"/>
      <c r="F592" s="48"/>
    </row>
    <row r="593">
      <c r="A593" s="48"/>
      <c r="B593" s="48"/>
      <c r="C593" s="48"/>
      <c r="D593" s="48"/>
      <c r="E593" s="48"/>
      <c r="F593" s="48"/>
    </row>
    <row r="594">
      <c r="A594" s="48"/>
      <c r="B594" s="48"/>
      <c r="C594" s="48"/>
      <c r="D594" s="48"/>
      <c r="E594" s="48"/>
      <c r="F594" s="48"/>
    </row>
    <row r="595">
      <c r="A595" s="48"/>
      <c r="B595" s="48"/>
      <c r="C595" s="48"/>
      <c r="D595" s="48"/>
      <c r="E595" s="48"/>
      <c r="F595" s="48"/>
    </row>
    <row r="596">
      <c r="A596" s="48"/>
      <c r="B596" s="48"/>
      <c r="C596" s="48"/>
      <c r="D596" s="48"/>
      <c r="E596" s="48"/>
      <c r="F596" s="48"/>
    </row>
    <row r="597">
      <c r="A597" s="48"/>
      <c r="B597" s="48"/>
      <c r="C597" s="48"/>
      <c r="D597" s="48"/>
      <c r="E597" s="48"/>
      <c r="F597" s="48"/>
    </row>
    <row r="598">
      <c r="A598" s="48"/>
      <c r="B598" s="48"/>
      <c r="C598" s="48"/>
      <c r="D598" s="48"/>
      <c r="E598" s="48"/>
      <c r="F598" s="48"/>
    </row>
    <row r="599">
      <c r="A599" s="48"/>
      <c r="B599" s="48"/>
      <c r="C599" s="48"/>
      <c r="D599" s="48"/>
      <c r="E599" s="48"/>
      <c r="F599" s="48"/>
    </row>
    <row r="600">
      <c r="A600" s="48"/>
      <c r="B600" s="48"/>
      <c r="C600" s="48"/>
      <c r="D600" s="48"/>
      <c r="E600" s="48"/>
      <c r="F600" s="48"/>
    </row>
    <row r="601">
      <c r="A601" s="48"/>
      <c r="B601" s="48"/>
      <c r="C601" s="48"/>
      <c r="D601" s="48"/>
      <c r="E601" s="48"/>
      <c r="F601" s="48"/>
    </row>
    <row r="602">
      <c r="A602" s="48"/>
      <c r="B602" s="48"/>
      <c r="C602" s="48"/>
      <c r="D602" s="48"/>
      <c r="E602" s="48"/>
      <c r="F602" s="48"/>
    </row>
    <row r="603">
      <c r="A603" s="48"/>
      <c r="B603" s="48"/>
      <c r="C603" s="48"/>
      <c r="D603" s="48"/>
      <c r="E603" s="48"/>
      <c r="F603" s="48"/>
    </row>
    <row r="604">
      <c r="A604" s="48"/>
      <c r="B604" s="48"/>
      <c r="C604" s="48"/>
      <c r="D604" s="48"/>
      <c r="E604" s="48"/>
      <c r="F604" s="48"/>
    </row>
    <row r="605">
      <c r="A605" s="48"/>
      <c r="B605" s="48"/>
      <c r="C605" s="48"/>
      <c r="D605" s="48"/>
      <c r="E605" s="48"/>
      <c r="F605" s="48"/>
    </row>
    <row r="606">
      <c r="A606" s="48"/>
      <c r="B606" s="48"/>
      <c r="C606" s="48"/>
      <c r="D606" s="48"/>
      <c r="E606" s="48"/>
      <c r="F606" s="48"/>
    </row>
    <row r="607">
      <c r="A607" s="48"/>
      <c r="B607" s="48"/>
      <c r="C607" s="48"/>
      <c r="D607" s="48"/>
      <c r="E607" s="48"/>
      <c r="F607" s="48"/>
    </row>
    <row r="608">
      <c r="A608" s="48"/>
      <c r="B608" s="48"/>
      <c r="C608" s="48"/>
      <c r="D608" s="48"/>
      <c r="E608" s="48"/>
      <c r="F608" s="48"/>
    </row>
    <row r="609">
      <c r="A609" s="48"/>
      <c r="B609" s="48"/>
      <c r="C609" s="48"/>
      <c r="D609" s="48"/>
      <c r="E609" s="48"/>
      <c r="F609" s="48"/>
    </row>
    <row r="610">
      <c r="A610" s="48"/>
      <c r="B610" s="48"/>
      <c r="C610" s="48"/>
      <c r="D610" s="48"/>
      <c r="E610" s="48"/>
      <c r="F610" s="48"/>
    </row>
    <row r="611">
      <c r="A611" s="48"/>
      <c r="B611" s="48"/>
      <c r="C611" s="48"/>
      <c r="D611" s="48"/>
      <c r="E611" s="48"/>
      <c r="F611" s="48"/>
    </row>
    <row r="612">
      <c r="A612" s="48"/>
      <c r="B612" s="48"/>
      <c r="C612" s="48"/>
      <c r="D612" s="48"/>
      <c r="E612" s="48"/>
      <c r="F612" s="48"/>
    </row>
    <row r="613">
      <c r="A613" s="48"/>
      <c r="B613" s="48"/>
      <c r="C613" s="48"/>
      <c r="D613" s="48"/>
      <c r="E613" s="48"/>
      <c r="F613" s="48"/>
    </row>
    <row r="614">
      <c r="A614" s="48"/>
      <c r="B614" s="48"/>
      <c r="C614" s="48"/>
      <c r="D614" s="48"/>
      <c r="E614" s="48"/>
      <c r="F614" s="48"/>
    </row>
    <row r="615">
      <c r="A615" s="48"/>
      <c r="B615" s="48"/>
      <c r="C615" s="48"/>
      <c r="D615" s="48"/>
      <c r="E615" s="48"/>
      <c r="F615" s="48"/>
    </row>
    <row r="616">
      <c r="A616" s="48"/>
      <c r="B616" s="48"/>
      <c r="C616" s="48"/>
      <c r="D616" s="48"/>
      <c r="E616" s="48"/>
      <c r="F616" s="48"/>
    </row>
    <row r="617">
      <c r="A617" s="48"/>
      <c r="B617" s="48"/>
      <c r="C617" s="48"/>
      <c r="D617" s="48"/>
      <c r="E617" s="48"/>
      <c r="F617" s="48"/>
    </row>
    <row r="618">
      <c r="A618" s="48"/>
      <c r="B618" s="48"/>
      <c r="C618" s="48"/>
      <c r="D618" s="48"/>
      <c r="E618" s="48"/>
      <c r="F618" s="48"/>
    </row>
    <row r="619">
      <c r="A619" s="48"/>
      <c r="B619" s="48"/>
      <c r="C619" s="48"/>
      <c r="D619" s="48"/>
      <c r="E619" s="48"/>
      <c r="F619" s="48"/>
    </row>
    <row r="620">
      <c r="A620" s="48"/>
      <c r="B620" s="48"/>
      <c r="C620" s="48"/>
      <c r="D620" s="48"/>
      <c r="E620" s="48"/>
      <c r="F620" s="48"/>
    </row>
    <row r="621">
      <c r="A621" s="48"/>
      <c r="B621" s="48"/>
      <c r="C621" s="48"/>
      <c r="D621" s="48"/>
      <c r="E621" s="48"/>
      <c r="F621" s="48"/>
    </row>
    <row r="622">
      <c r="A622" s="48"/>
      <c r="B622" s="48"/>
      <c r="C622" s="48"/>
      <c r="D622" s="48"/>
      <c r="E622" s="48"/>
      <c r="F622" s="48"/>
    </row>
    <row r="623">
      <c r="A623" s="48"/>
      <c r="B623" s="48"/>
      <c r="C623" s="48"/>
      <c r="D623" s="48"/>
      <c r="E623" s="48"/>
      <c r="F623" s="48"/>
    </row>
    <row r="624">
      <c r="A624" s="48"/>
      <c r="B624" s="48"/>
      <c r="C624" s="48"/>
      <c r="D624" s="48"/>
      <c r="E624" s="48"/>
      <c r="F624" s="48"/>
    </row>
    <row r="625">
      <c r="A625" s="48"/>
      <c r="B625" s="48"/>
      <c r="C625" s="48"/>
      <c r="D625" s="48"/>
      <c r="E625" s="48"/>
      <c r="F625" s="48"/>
    </row>
    <row r="626">
      <c r="A626" s="48"/>
      <c r="B626" s="48"/>
      <c r="C626" s="48"/>
      <c r="D626" s="48"/>
      <c r="E626" s="48"/>
      <c r="F626" s="48"/>
    </row>
    <row r="627">
      <c r="A627" s="48"/>
      <c r="B627" s="48"/>
      <c r="C627" s="48"/>
      <c r="D627" s="48"/>
      <c r="E627" s="48"/>
      <c r="F627" s="48"/>
    </row>
    <row r="628">
      <c r="A628" s="48"/>
      <c r="B628" s="48"/>
      <c r="C628" s="48"/>
      <c r="D628" s="48"/>
      <c r="E628" s="48"/>
      <c r="F628" s="48"/>
    </row>
    <row r="629">
      <c r="A629" s="48"/>
      <c r="B629" s="48"/>
      <c r="C629" s="48"/>
      <c r="D629" s="48"/>
      <c r="E629" s="48"/>
      <c r="F629" s="48"/>
    </row>
    <row r="630">
      <c r="A630" s="48"/>
      <c r="B630" s="48"/>
      <c r="C630" s="48"/>
      <c r="D630" s="48"/>
      <c r="E630" s="48"/>
      <c r="F630" s="48"/>
    </row>
    <row r="631">
      <c r="A631" s="48"/>
      <c r="B631" s="48"/>
      <c r="C631" s="48"/>
      <c r="D631" s="48"/>
      <c r="E631" s="48"/>
      <c r="F631" s="48"/>
    </row>
    <row r="632">
      <c r="A632" s="48"/>
      <c r="B632" s="48"/>
      <c r="C632" s="48"/>
      <c r="D632" s="48"/>
      <c r="E632" s="48"/>
      <c r="F632" s="48"/>
    </row>
    <row r="633">
      <c r="A633" s="48"/>
      <c r="B633" s="48"/>
      <c r="C633" s="48"/>
      <c r="D633" s="48"/>
      <c r="E633" s="48"/>
      <c r="F633" s="48"/>
    </row>
    <row r="634">
      <c r="A634" s="48"/>
      <c r="B634" s="48"/>
      <c r="C634" s="48"/>
      <c r="D634" s="48"/>
      <c r="E634" s="48"/>
      <c r="F634" s="48"/>
    </row>
    <row r="635">
      <c r="A635" s="48"/>
      <c r="B635" s="48"/>
      <c r="C635" s="48"/>
      <c r="D635" s="48"/>
      <c r="E635" s="48"/>
      <c r="F635" s="48"/>
    </row>
    <row r="636">
      <c r="A636" s="48"/>
      <c r="B636" s="48"/>
      <c r="C636" s="48"/>
      <c r="D636" s="48"/>
      <c r="E636" s="48"/>
      <c r="F636" s="48"/>
    </row>
    <row r="637">
      <c r="A637" s="48"/>
      <c r="B637" s="48"/>
      <c r="C637" s="48"/>
      <c r="D637" s="48"/>
      <c r="E637" s="48"/>
      <c r="F637" s="48"/>
    </row>
    <row r="638">
      <c r="A638" s="48"/>
      <c r="B638" s="48"/>
      <c r="C638" s="48"/>
      <c r="D638" s="48"/>
      <c r="E638" s="48"/>
      <c r="F638" s="48"/>
    </row>
    <row r="639">
      <c r="A639" s="48"/>
      <c r="B639" s="48"/>
      <c r="C639" s="48"/>
      <c r="D639" s="48"/>
      <c r="E639" s="48"/>
      <c r="F639" s="48"/>
    </row>
    <row r="640">
      <c r="A640" s="48"/>
      <c r="B640" s="48"/>
      <c r="C640" s="48"/>
      <c r="D640" s="48"/>
      <c r="E640" s="48"/>
      <c r="F640" s="48"/>
    </row>
    <row r="641">
      <c r="A641" s="48"/>
      <c r="B641" s="48"/>
      <c r="C641" s="48"/>
      <c r="D641" s="48"/>
      <c r="E641" s="48"/>
      <c r="F641" s="48"/>
    </row>
    <row r="642">
      <c r="A642" s="48"/>
      <c r="B642" s="48"/>
      <c r="C642" s="48"/>
      <c r="D642" s="48"/>
      <c r="E642" s="48"/>
      <c r="F642" s="48"/>
    </row>
    <row r="643">
      <c r="A643" s="48"/>
      <c r="B643" s="48"/>
      <c r="C643" s="48"/>
      <c r="D643" s="48"/>
      <c r="E643" s="48"/>
      <c r="F643" s="48"/>
    </row>
    <row r="644">
      <c r="A644" s="48"/>
      <c r="B644" s="48"/>
      <c r="C644" s="48"/>
      <c r="D644" s="48"/>
      <c r="E644" s="48"/>
      <c r="F644" s="48"/>
    </row>
    <row r="645">
      <c r="A645" s="48"/>
      <c r="B645" s="48"/>
      <c r="C645" s="48"/>
      <c r="D645" s="48"/>
      <c r="E645" s="48"/>
      <c r="F645" s="48"/>
    </row>
    <row r="646">
      <c r="A646" s="48"/>
      <c r="B646" s="48"/>
      <c r="C646" s="48"/>
      <c r="D646" s="48"/>
      <c r="E646" s="48"/>
      <c r="F646" s="48"/>
    </row>
    <row r="647">
      <c r="A647" s="48"/>
      <c r="B647" s="48"/>
      <c r="C647" s="48"/>
      <c r="D647" s="48"/>
      <c r="E647" s="48"/>
      <c r="F647" s="48"/>
    </row>
    <row r="648">
      <c r="A648" s="48"/>
      <c r="B648" s="48"/>
      <c r="C648" s="48"/>
      <c r="D648" s="48"/>
      <c r="E648" s="48"/>
      <c r="F648" s="48"/>
    </row>
    <row r="649">
      <c r="A649" s="48"/>
      <c r="B649" s="48"/>
      <c r="C649" s="48"/>
      <c r="D649" s="48"/>
      <c r="E649" s="48"/>
      <c r="F649" s="48"/>
    </row>
    <row r="650">
      <c r="A650" s="48"/>
      <c r="B650" s="48"/>
      <c r="C650" s="48"/>
      <c r="D650" s="48"/>
      <c r="E650" s="48"/>
      <c r="F650" s="48"/>
    </row>
    <row r="651">
      <c r="A651" s="48"/>
      <c r="B651" s="48"/>
      <c r="C651" s="48"/>
      <c r="D651" s="48"/>
      <c r="E651" s="48"/>
      <c r="F651" s="48"/>
    </row>
    <row r="652">
      <c r="A652" s="48"/>
      <c r="B652" s="48"/>
      <c r="C652" s="48"/>
      <c r="D652" s="48"/>
      <c r="E652" s="48"/>
      <c r="F652" s="48"/>
    </row>
    <row r="653">
      <c r="A653" s="48"/>
      <c r="B653" s="48"/>
      <c r="C653" s="48"/>
      <c r="D653" s="48"/>
      <c r="E653" s="48"/>
      <c r="F653" s="48"/>
    </row>
    <row r="654">
      <c r="A654" s="48"/>
      <c r="B654" s="48"/>
      <c r="C654" s="48"/>
      <c r="D654" s="48"/>
      <c r="E654" s="48"/>
      <c r="F654" s="48"/>
    </row>
    <row r="655">
      <c r="A655" s="48"/>
      <c r="B655" s="48"/>
      <c r="C655" s="48"/>
      <c r="D655" s="48"/>
      <c r="E655" s="48"/>
      <c r="F655" s="48"/>
    </row>
    <row r="656">
      <c r="A656" s="48"/>
      <c r="B656" s="48"/>
      <c r="C656" s="48"/>
      <c r="D656" s="48"/>
      <c r="E656" s="48"/>
      <c r="F656" s="48"/>
    </row>
    <row r="657">
      <c r="A657" s="48"/>
      <c r="B657" s="48"/>
      <c r="C657" s="48"/>
      <c r="D657" s="48"/>
      <c r="E657" s="48"/>
      <c r="F657" s="48"/>
    </row>
    <row r="658">
      <c r="A658" s="48"/>
      <c r="B658" s="48"/>
      <c r="C658" s="48"/>
      <c r="D658" s="48"/>
      <c r="E658" s="48"/>
      <c r="F658" s="48"/>
    </row>
    <row r="659">
      <c r="A659" s="48"/>
      <c r="B659" s="48"/>
      <c r="C659" s="48"/>
      <c r="D659" s="48"/>
      <c r="E659" s="48"/>
      <c r="F659" s="48"/>
    </row>
    <row r="660">
      <c r="A660" s="48"/>
      <c r="B660" s="48"/>
      <c r="C660" s="48"/>
      <c r="D660" s="48"/>
      <c r="E660" s="48"/>
      <c r="F660" s="48"/>
    </row>
    <row r="661">
      <c r="A661" s="48"/>
      <c r="B661" s="48"/>
      <c r="C661" s="48"/>
      <c r="D661" s="48"/>
      <c r="E661" s="48"/>
      <c r="F661" s="48"/>
    </row>
    <row r="662">
      <c r="A662" s="48"/>
      <c r="B662" s="48"/>
      <c r="C662" s="48"/>
      <c r="D662" s="48"/>
      <c r="E662" s="48"/>
      <c r="F662" s="48"/>
    </row>
    <row r="663">
      <c r="A663" s="48"/>
      <c r="B663" s="48"/>
      <c r="C663" s="48"/>
      <c r="D663" s="48"/>
      <c r="E663" s="48"/>
      <c r="F663" s="48"/>
    </row>
    <row r="664">
      <c r="A664" s="48"/>
      <c r="B664" s="48"/>
      <c r="C664" s="48"/>
      <c r="D664" s="48"/>
      <c r="E664" s="48"/>
      <c r="F664" s="48"/>
    </row>
    <row r="665">
      <c r="A665" s="48"/>
      <c r="B665" s="48"/>
      <c r="C665" s="48"/>
      <c r="D665" s="48"/>
      <c r="E665" s="48"/>
      <c r="F665" s="48"/>
    </row>
    <row r="666">
      <c r="A666" s="48"/>
      <c r="B666" s="48"/>
      <c r="C666" s="48"/>
      <c r="D666" s="48"/>
      <c r="E666" s="48"/>
      <c r="F666" s="48"/>
    </row>
    <row r="667">
      <c r="A667" s="48"/>
      <c r="B667" s="48"/>
      <c r="C667" s="48"/>
      <c r="D667" s="48"/>
      <c r="E667" s="48"/>
      <c r="F667" s="48"/>
    </row>
    <row r="668">
      <c r="A668" s="48"/>
      <c r="B668" s="48"/>
      <c r="C668" s="48"/>
      <c r="D668" s="48"/>
      <c r="E668" s="48"/>
      <c r="F668" s="48"/>
    </row>
    <row r="669">
      <c r="A669" s="48"/>
      <c r="B669" s="48"/>
      <c r="C669" s="48"/>
      <c r="D669" s="48"/>
      <c r="E669" s="48"/>
      <c r="F669" s="48"/>
    </row>
    <row r="670">
      <c r="A670" s="48"/>
      <c r="B670" s="48"/>
      <c r="C670" s="48"/>
      <c r="D670" s="48"/>
      <c r="E670" s="48"/>
      <c r="F670" s="48"/>
    </row>
    <row r="671">
      <c r="A671" s="48"/>
      <c r="B671" s="48"/>
      <c r="C671" s="48"/>
      <c r="D671" s="48"/>
      <c r="E671" s="48"/>
      <c r="F671" s="48"/>
    </row>
    <row r="672">
      <c r="A672" s="48"/>
      <c r="B672" s="48"/>
      <c r="C672" s="48"/>
      <c r="D672" s="48"/>
      <c r="E672" s="48"/>
      <c r="F672" s="48"/>
    </row>
    <row r="673">
      <c r="A673" s="48"/>
      <c r="B673" s="48"/>
      <c r="C673" s="48"/>
      <c r="D673" s="48"/>
      <c r="E673" s="48"/>
      <c r="F673" s="48"/>
    </row>
    <row r="674">
      <c r="A674" s="48"/>
      <c r="B674" s="48"/>
      <c r="C674" s="48"/>
      <c r="D674" s="48"/>
      <c r="E674" s="48"/>
      <c r="F674" s="48"/>
    </row>
    <row r="675">
      <c r="A675" s="48"/>
      <c r="B675" s="48"/>
      <c r="C675" s="48"/>
      <c r="D675" s="48"/>
      <c r="E675" s="48"/>
      <c r="F675" s="48"/>
    </row>
    <row r="676">
      <c r="A676" s="48"/>
      <c r="B676" s="48"/>
      <c r="C676" s="48"/>
      <c r="D676" s="48"/>
      <c r="E676" s="48"/>
      <c r="F676" s="48"/>
    </row>
    <row r="677">
      <c r="A677" s="48"/>
      <c r="B677" s="48"/>
      <c r="C677" s="48"/>
      <c r="D677" s="48"/>
      <c r="E677" s="48"/>
      <c r="F677" s="48"/>
    </row>
    <row r="678">
      <c r="A678" s="48"/>
      <c r="B678" s="48"/>
      <c r="C678" s="48"/>
      <c r="D678" s="48"/>
      <c r="E678" s="48"/>
      <c r="F678" s="48"/>
    </row>
    <row r="679">
      <c r="A679" s="48"/>
      <c r="B679" s="48"/>
      <c r="C679" s="48"/>
      <c r="D679" s="48"/>
      <c r="E679" s="48"/>
      <c r="F679" s="48"/>
    </row>
    <row r="680">
      <c r="A680" s="48"/>
      <c r="B680" s="48"/>
      <c r="C680" s="48"/>
      <c r="D680" s="48"/>
      <c r="E680" s="48"/>
      <c r="F680" s="48"/>
    </row>
    <row r="681">
      <c r="A681" s="48"/>
      <c r="B681" s="48"/>
      <c r="C681" s="48"/>
      <c r="D681" s="48"/>
      <c r="E681" s="48"/>
      <c r="F681" s="48"/>
    </row>
    <row r="682">
      <c r="A682" s="48"/>
      <c r="B682" s="48"/>
      <c r="C682" s="48"/>
      <c r="D682" s="48"/>
      <c r="E682" s="48"/>
      <c r="F682" s="48"/>
    </row>
    <row r="683">
      <c r="A683" s="48"/>
      <c r="B683" s="48"/>
      <c r="C683" s="48"/>
      <c r="D683" s="48"/>
      <c r="E683" s="48"/>
      <c r="F683" s="48"/>
    </row>
    <row r="684">
      <c r="A684" s="48"/>
      <c r="B684" s="48"/>
      <c r="C684" s="48"/>
      <c r="D684" s="48"/>
      <c r="E684" s="48"/>
      <c r="F684" s="48"/>
    </row>
    <row r="685">
      <c r="A685" s="48"/>
      <c r="B685" s="48"/>
      <c r="C685" s="48"/>
      <c r="D685" s="48"/>
      <c r="E685" s="48"/>
      <c r="F685" s="48"/>
    </row>
    <row r="686">
      <c r="A686" s="48"/>
      <c r="B686" s="48"/>
      <c r="C686" s="48"/>
      <c r="D686" s="48"/>
      <c r="E686" s="48"/>
      <c r="F686" s="48"/>
    </row>
    <row r="687">
      <c r="A687" s="48"/>
      <c r="B687" s="48"/>
      <c r="C687" s="48"/>
      <c r="D687" s="48"/>
      <c r="E687" s="48"/>
      <c r="F687" s="48"/>
    </row>
    <row r="688">
      <c r="A688" s="48"/>
      <c r="B688" s="48"/>
      <c r="C688" s="48"/>
      <c r="D688" s="48"/>
      <c r="E688" s="48"/>
      <c r="F688" s="48"/>
    </row>
    <row r="689">
      <c r="A689" s="48"/>
      <c r="B689" s="48"/>
      <c r="C689" s="48"/>
      <c r="D689" s="48"/>
      <c r="E689" s="48"/>
      <c r="F689" s="48"/>
    </row>
    <row r="690">
      <c r="A690" s="48"/>
      <c r="B690" s="48"/>
      <c r="C690" s="48"/>
      <c r="D690" s="48"/>
      <c r="E690" s="48"/>
      <c r="F690" s="48"/>
    </row>
    <row r="691">
      <c r="A691" s="48"/>
      <c r="B691" s="48"/>
      <c r="C691" s="48"/>
      <c r="D691" s="48"/>
      <c r="E691" s="48"/>
      <c r="F691" s="48"/>
    </row>
    <row r="692">
      <c r="A692" s="48"/>
      <c r="B692" s="48"/>
      <c r="C692" s="48"/>
      <c r="D692" s="48"/>
      <c r="E692" s="48"/>
      <c r="F692" s="48"/>
    </row>
    <row r="693">
      <c r="A693" s="48"/>
      <c r="B693" s="48"/>
      <c r="C693" s="48"/>
      <c r="D693" s="48"/>
      <c r="E693" s="48"/>
      <c r="F693" s="48"/>
    </row>
    <row r="694">
      <c r="A694" s="48"/>
      <c r="B694" s="48"/>
      <c r="C694" s="48"/>
      <c r="D694" s="48"/>
      <c r="E694" s="48"/>
      <c r="F694" s="48"/>
    </row>
    <row r="695">
      <c r="A695" s="48"/>
      <c r="B695" s="48"/>
      <c r="C695" s="48"/>
      <c r="D695" s="48"/>
      <c r="E695" s="48"/>
      <c r="F695" s="48"/>
    </row>
    <row r="696">
      <c r="A696" s="48"/>
      <c r="B696" s="48"/>
      <c r="C696" s="48"/>
      <c r="D696" s="48"/>
      <c r="E696" s="48"/>
      <c r="F696" s="48"/>
    </row>
    <row r="697">
      <c r="A697" s="48"/>
      <c r="B697" s="48"/>
      <c r="C697" s="48"/>
      <c r="D697" s="48"/>
      <c r="E697" s="48"/>
      <c r="F697" s="48"/>
    </row>
    <row r="698">
      <c r="A698" s="48"/>
      <c r="B698" s="48"/>
      <c r="C698" s="48"/>
      <c r="D698" s="48"/>
      <c r="E698" s="48"/>
      <c r="F698" s="48"/>
    </row>
    <row r="699">
      <c r="A699" s="48"/>
      <c r="B699" s="48"/>
      <c r="C699" s="48"/>
      <c r="D699" s="48"/>
      <c r="E699" s="48"/>
      <c r="F699" s="48"/>
    </row>
    <row r="700">
      <c r="A700" s="48"/>
      <c r="B700" s="48"/>
      <c r="C700" s="48"/>
      <c r="D700" s="48"/>
      <c r="E700" s="48"/>
      <c r="F700" s="48"/>
    </row>
    <row r="701">
      <c r="A701" s="48"/>
      <c r="B701" s="48"/>
      <c r="C701" s="48"/>
      <c r="D701" s="48"/>
      <c r="E701" s="48"/>
      <c r="F701" s="48"/>
    </row>
    <row r="702">
      <c r="A702" s="48"/>
      <c r="B702" s="48"/>
      <c r="C702" s="48"/>
      <c r="D702" s="48"/>
      <c r="E702" s="48"/>
      <c r="F702" s="48"/>
    </row>
    <row r="703">
      <c r="A703" s="48"/>
      <c r="B703" s="48"/>
      <c r="C703" s="48"/>
      <c r="D703" s="48"/>
      <c r="E703" s="48"/>
      <c r="F703" s="48"/>
    </row>
    <row r="704">
      <c r="A704" s="48"/>
      <c r="B704" s="48"/>
      <c r="C704" s="48"/>
      <c r="D704" s="48"/>
      <c r="E704" s="48"/>
      <c r="F704" s="48"/>
    </row>
    <row r="705">
      <c r="A705" s="48"/>
      <c r="B705" s="48"/>
      <c r="C705" s="48"/>
      <c r="D705" s="48"/>
      <c r="E705" s="48"/>
      <c r="F705" s="48"/>
    </row>
    <row r="706">
      <c r="A706" s="48"/>
      <c r="B706" s="48"/>
      <c r="C706" s="48"/>
      <c r="D706" s="48"/>
      <c r="E706" s="48"/>
      <c r="F706" s="48"/>
    </row>
    <row r="707">
      <c r="A707" s="48"/>
      <c r="B707" s="48"/>
      <c r="C707" s="48"/>
      <c r="D707" s="48"/>
      <c r="E707" s="48"/>
      <c r="F707" s="48"/>
    </row>
    <row r="708">
      <c r="A708" s="48"/>
      <c r="B708" s="48"/>
      <c r="C708" s="48"/>
      <c r="D708" s="48"/>
      <c r="E708" s="48"/>
      <c r="F708" s="48"/>
    </row>
    <row r="709">
      <c r="A709" s="48"/>
      <c r="B709" s="48"/>
      <c r="C709" s="48"/>
      <c r="D709" s="48"/>
      <c r="E709" s="48"/>
      <c r="F709" s="48"/>
    </row>
    <row r="710">
      <c r="A710" s="48"/>
      <c r="B710" s="48"/>
      <c r="C710" s="48"/>
      <c r="D710" s="48"/>
      <c r="E710" s="48"/>
      <c r="F710" s="48"/>
    </row>
    <row r="711">
      <c r="A711" s="48"/>
      <c r="B711" s="48"/>
      <c r="C711" s="48"/>
      <c r="D711" s="48"/>
      <c r="E711" s="48"/>
      <c r="F711" s="48"/>
    </row>
    <row r="712">
      <c r="A712" s="48"/>
      <c r="B712" s="48"/>
      <c r="C712" s="48"/>
      <c r="D712" s="48"/>
      <c r="E712" s="48"/>
      <c r="F712" s="48"/>
    </row>
    <row r="713">
      <c r="A713" s="48"/>
      <c r="B713" s="48"/>
      <c r="C713" s="48"/>
      <c r="D713" s="48"/>
      <c r="E713" s="48"/>
      <c r="F713" s="48"/>
    </row>
    <row r="714">
      <c r="A714" s="48"/>
      <c r="B714" s="48"/>
      <c r="C714" s="48"/>
      <c r="D714" s="48"/>
      <c r="E714" s="48"/>
      <c r="F714" s="48"/>
    </row>
    <row r="715">
      <c r="A715" s="48"/>
      <c r="B715" s="48"/>
      <c r="C715" s="48"/>
      <c r="D715" s="48"/>
      <c r="E715" s="48"/>
      <c r="F715" s="48"/>
    </row>
    <row r="716">
      <c r="A716" s="48"/>
      <c r="B716" s="48"/>
      <c r="C716" s="48"/>
      <c r="D716" s="48"/>
      <c r="E716" s="48"/>
      <c r="F716" s="48"/>
    </row>
    <row r="717">
      <c r="A717" s="48"/>
      <c r="B717" s="48"/>
      <c r="C717" s="48"/>
      <c r="D717" s="48"/>
      <c r="E717" s="48"/>
      <c r="F717" s="48"/>
    </row>
    <row r="718">
      <c r="A718" s="48"/>
      <c r="B718" s="48"/>
      <c r="C718" s="48"/>
      <c r="D718" s="48"/>
      <c r="E718" s="48"/>
      <c r="F718" s="48"/>
    </row>
    <row r="719">
      <c r="A719" s="48"/>
      <c r="B719" s="48"/>
      <c r="C719" s="48"/>
      <c r="D719" s="48"/>
      <c r="E719" s="48"/>
      <c r="F719" s="48"/>
    </row>
    <row r="720">
      <c r="A720" s="48"/>
      <c r="B720" s="48"/>
      <c r="C720" s="48"/>
      <c r="D720" s="48"/>
      <c r="E720" s="48"/>
      <c r="F720" s="48"/>
    </row>
    <row r="721">
      <c r="A721" s="48"/>
      <c r="B721" s="48"/>
      <c r="C721" s="48"/>
      <c r="D721" s="48"/>
      <c r="E721" s="48"/>
      <c r="F721" s="48"/>
    </row>
    <row r="722">
      <c r="A722" s="48"/>
      <c r="B722" s="48"/>
      <c r="C722" s="48"/>
      <c r="D722" s="48"/>
      <c r="E722" s="48"/>
      <c r="F722" s="48"/>
    </row>
    <row r="723">
      <c r="A723" s="48"/>
      <c r="B723" s="48"/>
      <c r="C723" s="48"/>
      <c r="D723" s="48"/>
      <c r="E723" s="48"/>
      <c r="F723" s="48"/>
    </row>
    <row r="724">
      <c r="A724" s="48"/>
      <c r="B724" s="48"/>
      <c r="C724" s="48"/>
      <c r="D724" s="48"/>
      <c r="E724" s="48"/>
      <c r="F724" s="48"/>
    </row>
    <row r="725">
      <c r="A725" s="48"/>
      <c r="B725" s="48"/>
      <c r="C725" s="48"/>
      <c r="D725" s="48"/>
      <c r="E725" s="48"/>
      <c r="F725" s="48"/>
    </row>
    <row r="726">
      <c r="A726" s="48"/>
      <c r="B726" s="48"/>
      <c r="C726" s="48"/>
      <c r="D726" s="48"/>
      <c r="E726" s="48"/>
      <c r="F726" s="48"/>
    </row>
    <row r="727">
      <c r="A727" s="48"/>
      <c r="B727" s="48"/>
      <c r="C727" s="48"/>
      <c r="D727" s="48"/>
      <c r="E727" s="48"/>
      <c r="F727" s="48"/>
    </row>
    <row r="728">
      <c r="A728" s="48"/>
      <c r="B728" s="48"/>
      <c r="C728" s="48"/>
      <c r="D728" s="48"/>
      <c r="E728" s="48"/>
      <c r="F728" s="48"/>
    </row>
    <row r="729">
      <c r="A729" s="48"/>
      <c r="B729" s="48"/>
      <c r="C729" s="48"/>
      <c r="D729" s="48"/>
      <c r="E729" s="48"/>
      <c r="F729" s="48"/>
    </row>
    <row r="730">
      <c r="A730" s="48"/>
      <c r="B730" s="48"/>
      <c r="C730" s="48"/>
      <c r="D730" s="48"/>
      <c r="E730" s="48"/>
      <c r="F730" s="48"/>
    </row>
    <row r="731">
      <c r="A731" s="48"/>
      <c r="B731" s="48"/>
      <c r="C731" s="48"/>
      <c r="D731" s="48"/>
      <c r="E731" s="48"/>
      <c r="F731" s="48"/>
    </row>
    <row r="732">
      <c r="A732" s="48"/>
      <c r="B732" s="48"/>
      <c r="C732" s="48"/>
      <c r="D732" s="48"/>
      <c r="E732" s="48"/>
      <c r="F732" s="48"/>
    </row>
    <row r="733">
      <c r="A733" s="48"/>
      <c r="B733" s="48"/>
      <c r="C733" s="48"/>
      <c r="D733" s="48"/>
      <c r="E733" s="48"/>
      <c r="F733" s="48"/>
    </row>
    <row r="734">
      <c r="A734" s="48"/>
      <c r="B734" s="48"/>
      <c r="C734" s="48"/>
      <c r="D734" s="48"/>
      <c r="E734" s="48"/>
      <c r="F734" s="48"/>
    </row>
    <row r="735">
      <c r="A735" s="48"/>
      <c r="B735" s="48"/>
      <c r="C735" s="48"/>
      <c r="D735" s="48"/>
      <c r="E735" s="48"/>
      <c r="F735" s="48"/>
    </row>
    <row r="736">
      <c r="A736" s="48"/>
      <c r="B736" s="48"/>
      <c r="C736" s="48"/>
      <c r="D736" s="48"/>
      <c r="E736" s="48"/>
      <c r="F736" s="48"/>
    </row>
    <row r="737">
      <c r="A737" s="48"/>
      <c r="B737" s="48"/>
      <c r="C737" s="48"/>
      <c r="D737" s="48"/>
      <c r="E737" s="48"/>
      <c r="F737" s="48"/>
    </row>
    <row r="738">
      <c r="A738" s="48"/>
      <c r="B738" s="48"/>
      <c r="C738" s="48"/>
      <c r="D738" s="48"/>
      <c r="E738" s="48"/>
      <c r="F738" s="48"/>
    </row>
    <row r="739">
      <c r="A739" s="48"/>
      <c r="B739" s="48"/>
      <c r="C739" s="48"/>
      <c r="D739" s="48"/>
      <c r="E739" s="48"/>
      <c r="F739" s="48"/>
    </row>
    <row r="740">
      <c r="A740" s="48"/>
      <c r="B740" s="48"/>
      <c r="C740" s="48"/>
      <c r="D740" s="48"/>
      <c r="E740" s="48"/>
      <c r="F740" s="48"/>
    </row>
    <row r="741">
      <c r="A741" s="48"/>
      <c r="B741" s="48"/>
      <c r="C741" s="48"/>
      <c r="D741" s="48"/>
      <c r="E741" s="48"/>
      <c r="F741" s="48"/>
    </row>
    <row r="742">
      <c r="A742" s="48"/>
      <c r="B742" s="48"/>
      <c r="C742" s="48"/>
      <c r="D742" s="48"/>
      <c r="E742" s="48"/>
      <c r="F742" s="48"/>
    </row>
    <row r="743">
      <c r="A743" s="48"/>
      <c r="B743" s="48"/>
      <c r="C743" s="48"/>
      <c r="D743" s="48"/>
      <c r="E743" s="48"/>
      <c r="F743" s="48"/>
    </row>
    <row r="744">
      <c r="A744" s="48"/>
      <c r="B744" s="48"/>
      <c r="C744" s="48"/>
      <c r="D744" s="48"/>
      <c r="E744" s="48"/>
      <c r="F744" s="48"/>
    </row>
    <row r="745">
      <c r="A745" s="48"/>
      <c r="B745" s="48"/>
      <c r="C745" s="48"/>
      <c r="D745" s="48"/>
      <c r="E745" s="48"/>
      <c r="F745" s="48"/>
    </row>
    <row r="746">
      <c r="A746" s="48"/>
      <c r="B746" s="48"/>
      <c r="C746" s="48"/>
      <c r="D746" s="48"/>
      <c r="E746" s="48"/>
      <c r="F746" s="48"/>
    </row>
    <row r="747">
      <c r="A747" s="48"/>
      <c r="B747" s="48"/>
      <c r="C747" s="48"/>
      <c r="D747" s="48"/>
      <c r="E747" s="48"/>
      <c r="F747" s="48"/>
    </row>
    <row r="748">
      <c r="A748" s="48"/>
      <c r="B748" s="48"/>
      <c r="C748" s="48"/>
      <c r="D748" s="48"/>
      <c r="E748" s="48"/>
      <c r="F748" s="48"/>
    </row>
    <row r="749">
      <c r="A749" s="48"/>
      <c r="B749" s="48"/>
      <c r="C749" s="48"/>
      <c r="D749" s="48"/>
      <c r="E749" s="48"/>
      <c r="F749" s="48"/>
    </row>
    <row r="750">
      <c r="A750" s="48"/>
      <c r="B750" s="48"/>
      <c r="C750" s="48"/>
      <c r="D750" s="48"/>
      <c r="E750" s="48"/>
      <c r="F750" s="48"/>
    </row>
    <row r="751">
      <c r="A751" s="48"/>
      <c r="B751" s="48"/>
      <c r="C751" s="48"/>
      <c r="D751" s="48"/>
      <c r="E751" s="48"/>
      <c r="F751" s="48"/>
    </row>
    <row r="752">
      <c r="A752" s="48"/>
      <c r="B752" s="48"/>
      <c r="C752" s="48"/>
      <c r="D752" s="48"/>
      <c r="E752" s="48"/>
      <c r="F752" s="48"/>
    </row>
    <row r="753">
      <c r="A753" s="48"/>
      <c r="B753" s="48"/>
      <c r="C753" s="48"/>
      <c r="D753" s="48"/>
      <c r="E753" s="48"/>
      <c r="F753" s="48"/>
    </row>
    <row r="754">
      <c r="A754" s="48"/>
      <c r="B754" s="48"/>
      <c r="C754" s="48"/>
      <c r="D754" s="48"/>
      <c r="E754" s="48"/>
      <c r="F754" s="48"/>
    </row>
    <row r="755">
      <c r="A755" s="48"/>
      <c r="B755" s="48"/>
      <c r="C755" s="48"/>
      <c r="D755" s="48"/>
      <c r="E755" s="48"/>
      <c r="F755" s="48"/>
    </row>
    <row r="756">
      <c r="A756" s="48"/>
      <c r="B756" s="48"/>
      <c r="C756" s="48"/>
      <c r="D756" s="48"/>
      <c r="E756" s="48"/>
      <c r="F756" s="48"/>
    </row>
    <row r="757">
      <c r="A757" s="48"/>
      <c r="B757" s="48"/>
      <c r="C757" s="48"/>
      <c r="D757" s="48"/>
      <c r="E757" s="48"/>
      <c r="F757" s="48"/>
    </row>
    <row r="758">
      <c r="A758" s="48"/>
      <c r="B758" s="48"/>
      <c r="C758" s="48"/>
      <c r="D758" s="48"/>
      <c r="E758" s="48"/>
      <c r="F758" s="48"/>
    </row>
    <row r="759">
      <c r="A759" s="48"/>
      <c r="B759" s="48"/>
      <c r="C759" s="48"/>
      <c r="D759" s="48"/>
      <c r="E759" s="48"/>
      <c r="F759" s="48"/>
    </row>
    <row r="760">
      <c r="A760" s="48"/>
      <c r="B760" s="48"/>
      <c r="C760" s="48"/>
      <c r="D760" s="48"/>
      <c r="E760" s="48"/>
      <c r="F760" s="48"/>
    </row>
    <row r="761">
      <c r="A761" s="48"/>
      <c r="B761" s="48"/>
      <c r="C761" s="48"/>
      <c r="D761" s="48"/>
      <c r="E761" s="48"/>
      <c r="F761" s="48"/>
    </row>
    <row r="762">
      <c r="A762" s="48"/>
      <c r="B762" s="48"/>
      <c r="C762" s="48"/>
      <c r="D762" s="48"/>
      <c r="E762" s="48"/>
      <c r="F762" s="48"/>
    </row>
    <row r="763">
      <c r="A763" s="48"/>
      <c r="B763" s="48"/>
      <c r="C763" s="48"/>
      <c r="D763" s="48"/>
      <c r="E763" s="48"/>
      <c r="F763" s="48"/>
    </row>
    <row r="764">
      <c r="A764" s="48"/>
      <c r="B764" s="48"/>
      <c r="C764" s="48"/>
      <c r="D764" s="48"/>
      <c r="E764" s="48"/>
      <c r="F764" s="48"/>
    </row>
    <row r="765">
      <c r="A765" s="48"/>
      <c r="B765" s="48"/>
      <c r="C765" s="48"/>
      <c r="D765" s="48"/>
      <c r="E765" s="48"/>
      <c r="F765" s="48"/>
    </row>
    <row r="766">
      <c r="A766" s="48"/>
      <c r="B766" s="48"/>
      <c r="C766" s="48"/>
      <c r="D766" s="48"/>
      <c r="E766" s="48"/>
      <c r="F766" s="48"/>
    </row>
    <row r="767">
      <c r="A767" s="48"/>
      <c r="B767" s="48"/>
      <c r="C767" s="48"/>
      <c r="D767" s="48"/>
      <c r="E767" s="48"/>
      <c r="F767" s="48"/>
    </row>
    <row r="768">
      <c r="A768" s="48"/>
      <c r="B768" s="48"/>
      <c r="C768" s="48"/>
      <c r="D768" s="48"/>
      <c r="E768" s="48"/>
      <c r="F768" s="48"/>
    </row>
    <row r="769">
      <c r="A769" s="48"/>
      <c r="B769" s="48"/>
      <c r="C769" s="48"/>
      <c r="D769" s="48"/>
      <c r="E769" s="48"/>
      <c r="F769" s="48"/>
    </row>
    <row r="770">
      <c r="A770" s="48"/>
      <c r="B770" s="48"/>
      <c r="C770" s="48"/>
      <c r="D770" s="48"/>
      <c r="E770" s="48"/>
      <c r="F770" s="48"/>
    </row>
    <row r="771">
      <c r="A771" s="48"/>
      <c r="B771" s="48"/>
      <c r="C771" s="48"/>
      <c r="D771" s="48"/>
      <c r="E771" s="48"/>
      <c r="F771" s="48"/>
    </row>
    <row r="772">
      <c r="A772" s="48"/>
      <c r="B772" s="48"/>
      <c r="C772" s="48"/>
      <c r="D772" s="48"/>
      <c r="E772" s="48"/>
      <c r="F772" s="48"/>
    </row>
    <row r="773">
      <c r="A773" s="48"/>
      <c r="B773" s="48"/>
      <c r="C773" s="48"/>
      <c r="D773" s="48"/>
      <c r="E773" s="48"/>
      <c r="F773" s="48"/>
    </row>
    <row r="774">
      <c r="A774" s="48"/>
      <c r="B774" s="48"/>
      <c r="C774" s="48"/>
      <c r="D774" s="48"/>
      <c r="E774" s="48"/>
      <c r="F774" s="48"/>
    </row>
    <row r="775">
      <c r="A775" s="48"/>
      <c r="B775" s="48"/>
      <c r="C775" s="48"/>
      <c r="D775" s="48"/>
      <c r="E775" s="48"/>
      <c r="F775" s="48"/>
    </row>
    <row r="776">
      <c r="A776" s="48"/>
      <c r="B776" s="48"/>
      <c r="C776" s="48"/>
      <c r="D776" s="48"/>
      <c r="E776" s="48"/>
      <c r="F776" s="48"/>
    </row>
    <row r="777">
      <c r="A777" s="48"/>
      <c r="B777" s="48"/>
      <c r="C777" s="48"/>
      <c r="D777" s="48"/>
      <c r="E777" s="48"/>
      <c r="F777" s="48"/>
    </row>
    <row r="778">
      <c r="A778" s="48"/>
      <c r="B778" s="48"/>
      <c r="C778" s="48"/>
      <c r="D778" s="48"/>
      <c r="E778" s="48"/>
      <c r="F778" s="48"/>
    </row>
    <row r="779">
      <c r="A779" s="48"/>
      <c r="B779" s="48"/>
      <c r="C779" s="48"/>
      <c r="D779" s="48"/>
      <c r="E779" s="48"/>
      <c r="F779" s="48"/>
    </row>
    <row r="780">
      <c r="A780" s="48"/>
      <c r="B780" s="48"/>
      <c r="C780" s="48"/>
      <c r="D780" s="48"/>
      <c r="E780" s="48"/>
      <c r="F780" s="48"/>
    </row>
    <row r="781">
      <c r="A781" s="48"/>
      <c r="B781" s="48"/>
      <c r="C781" s="48"/>
      <c r="D781" s="48"/>
      <c r="E781" s="48"/>
      <c r="F781" s="48"/>
    </row>
    <row r="782">
      <c r="A782" s="48"/>
      <c r="B782" s="48"/>
      <c r="C782" s="48"/>
      <c r="D782" s="48"/>
      <c r="E782" s="48"/>
      <c r="F782" s="48"/>
    </row>
    <row r="783">
      <c r="A783" s="48"/>
      <c r="B783" s="48"/>
      <c r="C783" s="48"/>
      <c r="D783" s="48"/>
      <c r="E783" s="48"/>
      <c r="F783" s="48"/>
    </row>
    <row r="784">
      <c r="A784" s="48"/>
      <c r="B784" s="48"/>
      <c r="C784" s="48"/>
      <c r="D784" s="48"/>
      <c r="E784" s="48"/>
      <c r="F784" s="48"/>
    </row>
    <row r="785">
      <c r="A785" s="48"/>
      <c r="B785" s="48"/>
      <c r="C785" s="48"/>
      <c r="D785" s="48"/>
      <c r="E785" s="48"/>
      <c r="F785" s="48"/>
    </row>
    <row r="786">
      <c r="A786" s="48"/>
      <c r="B786" s="48"/>
      <c r="C786" s="48"/>
      <c r="D786" s="48"/>
      <c r="E786" s="48"/>
      <c r="F786" s="48"/>
    </row>
    <row r="787">
      <c r="A787" s="48"/>
      <c r="B787" s="48"/>
      <c r="C787" s="48"/>
      <c r="D787" s="48"/>
      <c r="E787" s="48"/>
      <c r="F787" s="48"/>
    </row>
    <row r="788">
      <c r="A788" s="48"/>
      <c r="B788" s="48"/>
      <c r="C788" s="48"/>
      <c r="D788" s="48"/>
      <c r="E788" s="48"/>
      <c r="F788" s="48"/>
    </row>
    <row r="789">
      <c r="A789" s="48"/>
      <c r="B789" s="48"/>
      <c r="C789" s="48"/>
      <c r="D789" s="48"/>
      <c r="E789" s="48"/>
      <c r="F789" s="48"/>
    </row>
    <row r="790">
      <c r="A790" s="48"/>
      <c r="B790" s="48"/>
      <c r="C790" s="48"/>
      <c r="D790" s="48"/>
      <c r="E790" s="48"/>
      <c r="F790" s="48"/>
    </row>
    <row r="791">
      <c r="A791" s="48"/>
      <c r="B791" s="48"/>
      <c r="C791" s="48"/>
      <c r="D791" s="48"/>
      <c r="E791" s="48"/>
      <c r="F791" s="48"/>
    </row>
    <row r="792">
      <c r="A792" s="48"/>
      <c r="B792" s="48"/>
      <c r="C792" s="48"/>
      <c r="D792" s="48"/>
      <c r="E792" s="48"/>
      <c r="F792" s="48"/>
    </row>
    <row r="793">
      <c r="A793" s="48"/>
      <c r="B793" s="48"/>
      <c r="C793" s="48"/>
      <c r="D793" s="48"/>
      <c r="E793" s="48"/>
      <c r="F793" s="48"/>
    </row>
    <row r="794">
      <c r="A794" s="48"/>
      <c r="B794" s="48"/>
      <c r="C794" s="48"/>
      <c r="D794" s="48"/>
      <c r="E794" s="48"/>
      <c r="F794" s="48"/>
    </row>
    <row r="795">
      <c r="A795" s="48"/>
      <c r="B795" s="48"/>
      <c r="C795" s="48"/>
      <c r="D795" s="48"/>
      <c r="E795" s="48"/>
      <c r="F795" s="48"/>
    </row>
    <row r="796">
      <c r="A796" s="48"/>
      <c r="B796" s="48"/>
      <c r="C796" s="48"/>
      <c r="D796" s="48"/>
      <c r="E796" s="48"/>
      <c r="F796" s="48"/>
    </row>
    <row r="797">
      <c r="A797" s="48"/>
      <c r="B797" s="48"/>
      <c r="C797" s="48"/>
      <c r="D797" s="48"/>
      <c r="E797" s="48"/>
      <c r="F797" s="48"/>
    </row>
    <row r="798">
      <c r="A798" s="48"/>
      <c r="B798" s="48"/>
      <c r="C798" s="48"/>
      <c r="D798" s="48"/>
      <c r="E798" s="48"/>
      <c r="F798" s="48"/>
    </row>
    <row r="799">
      <c r="A799" s="48"/>
      <c r="B799" s="48"/>
      <c r="C799" s="48"/>
      <c r="D799" s="48"/>
      <c r="E799" s="48"/>
      <c r="F799" s="48"/>
    </row>
    <row r="800">
      <c r="A800" s="48"/>
      <c r="B800" s="48"/>
      <c r="C800" s="48"/>
      <c r="D800" s="48"/>
      <c r="E800" s="48"/>
      <c r="F800" s="48"/>
    </row>
    <row r="801">
      <c r="A801" s="48"/>
      <c r="B801" s="48"/>
      <c r="C801" s="48"/>
      <c r="D801" s="48"/>
      <c r="E801" s="48"/>
      <c r="F801" s="48"/>
    </row>
    <row r="802">
      <c r="A802" s="48"/>
      <c r="B802" s="48"/>
      <c r="C802" s="48"/>
      <c r="D802" s="48"/>
      <c r="E802" s="48"/>
      <c r="F802" s="48"/>
    </row>
    <row r="803">
      <c r="A803" s="48"/>
      <c r="B803" s="48"/>
      <c r="C803" s="48"/>
      <c r="D803" s="48"/>
      <c r="E803" s="48"/>
      <c r="F803" s="48"/>
    </row>
    <row r="804">
      <c r="A804" s="48"/>
      <c r="B804" s="48"/>
      <c r="C804" s="48"/>
      <c r="D804" s="48"/>
      <c r="E804" s="48"/>
      <c r="F804" s="48"/>
    </row>
    <row r="805">
      <c r="A805" s="48"/>
      <c r="B805" s="48"/>
      <c r="C805" s="48"/>
      <c r="D805" s="48"/>
      <c r="E805" s="48"/>
      <c r="F805" s="48"/>
    </row>
    <row r="806">
      <c r="A806" s="48"/>
      <c r="B806" s="48"/>
      <c r="C806" s="48"/>
      <c r="D806" s="48"/>
      <c r="E806" s="48"/>
      <c r="F806" s="48"/>
    </row>
    <row r="807">
      <c r="A807" s="48"/>
      <c r="B807" s="48"/>
      <c r="C807" s="48"/>
      <c r="D807" s="48"/>
      <c r="E807" s="48"/>
      <c r="F807" s="48"/>
    </row>
    <row r="808">
      <c r="A808" s="48"/>
      <c r="B808" s="48"/>
      <c r="C808" s="48"/>
      <c r="D808" s="48"/>
      <c r="E808" s="48"/>
      <c r="F808" s="48"/>
    </row>
    <row r="809">
      <c r="A809" s="48"/>
      <c r="B809" s="48"/>
      <c r="C809" s="48"/>
      <c r="D809" s="48"/>
      <c r="E809" s="48"/>
      <c r="F809" s="48"/>
    </row>
    <row r="810">
      <c r="A810" s="48"/>
      <c r="B810" s="48"/>
      <c r="C810" s="48"/>
      <c r="D810" s="48"/>
      <c r="E810" s="48"/>
      <c r="F810" s="48"/>
    </row>
    <row r="811">
      <c r="A811" s="48"/>
      <c r="B811" s="48"/>
      <c r="C811" s="48"/>
      <c r="D811" s="48"/>
      <c r="E811" s="48"/>
      <c r="F811" s="48"/>
    </row>
    <row r="812">
      <c r="A812" s="48"/>
      <c r="B812" s="48"/>
      <c r="C812" s="48"/>
      <c r="D812" s="48"/>
      <c r="E812" s="48"/>
      <c r="F812" s="48"/>
    </row>
    <row r="813">
      <c r="A813" s="48"/>
      <c r="B813" s="48"/>
      <c r="C813" s="48"/>
      <c r="D813" s="48"/>
      <c r="E813" s="48"/>
      <c r="F813" s="48"/>
    </row>
    <row r="814">
      <c r="A814" s="48"/>
      <c r="B814" s="48"/>
      <c r="C814" s="48"/>
      <c r="D814" s="48"/>
      <c r="E814" s="48"/>
      <c r="F814" s="48"/>
    </row>
    <row r="815">
      <c r="A815" s="48"/>
      <c r="B815" s="48"/>
      <c r="C815" s="48"/>
      <c r="D815" s="48"/>
      <c r="E815" s="48"/>
      <c r="F815" s="48"/>
    </row>
    <row r="816">
      <c r="A816" s="48"/>
      <c r="B816" s="48"/>
      <c r="C816" s="48"/>
      <c r="D816" s="48"/>
      <c r="E816" s="48"/>
      <c r="F816" s="48"/>
    </row>
    <row r="817">
      <c r="A817" s="48"/>
      <c r="B817" s="48"/>
      <c r="C817" s="48"/>
      <c r="D817" s="48"/>
      <c r="E817" s="48"/>
      <c r="F817" s="48"/>
    </row>
    <row r="818">
      <c r="A818" s="48"/>
      <c r="B818" s="48"/>
      <c r="C818" s="48"/>
      <c r="D818" s="48"/>
      <c r="E818" s="48"/>
      <c r="F818" s="48"/>
    </row>
    <row r="819">
      <c r="A819" s="48"/>
      <c r="B819" s="48"/>
      <c r="C819" s="48"/>
      <c r="D819" s="48"/>
      <c r="E819" s="48"/>
      <c r="F819" s="48"/>
    </row>
    <row r="820">
      <c r="A820" s="48"/>
      <c r="B820" s="48"/>
      <c r="C820" s="48"/>
      <c r="D820" s="48"/>
      <c r="E820" s="48"/>
      <c r="F820" s="48"/>
    </row>
    <row r="821">
      <c r="A821" s="48"/>
      <c r="B821" s="48"/>
      <c r="C821" s="48"/>
      <c r="D821" s="48"/>
      <c r="E821" s="48"/>
      <c r="F821" s="48"/>
    </row>
    <row r="822">
      <c r="A822" s="48"/>
      <c r="B822" s="48"/>
      <c r="C822" s="48"/>
      <c r="D822" s="48"/>
      <c r="E822" s="48"/>
      <c r="F822" s="48"/>
    </row>
    <row r="823">
      <c r="A823" s="48"/>
      <c r="B823" s="48"/>
      <c r="C823" s="48"/>
      <c r="D823" s="48"/>
      <c r="E823" s="48"/>
      <c r="F823" s="48"/>
    </row>
    <row r="824">
      <c r="A824" s="48"/>
      <c r="B824" s="48"/>
      <c r="C824" s="48"/>
      <c r="D824" s="48"/>
      <c r="E824" s="48"/>
      <c r="F824" s="48"/>
    </row>
    <row r="825">
      <c r="A825" s="48"/>
      <c r="B825" s="48"/>
      <c r="C825" s="48"/>
      <c r="D825" s="48"/>
      <c r="E825" s="48"/>
      <c r="F825" s="48"/>
    </row>
    <row r="826">
      <c r="A826" s="48"/>
      <c r="B826" s="48"/>
      <c r="C826" s="48"/>
      <c r="D826" s="48"/>
      <c r="E826" s="48"/>
      <c r="F826" s="48"/>
    </row>
    <row r="827">
      <c r="A827" s="48"/>
      <c r="B827" s="48"/>
      <c r="C827" s="48"/>
      <c r="D827" s="48"/>
      <c r="E827" s="48"/>
      <c r="F827" s="48"/>
    </row>
    <row r="828">
      <c r="A828" s="48"/>
      <c r="B828" s="48"/>
      <c r="C828" s="48"/>
      <c r="D828" s="48"/>
      <c r="E828" s="48"/>
      <c r="F828" s="48"/>
    </row>
    <row r="829">
      <c r="A829" s="48"/>
      <c r="B829" s="48"/>
      <c r="C829" s="48"/>
      <c r="D829" s="48"/>
      <c r="E829" s="48"/>
      <c r="F829" s="48"/>
    </row>
    <row r="830">
      <c r="A830" s="48"/>
      <c r="B830" s="48"/>
      <c r="C830" s="48"/>
      <c r="D830" s="48"/>
      <c r="E830" s="48"/>
      <c r="F830" s="48"/>
    </row>
    <row r="831">
      <c r="A831" s="48"/>
      <c r="B831" s="48"/>
      <c r="C831" s="48"/>
      <c r="D831" s="48"/>
      <c r="E831" s="48"/>
      <c r="F831" s="48"/>
    </row>
    <row r="832">
      <c r="A832" s="48"/>
      <c r="B832" s="48"/>
      <c r="C832" s="48"/>
      <c r="D832" s="48"/>
      <c r="E832" s="48"/>
      <c r="F832" s="48"/>
    </row>
    <row r="833">
      <c r="A833" s="48"/>
      <c r="B833" s="48"/>
      <c r="C833" s="48"/>
      <c r="D833" s="48"/>
      <c r="E833" s="48"/>
      <c r="F833" s="48"/>
    </row>
    <row r="834">
      <c r="A834" s="48"/>
      <c r="B834" s="48"/>
      <c r="C834" s="48"/>
      <c r="D834" s="48"/>
      <c r="E834" s="48"/>
      <c r="F834" s="48"/>
    </row>
    <row r="835">
      <c r="A835" s="48"/>
      <c r="B835" s="48"/>
      <c r="C835" s="48"/>
      <c r="D835" s="48"/>
      <c r="E835" s="48"/>
      <c r="F835" s="48"/>
    </row>
    <row r="836">
      <c r="A836" s="48"/>
      <c r="B836" s="48"/>
      <c r="C836" s="48"/>
      <c r="D836" s="48"/>
      <c r="E836" s="48"/>
      <c r="F836" s="48"/>
    </row>
    <row r="837">
      <c r="A837" s="48"/>
      <c r="B837" s="48"/>
      <c r="C837" s="48"/>
      <c r="D837" s="48"/>
      <c r="E837" s="48"/>
      <c r="F837" s="48"/>
    </row>
    <row r="838">
      <c r="A838" s="48"/>
      <c r="B838" s="48"/>
      <c r="C838" s="48"/>
      <c r="D838" s="48"/>
      <c r="E838" s="48"/>
      <c r="F838" s="48"/>
    </row>
    <row r="839">
      <c r="A839" s="48"/>
      <c r="B839" s="48"/>
      <c r="C839" s="48"/>
      <c r="D839" s="48"/>
      <c r="E839" s="48"/>
      <c r="F839" s="48"/>
    </row>
    <row r="840">
      <c r="A840" s="48"/>
      <c r="B840" s="48"/>
      <c r="C840" s="48"/>
      <c r="D840" s="48"/>
      <c r="E840" s="48"/>
      <c r="F840" s="48"/>
    </row>
    <row r="841">
      <c r="A841" s="48"/>
      <c r="B841" s="48"/>
      <c r="C841" s="48"/>
      <c r="D841" s="48"/>
      <c r="E841" s="48"/>
      <c r="F841" s="48"/>
    </row>
    <row r="842">
      <c r="A842" s="48"/>
      <c r="B842" s="48"/>
      <c r="C842" s="48"/>
      <c r="D842" s="48"/>
      <c r="E842" s="48"/>
      <c r="F842" s="48"/>
    </row>
    <row r="843">
      <c r="A843" s="48"/>
      <c r="B843" s="48"/>
      <c r="C843" s="48"/>
      <c r="D843" s="48"/>
      <c r="E843" s="48"/>
      <c r="F843" s="48"/>
    </row>
    <row r="844">
      <c r="A844" s="48"/>
      <c r="B844" s="48"/>
      <c r="C844" s="48"/>
      <c r="D844" s="48"/>
      <c r="E844" s="48"/>
      <c r="F844" s="48"/>
    </row>
    <row r="845">
      <c r="A845" s="48"/>
      <c r="B845" s="48"/>
      <c r="C845" s="48"/>
      <c r="D845" s="48"/>
      <c r="E845" s="48"/>
      <c r="F845" s="48"/>
    </row>
    <row r="846">
      <c r="A846" s="48"/>
      <c r="B846" s="48"/>
      <c r="C846" s="48"/>
      <c r="D846" s="48"/>
      <c r="E846" s="48"/>
      <c r="F846" s="48"/>
    </row>
    <row r="847">
      <c r="A847" s="48"/>
      <c r="B847" s="48"/>
      <c r="C847" s="48"/>
      <c r="D847" s="48"/>
      <c r="E847" s="48"/>
      <c r="F847" s="48"/>
    </row>
    <row r="848">
      <c r="A848" s="48"/>
      <c r="B848" s="48"/>
      <c r="C848" s="48"/>
      <c r="D848" s="48"/>
      <c r="E848" s="48"/>
      <c r="F848" s="48"/>
    </row>
    <row r="849">
      <c r="A849" s="48"/>
      <c r="B849" s="48"/>
      <c r="C849" s="48"/>
      <c r="D849" s="48"/>
      <c r="E849" s="48"/>
      <c r="F849" s="48"/>
    </row>
    <row r="850">
      <c r="A850" s="48"/>
      <c r="B850" s="48"/>
      <c r="C850" s="48"/>
      <c r="D850" s="48"/>
      <c r="E850" s="48"/>
      <c r="F850" s="48"/>
    </row>
    <row r="851">
      <c r="A851" s="48"/>
      <c r="B851" s="48"/>
      <c r="C851" s="48"/>
      <c r="D851" s="48"/>
      <c r="E851" s="48"/>
      <c r="F851" s="48"/>
    </row>
    <row r="852">
      <c r="A852" s="48"/>
      <c r="B852" s="48"/>
      <c r="C852" s="48"/>
      <c r="D852" s="48"/>
      <c r="E852" s="48"/>
      <c r="F852" s="48"/>
    </row>
    <row r="853">
      <c r="A853" s="48"/>
      <c r="B853" s="48"/>
      <c r="C853" s="48"/>
      <c r="D853" s="48"/>
      <c r="E853" s="48"/>
      <c r="F853" s="48"/>
    </row>
    <row r="854">
      <c r="A854" s="48"/>
      <c r="B854" s="48"/>
      <c r="C854" s="48"/>
      <c r="D854" s="48"/>
      <c r="E854" s="48"/>
      <c r="F854" s="48"/>
    </row>
    <row r="855">
      <c r="A855" s="48"/>
      <c r="B855" s="48"/>
      <c r="C855" s="48"/>
      <c r="D855" s="48"/>
      <c r="E855" s="48"/>
      <c r="F855" s="48"/>
    </row>
    <row r="856">
      <c r="A856" s="48"/>
      <c r="B856" s="48"/>
      <c r="C856" s="48"/>
      <c r="D856" s="48"/>
      <c r="E856" s="48"/>
      <c r="F856" s="48"/>
    </row>
    <row r="857">
      <c r="A857" s="48"/>
      <c r="B857" s="48"/>
      <c r="C857" s="48"/>
      <c r="D857" s="48"/>
      <c r="E857" s="48"/>
      <c r="F857" s="48"/>
    </row>
    <row r="858">
      <c r="A858" s="48"/>
      <c r="B858" s="48"/>
      <c r="C858" s="48"/>
      <c r="D858" s="48"/>
      <c r="E858" s="48"/>
      <c r="F858" s="48"/>
    </row>
    <row r="859">
      <c r="A859" s="48"/>
      <c r="B859" s="48"/>
      <c r="C859" s="48"/>
      <c r="D859" s="48"/>
      <c r="E859" s="48"/>
      <c r="F859" s="48"/>
    </row>
    <row r="860">
      <c r="A860" s="48"/>
      <c r="B860" s="48"/>
      <c r="C860" s="48"/>
      <c r="D860" s="48"/>
      <c r="E860" s="48"/>
      <c r="F860" s="48"/>
    </row>
    <row r="861">
      <c r="A861" s="48"/>
      <c r="B861" s="48"/>
      <c r="C861" s="48"/>
      <c r="D861" s="48"/>
      <c r="E861" s="48"/>
      <c r="F861" s="48"/>
    </row>
    <row r="862">
      <c r="A862" s="48"/>
      <c r="B862" s="48"/>
      <c r="C862" s="48"/>
      <c r="D862" s="48"/>
      <c r="E862" s="48"/>
      <c r="F862" s="48"/>
    </row>
    <row r="863">
      <c r="A863" s="48"/>
      <c r="B863" s="48"/>
      <c r="C863" s="48"/>
      <c r="D863" s="48"/>
      <c r="E863" s="48"/>
      <c r="F863" s="48"/>
    </row>
    <row r="864">
      <c r="A864" s="48"/>
      <c r="B864" s="48"/>
      <c r="C864" s="48"/>
      <c r="D864" s="48"/>
      <c r="E864" s="48"/>
      <c r="F864" s="48"/>
    </row>
    <row r="865">
      <c r="A865" s="48"/>
      <c r="B865" s="48"/>
      <c r="C865" s="48"/>
      <c r="D865" s="48"/>
      <c r="E865" s="48"/>
      <c r="F865" s="48"/>
    </row>
    <row r="866">
      <c r="A866" s="48"/>
      <c r="B866" s="48"/>
      <c r="C866" s="48"/>
      <c r="D866" s="48"/>
      <c r="E866" s="48"/>
      <c r="F866" s="48"/>
    </row>
    <row r="867">
      <c r="A867" s="48"/>
      <c r="B867" s="48"/>
      <c r="C867" s="48"/>
      <c r="D867" s="48"/>
      <c r="E867" s="48"/>
      <c r="F867" s="48"/>
    </row>
    <row r="868">
      <c r="A868" s="48"/>
      <c r="B868" s="48"/>
      <c r="C868" s="48"/>
      <c r="D868" s="48"/>
      <c r="E868" s="48"/>
      <c r="F868" s="48"/>
    </row>
    <row r="869">
      <c r="A869" s="48"/>
      <c r="B869" s="48"/>
      <c r="C869" s="48"/>
      <c r="D869" s="48"/>
      <c r="E869" s="48"/>
      <c r="F869" s="48"/>
    </row>
    <row r="870">
      <c r="A870" s="48"/>
      <c r="B870" s="48"/>
      <c r="C870" s="48"/>
      <c r="D870" s="48"/>
      <c r="E870" s="48"/>
      <c r="F870" s="48"/>
    </row>
    <row r="871">
      <c r="A871" s="48"/>
      <c r="B871" s="48"/>
      <c r="C871" s="48"/>
      <c r="D871" s="48"/>
      <c r="E871" s="48"/>
      <c r="F871" s="48"/>
    </row>
    <row r="872">
      <c r="A872" s="48"/>
      <c r="B872" s="48"/>
      <c r="C872" s="48"/>
      <c r="D872" s="48"/>
      <c r="E872" s="48"/>
      <c r="F872" s="48"/>
    </row>
    <row r="873">
      <c r="A873" s="48"/>
      <c r="B873" s="48"/>
      <c r="C873" s="48"/>
      <c r="D873" s="48"/>
      <c r="E873" s="48"/>
      <c r="F873" s="48"/>
    </row>
    <row r="874">
      <c r="A874" s="48"/>
      <c r="B874" s="48"/>
      <c r="C874" s="48"/>
      <c r="D874" s="48"/>
      <c r="E874" s="48"/>
      <c r="F874" s="48"/>
    </row>
    <row r="875">
      <c r="A875" s="48"/>
      <c r="B875" s="48"/>
      <c r="C875" s="48"/>
      <c r="D875" s="48"/>
      <c r="E875" s="48"/>
      <c r="F875" s="48"/>
    </row>
    <row r="876">
      <c r="A876" s="48"/>
      <c r="B876" s="48"/>
      <c r="C876" s="48"/>
      <c r="D876" s="48"/>
      <c r="E876" s="48"/>
      <c r="F876" s="48"/>
    </row>
    <row r="877">
      <c r="A877" s="48"/>
      <c r="B877" s="48"/>
      <c r="C877" s="48"/>
      <c r="D877" s="48"/>
      <c r="E877" s="48"/>
      <c r="F877" s="48"/>
    </row>
    <row r="878">
      <c r="A878" s="48"/>
      <c r="B878" s="48"/>
      <c r="C878" s="48"/>
      <c r="D878" s="48"/>
      <c r="E878" s="48"/>
      <c r="F878" s="48"/>
    </row>
    <row r="879">
      <c r="A879" s="48"/>
      <c r="B879" s="48"/>
      <c r="C879" s="48"/>
      <c r="D879" s="48"/>
      <c r="E879" s="48"/>
      <c r="F879" s="48"/>
    </row>
    <row r="880">
      <c r="A880" s="48"/>
      <c r="B880" s="48"/>
      <c r="C880" s="48"/>
      <c r="D880" s="48"/>
      <c r="E880" s="48"/>
      <c r="F880" s="48"/>
    </row>
    <row r="881">
      <c r="A881" s="48"/>
      <c r="B881" s="48"/>
      <c r="C881" s="48"/>
      <c r="D881" s="48"/>
      <c r="E881" s="48"/>
      <c r="F881" s="48"/>
    </row>
    <row r="882">
      <c r="A882" s="48"/>
      <c r="B882" s="48"/>
      <c r="C882" s="48"/>
      <c r="D882" s="48"/>
      <c r="E882" s="48"/>
      <c r="F882" s="48"/>
    </row>
    <row r="883">
      <c r="A883" s="48"/>
      <c r="B883" s="48"/>
      <c r="C883" s="48"/>
      <c r="D883" s="48"/>
      <c r="E883" s="48"/>
      <c r="F883" s="48"/>
    </row>
    <row r="884">
      <c r="A884" s="48"/>
      <c r="B884" s="48"/>
      <c r="C884" s="48"/>
      <c r="D884" s="48"/>
      <c r="E884" s="48"/>
      <c r="F884" s="48"/>
    </row>
    <row r="885">
      <c r="A885" s="48"/>
      <c r="B885" s="48"/>
      <c r="C885" s="48"/>
      <c r="D885" s="48"/>
      <c r="E885" s="48"/>
      <c r="F885" s="48"/>
    </row>
    <row r="886">
      <c r="A886" s="48"/>
      <c r="B886" s="48"/>
      <c r="C886" s="48"/>
      <c r="D886" s="48"/>
      <c r="E886" s="48"/>
      <c r="F886" s="48"/>
    </row>
    <row r="887">
      <c r="A887" s="48"/>
      <c r="B887" s="48"/>
      <c r="C887" s="48"/>
      <c r="D887" s="48"/>
      <c r="E887" s="48"/>
      <c r="F887" s="48"/>
    </row>
    <row r="888">
      <c r="A888" s="48"/>
      <c r="B888" s="48"/>
      <c r="C888" s="48"/>
      <c r="D888" s="48"/>
      <c r="E888" s="48"/>
      <c r="F888" s="48"/>
    </row>
    <row r="889">
      <c r="A889" s="48"/>
      <c r="B889" s="48"/>
      <c r="C889" s="48"/>
      <c r="D889" s="48"/>
      <c r="E889" s="48"/>
      <c r="F889" s="48"/>
    </row>
    <row r="890">
      <c r="A890" s="48"/>
      <c r="B890" s="48"/>
      <c r="C890" s="48"/>
      <c r="D890" s="48"/>
      <c r="E890" s="48"/>
      <c r="F890" s="48"/>
    </row>
    <row r="891">
      <c r="A891" s="48"/>
      <c r="B891" s="48"/>
      <c r="C891" s="48"/>
      <c r="D891" s="48"/>
      <c r="E891" s="48"/>
      <c r="F891" s="48"/>
    </row>
    <row r="892">
      <c r="A892" s="48"/>
      <c r="B892" s="48"/>
      <c r="C892" s="48"/>
      <c r="D892" s="48"/>
      <c r="E892" s="48"/>
      <c r="F892" s="48"/>
    </row>
    <row r="893">
      <c r="A893" s="48"/>
      <c r="B893" s="48"/>
      <c r="C893" s="48"/>
      <c r="D893" s="48"/>
      <c r="E893" s="48"/>
      <c r="F893" s="48"/>
    </row>
    <row r="894">
      <c r="A894" s="48"/>
      <c r="B894" s="48"/>
      <c r="C894" s="48"/>
      <c r="D894" s="48"/>
      <c r="E894" s="48"/>
      <c r="F894" s="48"/>
    </row>
    <row r="895">
      <c r="A895" s="48"/>
      <c r="B895" s="48"/>
      <c r="C895" s="48"/>
      <c r="D895" s="48"/>
      <c r="E895" s="48"/>
      <c r="F895" s="48"/>
    </row>
    <row r="896">
      <c r="A896" s="48"/>
      <c r="B896" s="48"/>
      <c r="C896" s="48"/>
      <c r="D896" s="48"/>
      <c r="E896" s="48"/>
      <c r="F896" s="48"/>
    </row>
    <row r="897">
      <c r="A897" s="48"/>
      <c r="B897" s="48"/>
      <c r="C897" s="48"/>
      <c r="D897" s="48"/>
      <c r="E897" s="48"/>
      <c r="F897" s="48"/>
    </row>
    <row r="898">
      <c r="A898" s="48"/>
      <c r="B898" s="48"/>
      <c r="C898" s="48"/>
      <c r="D898" s="48"/>
      <c r="E898" s="48"/>
      <c r="F898" s="48"/>
    </row>
    <row r="899">
      <c r="A899" s="48"/>
      <c r="B899" s="48"/>
      <c r="C899" s="48"/>
      <c r="D899" s="48"/>
      <c r="E899" s="48"/>
      <c r="F899" s="48"/>
    </row>
    <row r="900">
      <c r="A900" s="48"/>
      <c r="B900" s="48"/>
      <c r="C900" s="48"/>
      <c r="D900" s="48"/>
      <c r="E900" s="48"/>
      <c r="F900" s="48"/>
    </row>
    <row r="901">
      <c r="A901" s="48"/>
      <c r="B901" s="48"/>
      <c r="C901" s="48"/>
      <c r="D901" s="48"/>
      <c r="E901" s="48"/>
      <c r="F901" s="48"/>
    </row>
    <row r="902">
      <c r="A902" s="48"/>
      <c r="B902" s="48"/>
      <c r="C902" s="48"/>
      <c r="D902" s="48"/>
      <c r="E902" s="48"/>
      <c r="F902" s="48"/>
    </row>
    <row r="903">
      <c r="A903" s="48"/>
      <c r="B903" s="48"/>
      <c r="C903" s="48"/>
      <c r="D903" s="48"/>
      <c r="E903" s="48"/>
      <c r="F903" s="48"/>
    </row>
    <row r="904">
      <c r="A904" s="48"/>
      <c r="B904" s="48"/>
      <c r="C904" s="48"/>
      <c r="D904" s="48"/>
      <c r="E904" s="48"/>
      <c r="F904" s="48"/>
    </row>
    <row r="905">
      <c r="A905" s="48"/>
      <c r="B905" s="48"/>
      <c r="C905" s="48"/>
      <c r="D905" s="48"/>
      <c r="E905" s="48"/>
      <c r="F905" s="48"/>
    </row>
    <row r="906">
      <c r="A906" s="48"/>
      <c r="B906" s="48"/>
      <c r="C906" s="48"/>
      <c r="D906" s="48"/>
      <c r="E906" s="48"/>
      <c r="F906" s="48"/>
    </row>
    <row r="907">
      <c r="A907" s="48"/>
      <c r="B907" s="48"/>
      <c r="C907" s="48"/>
      <c r="D907" s="48"/>
      <c r="E907" s="48"/>
      <c r="F907" s="48"/>
    </row>
    <row r="908">
      <c r="A908" s="48"/>
      <c r="B908" s="48"/>
      <c r="C908" s="48"/>
      <c r="D908" s="48"/>
      <c r="E908" s="48"/>
      <c r="F908" s="48"/>
    </row>
    <row r="909">
      <c r="A909" s="48"/>
      <c r="B909" s="48"/>
      <c r="C909" s="48"/>
      <c r="D909" s="48"/>
      <c r="E909" s="48"/>
      <c r="F909" s="48"/>
    </row>
    <row r="910">
      <c r="A910" s="48"/>
      <c r="B910" s="48"/>
      <c r="C910" s="48"/>
      <c r="D910" s="48"/>
      <c r="E910" s="48"/>
      <c r="F910" s="48"/>
    </row>
    <row r="911">
      <c r="A911" s="48"/>
      <c r="B911" s="48"/>
      <c r="C911" s="48"/>
      <c r="D911" s="48"/>
      <c r="E911" s="48"/>
      <c r="F911" s="48"/>
    </row>
    <row r="912">
      <c r="A912" s="48"/>
      <c r="B912" s="48"/>
      <c r="C912" s="48"/>
      <c r="D912" s="48"/>
      <c r="E912" s="48"/>
      <c r="F912" s="48"/>
    </row>
    <row r="913">
      <c r="A913" s="48"/>
      <c r="B913" s="48"/>
      <c r="C913" s="48"/>
      <c r="D913" s="48"/>
      <c r="E913" s="48"/>
      <c r="F913" s="48"/>
    </row>
    <row r="914">
      <c r="A914" s="48"/>
      <c r="B914" s="48"/>
      <c r="C914" s="48"/>
      <c r="D914" s="48"/>
      <c r="E914" s="48"/>
      <c r="F914" s="48"/>
    </row>
    <row r="915">
      <c r="A915" s="48"/>
      <c r="B915" s="48"/>
      <c r="C915" s="48"/>
      <c r="D915" s="48"/>
      <c r="E915" s="48"/>
      <c r="F915" s="48"/>
    </row>
    <row r="916">
      <c r="A916" s="48"/>
      <c r="B916" s="48"/>
      <c r="C916" s="48"/>
      <c r="D916" s="48"/>
      <c r="E916" s="48"/>
      <c r="F916" s="48"/>
    </row>
    <row r="917">
      <c r="A917" s="48"/>
      <c r="B917" s="48"/>
      <c r="C917" s="48"/>
      <c r="D917" s="48"/>
      <c r="E917" s="48"/>
      <c r="F917" s="48"/>
    </row>
    <row r="918">
      <c r="A918" s="48"/>
      <c r="B918" s="48"/>
      <c r="C918" s="48"/>
      <c r="D918" s="48"/>
      <c r="E918" s="48"/>
      <c r="F918" s="48"/>
    </row>
    <row r="919">
      <c r="A919" s="48"/>
      <c r="B919" s="48"/>
      <c r="C919" s="48"/>
      <c r="D919" s="48"/>
      <c r="E919" s="48"/>
      <c r="F919" s="48"/>
    </row>
    <row r="920">
      <c r="A920" s="48"/>
      <c r="B920" s="48"/>
      <c r="C920" s="48"/>
      <c r="D920" s="48"/>
      <c r="E920" s="48"/>
      <c r="F920" s="48"/>
    </row>
    <row r="921">
      <c r="A921" s="48"/>
      <c r="B921" s="48"/>
      <c r="C921" s="48"/>
      <c r="D921" s="48"/>
      <c r="E921" s="48"/>
      <c r="F921" s="48"/>
    </row>
    <row r="922">
      <c r="A922" s="48"/>
      <c r="B922" s="48"/>
      <c r="C922" s="48"/>
      <c r="D922" s="48"/>
      <c r="E922" s="48"/>
      <c r="F922" s="48"/>
    </row>
    <row r="923">
      <c r="A923" s="48"/>
      <c r="B923" s="48"/>
      <c r="C923" s="48"/>
      <c r="D923" s="48"/>
      <c r="E923" s="48"/>
      <c r="F923" s="48"/>
    </row>
    <row r="924">
      <c r="A924" s="48"/>
      <c r="B924" s="48"/>
      <c r="C924" s="48"/>
      <c r="D924" s="48"/>
      <c r="E924" s="48"/>
      <c r="F924" s="48"/>
    </row>
    <row r="925">
      <c r="A925" s="48"/>
      <c r="B925" s="48"/>
      <c r="C925" s="48"/>
      <c r="D925" s="48"/>
      <c r="E925" s="48"/>
      <c r="F925" s="48"/>
    </row>
    <row r="926">
      <c r="A926" s="48"/>
      <c r="B926" s="48"/>
      <c r="C926" s="48"/>
      <c r="D926" s="48"/>
      <c r="E926" s="48"/>
      <c r="F926" s="48"/>
    </row>
    <row r="927">
      <c r="A927" s="48"/>
      <c r="B927" s="48"/>
      <c r="C927" s="48"/>
      <c r="D927" s="48"/>
      <c r="E927" s="48"/>
      <c r="F927" s="48"/>
    </row>
    <row r="928">
      <c r="A928" s="48"/>
      <c r="B928" s="48"/>
      <c r="C928" s="48"/>
      <c r="D928" s="48"/>
      <c r="E928" s="48"/>
      <c r="F928" s="48"/>
    </row>
    <row r="929">
      <c r="A929" s="48"/>
      <c r="B929" s="48"/>
      <c r="C929" s="48"/>
      <c r="D929" s="48"/>
      <c r="E929" s="48"/>
      <c r="F929" s="48"/>
    </row>
    <row r="930">
      <c r="A930" s="48"/>
      <c r="B930" s="48"/>
      <c r="C930" s="48"/>
      <c r="D930" s="48"/>
      <c r="E930" s="48"/>
      <c r="F930" s="48"/>
    </row>
    <row r="931">
      <c r="A931" s="48"/>
      <c r="B931" s="48"/>
      <c r="C931" s="48"/>
      <c r="D931" s="48"/>
      <c r="E931" s="48"/>
      <c r="F931" s="48"/>
    </row>
    <row r="932">
      <c r="A932" s="48"/>
      <c r="B932" s="48"/>
      <c r="C932" s="48"/>
      <c r="D932" s="48"/>
      <c r="E932" s="48"/>
      <c r="F932" s="48"/>
    </row>
    <row r="933">
      <c r="A933" s="48"/>
      <c r="B933" s="48"/>
      <c r="C933" s="48"/>
      <c r="D933" s="48"/>
      <c r="E933" s="48"/>
      <c r="F933" s="48"/>
    </row>
    <row r="934">
      <c r="A934" s="48"/>
      <c r="B934" s="48"/>
      <c r="C934" s="48"/>
      <c r="D934" s="48"/>
      <c r="E934" s="48"/>
      <c r="F934" s="48"/>
    </row>
    <row r="935">
      <c r="A935" s="48"/>
      <c r="B935" s="48"/>
      <c r="C935" s="48"/>
      <c r="D935" s="48"/>
      <c r="E935" s="48"/>
      <c r="F935" s="48"/>
    </row>
    <row r="936">
      <c r="A936" s="48"/>
      <c r="B936" s="48"/>
      <c r="C936" s="48"/>
      <c r="D936" s="48"/>
      <c r="E936" s="48"/>
      <c r="F936" s="48"/>
    </row>
    <row r="937">
      <c r="A937" s="48"/>
      <c r="B937" s="48"/>
      <c r="C937" s="48"/>
      <c r="D937" s="48"/>
      <c r="E937" s="48"/>
      <c r="F937" s="48"/>
    </row>
    <row r="938">
      <c r="A938" s="48"/>
      <c r="B938" s="48"/>
      <c r="C938" s="48"/>
      <c r="D938" s="48"/>
      <c r="E938" s="48"/>
      <c r="F938" s="48"/>
    </row>
    <row r="939">
      <c r="A939" s="48"/>
      <c r="B939" s="48"/>
      <c r="C939" s="48"/>
      <c r="D939" s="48"/>
      <c r="E939" s="48"/>
      <c r="F939" s="48"/>
    </row>
    <row r="940">
      <c r="A940" s="48"/>
      <c r="B940" s="48"/>
      <c r="C940" s="48"/>
      <c r="D940" s="48"/>
      <c r="E940" s="48"/>
      <c r="F940" s="48"/>
    </row>
    <row r="941">
      <c r="A941" s="48"/>
      <c r="B941" s="48"/>
      <c r="C941" s="48"/>
      <c r="D941" s="48"/>
      <c r="E941" s="48"/>
      <c r="F941" s="48"/>
    </row>
    <row r="942">
      <c r="A942" s="48"/>
      <c r="B942" s="48"/>
      <c r="C942" s="48"/>
      <c r="D942" s="48"/>
      <c r="E942" s="48"/>
      <c r="F942" s="48"/>
    </row>
    <row r="943">
      <c r="A943" s="48"/>
      <c r="B943" s="48"/>
      <c r="C943" s="48"/>
      <c r="D943" s="48"/>
      <c r="E943" s="48"/>
      <c r="F943" s="48"/>
    </row>
    <row r="944">
      <c r="A944" s="48"/>
      <c r="B944" s="48"/>
      <c r="C944" s="48"/>
      <c r="D944" s="48"/>
      <c r="E944" s="48"/>
      <c r="F944" s="48"/>
    </row>
    <row r="945">
      <c r="A945" s="48"/>
      <c r="B945" s="48"/>
      <c r="C945" s="48"/>
      <c r="D945" s="48"/>
      <c r="E945" s="48"/>
      <c r="F945" s="48"/>
    </row>
    <row r="946">
      <c r="A946" s="48"/>
      <c r="B946" s="48"/>
      <c r="C946" s="48"/>
      <c r="D946" s="48"/>
      <c r="E946" s="48"/>
      <c r="F946" s="48"/>
    </row>
    <row r="947">
      <c r="A947" s="48"/>
      <c r="B947" s="48"/>
      <c r="C947" s="48"/>
      <c r="D947" s="48"/>
      <c r="E947" s="48"/>
      <c r="F947" s="48"/>
    </row>
    <row r="948">
      <c r="A948" s="48"/>
      <c r="B948" s="48"/>
      <c r="C948" s="48"/>
      <c r="D948" s="48"/>
      <c r="E948" s="48"/>
      <c r="F948" s="48"/>
    </row>
    <row r="949">
      <c r="A949" s="48"/>
      <c r="B949" s="48"/>
      <c r="C949" s="48"/>
      <c r="D949" s="48"/>
      <c r="E949" s="48"/>
      <c r="F949" s="48"/>
    </row>
    <row r="950">
      <c r="A950" s="48"/>
      <c r="B950" s="48"/>
      <c r="C950" s="48"/>
      <c r="D950" s="48"/>
      <c r="E950" s="48"/>
      <c r="F950" s="48"/>
    </row>
    <row r="951">
      <c r="A951" s="48"/>
      <c r="B951" s="48"/>
      <c r="C951" s="48"/>
      <c r="D951" s="48"/>
      <c r="E951" s="48"/>
      <c r="F951" s="48"/>
    </row>
    <row r="952">
      <c r="A952" s="48"/>
      <c r="B952" s="48"/>
      <c r="C952" s="48"/>
      <c r="D952" s="48"/>
      <c r="E952" s="48"/>
      <c r="F952" s="48"/>
    </row>
    <row r="953">
      <c r="A953" s="48"/>
      <c r="B953" s="48"/>
      <c r="C953" s="48"/>
      <c r="D953" s="48"/>
      <c r="E953" s="48"/>
      <c r="F953" s="48"/>
    </row>
    <row r="954">
      <c r="A954" s="48"/>
      <c r="B954" s="48"/>
      <c r="C954" s="48"/>
      <c r="D954" s="48"/>
      <c r="E954" s="48"/>
      <c r="F954" s="48"/>
    </row>
    <row r="955">
      <c r="A955" s="48"/>
      <c r="B955" s="48"/>
      <c r="C955" s="48"/>
      <c r="D955" s="48"/>
      <c r="E955" s="48"/>
      <c r="F955" s="48"/>
    </row>
    <row r="956">
      <c r="A956" s="48"/>
      <c r="B956" s="48"/>
      <c r="C956" s="48"/>
      <c r="D956" s="48"/>
      <c r="E956" s="48"/>
      <c r="F956" s="48"/>
    </row>
    <row r="957">
      <c r="A957" s="48"/>
      <c r="B957" s="48"/>
      <c r="C957" s="48"/>
      <c r="D957" s="48"/>
      <c r="E957" s="48"/>
      <c r="F957" s="48"/>
    </row>
    <row r="958">
      <c r="A958" s="48"/>
      <c r="B958" s="48"/>
      <c r="C958" s="48"/>
      <c r="D958" s="48"/>
      <c r="E958" s="48"/>
      <c r="F958" s="48"/>
    </row>
    <row r="959">
      <c r="A959" s="48"/>
      <c r="B959" s="48"/>
      <c r="C959" s="48"/>
      <c r="D959" s="48"/>
      <c r="E959" s="48"/>
      <c r="F959" s="48"/>
    </row>
    <row r="960">
      <c r="A960" s="48"/>
      <c r="B960" s="48"/>
      <c r="C960" s="48"/>
      <c r="D960" s="48"/>
      <c r="E960" s="48"/>
      <c r="F960" s="48"/>
    </row>
    <row r="961">
      <c r="A961" s="48"/>
      <c r="B961" s="48"/>
      <c r="C961" s="48"/>
      <c r="D961" s="48"/>
      <c r="E961" s="48"/>
      <c r="F961" s="48"/>
    </row>
    <row r="962">
      <c r="A962" s="48"/>
      <c r="B962" s="48"/>
      <c r="C962" s="48"/>
      <c r="D962" s="48"/>
      <c r="E962" s="48"/>
      <c r="F962" s="48"/>
    </row>
    <row r="963">
      <c r="A963" s="48"/>
      <c r="B963" s="48"/>
      <c r="C963" s="48"/>
      <c r="D963" s="48"/>
      <c r="E963" s="48"/>
      <c r="F963" s="48"/>
    </row>
    <row r="964">
      <c r="A964" s="48"/>
      <c r="B964" s="48"/>
      <c r="C964" s="48"/>
      <c r="D964" s="48"/>
      <c r="E964" s="48"/>
      <c r="F964" s="48"/>
    </row>
    <row r="965">
      <c r="A965" s="48"/>
      <c r="B965" s="48"/>
      <c r="C965" s="48"/>
      <c r="D965" s="48"/>
      <c r="E965" s="48"/>
      <c r="F965" s="48"/>
    </row>
    <row r="966">
      <c r="A966" s="48"/>
      <c r="B966" s="48"/>
      <c r="C966" s="48"/>
      <c r="D966" s="48"/>
      <c r="E966" s="48"/>
      <c r="F966" s="48"/>
    </row>
    <row r="967">
      <c r="A967" s="48"/>
      <c r="B967" s="48"/>
      <c r="C967" s="48"/>
      <c r="D967" s="48"/>
      <c r="E967" s="48"/>
      <c r="F967" s="48"/>
    </row>
    <row r="968">
      <c r="A968" s="48"/>
      <c r="B968" s="48"/>
      <c r="C968" s="48"/>
      <c r="D968" s="48"/>
      <c r="E968" s="48"/>
      <c r="F968" s="48"/>
    </row>
    <row r="969">
      <c r="A969" s="48"/>
      <c r="B969" s="48"/>
      <c r="C969" s="48"/>
      <c r="D969" s="48"/>
      <c r="E969" s="48"/>
      <c r="F969" s="48"/>
    </row>
    <row r="970">
      <c r="A970" s="48"/>
      <c r="B970" s="48"/>
      <c r="C970" s="48"/>
      <c r="D970" s="48"/>
      <c r="E970" s="48"/>
      <c r="F970" s="48"/>
    </row>
    <row r="971">
      <c r="A971" s="48"/>
      <c r="B971" s="48"/>
      <c r="C971" s="48"/>
      <c r="D971" s="48"/>
      <c r="E971" s="48"/>
      <c r="F971" s="48"/>
    </row>
    <row r="972">
      <c r="A972" s="48"/>
      <c r="B972" s="48"/>
      <c r="C972" s="48"/>
      <c r="D972" s="48"/>
      <c r="E972" s="48"/>
      <c r="F972" s="48"/>
    </row>
    <row r="973">
      <c r="A973" s="48"/>
      <c r="B973" s="48"/>
      <c r="C973" s="48"/>
      <c r="D973" s="48"/>
      <c r="E973" s="48"/>
      <c r="F973" s="48"/>
    </row>
    <row r="974">
      <c r="A974" s="48"/>
      <c r="B974" s="48"/>
      <c r="C974" s="48"/>
      <c r="D974" s="48"/>
      <c r="E974" s="48"/>
      <c r="F974" s="48"/>
    </row>
    <row r="975">
      <c r="A975" s="48"/>
      <c r="B975" s="48"/>
      <c r="C975" s="48"/>
      <c r="D975" s="48"/>
      <c r="E975" s="48"/>
      <c r="F975" s="48"/>
    </row>
    <row r="976">
      <c r="A976" s="48"/>
      <c r="B976" s="48"/>
      <c r="C976" s="48"/>
      <c r="D976" s="48"/>
      <c r="E976" s="48"/>
      <c r="F976" s="48"/>
    </row>
    <row r="977">
      <c r="A977" s="48"/>
      <c r="B977" s="48"/>
      <c r="C977" s="48"/>
      <c r="D977" s="48"/>
      <c r="E977" s="48"/>
      <c r="F977" s="48"/>
    </row>
    <row r="978">
      <c r="A978" s="48"/>
      <c r="B978" s="48"/>
      <c r="C978" s="48"/>
      <c r="D978" s="48"/>
      <c r="E978" s="48"/>
      <c r="F978" s="48"/>
    </row>
    <row r="979">
      <c r="A979" s="48"/>
      <c r="B979" s="48"/>
      <c r="C979" s="48"/>
      <c r="D979" s="48"/>
      <c r="E979" s="48"/>
      <c r="F979" s="48"/>
    </row>
    <row r="980">
      <c r="A980" s="48"/>
      <c r="B980" s="48"/>
      <c r="C980" s="48"/>
      <c r="D980" s="48"/>
      <c r="E980" s="48"/>
      <c r="F980" s="48"/>
    </row>
    <row r="981">
      <c r="A981" s="48"/>
      <c r="B981" s="48"/>
      <c r="C981" s="48"/>
      <c r="D981" s="48"/>
      <c r="E981" s="48"/>
      <c r="F981" s="48"/>
    </row>
    <row r="982">
      <c r="A982" s="48"/>
      <c r="B982" s="48"/>
      <c r="C982" s="48"/>
      <c r="D982" s="48"/>
      <c r="E982" s="48"/>
      <c r="F982" s="48"/>
    </row>
    <row r="983">
      <c r="A983" s="48"/>
      <c r="B983" s="48"/>
      <c r="C983" s="48"/>
      <c r="D983" s="48"/>
      <c r="E983" s="48"/>
      <c r="F983" s="48"/>
    </row>
    <row r="984">
      <c r="A984" s="48"/>
      <c r="B984" s="48"/>
      <c r="C984" s="48"/>
      <c r="D984" s="48"/>
      <c r="E984" s="48"/>
      <c r="F984" s="48"/>
    </row>
    <row r="985">
      <c r="A985" s="48"/>
      <c r="B985" s="48"/>
      <c r="C985" s="48"/>
      <c r="D985" s="48"/>
      <c r="E985" s="48"/>
      <c r="F985" s="48"/>
    </row>
    <row r="986">
      <c r="A986" s="48"/>
      <c r="B986" s="48"/>
      <c r="C986" s="48"/>
      <c r="D986" s="48"/>
      <c r="E986" s="48"/>
      <c r="F986" s="48"/>
    </row>
    <row r="987">
      <c r="A987" s="48"/>
      <c r="B987" s="48"/>
      <c r="C987" s="48"/>
      <c r="D987" s="48"/>
      <c r="E987" s="48"/>
      <c r="F987" s="48"/>
    </row>
    <row r="988">
      <c r="A988" s="48"/>
      <c r="B988" s="48"/>
      <c r="C988" s="48"/>
      <c r="D988" s="48"/>
      <c r="E988" s="48"/>
      <c r="F988" s="48"/>
    </row>
    <row r="989">
      <c r="A989" s="48"/>
      <c r="B989" s="48"/>
      <c r="C989" s="48"/>
      <c r="D989" s="48"/>
      <c r="E989" s="48"/>
      <c r="F989" s="48"/>
    </row>
    <row r="990">
      <c r="A990" s="48"/>
      <c r="B990" s="48"/>
      <c r="C990" s="48"/>
      <c r="D990" s="48"/>
      <c r="E990" s="48"/>
      <c r="F990" s="48"/>
    </row>
    <row r="991">
      <c r="A991" s="48"/>
      <c r="B991" s="48"/>
      <c r="C991" s="48"/>
      <c r="D991" s="48"/>
      <c r="E991" s="48"/>
      <c r="F991" s="48"/>
    </row>
    <row r="992">
      <c r="A992" s="48"/>
      <c r="B992" s="48"/>
      <c r="C992" s="48"/>
      <c r="D992" s="48"/>
      <c r="E992" s="48"/>
      <c r="F992" s="48"/>
    </row>
    <row r="993">
      <c r="A993" s="48"/>
      <c r="B993" s="48"/>
      <c r="C993" s="48"/>
      <c r="D993" s="48"/>
      <c r="E993" s="48"/>
      <c r="F993" s="48"/>
    </row>
    <row r="994">
      <c r="A994" s="48"/>
      <c r="B994" s="48"/>
      <c r="C994" s="48"/>
      <c r="D994" s="48"/>
      <c r="E994" s="48"/>
      <c r="F994" s="48"/>
    </row>
    <row r="995">
      <c r="A995" s="48"/>
      <c r="B995" s="48"/>
      <c r="C995" s="48"/>
      <c r="D995" s="48"/>
      <c r="E995" s="48"/>
      <c r="F995" s="48"/>
    </row>
    <row r="996">
      <c r="A996" s="48"/>
      <c r="B996" s="48"/>
      <c r="C996" s="48"/>
      <c r="D996" s="48"/>
      <c r="E996" s="48"/>
      <c r="F996" s="48"/>
    </row>
    <row r="997">
      <c r="A997" s="48"/>
      <c r="B997" s="48"/>
      <c r="C997" s="48"/>
      <c r="D997" s="48"/>
      <c r="E997" s="48"/>
      <c r="F997" s="48"/>
    </row>
    <row r="998">
      <c r="A998" s="48"/>
      <c r="B998" s="48"/>
      <c r="C998" s="48"/>
      <c r="D998" s="48"/>
      <c r="E998" s="48"/>
      <c r="F998" s="48"/>
    </row>
    <row r="999">
      <c r="A999" s="48"/>
      <c r="B999" s="48"/>
      <c r="C999" s="48"/>
      <c r="D999" s="48"/>
      <c r="E999" s="48"/>
      <c r="F999" s="48"/>
    </row>
    <row r="1000">
      <c r="A1000" s="48"/>
      <c r="B1000" s="48"/>
      <c r="C1000" s="48"/>
      <c r="D1000" s="48"/>
      <c r="E1000" s="48"/>
      <c r="F1000" s="48"/>
    </row>
    <row r="1001">
      <c r="A1001" s="48"/>
      <c r="B1001" s="48"/>
      <c r="C1001" s="48"/>
      <c r="D1001" s="48"/>
      <c r="E1001" s="48"/>
      <c r="F1001" s="48"/>
    </row>
    <row r="1002">
      <c r="A1002" s="48"/>
      <c r="B1002" s="48"/>
      <c r="C1002" s="48"/>
      <c r="D1002" s="48"/>
      <c r="E1002" s="48"/>
      <c r="F1002" s="48"/>
    </row>
    <row r="1003">
      <c r="A1003" s="48"/>
      <c r="B1003" s="48"/>
      <c r="C1003" s="48"/>
      <c r="D1003" s="48"/>
      <c r="E1003" s="48"/>
      <c r="F1003" s="48"/>
    </row>
    <row r="1004">
      <c r="A1004" s="48"/>
      <c r="B1004" s="48"/>
      <c r="C1004" s="48"/>
      <c r="D1004" s="48"/>
      <c r="E1004" s="48"/>
      <c r="F1004" s="48"/>
    </row>
    <row r="1005">
      <c r="A1005" s="48"/>
      <c r="B1005" s="48"/>
      <c r="C1005" s="48"/>
      <c r="D1005" s="48"/>
      <c r="E1005" s="48"/>
      <c r="F1005" s="4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75"/>
    <col customWidth="1" min="4" max="4" width="22.63"/>
    <col customWidth="1" min="5" max="5" width="26.38"/>
    <col customWidth="1" min="6" max="6" width="18.88"/>
    <col customWidth="1" min="7" max="7" width="16.38"/>
    <col customWidth="1" min="8" max="10" width="7.0"/>
    <col customWidth="1" min="11" max="11" width="101.5"/>
  </cols>
  <sheetData>
    <row r="1">
      <c r="B1" s="371" t="s">
        <v>876</v>
      </c>
      <c r="C1" s="132"/>
      <c r="E1" s="132"/>
      <c r="F1" s="132"/>
      <c r="G1" s="132"/>
      <c r="H1" s="372"/>
      <c r="I1" s="372"/>
      <c r="J1" s="372"/>
      <c r="K1" s="2"/>
      <c r="L1" s="132"/>
      <c r="M1" s="132"/>
      <c r="N1" s="132"/>
      <c r="O1" s="132"/>
      <c r="P1" s="132"/>
      <c r="Q1" s="132"/>
      <c r="R1" s="132"/>
      <c r="S1" s="132"/>
      <c r="T1" s="132"/>
      <c r="U1" s="132"/>
      <c r="V1" s="132"/>
      <c r="W1" s="132"/>
      <c r="X1" s="132"/>
      <c r="Y1" s="132"/>
      <c r="Z1" s="132"/>
      <c r="AA1" s="132"/>
      <c r="AB1" s="132"/>
      <c r="AC1" s="132"/>
    </row>
    <row r="2">
      <c r="B2" s="371" t="s">
        <v>877</v>
      </c>
      <c r="C2" s="132"/>
      <c r="E2" s="132"/>
      <c r="F2" s="132"/>
      <c r="G2" s="132"/>
      <c r="H2" s="372"/>
      <c r="I2" s="372"/>
      <c r="J2" s="372"/>
      <c r="K2" s="2"/>
      <c r="L2" s="132"/>
      <c r="M2" s="132"/>
      <c r="N2" s="132"/>
      <c r="O2" s="132"/>
      <c r="P2" s="132"/>
      <c r="Q2" s="132"/>
      <c r="R2" s="132"/>
      <c r="S2" s="132"/>
      <c r="T2" s="132"/>
      <c r="U2" s="132"/>
      <c r="V2" s="132"/>
      <c r="W2" s="132"/>
      <c r="X2" s="132"/>
      <c r="Y2" s="132"/>
      <c r="Z2" s="132"/>
      <c r="AA2" s="132"/>
      <c r="AB2" s="132"/>
      <c r="AC2" s="132"/>
    </row>
    <row r="3">
      <c r="B3" s="371" t="s">
        <v>878</v>
      </c>
      <c r="C3" s="132"/>
      <c r="E3" s="132"/>
      <c r="F3" s="132"/>
      <c r="G3" s="132"/>
      <c r="H3" s="372"/>
      <c r="I3" s="372"/>
      <c r="J3" s="372"/>
      <c r="K3" s="2"/>
      <c r="L3" s="132"/>
      <c r="M3" s="132"/>
      <c r="N3" s="132"/>
      <c r="O3" s="132"/>
      <c r="P3" s="132"/>
      <c r="Q3" s="132"/>
      <c r="R3" s="132"/>
      <c r="S3" s="132"/>
      <c r="T3" s="132"/>
      <c r="U3" s="132"/>
      <c r="V3" s="132"/>
      <c r="W3" s="132"/>
      <c r="X3" s="132"/>
      <c r="Y3" s="132"/>
      <c r="Z3" s="132"/>
      <c r="AA3" s="132"/>
      <c r="AB3" s="132"/>
      <c r="AC3" s="132"/>
    </row>
    <row r="4">
      <c r="B4" s="371" t="s">
        <v>879</v>
      </c>
      <c r="C4" s="132"/>
      <c r="E4" s="132"/>
      <c r="F4" s="132"/>
      <c r="G4" s="132"/>
      <c r="H4" s="372"/>
      <c r="I4" s="372"/>
      <c r="J4" s="372"/>
      <c r="K4" s="2"/>
      <c r="L4" s="132"/>
      <c r="M4" s="132"/>
      <c r="N4" s="132"/>
      <c r="O4" s="132"/>
      <c r="P4" s="132"/>
      <c r="Q4" s="132"/>
      <c r="R4" s="132"/>
      <c r="S4" s="132"/>
      <c r="T4" s="132"/>
      <c r="U4" s="132"/>
      <c r="V4" s="132"/>
      <c r="W4" s="132"/>
      <c r="X4" s="132"/>
      <c r="Y4" s="132"/>
      <c r="Z4" s="132"/>
      <c r="AA4" s="132"/>
      <c r="AB4" s="132"/>
      <c r="AC4" s="132"/>
    </row>
    <row r="5">
      <c r="A5" s="132"/>
      <c r="B5" s="132"/>
      <c r="C5" s="132"/>
      <c r="D5" s="132"/>
      <c r="E5" s="132"/>
      <c r="F5" s="132"/>
      <c r="G5" s="132"/>
      <c r="H5" s="372"/>
      <c r="I5" s="372"/>
      <c r="J5" s="372"/>
      <c r="K5" s="2"/>
      <c r="L5" s="132"/>
      <c r="M5" s="132"/>
      <c r="N5" s="132"/>
      <c r="O5" s="132"/>
      <c r="P5" s="132"/>
      <c r="Q5" s="132"/>
      <c r="R5" s="132"/>
      <c r="S5" s="132"/>
      <c r="T5" s="132"/>
      <c r="U5" s="132"/>
      <c r="V5" s="132"/>
      <c r="W5" s="132"/>
      <c r="X5" s="132"/>
      <c r="Y5" s="132"/>
      <c r="Z5" s="132"/>
      <c r="AA5" s="132"/>
      <c r="AB5" s="132"/>
      <c r="AC5" s="132"/>
    </row>
    <row r="6">
      <c r="A6" s="132"/>
      <c r="B6" s="373" t="s">
        <v>880</v>
      </c>
      <c r="C6" s="373" t="s">
        <v>881</v>
      </c>
      <c r="D6" s="373" t="s">
        <v>882</v>
      </c>
      <c r="E6" s="373" t="s">
        <v>883</v>
      </c>
      <c r="F6" s="373" t="s">
        <v>884</v>
      </c>
      <c r="G6" s="373" t="s">
        <v>885</v>
      </c>
      <c r="H6" s="374" t="s">
        <v>886</v>
      </c>
      <c r="I6" s="374" t="s">
        <v>887</v>
      </c>
      <c r="J6" s="374" t="s">
        <v>888</v>
      </c>
      <c r="K6" s="375" t="s">
        <v>889</v>
      </c>
      <c r="L6" s="132"/>
      <c r="M6" s="132"/>
      <c r="N6" s="132"/>
      <c r="O6" s="132"/>
      <c r="P6" s="132"/>
      <c r="Q6" s="132"/>
      <c r="R6" s="132"/>
      <c r="S6" s="132"/>
      <c r="T6" s="132"/>
      <c r="U6" s="132"/>
      <c r="V6" s="132"/>
      <c r="W6" s="132"/>
      <c r="X6" s="132"/>
      <c r="Y6" s="132"/>
      <c r="Z6" s="132"/>
      <c r="AA6" s="132"/>
      <c r="AB6" s="132"/>
      <c r="AC6" s="132"/>
    </row>
    <row r="7">
      <c r="A7" s="376" t="s">
        <v>890</v>
      </c>
      <c r="B7" s="132"/>
      <c r="C7" s="132"/>
      <c r="D7" s="132"/>
      <c r="E7" s="132"/>
      <c r="F7" s="132"/>
      <c r="G7" s="132"/>
      <c r="H7" s="372"/>
      <c r="I7" s="372"/>
      <c r="J7" s="372"/>
      <c r="K7" s="377"/>
      <c r="L7" s="132"/>
      <c r="M7" s="132"/>
      <c r="N7" s="132"/>
      <c r="O7" s="132"/>
      <c r="P7" s="132"/>
      <c r="Q7" s="132"/>
      <c r="R7" s="132"/>
      <c r="S7" s="132"/>
      <c r="T7" s="132"/>
      <c r="U7" s="132"/>
      <c r="V7" s="132"/>
      <c r="W7" s="132"/>
      <c r="X7" s="132"/>
      <c r="Y7" s="132"/>
      <c r="Z7" s="132"/>
      <c r="AA7" s="132"/>
      <c r="AB7" s="132"/>
      <c r="AC7" s="132"/>
    </row>
    <row r="8">
      <c r="A8" s="378" t="s">
        <v>891</v>
      </c>
      <c r="B8" s="105" t="s">
        <v>892</v>
      </c>
      <c r="C8" s="105" t="s">
        <v>893</v>
      </c>
      <c r="D8" s="105" t="s">
        <v>894</v>
      </c>
      <c r="E8" s="105" t="s">
        <v>895</v>
      </c>
      <c r="F8" s="105" t="s">
        <v>896</v>
      </c>
      <c r="G8" s="132"/>
      <c r="H8" s="136">
        <v>60.0</v>
      </c>
      <c r="I8" s="136">
        <v>1.0</v>
      </c>
      <c r="J8" s="136">
        <v>10.0</v>
      </c>
      <c r="K8" s="371" t="s">
        <v>897</v>
      </c>
      <c r="L8" s="132"/>
      <c r="M8" s="132"/>
      <c r="N8" s="132"/>
      <c r="O8" s="132"/>
      <c r="P8" s="132"/>
      <c r="Q8" s="132"/>
      <c r="R8" s="132"/>
      <c r="S8" s="132"/>
      <c r="T8" s="132"/>
      <c r="U8" s="132"/>
      <c r="V8" s="132"/>
      <c r="W8" s="132"/>
      <c r="X8" s="132"/>
      <c r="Y8" s="132"/>
      <c r="Z8" s="132"/>
      <c r="AA8" s="132"/>
      <c r="AB8" s="132"/>
      <c r="AC8" s="132"/>
    </row>
    <row r="9">
      <c r="A9" s="132"/>
      <c r="B9" s="105" t="s">
        <v>898</v>
      </c>
      <c r="C9" s="105" t="s">
        <v>899</v>
      </c>
      <c r="D9" s="105" t="s">
        <v>900</v>
      </c>
      <c r="E9" s="132"/>
      <c r="F9" s="132"/>
      <c r="G9" s="132"/>
      <c r="H9" s="136" t="s">
        <v>332</v>
      </c>
      <c r="I9" s="136">
        <v>1.0</v>
      </c>
      <c r="J9" s="136">
        <v>5.0</v>
      </c>
      <c r="K9" s="377"/>
      <c r="L9" s="132"/>
      <c r="M9" s="132"/>
      <c r="N9" s="132"/>
      <c r="O9" s="132"/>
      <c r="P9" s="132"/>
      <c r="Q9" s="132"/>
      <c r="R9" s="132"/>
      <c r="S9" s="132"/>
      <c r="T9" s="132"/>
      <c r="U9" s="132"/>
      <c r="V9" s="132"/>
      <c r="W9" s="132"/>
      <c r="X9" s="132"/>
      <c r="Y9" s="132"/>
      <c r="Z9" s="132"/>
      <c r="AA9" s="132"/>
      <c r="AB9" s="132"/>
      <c r="AC9" s="132"/>
    </row>
    <row r="10">
      <c r="A10" s="132"/>
      <c r="B10" s="105" t="s">
        <v>901</v>
      </c>
      <c r="C10" s="105" t="s">
        <v>902</v>
      </c>
      <c r="D10" s="105" t="s">
        <v>903</v>
      </c>
      <c r="E10" s="132"/>
      <c r="F10" s="132"/>
      <c r="G10" s="132"/>
      <c r="H10" s="136" t="s">
        <v>332</v>
      </c>
      <c r="I10" s="136">
        <v>1.0</v>
      </c>
      <c r="J10" s="136">
        <v>20.0</v>
      </c>
      <c r="K10" s="377"/>
      <c r="L10" s="132"/>
      <c r="M10" s="132"/>
      <c r="N10" s="132"/>
      <c r="O10" s="132"/>
      <c r="P10" s="132"/>
      <c r="Q10" s="132"/>
      <c r="R10" s="132"/>
      <c r="S10" s="132"/>
      <c r="T10" s="132"/>
      <c r="U10" s="132"/>
      <c r="V10" s="132"/>
      <c r="W10" s="132"/>
      <c r="X10" s="132"/>
      <c r="Y10" s="132"/>
      <c r="Z10" s="132"/>
      <c r="AA10" s="132"/>
      <c r="AB10" s="132"/>
      <c r="AC10" s="132"/>
    </row>
    <row r="11">
      <c r="A11" s="132"/>
      <c r="B11" s="105" t="s">
        <v>904</v>
      </c>
      <c r="C11" s="105" t="s">
        <v>905</v>
      </c>
      <c r="D11" s="105" t="s">
        <v>906</v>
      </c>
      <c r="E11" s="105" t="s">
        <v>907</v>
      </c>
      <c r="F11" s="132"/>
      <c r="G11" s="132"/>
      <c r="H11" s="136" t="s">
        <v>332</v>
      </c>
      <c r="I11" s="136">
        <v>1.0</v>
      </c>
      <c r="J11" s="136">
        <v>5.0</v>
      </c>
      <c r="K11" s="371" t="s">
        <v>908</v>
      </c>
      <c r="L11" s="132"/>
      <c r="M11" s="132"/>
      <c r="N11" s="132"/>
      <c r="O11" s="132"/>
      <c r="P11" s="132"/>
      <c r="Q11" s="132"/>
      <c r="R11" s="132"/>
      <c r="S11" s="132"/>
      <c r="T11" s="132"/>
      <c r="U11" s="132"/>
      <c r="V11" s="132"/>
      <c r="W11" s="132"/>
      <c r="X11" s="132"/>
      <c r="Y11" s="132"/>
      <c r="Z11" s="132"/>
      <c r="AA11" s="132"/>
      <c r="AB11" s="132"/>
      <c r="AC11" s="132"/>
    </row>
    <row r="12">
      <c r="A12" s="132"/>
      <c r="B12" s="105" t="s">
        <v>909</v>
      </c>
      <c r="C12" s="105" t="s">
        <v>910</v>
      </c>
      <c r="D12" s="105" t="s">
        <v>911</v>
      </c>
      <c r="E12" s="105" t="s">
        <v>902</v>
      </c>
      <c r="F12" s="132"/>
      <c r="G12" s="132"/>
      <c r="H12" s="136">
        <v>40.0</v>
      </c>
      <c r="I12" s="136">
        <v>1.0</v>
      </c>
      <c r="J12" s="136">
        <v>25.0</v>
      </c>
      <c r="K12" s="377"/>
      <c r="L12" s="132"/>
      <c r="M12" s="132"/>
      <c r="N12" s="132"/>
      <c r="O12" s="132"/>
      <c r="P12" s="132"/>
      <c r="Q12" s="132"/>
      <c r="R12" s="132"/>
      <c r="S12" s="132"/>
      <c r="T12" s="132"/>
      <c r="U12" s="132"/>
      <c r="V12" s="132"/>
      <c r="W12" s="132"/>
      <c r="X12" s="132"/>
      <c r="Y12" s="132"/>
      <c r="Z12" s="132"/>
      <c r="AA12" s="132"/>
      <c r="AB12" s="132"/>
      <c r="AC12" s="132"/>
    </row>
    <row r="13">
      <c r="A13" s="132"/>
      <c r="B13" s="132"/>
      <c r="C13" s="105" t="s">
        <v>912</v>
      </c>
      <c r="D13" s="132"/>
      <c r="E13" s="132"/>
      <c r="F13" s="132"/>
      <c r="G13" s="132"/>
      <c r="H13" s="136" t="s">
        <v>332</v>
      </c>
      <c r="I13" s="136">
        <v>1.0</v>
      </c>
      <c r="J13" s="136">
        <v>30.0</v>
      </c>
      <c r="K13" s="371" t="s">
        <v>913</v>
      </c>
      <c r="L13" s="132"/>
      <c r="M13" s="132"/>
      <c r="N13" s="132"/>
      <c r="O13" s="132"/>
      <c r="P13" s="132"/>
      <c r="Q13" s="132"/>
      <c r="R13" s="132"/>
      <c r="S13" s="132"/>
      <c r="T13" s="132"/>
      <c r="U13" s="132"/>
      <c r="V13" s="132"/>
      <c r="W13" s="132"/>
      <c r="X13" s="132"/>
      <c r="Y13" s="132"/>
      <c r="Z13" s="132"/>
      <c r="AA13" s="132"/>
      <c r="AB13" s="132"/>
      <c r="AC13" s="132"/>
    </row>
    <row r="14">
      <c r="A14" s="132"/>
      <c r="B14" s="105" t="s">
        <v>914</v>
      </c>
      <c r="C14" s="105" t="s">
        <v>915</v>
      </c>
      <c r="D14" s="105" t="s">
        <v>916</v>
      </c>
      <c r="E14" s="105" t="s">
        <v>917</v>
      </c>
      <c r="F14" s="132"/>
      <c r="G14" s="132"/>
      <c r="H14" s="136">
        <v>40.0</v>
      </c>
      <c r="I14" s="136">
        <v>1.0</v>
      </c>
      <c r="J14" s="136">
        <v>25.0</v>
      </c>
      <c r="K14" s="371" t="s">
        <v>918</v>
      </c>
      <c r="L14" s="132"/>
      <c r="M14" s="132"/>
      <c r="N14" s="132"/>
      <c r="O14" s="132"/>
      <c r="P14" s="132"/>
      <c r="Q14" s="132"/>
      <c r="R14" s="132"/>
      <c r="S14" s="132"/>
      <c r="T14" s="132"/>
      <c r="U14" s="132"/>
      <c r="V14" s="132"/>
      <c r="W14" s="132"/>
      <c r="X14" s="132"/>
      <c r="Y14" s="132"/>
      <c r="Z14" s="132"/>
      <c r="AA14" s="132"/>
      <c r="AB14" s="132"/>
      <c r="AC14" s="132"/>
    </row>
    <row r="15">
      <c r="A15" s="132"/>
      <c r="B15" s="105" t="s">
        <v>919</v>
      </c>
      <c r="C15" s="105" t="s">
        <v>920</v>
      </c>
      <c r="D15" s="105" t="s">
        <v>920</v>
      </c>
      <c r="E15" s="105" t="s">
        <v>920</v>
      </c>
      <c r="F15" s="132"/>
      <c r="G15" s="132"/>
      <c r="H15" s="136">
        <v>40.0</v>
      </c>
      <c r="I15" s="136">
        <v>1.0</v>
      </c>
      <c r="J15" s="136">
        <v>25.0</v>
      </c>
      <c r="K15" s="371" t="s">
        <v>921</v>
      </c>
      <c r="L15" s="132"/>
      <c r="M15" s="132"/>
      <c r="N15" s="132"/>
      <c r="O15" s="132"/>
      <c r="P15" s="132"/>
      <c r="Q15" s="132"/>
      <c r="R15" s="132"/>
      <c r="S15" s="132"/>
      <c r="T15" s="132"/>
      <c r="U15" s="132"/>
      <c r="V15" s="132"/>
      <c r="W15" s="132"/>
      <c r="X15" s="132"/>
      <c r="Y15" s="132"/>
      <c r="Z15" s="132"/>
      <c r="AA15" s="132"/>
      <c r="AB15" s="132"/>
      <c r="AC15" s="132"/>
    </row>
    <row r="16">
      <c r="A16" s="132"/>
      <c r="B16" s="105" t="s">
        <v>922</v>
      </c>
      <c r="C16" s="105" t="s">
        <v>923</v>
      </c>
      <c r="D16" s="105" t="s">
        <v>924</v>
      </c>
      <c r="E16" s="105" t="s">
        <v>924</v>
      </c>
      <c r="F16" s="132"/>
      <c r="G16" s="105" t="s">
        <v>925</v>
      </c>
      <c r="H16" s="136">
        <v>40.0</v>
      </c>
      <c r="I16" s="136">
        <v>1.0</v>
      </c>
      <c r="J16" s="136" t="s">
        <v>926</v>
      </c>
      <c r="K16" s="371" t="s">
        <v>927</v>
      </c>
      <c r="L16" s="132"/>
      <c r="M16" s="132"/>
      <c r="N16" s="132"/>
      <c r="O16" s="132"/>
      <c r="P16" s="132"/>
      <c r="Q16" s="132"/>
      <c r="R16" s="132"/>
      <c r="S16" s="132"/>
      <c r="T16" s="132"/>
      <c r="U16" s="132"/>
      <c r="V16" s="132"/>
      <c r="W16" s="132"/>
      <c r="X16" s="132"/>
      <c r="Y16" s="132"/>
      <c r="Z16" s="132"/>
      <c r="AA16" s="132"/>
      <c r="AB16" s="132"/>
      <c r="AC16" s="132"/>
    </row>
    <row r="17">
      <c r="A17" s="132"/>
      <c r="B17" s="105" t="s">
        <v>928</v>
      </c>
      <c r="C17" s="105" t="s">
        <v>929</v>
      </c>
      <c r="D17" s="105" t="s">
        <v>930</v>
      </c>
      <c r="E17" s="105" t="s">
        <v>931</v>
      </c>
      <c r="F17" s="132"/>
      <c r="G17" s="132"/>
      <c r="H17" s="136">
        <v>50.0</v>
      </c>
      <c r="I17" s="136">
        <v>1.0</v>
      </c>
      <c r="J17" s="136">
        <v>20.0</v>
      </c>
      <c r="K17" s="371" t="s">
        <v>932</v>
      </c>
      <c r="L17" s="132"/>
      <c r="M17" s="132"/>
      <c r="N17" s="132"/>
      <c r="O17" s="132"/>
      <c r="P17" s="132"/>
      <c r="Q17" s="132"/>
      <c r="R17" s="132"/>
      <c r="S17" s="132"/>
      <c r="T17" s="132"/>
      <c r="U17" s="132"/>
      <c r="V17" s="132"/>
      <c r="W17" s="132"/>
      <c r="X17" s="132"/>
      <c r="Y17" s="132"/>
      <c r="Z17" s="132"/>
      <c r="AA17" s="132"/>
      <c r="AB17" s="132"/>
      <c r="AC17" s="132"/>
    </row>
    <row r="18">
      <c r="A18" s="132"/>
      <c r="B18" s="105" t="s">
        <v>933</v>
      </c>
      <c r="C18" s="105" t="s">
        <v>934</v>
      </c>
      <c r="D18" s="105" t="s">
        <v>935</v>
      </c>
      <c r="E18" s="105" t="s">
        <v>936</v>
      </c>
      <c r="F18" s="132"/>
      <c r="G18" s="132"/>
      <c r="H18" s="136">
        <v>50.0</v>
      </c>
      <c r="I18" s="136">
        <v>1.0</v>
      </c>
      <c r="J18" s="136" t="s">
        <v>926</v>
      </c>
      <c r="K18" s="377"/>
      <c r="L18" s="132"/>
      <c r="M18" s="132"/>
      <c r="N18" s="132"/>
      <c r="O18" s="132"/>
      <c r="P18" s="132"/>
      <c r="Q18" s="132"/>
      <c r="R18" s="132"/>
      <c r="S18" s="132"/>
      <c r="T18" s="132"/>
      <c r="U18" s="132"/>
      <c r="V18" s="132"/>
      <c r="W18" s="132"/>
      <c r="X18" s="132"/>
      <c r="Y18" s="132"/>
      <c r="Z18" s="132"/>
      <c r="AA18" s="132"/>
      <c r="AB18" s="132"/>
      <c r="AC18" s="132"/>
    </row>
    <row r="19">
      <c r="A19" s="132"/>
      <c r="B19" s="105"/>
      <c r="C19" s="105"/>
      <c r="D19" s="105"/>
      <c r="E19" s="105"/>
      <c r="F19" s="132"/>
      <c r="G19" s="132"/>
      <c r="H19" s="136"/>
      <c r="I19" s="136"/>
      <c r="J19" s="136"/>
      <c r="K19" s="2"/>
      <c r="L19" s="132"/>
      <c r="M19" s="132"/>
      <c r="N19" s="132"/>
      <c r="O19" s="132"/>
      <c r="P19" s="132"/>
      <c r="Q19" s="132"/>
      <c r="R19" s="132"/>
      <c r="S19" s="132"/>
      <c r="T19" s="132"/>
      <c r="U19" s="132"/>
      <c r="V19" s="132"/>
      <c r="W19" s="132"/>
      <c r="X19" s="132"/>
      <c r="Y19" s="132"/>
      <c r="Z19" s="132"/>
      <c r="AA19" s="132"/>
      <c r="AB19" s="132"/>
      <c r="AC19" s="132"/>
    </row>
    <row r="20">
      <c r="A20" s="132"/>
      <c r="B20" s="132"/>
      <c r="C20" s="132"/>
      <c r="D20" s="132"/>
      <c r="E20" s="132"/>
      <c r="F20" s="132"/>
      <c r="G20" s="132"/>
      <c r="H20" s="372"/>
      <c r="I20" s="372"/>
      <c r="J20" s="372"/>
      <c r="K20" s="2"/>
      <c r="L20" s="132"/>
      <c r="M20" s="132"/>
      <c r="N20" s="132"/>
      <c r="O20" s="132"/>
      <c r="P20" s="132"/>
      <c r="Q20" s="132"/>
      <c r="R20" s="132"/>
      <c r="S20" s="132"/>
      <c r="T20" s="132"/>
      <c r="U20" s="132"/>
      <c r="V20" s="132"/>
      <c r="W20" s="132"/>
      <c r="X20" s="132"/>
      <c r="Y20" s="132"/>
      <c r="Z20" s="132"/>
      <c r="AA20" s="132"/>
      <c r="AB20" s="132"/>
      <c r="AC20" s="132"/>
    </row>
    <row r="21">
      <c r="A21" s="144" t="s">
        <v>937</v>
      </c>
      <c r="B21" s="144" t="s">
        <v>938</v>
      </c>
      <c r="C21" s="144" t="s">
        <v>893</v>
      </c>
      <c r="D21" s="144" t="s">
        <v>939</v>
      </c>
      <c r="E21" s="144" t="s">
        <v>912</v>
      </c>
      <c r="F21" s="144"/>
      <c r="G21" s="144"/>
      <c r="H21" s="379" t="s">
        <v>332</v>
      </c>
      <c r="I21" s="379">
        <v>1.0</v>
      </c>
      <c r="J21" s="379">
        <v>70.0</v>
      </c>
      <c r="K21" s="379"/>
      <c r="L21" s="132"/>
      <c r="M21" s="132"/>
      <c r="N21" s="132"/>
      <c r="O21" s="132"/>
      <c r="P21" s="132"/>
      <c r="Q21" s="132"/>
      <c r="R21" s="132"/>
      <c r="S21" s="132"/>
      <c r="T21" s="132"/>
      <c r="U21" s="132"/>
      <c r="V21" s="132"/>
      <c r="W21" s="132"/>
      <c r="X21" s="132"/>
      <c r="Y21" s="132"/>
      <c r="Z21" s="132"/>
      <c r="AA21" s="132"/>
      <c r="AB21" s="132"/>
      <c r="AC21" s="132"/>
    </row>
    <row r="22">
      <c r="A22" s="144"/>
      <c r="B22" s="144" t="s">
        <v>940</v>
      </c>
      <c r="C22" s="144" t="s">
        <v>941</v>
      </c>
      <c r="D22" s="144" t="s">
        <v>942</v>
      </c>
      <c r="E22" s="144" t="s">
        <v>943</v>
      </c>
      <c r="F22" s="144"/>
      <c r="G22" s="144"/>
      <c r="H22" s="379" t="s">
        <v>332</v>
      </c>
      <c r="I22" s="379">
        <v>1.0</v>
      </c>
      <c r="J22" s="379">
        <v>60.0</v>
      </c>
      <c r="K22" s="379"/>
      <c r="L22" s="132"/>
      <c r="M22" s="132"/>
      <c r="N22" s="132"/>
      <c r="O22" s="132"/>
      <c r="P22" s="132"/>
      <c r="Q22" s="132"/>
      <c r="R22" s="132"/>
      <c r="S22" s="132"/>
      <c r="T22" s="132"/>
      <c r="U22" s="132"/>
      <c r="V22" s="132"/>
      <c r="W22" s="132"/>
      <c r="X22" s="132"/>
      <c r="Y22" s="132"/>
      <c r="Z22" s="132"/>
      <c r="AA22" s="132"/>
      <c r="AB22" s="132"/>
      <c r="AC22" s="132"/>
    </row>
    <row r="23">
      <c r="A23" s="144"/>
      <c r="B23" s="144" t="s">
        <v>944</v>
      </c>
      <c r="C23" s="144" t="s">
        <v>945</v>
      </c>
      <c r="D23" s="144" t="s">
        <v>946</v>
      </c>
      <c r="E23" s="144" t="s">
        <v>947</v>
      </c>
      <c r="F23" s="144"/>
      <c r="G23" s="144"/>
      <c r="H23" s="379" t="s">
        <v>332</v>
      </c>
      <c r="I23" s="379">
        <v>1.0</v>
      </c>
      <c r="J23" s="379">
        <v>60.0</v>
      </c>
      <c r="K23" s="144" t="s">
        <v>948</v>
      </c>
      <c r="L23" s="132"/>
      <c r="M23" s="132"/>
      <c r="N23" s="132"/>
      <c r="O23" s="132"/>
      <c r="P23" s="132"/>
      <c r="Q23" s="132"/>
      <c r="R23" s="132"/>
      <c r="S23" s="132"/>
      <c r="T23" s="132"/>
      <c r="U23" s="132"/>
      <c r="V23" s="132"/>
      <c r="W23" s="132"/>
      <c r="X23" s="132"/>
      <c r="Y23" s="132"/>
      <c r="Z23" s="132"/>
      <c r="AA23" s="132"/>
      <c r="AB23" s="132"/>
      <c r="AC23" s="132"/>
    </row>
    <row r="24">
      <c r="A24" s="105"/>
      <c r="B24" s="105"/>
      <c r="C24" s="105"/>
      <c r="D24" s="105"/>
      <c r="E24" s="105"/>
      <c r="F24" s="132"/>
      <c r="G24" s="132"/>
      <c r="H24" s="136"/>
      <c r="I24" s="136"/>
      <c r="J24" s="136"/>
      <c r="K24" s="34"/>
      <c r="L24" s="132"/>
      <c r="M24" s="132"/>
      <c r="N24" s="132"/>
      <c r="O24" s="132"/>
      <c r="P24" s="132"/>
      <c r="Q24" s="132"/>
      <c r="R24" s="132"/>
      <c r="S24" s="132"/>
      <c r="T24" s="132"/>
      <c r="U24" s="132"/>
      <c r="V24" s="132"/>
      <c r="W24" s="132"/>
      <c r="X24" s="132"/>
      <c r="Y24" s="132"/>
      <c r="Z24" s="132"/>
      <c r="AA24" s="132"/>
      <c r="AB24" s="132"/>
      <c r="AC24" s="132"/>
    </row>
    <row r="25">
      <c r="A25" s="139" t="s">
        <v>6</v>
      </c>
      <c r="B25" s="139" t="s">
        <v>949</v>
      </c>
      <c r="C25" s="139" t="s">
        <v>950</v>
      </c>
      <c r="D25" s="139" t="s">
        <v>951</v>
      </c>
      <c r="E25" s="139" t="s">
        <v>900</v>
      </c>
      <c r="F25" s="139"/>
      <c r="G25" s="139"/>
      <c r="H25" s="380">
        <v>80.0</v>
      </c>
      <c r="I25" s="380">
        <v>1.0</v>
      </c>
      <c r="J25" s="380">
        <v>50.0</v>
      </c>
      <c r="K25" s="139"/>
      <c r="L25" s="132"/>
      <c r="M25" s="132"/>
      <c r="N25" s="132"/>
      <c r="O25" s="132"/>
      <c r="P25" s="132"/>
      <c r="Q25" s="132"/>
      <c r="R25" s="132"/>
      <c r="S25" s="132"/>
      <c r="T25" s="132"/>
      <c r="U25" s="132"/>
      <c r="V25" s="132"/>
      <c r="W25" s="132"/>
      <c r="X25" s="132"/>
      <c r="Y25" s="132"/>
      <c r="Z25" s="132"/>
      <c r="AA25" s="132"/>
      <c r="AB25" s="132"/>
      <c r="AC25" s="132"/>
    </row>
    <row r="26">
      <c r="A26" s="139"/>
      <c r="B26" s="139" t="s">
        <v>952</v>
      </c>
      <c r="C26" s="139" t="s">
        <v>953</v>
      </c>
      <c r="D26" s="139" t="s">
        <v>912</v>
      </c>
      <c r="E26" s="139"/>
      <c r="F26" s="139"/>
      <c r="G26" s="139"/>
      <c r="H26" s="380" t="s">
        <v>332</v>
      </c>
      <c r="I26" s="380">
        <v>1.0</v>
      </c>
      <c r="J26" s="380" t="s">
        <v>926</v>
      </c>
      <c r="K26" s="139"/>
      <c r="L26" s="132"/>
      <c r="M26" s="132"/>
      <c r="N26" s="132"/>
      <c r="O26" s="132"/>
      <c r="P26" s="132"/>
      <c r="Q26" s="132"/>
      <c r="R26" s="132"/>
      <c r="S26" s="132"/>
      <c r="T26" s="132"/>
      <c r="U26" s="132"/>
      <c r="V26" s="132"/>
      <c r="W26" s="132"/>
      <c r="X26" s="132"/>
      <c r="Y26" s="132"/>
      <c r="Z26" s="132"/>
      <c r="AA26" s="132"/>
      <c r="AB26" s="132"/>
      <c r="AC26" s="132"/>
    </row>
    <row r="27">
      <c r="A27" s="132"/>
      <c r="B27" s="105"/>
      <c r="C27" s="105"/>
      <c r="D27" s="105"/>
      <c r="E27" s="105"/>
      <c r="F27" s="132"/>
      <c r="G27" s="132"/>
      <c r="H27" s="136"/>
      <c r="I27" s="136"/>
      <c r="J27" s="136"/>
      <c r="K27" s="34"/>
      <c r="L27" s="132"/>
      <c r="M27" s="132"/>
      <c r="N27" s="132"/>
      <c r="O27" s="132"/>
      <c r="P27" s="132"/>
      <c r="Q27" s="132"/>
      <c r="R27" s="132"/>
      <c r="S27" s="132"/>
      <c r="T27" s="132"/>
      <c r="U27" s="132"/>
      <c r="V27" s="132"/>
      <c r="W27" s="132"/>
      <c r="X27" s="132"/>
      <c r="Y27" s="132"/>
      <c r="Z27" s="132"/>
      <c r="AA27" s="132"/>
      <c r="AB27" s="132"/>
      <c r="AC27" s="132"/>
    </row>
    <row r="28">
      <c r="A28" s="134" t="s">
        <v>954</v>
      </c>
      <c r="B28" s="134" t="s">
        <v>955</v>
      </c>
      <c r="C28" s="134" t="s">
        <v>956</v>
      </c>
      <c r="D28" s="134" t="s">
        <v>957</v>
      </c>
      <c r="E28" s="134"/>
      <c r="F28" s="134"/>
      <c r="G28" s="134"/>
      <c r="H28" s="381" t="s">
        <v>332</v>
      </c>
      <c r="I28" s="381">
        <v>1.0</v>
      </c>
      <c r="J28" s="381">
        <v>40.0</v>
      </c>
      <c r="K28" s="134" t="s">
        <v>958</v>
      </c>
      <c r="L28" s="132"/>
      <c r="M28" s="132"/>
      <c r="N28" s="132"/>
      <c r="O28" s="132"/>
      <c r="P28" s="132"/>
      <c r="Q28" s="132"/>
      <c r="R28" s="132"/>
      <c r="S28" s="132"/>
      <c r="T28" s="132"/>
      <c r="U28" s="132"/>
      <c r="V28" s="132"/>
      <c r="W28" s="132"/>
      <c r="X28" s="132"/>
      <c r="Y28" s="132"/>
      <c r="Z28" s="132"/>
      <c r="AA28" s="132"/>
      <c r="AB28" s="132"/>
      <c r="AC28" s="132"/>
    </row>
    <row r="29">
      <c r="A29" s="134"/>
      <c r="B29" s="134" t="s">
        <v>959</v>
      </c>
      <c r="C29" s="134" t="s">
        <v>960</v>
      </c>
      <c r="D29" s="134" t="s">
        <v>961</v>
      </c>
      <c r="E29" s="134" t="s">
        <v>962</v>
      </c>
      <c r="F29" s="134"/>
      <c r="G29" s="134"/>
      <c r="H29" s="381" t="s">
        <v>332</v>
      </c>
      <c r="I29" s="381">
        <v>1.0</v>
      </c>
      <c r="J29" s="381" t="s">
        <v>926</v>
      </c>
      <c r="K29" s="134"/>
      <c r="L29" s="132"/>
      <c r="M29" s="132"/>
      <c r="N29" s="132"/>
      <c r="O29" s="132"/>
      <c r="P29" s="132"/>
      <c r="Q29" s="132"/>
      <c r="R29" s="132"/>
      <c r="S29" s="132"/>
      <c r="T29" s="132"/>
      <c r="U29" s="132"/>
      <c r="V29" s="132"/>
      <c r="W29" s="132"/>
      <c r="X29" s="132"/>
      <c r="Y29" s="132"/>
      <c r="Z29" s="132"/>
      <c r="AA29" s="132"/>
      <c r="AB29" s="132"/>
      <c r="AC29" s="132"/>
    </row>
    <row r="30">
      <c r="A30" s="132"/>
      <c r="B30" s="105"/>
      <c r="C30" s="105"/>
      <c r="D30" s="105"/>
      <c r="E30" s="105"/>
      <c r="F30" s="132"/>
      <c r="G30" s="132"/>
      <c r="H30" s="136"/>
      <c r="I30" s="136"/>
      <c r="J30" s="136"/>
      <c r="K30" s="2"/>
      <c r="L30" s="132"/>
      <c r="M30" s="132"/>
      <c r="N30" s="132"/>
      <c r="O30" s="132"/>
      <c r="P30" s="132"/>
      <c r="Q30" s="132"/>
      <c r="R30" s="132"/>
      <c r="S30" s="132"/>
      <c r="T30" s="132"/>
      <c r="U30" s="132"/>
      <c r="V30" s="132"/>
      <c r="W30" s="132"/>
      <c r="X30" s="132"/>
      <c r="Y30" s="132"/>
      <c r="Z30" s="132"/>
      <c r="AA30" s="132"/>
      <c r="AB30" s="132"/>
      <c r="AC30" s="132"/>
    </row>
    <row r="31">
      <c r="A31" s="382" t="s">
        <v>24</v>
      </c>
      <c r="B31" s="382" t="s">
        <v>963</v>
      </c>
      <c r="C31" s="382" t="s">
        <v>902</v>
      </c>
      <c r="D31" s="382" t="s">
        <v>950</v>
      </c>
      <c r="E31" s="382" t="s">
        <v>951</v>
      </c>
      <c r="F31" s="383"/>
      <c r="G31" s="383"/>
      <c r="H31" s="384">
        <v>80.0</v>
      </c>
      <c r="I31" s="384">
        <v>1.0</v>
      </c>
      <c r="J31" s="384">
        <v>30.0</v>
      </c>
      <c r="K31" s="385"/>
      <c r="L31" s="132"/>
      <c r="M31" s="132"/>
      <c r="N31" s="132"/>
      <c r="O31" s="132"/>
      <c r="P31" s="132"/>
      <c r="Q31" s="132"/>
      <c r="R31" s="132"/>
      <c r="S31" s="132"/>
      <c r="T31" s="132"/>
      <c r="U31" s="132"/>
      <c r="V31" s="132"/>
      <c r="W31" s="132"/>
      <c r="X31" s="132"/>
      <c r="Y31" s="132"/>
      <c r="Z31" s="132"/>
      <c r="AA31" s="132"/>
      <c r="AB31" s="132"/>
      <c r="AC31" s="132"/>
    </row>
    <row r="32">
      <c r="A32" s="105"/>
      <c r="B32" s="105"/>
      <c r="C32" s="105"/>
      <c r="D32" s="105"/>
      <c r="E32" s="105"/>
      <c r="F32" s="132"/>
      <c r="G32" s="132"/>
      <c r="H32" s="136"/>
      <c r="I32" s="136"/>
      <c r="J32" s="136"/>
      <c r="K32" s="2"/>
      <c r="L32" s="132"/>
      <c r="M32" s="132"/>
      <c r="N32" s="132"/>
      <c r="O32" s="132"/>
      <c r="P32" s="132"/>
      <c r="Q32" s="132"/>
      <c r="R32" s="132"/>
      <c r="S32" s="132"/>
      <c r="T32" s="132"/>
      <c r="U32" s="132"/>
      <c r="V32" s="132"/>
      <c r="W32" s="132"/>
      <c r="X32" s="132"/>
      <c r="Y32" s="132"/>
      <c r="Z32" s="132"/>
      <c r="AA32" s="132"/>
      <c r="AB32" s="132"/>
      <c r="AC32" s="132"/>
    </row>
    <row r="33">
      <c r="A33" s="160" t="s">
        <v>27</v>
      </c>
      <c r="B33" s="160" t="s">
        <v>964</v>
      </c>
      <c r="C33" s="160" t="s">
        <v>965</v>
      </c>
      <c r="D33" s="160" t="s">
        <v>907</v>
      </c>
      <c r="E33" s="160" t="s">
        <v>966</v>
      </c>
      <c r="F33" s="119"/>
      <c r="G33" s="119"/>
      <c r="H33" s="386">
        <v>70.0</v>
      </c>
      <c r="I33" s="386">
        <v>1.0</v>
      </c>
      <c r="J33" s="386">
        <v>30.0</v>
      </c>
      <c r="K33" s="387"/>
      <c r="L33" s="132"/>
      <c r="M33" s="132"/>
      <c r="N33" s="132"/>
      <c r="O33" s="132"/>
      <c r="P33" s="132"/>
      <c r="Q33" s="132"/>
      <c r="R33" s="132"/>
      <c r="S33" s="132"/>
      <c r="T33" s="132"/>
      <c r="U33" s="132"/>
      <c r="V33" s="132"/>
      <c r="W33" s="132"/>
      <c r="X33" s="132"/>
      <c r="Y33" s="132"/>
      <c r="Z33" s="132"/>
      <c r="AA33" s="132"/>
      <c r="AB33" s="132"/>
      <c r="AC33" s="132"/>
    </row>
    <row r="34">
      <c r="A34" s="105"/>
      <c r="B34" s="105"/>
      <c r="C34" s="105"/>
      <c r="D34" s="105"/>
      <c r="E34" s="105"/>
      <c r="F34" s="132"/>
      <c r="G34" s="132"/>
      <c r="H34" s="136"/>
      <c r="I34" s="136"/>
      <c r="J34" s="136"/>
      <c r="K34" s="2"/>
      <c r="L34" s="132"/>
      <c r="M34" s="132"/>
      <c r="N34" s="132"/>
      <c r="O34" s="132"/>
      <c r="P34" s="132"/>
      <c r="Q34" s="132"/>
      <c r="R34" s="132"/>
      <c r="S34" s="132"/>
      <c r="T34" s="132"/>
      <c r="U34" s="132"/>
      <c r="V34" s="132"/>
      <c r="W34" s="132"/>
      <c r="X34" s="132"/>
      <c r="Y34" s="132"/>
      <c r="Z34" s="132"/>
      <c r="AA34" s="132"/>
      <c r="AB34" s="132"/>
      <c r="AC34" s="132"/>
    </row>
    <row r="35">
      <c r="A35" s="149" t="s">
        <v>967</v>
      </c>
      <c r="B35" s="149" t="s">
        <v>968</v>
      </c>
      <c r="C35" s="149" t="s">
        <v>969</v>
      </c>
      <c r="D35" s="149" t="s">
        <v>970</v>
      </c>
      <c r="E35" s="149" t="s">
        <v>971</v>
      </c>
      <c r="F35" s="122"/>
      <c r="G35" s="122"/>
      <c r="H35" s="388" t="s">
        <v>332</v>
      </c>
      <c r="I35" s="388">
        <v>1.0</v>
      </c>
      <c r="J35" s="388" t="s">
        <v>926</v>
      </c>
      <c r="K35" s="25" t="s">
        <v>972</v>
      </c>
      <c r="L35" s="132"/>
      <c r="M35" s="132"/>
      <c r="N35" s="132"/>
      <c r="O35" s="132"/>
      <c r="P35" s="132"/>
      <c r="Q35" s="132"/>
      <c r="R35" s="132"/>
      <c r="S35" s="132"/>
      <c r="T35" s="132"/>
      <c r="U35" s="132"/>
      <c r="V35" s="132"/>
      <c r="W35" s="132"/>
      <c r="X35" s="132"/>
      <c r="Y35" s="132"/>
      <c r="Z35" s="132"/>
      <c r="AA35" s="132"/>
      <c r="AB35" s="132"/>
      <c r="AC35" s="132"/>
    </row>
    <row r="36">
      <c r="A36" s="105"/>
      <c r="B36" s="105"/>
      <c r="C36" s="105"/>
      <c r="D36" s="105"/>
      <c r="E36" s="105"/>
      <c r="F36" s="132"/>
      <c r="G36" s="132"/>
      <c r="H36" s="136"/>
      <c r="I36" s="136"/>
      <c r="J36" s="136"/>
      <c r="K36" s="34"/>
      <c r="L36" s="132"/>
      <c r="M36" s="132"/>
      <c r="N36" s="132"/>
      <c r="O36" s="132"/>
      <c r="P36" s="132"/>
      <c r="Q36" s="132"/>
      <c r="R36" s="132"/>
      <c r="S36" s="132"/>
      <c r="T36" s="132"/>
      <c r="U36" s="132"/>
      <c r="V36" s="132"/>
      <c r="W36" s="132"/>
      <c r="X36" s="132"/>
      <c r="Y36" s="132"/>
      <c r="Z36" s="132"/>
      <c r="AA36" s="132"/>
      <c r="AB36" s="132"/>
      <c r="AC36" s="132"/>
    </row>
    <row r="37">
      <c r="A37" s="105"/>
      <c r="B37" s="105"/>
      <c r="C37" s="105"/>
      <c r="D37" s="105"/>
      <c r="E37" s="105"/>
      <c r="F37" s="132"/>
      <c r="G37" s="132"/>
      <c r="H37" s="136"/>
      <c r="I37" s="136"/>
      <c r="J37" s="136"/>
      <c r="K37" s="34"/>
      <c r="L37" s="132"/>
      <c r="M37" s="132"/>
      <c r="N37" s="132"/>
      <c r="O37" s="132"/>
      <c r="P37" s="132"/>
      <c r="Q37" s="132"/>
      <c r="R37" s="132"/>
      <c r="S37" s="132"/>
      <c r="T37" s="132"/>
      <c r="U37" s="132"/>
      <c r="V37" s="132"/>
      <c r="W37" s="132"/>
      <c r="X37" s="132"/>
      <c r="Y37" s="132"/>
      <c r="Z37" s="132"/>
      <c r="AA37" s="132"/>
      <c r="AB37" s="132"/>
      <c r="AC37" s="132"/>
    </row>
    <row r="38">
      <c r="A38" s="389" t="s">
        <v>514</v>
      </c>
      <c r="B38" s="128"/>
      <c r="C38" s="128"/>
      <c r="D38" s="128"/>
      <c r="E38" s="128"/>
      <c r="F38" s="128"/>
      <c r="G38" s="128"/>
      <c r="H38" s="390"/>
      <c r="I38" s="390"/>
      <c r="J38" s="390"/>
      <c r="K38" s="391"/>
      <c r="L38" s="132"/>
      <c r="M38" s="132"/>
      <c r="N38" s="132"/>
      <c r="O38" s="132"/>
      <c r="P38" s="132"/>
      <c r="Q38" s="132"/>
      <c r="R38" s="132"/>
      <c r="S38" s="132"/>
      <c r="T38" s="132"/>
      <c r="U38" s="132"/>
      <c r="V38" s="132"/>
      <c r="W38" s="132"/>
      <c r="X38" s="132"/>
      <c r="Y38" s="132"/>
      <c r="Z38" s="132"/>
      <c r="AA38" s="132"/>
      <c r="AB38" s="132"/>
      <c r="AC38" s="132"/>
    </row>
    <row r="39">
      <c r="A39" s="128"/>
      <c r="B39" s="392" t="s">
        <v>880</v>
      </c>
      <c r="C39" s="392" t="s">
        <v>881</v>
      </c>
      <c r="D39" s="392" t="s">
        <v>882</v>
      </c>
      <c r="E39" s="392" t="s">
        <v>883</v>
      </c>
      <c r="F39" s="392" t="s">
        <v>884</v>
      </c>
      <c r="G39" s="392" t="s">
        <v>885</v>
      </c>
      <c r="H39" s="393" t="s">
        <v>886</v>
      </c>
      <c r="I39" s="393" t="s">
        <v>887</v>
      </c>
      <c r="J39" s="393" t="s">
        <v>888</v>
      </c>
      <c r="K39" s="394" t="s">
        <v>889</v>
      </c>
      <c r="L39" s="132"/>
      <c r="M39" s="132"/>
      <c r="N39" s="132"/>
      <c r="O39" s="132"/>
      <c r="P39" s="132"/>
      <c r="Q39" s="132"/>
      <c r="R39" s="132"/>
      <c r="S39" s="132"/>
      <c r="T39" s="132"/>
      <c r="U39" s="132"/>
      <c r="V39" s="132"/>
      <c r="W39" s="132"/>
      <c r="X39" s="132"/>
      <c r="Y39" s="132"/>
      <c r="Z39" s="132"/>
      <c r="AA39" s="132"/>
      <c r="AB39" s="132"/>
      <c r="AC39" s="132"/>
    </row>
    <row r="40">
      <c r="A40" s="392" t="s">
        <v>431</v>
      </c>
      <c r="B40" s="144" t="s">
        <v>973</v>
      </c>
      <c r="C40" s="144" t="s">
        <v>440</v>
      </c>
      <c r="D40" s="144" t="s">
        <v>438</v>
      </c>
      <c r="E40" s="128"/>
      <c r="F40" s="128"/>
      <c r="G40" s="128"/>
      <c r="H40" s="379" t="s">
        <v>332</v>
      </c>
      <c r="I40" s="379">
        <v>1.0</v>
      </c>
      <c r="J40" s="379">
        <v>25.0</v>
      </c>
      <c r="K40" s="6" t="s">
        <v>974</v>
      </c>
      <c r="L40" s="132"/>
      <c r="M40" s="132"/>
      <c r="N40" s="132"/>
      <c r="O40" s="132"/>
      <c r="P40" s="132"/>
      <c r="Q40" s="132"/>
      <c r="R40" s="132"/>
      <c r="S40" s="132"/>
      <c r="T40" s="132"/>
      <c r="U40" s="132"/>
      <c r="V40" s="132"/>
      <c r="W40" s="132"/>
      <c r="X40" s="132"/>
      <c r="Y40" s="132"/>
      <c r="Z40" s="132"/>
      <c r="AA40" s="132"/>
      <c r="AB40" s="132"/>
      <c r="AC40" s="132"/>
    </row>
    <row r="41">
      <c r="A41" s="132"/>
      <c r="B41" s="132"/>
      <c r="C41" s="132"/>
      <c r="D41" s="132"/>
      <c r="E41" s="132"/>
      <c r="F41" s="132"/>
      <c r="G41" s="132"/>
      <c r="H41" s="372"/>
      <c r="I41" s="372"/>
      <c r="J41" s="372"/>
      <c r="K41" s="2"/>
      <c r="L41" s="132"/>
      <c r="M41" s="132"/>
      <c r="N41" s="132"/>
      <c r="O41" s="132"/>
      <c r="P41" s="132"/>
      <c r="Q41" s="132"/>
      <c r="R41" s="132"/>
      <c r="S41" s="132"/>
      <c r="T41" s="132"/>
      <c r="U41" s="132"/>
      <c r="V41" s="132"/>
      <c r="W41" s="132"/>
      <c r="X41" s="132"/>
      <c r="Y41" s="132"/>
      <c r="Z41" s="132"/>
      <c r="AA41" s="132"/>
      <c r="AB41" s="132"/>
      <c r="AC41" s="132"/>
    </row>
    <row r="42">
      <c r="A42" s="392" t="s">
        <v>891</v>
      </c>
      <c r="B42" s="144" t="s">
        <v>975</v>
      </c>
      <c r="C42" s="144" t="s">
        <v>976</v>
      </c>
      <c r="D42" s="144" t="s">
        <v>977</v>
      </c>
      <c r="E42" s="128"/>
      <c r="F42" s="128"/>
      <c r="G42" s="128"/>
      <c r="H42" s="379">
        <v>40.0</v>
      </c>
      <c r="I42" s="379">
        <v>1.0</v>
      </c>
      <c r="J42" s="379">
        <v>25.0</v>
      </c>
      <c r="K42" s="391"/>
      <c r="L42" s="132"/>
      <c r="M42" s="132"/>
      <c r="N42" s="132"/>
      <c r="O42" s="132"/>
      <c r="P42" s="132"/>
      <c r="Q42" s="132"/>
      <c r="R42" s="132"/>
      <c r="S42" s="132"/>
      <c r="T42" s="132"/>
      <c r="U42" s="132"/>
      <c r="V42" s="132"/>
      <c r="W42" s="132"/>
      <c r="X42" s="132"/>
      <c r="Y42" s="132"/>
      <c r="Z42" s="132"/>
      <c r="AA42" s="132"/>
      <c r="AB42" s="132"/>
      <c r="AC42" s="132"/>
    </row>
    <row r="43">
      <c r="A43" s="144"/>
      <c r="B43" s="144" t="s">
        <v>978</v>
      </c>
      <c r="C43" s="144" t="s">
        <v>979</v>
      </c>
      <c r="D43" s="144" t="s">
        <v>980</v>
      </c>
      <c r="E43" s="144" t="s">
        <v>981</v>
      </c>
      <c r="F43" s="128"/>
      <c r="G43" s="128"/>
      <c r="H43" s="379">
        <v>40.0</v>
      </c>
      <c r="I43" s="379">
        <v>1.0</v>
      </c>
      <c r="J43" s="379">
        <v>50.0</v>
      </c>
      <c r="K43" s="6" t="s">
        <v>982</v>
      </c>
      <c r="L43" s="132"/>
      <c r="M43" s="132"/>
      <c r="N43" s="132"/>
      <c r="O43" s="132"/>
      <c r="P43" s="132"/>
      <c r="Q43" s="132"/>
      <c r="R43" s="132"/>
      <c r="S43" s="132"/>
      <c r="T43" s="132"/>
      <c r="U43" s="132"/>
      <c r="V43" s="132"/>
      <c r="W43" s="132"/>
      <c r="X43" s="132"/>
      <c r="Y43" s="132"/>
      <c r="Z43" s="132"/>
      <c r="AA43" s="132"/>
      <c r="AB43" s="132"/>
      <c r="AC43" s="132"/>
    </row>
    <row r="44">
      <c r="A44" s="128"/>
      <c r="B44" s="144" t="s">
        <v>983</v>
      </c>
      <c r="C44" s="144" t="s">
        <v>984</v>
      </c>
      <c r="D44" s="144" t="s">
        <v>985</v>
      </c>
      <c r="E44" s="128"/>
      <c r="F44" s="128"/>
      <c r="G44" s="128"/>
      <c r="H44" s="379">
        <v>40.0</v>
      </c>
      <c r="I44" s="379">
        <v>1.0</v>
      </c>
      <c r="J44" s="379">
        <v>25.0</v>
      </c>
      <c r="K44" s="391"/>
      <c r="L44" s="132"/>
      <c r="M44" s="132"/>
      <c r="N44" s="132"/>
      <c r="O44" s="132"/>
      <c r="P44" s="132"/>
      <c r="Q44" s="132"/>
      <c r="R44" s="132"/>
      <c r="S44" s="132"/>
      <c r="T44" s="132"/>
      <c r="U44" s="132"/>
      <c r="V44" s="132"/>
      <c r="W44" s="132"/>
      <c r="X44" s="132"/>
      <c r="Y44" s="132"/>
      <c r="Z44" s="132"/>
      <c r="AA44" s="132"/>
      <c r="AB44" s="132"/>
      <c r="AC44" s="132"/>
    </row>
    <row r="45">
      <c r="A45" s="128"/>
      <c r="B45" s="144" t="s">
        <v>986</v>
      </c>
      <c r="C45" s="395" t="s">
        <v>987</v>
      </c>
      <c r="D45" s="144" t="s">
        <v>988</v>
      </c>
      <c r="E45" s="144" t="s">
        <v>989</v>
      </c>
      <c r="F45" s="128"/>
      <c r="G45" s="128"/>
      <c r="H45" s="379" t="s">
        <v>332</v>
      </c>
      <c r="I45" s="379">
        <v>1.0</v>
      </c>
      <c r="J45" s="379">
        <v>10.0</v>
      </c>
      <c r="K45" s="391"/>
      <c r="L45" s="132"/>
      <c r="M45" s="132"/>
      <c r="N45" s="132"/>
      <c r="O45" s="132"/>
      <c r="P45" s="132"/>
      <c r="Q45" s="132"/>
      <c r="R45" s="132"/>
      <c r="S45" s="132"/>
      <c r="T45" s="132"/>
      <c r="U45" s="132"/>
      <c r="V45" s="132"/>
      <c r="W45" s="132"/>
      <c r="X45" s="132"/>
      <c r="Y45" s="132"/>
      <c r="Z45" s="132"/>
      <c r="AA45" s="132"/>
      <c r="AB45" s="132"/>
      <c r="AC45" s="132"/>
    </row>
    <row r="46">
      <c r="A46" s="128"/>
      <c r="B46" s="144" t="s">
        <v>990</v>
      </c>
      <c r="C46" s="144" t="s">
        <v>991</v>
      </c>
      <c r="D46" s="144" t="s">
        <v>992</v>
      </c>
      <c r="E46" s="144" t="s">
        <v>902</v>
      </c>
      <c r="F46" s="128"/>
      <c r="G46" s="128"/>
      <c r="H46" s="379">
        <v>60.0</v>
      </c>
      <c r="I46" s="379">
        <v>1.0</v>
      </c>
      <c r="J46" s="379">
        <v>30.0</v>
      </c>
      <c r="K46" s="391"/>
      <c r="L46" s="132"/>
      <c r="M46" s="132"/>
      <c r="N46" s="132"/>
      <c r="O46" s="132"/>
      <c r="P46" s="132"/>
      <c r="Q46" s="132"/>
      <c r="R46" s="132"/>
      <c r="S46" s="132"/>
      <c r="T46" s="132"/>
      <c r="U46" s="132"/>
      <c r="V46" s="132"/>
      <c r="W46" s="132"/>
      <c r="X46" s="132"/>
      <c r="Y46" s="132"/>
      <c r="Z46" s="132"/>
      <c r="AA46" s="132"/>
      <c r="AB46" s="132"/>
      <c r="AC46" s="132"/>
    </row>
    <row r="47">
      <c r="A47" s="128"/>
      <c r="B47" s="144" t="s">
        <v>993</v>
      </c>
      <c r="C47" s="144" t="s">
        <v>994</v>
      </c>
      <c r="D47" s="144" t="s">
        <v>995</v>
      </c>
      <c r="E47" s="144" t="s">
        <v>996</v>
      </c>
      <c r="F47" s="128"/>
      <c r="G47" s="128"/>
      <c r="H47" s="379" t="s">
        <v>332</v>
      </c>
      <c r="I47" s="379">
        <v>1.0</v>
      </c>
      <c r="J47" s="379">
        <v>10.0</v>
      </c>
      <c r="K47" s="6" t="s">
        <v>997</v>
      </c>
      <c r="L47" s="132"/>
      <c r="M47" s="132"/>
      <c r="N47" s="132"/>
      <c r="O47" s="132"/>
      <c r="P47" s="132"/>
      <c r="Q47" s="132"/>
      <c r="R47" s="132"/>
      <c r="S47" s="132"/>
      <c r="T47" s="132"/>
      <c r="U47" s="132"/>
      <c r="V47" s="132"/>
      <c r="W47" s="132"/>
      <c r="X47" s="132"/>
      <c r="Y47" s="132"/>
      <c r="Z47" s="132"/>
      <c r="AA47" s="132"/>
      <c r="AB47" s="132"/>
      <c r="AC47" s="132"/>
    </row>
    <row r="48">
      <c r="A48" s="396"/>
      <c r="B48" s="396" t="s">
        <v>998</v>
      </c>
      <c r="C48" s="396" t="s">
        <v>999</v>
      </c>
      <c r="D48" s="396" t="s">
        <v>1000</v>
      </c>
      <c r="E48" s="396"/>
      <c r="F48" s="396"/>
      <c r="G48" s="396"/>
      <c r="H48" s="397" t="s">
        <v>332</v>
      </c>
      <c r="I48" s="397">
        <v>1.0</v>
      </c>
      <c r="J48" s="397">
        <v>25.0</v>
      </c>
      <c r="K48" s="391"/>
      <c r="L48" s="132"/>
      <c r="M48" s="132"/>
      <c r="N48" s="132"/>
      <c r="O48" s="132"/>
      <c r="P48" s="132"/>
      <c r="Q48" s="132"/>
      <c r="R48" s="132"/>
      <c r="S48" s="132"/>
      <c r="T48" s="132"/>
      <c r="U48" s="132"/>
      <c r="V48" s="132"/>
      <c r="W48" s="132"/>
      <c r="X48" s="132"/>
      <c r="Y48" s="132"/>
      <c r="Z48" s="132"/>
      <c r="AA48" s="132"/>
      <c r="AB48" s="132"/>
      <c r="AC48" s="132"/>
    </row>
    <row r="49">
      <c r="A49" s="132"/>
      <c r="B49" s="132"/>
      <c r="C49" s="132"/>
      <c r="D49" s="132"/>
      <c r="E49" s="132"/>
      <c r="F49" s="132"/>
      <c r="G49" s="132"/>
      <c r="H49" s="372"/>
      <c r="I49" s="372"/>
      <c r="J49" s="372"/>
      <c r="K49" s="2"/>
      <c r="L49" s="132"/>
      <c r="M49" s="132"/>
      <c r="N49" s="132"/>
      <c r="O49" s="132"/>
      <c r="P49" s="132"/>
      <c r="Q49" s="132"/>
      <c r="R49" s="132"/>
      <c r="S49" s="132"/>
      <c r="T49" s="132"/>
      <c r="U49" s="132"/>
      <c r="V49" s="132"/>
      <c r="W49" s="132"/>
      <c r="X49" s="132"/>
      <c r="Y49" s="132"/>
      <c r="Z49" s="132"/>
      <c r="AA49" s="132"/>
      <c r="AB49" s="132"/>
      <c r="AC49" s="132"/>
    </row>
    <row r="50">
      <c r="A50" s="392" t="s">
        <v>1001</v>
      </c>
      <c r="B50" s="144" t="s">
        <v>1002</v>
      </c>
      <c r="C50" s="395" t="s">
        <v>1003</v>
      </c>
      <c r="D50" s="144" t="s">
        <v>1004</v>
      </c>
      <c r="E50" s="144" t="s">
        <v>1005</v>
      </c>
      <c r="F50" s="128"/>
      <c r="G50" s="128"/>
      <c r="H50" s="379" t="s">
        <v>332</v>
      </c>
      <c r="I50" s="379">
        <v>1.0</v>
      </c>
      <c r="J50" s="379">
        <v>50.0</v>
      </c>
      <c r="K50" s="6" t="s">
        <v>1006</v>
      </c>
      <c r="L50" s="132"/>
      <c r="M50" s="132"/>
      <c r="N50" s="132"/>
      <c r="O50" s="132"/>
      <c r="P50" s="132"/>
      <c r="Q50" s="132"/>
      <c r="R50" s="132"/>
      <c r="S50" s="132"/>
      <c r="T50" s="132"/>
      <c r="U50" s="132"/>
      <c r="V50" s="132"/>
      <c r="W50" s="132"/>
      <c r="X50" s="132"/>
      <c r="Y50" s="132"/>
      <c r="Z50" s="132"/>
      <c r="AA50" s="132"/>
      <c r="AB50" s="132"/>
      <c r="AC50" s="132"/>
    </row>
    <row r="51">
      <c r="A51" s="144"/>
      <c r="B51" s="144" t="s">
        <v>1007</v>
      </c>
      <c r="C51" s="144" t="s">
        <v>1008</v>
      </c>
      <c r="D51" s="144" t="s">
        <v>1009</v>
      </c>
      <c r="E51" s="128"/>
      <c r="F51" s="128"/>
      <c r="G51" s="128"/>
      <c r="H51" s="379" t="s">
        <v>332</v>
      </c>
      <c r="I51" s="379">
        <v>1.0</v>
      </c>
      <c r="J51" s="379">
        <v>10.0</v>
      </c>
      <c r="K51" s="391"/>
      <c r="L51" s="132"/>
      <c r="M51" s="132"/>
      <c r="N51" s="132"/>
      <c r="O51" s="132"/>
      <c r="P51" s="132"/>
      <c r="Q51" s="132"/>
      <c r="R51" s="132"/>
      <c r="S51" s="132"/>
      <c r="T51" s="132"/>
      <c r="U51" s="132"/>
      <c r="V51" s="132"/>
      <c r="W51" s="132"/>
      <c r="X51" s="132"/>
      <c r="Y51" s="132"/>
      <c r="Z51" s="132"/>
      <c r="AA51" s="132"/>
      <c r="AB51" s="132"/>
      <c r="AC51" s="132"/>
    </row>
    <row r="52">
      <c r="A52" s="144"/>
      <c r="B52" s="144" t="s">
        <v>1010</v>
      </c>
      <c r="C52" s="144" t="s">
        <v>1011</v>
      </c>
      <c r="D52" s="144" t="s">
        <v>1012</v>
      </c>
      <c r="E52" s="128"/>
      <c r="F52" s="128"/>
      <c r="G52" s="144" t="s">
        <v>1013</v>
      </c>
      <c r="H52" s="379">
        <v>40.0</v>
      </c>
      <c r="I52" s="379">
        <v>1.0</v>
      </c>
      <c r="J52" s="379">
        <v>50.0</v>
      </c>
      <c r="K52" s="6" t="s">
        <v>1014</v>
      </c>
      <c r="L52" s="132"/>
      <c r="M52" s="132"/>
      <c r="N52" s="132"/>
      <c r="O52" s="132"/>
      <c r="P52" s="132"/>
      <c r="Q52" s="132"/>
      <c r="R52" s="132"/>
      <c r="S52" s="132"/>
      <c r="T52" s="132"/>
      <c r="U52" s="132"/>
      <c r="V52" s="132"/>
      <c r="W52" s="132"/>
      <c r="X52" s="132"/>
      <c r="Y52" s="132"/>
      <c r="Z52" s="132"/>
      <c r="AA52" s="132"/>
      <c r="AB52" s="132"/>
      <c r="AC52" s="132"/>
    </row>
    <row r="53">
      <c r="A53" s="144"/>
      <c r="B53" s="144" t="s">
        <v>1015</v>
      </c>
      <c r="C53" s="144" t="s">
        <v>1016</v>
      </c>
      <c r="D53" s="144" t="s">
        <v>1017</v>
      </c>
      <c r="E53" s="128"/>
      <c r="F53" s="128"/>
      <c r="G53" s="395" t="s">
        <v>1018</v>
      </c>
      <c r="H53" s="379" t="s">
        <v>332</v>
      </c>
      <c r="I53" s="379">
        <v>1.0</v>
      </c>
      <c r="J53" s="379">
        <v>10.0</v>
      </c>
      <c r="K53" s="391"/>
      <c r="L53" s="132"/>
      <c r="M53" s="132"/>
      <c r="N53" s="132"/>
      <c r="O53" s="132"/>
      <c r="P53" s="132"/>
      <c r="Q53" s="132"/>
      <c r="R53" s="132"/>
      <c r="S53" s="132"/>
      <c r="T53" s="132"/>
      <c r="U53" s="132"/>
      <c r="V53" s="132"/>
      <c r="W53" s="132"/>
      <c r="X53" s="132"/>
      <c r="Y53" s="132"/>
      <c r="Z53" s="132"/>
      <c r="AA53" s="132"/>
      <c r="AB53" s="132"/>
      <c r="AC53" s="132"/>
    </row>
    <row r="54">
      <c r="A54" s="144"/>
      <c r="B54" s="144" t="s">
        <v>1019</v>
      </c>
      <c r="C54" s="144" t="s">
        <v>1020</v>
      </c>
      <c r="D54" s="144" t="s">
        <v>1021</v>
      </c>
      <c r="E54" s="128"/>
      <c r="F54" s="128"/>
      <c r="G54" s="395" t="s">
        <v>1022</v>
      </c>
      <c r="H54" s="379">
        <v>40.0</v>
      </c>
      <c r="I54" s="379">
        <v>1.0</v>
      </c>
      <c r="J54" s="379">
        <v>50.0</v>
      </c>
      <c r="K54" s="6" t="s">
        <v>1023</v>
      </c>
      <c r="L54" s="132"/>
      <c r="M54" s="132"/>
      <c r="N54" s="132"/>
      <c r="O54" s="132"/>
      <c r="P54" s="132"/>
      <c r="Q54" s="132"/>
      <c r="R54" s="132"/>
      <c r="S54" s="132"/>
      <c r="T54" s="132"/>
      <c r="U54" s="132"/>
      <c r="V54" s="132"/>
      <c r="W54" s="132"/>
      <c r="X54" s="132"/>
      <c r="Y54" s="132"/>
      <c r="Z54" s="132"/>
      <c r="AA54" s="132"/>
      <c r="AB54" s="132"/>
      <c r="AC54" s="132"/>
    </row>
    <row r="55">
      <c r="A55" s="105"/>
      <c r="B55" s="132"/>
      <c r="C55" s="132"/>
      <c r="D55" s="132"/>
      <c r="E55" s="132"/>
      <c r="F55" s="132"/>
      <c r="G55" s="132"/>
      <c r="H55" s="372"/>
      <c r="I55" s="372"/>
      <c r="J55" s="372"/>
      <c r="K55" s="2"/>
      <c r="L55" s="132"/>
      <c r="M55" s="132"/>
      <c r="N55" s="132"/>
      <c r="O55" s="132"/>
      <c r="P55" s="132"/>
      <c r="Q55" s="132"/>
      <c r="R55" s="132"/>
      <c r="S55" s="132"/>
      <c r="T55" s="132"/>
      <c r="U55" s="132"/>
      <c r="V55" s="132"/>
      <c r="W55" s="132"/>
      <c r="X55" s="132"/>
      <c r="Y55" s="132"/>
      <c r="Z55" s="132"/>
      <c r="AA55" s="132"/>
      <c r="AB55" s="132"/>
      <c r="AC55" s="132"/>
    </row>
    <row r="56">
      <c r="A56" s="134" t="s">
        <v>954</v>
      </c>
      <c r="B56" s="134" t="s">
        <v>1024</v>
      </c>
      <c r="C56" s="144" t="s">
        <v>1025</v>
      </c>
      <c r="D56" s="144" t="s">
        <v>1026</v>
      </c>
      <c r="E56" s="128"/>
      <c r="F56" s="128"/>
      <c r="G56" s="128"/>
      <c r="H56" s="379">
        <v>60.0</v>
      </c>
      <c r="I56" s="379">
        <v>1.0</v>
      </c>
      <c r="J56" s="379">
        <v>30.0</v>
      </c>
      <c r="K56" s="391"/>
      <c r="L56" s="132"/>
      <c r="M56" s="132"/>
      <c r="N56" s="132"/>
      <c r="O56" s="132"/>
      <c r="P56" s="132"/>
      <c r="Q56" s="132"/>
      <c r="R56" s="132"/>
      <c r="S56" s="132"/>
      <c r="T56" s="132"/>
      <c r="U56" s="132"/>
      <c r="V56" s="132"/>
      <c r="W56" s="132"/>
      <c r="X56" s="132"/>
      <c r="Y56" s="132"/>
      <c r="Z56" s="132"/>
      <c r="AA56" s="132"/>
      <c r="AB56" s="132"/>
      <c r="AC56" s="132"/>
    </row>
    <row r="57">
      <c r="A57" s="134"/>
      <c r="B57" s="134" t="s">
        <v>1027</v>
      </c>
      <c r="C57" s="144" t="s">
        <v>977</v>
      </c>
      <c r="D57" s="144" t="s">
        <v>902</v>
      </c>
      <c r="E57" s="128"/>
      <c r="F57" s="128"/>
      <c r="G57" s="128"/>
      <c r="H57" s="379">
        <v>70.0</v>
      </c>
      <c r="I57" s="379">
        <v>1.0</v>
      </c>
      <c r="J57" s="379">
        <v>20.0</v>
      </c>
      <c r="K57" s="6" t="s">
        <v>1028</v>
      </c>
      <c r="L57" s="132"/>
      <c r="M57" s="132"/>
      <c r="N57" s="132"/>
      <c r="O57" s="132"/>
      <c r="P57" s="132"/>
      <c r="Q57" s="132"/>
      <c r="R57" s="132"/>
      <c r="S57" s="132"/>
      <c r="T57" s="132"/>
      <c r="U57" s="132"/>
      <c r="V57" s="132"/>
      <c r="W57" s="132"/>
      <c r="X57" s="132"/>
      <c r="Y57" s="132"/>
      <c r="Z57" s="132"/>
      <c r="AA57" s="132"/>
      <c r="AB57" s="132"/>
      <c r="AC57" s="132"/>
    </row>
    <row r="58">
      <c r="A58" s="105"/>
      <c r="B58" s="105"/>
      <c r="C58" s="105"/>
      <c r="D58" s="105"/>
      <c r="E58" s="132"/>
      <c r="F58" s="132"/>
      <c r="G58" s="132"/>
      <c r="H58" s="136"/>
      <c r="I58" s="136"/>
      <c r="J58" s="136"/>
      <c r="K58" s="34"/>
      <c r="L58" s="132"/>
      <c r="M58" s="132"/>
      <c r="N58" s="132"/>
      <c r="O58" s="132"/>
      <c r="P58" s="132"/>
      <c r="Q58" s="132"/>
      <c r="R58" s="132"/>
      <c r="S58" s="132"/>
      <c r="T58" s="132"/>
      <c r="U58" s="132"/>
      <c r="V58" s="132"/>
      <c r="W58" s="132"/>
      <c r="X58" s="132"/>
      <c r="Y58" s="132"/>
      <c r="Z58" s="132"/>
      <c r="AA58" s="132"/>
      <c r="AB58" s="132"/>
      <c r="AC58" s="132"/>
    </row>
    <row r="59">
      <c r="A59" s="382" t="s">
        <v>24</v>
      </c>
      <c r="B59" s="382" t="s">
        <v>1029</v>
      </c>
      <c r="C59" s="144" t="s">
        <v>1030</v>
      </c>
      <c r="D59" s="144" t="s">
        <v>902</v>
      </c>
      <c r="E59" s="144" t="s">
        <v>1031</v>
      </c>
      <c r="F59" s="128"/>
      <c r="G59" s="128"/>
      <c r="H59" s="379">
        <v>-1.0</v>
      </c>
      <c r="I59" s="379">
        <v>1.0</v>
      </c>
      <c r="J59" s="379">
        <v>20.0</v>
      </c>
      <c r="K59" s="391"/>
      <c r="L59" s="132"/>
      <c r="M59" s="132"/>
      <c r="N59" s="132"/>
      <c r="O59" s="132"/>
      <c r="P59" s="132"/>
      <c r="Q59" s="132"/>
      <c r="R59" s="132"/>
      <c r="S59" s="132"/>
      <c r="T59" s="132"/>
      <c r="U59" s="132"/>
      <c r="V59" s="132"/>
      <c r="W59" s="132"/>
      <c r="X59" s="132"/>
      <c r="Y59" s="132"/>
      <c r="Z59" s="132"/>
      <c r="AA59" s="132"/>
      <c r="AB59" s="132"/>
      <c r="AC59" s="132"/>
    </row>
    <row r="60">
      <c r="A60" s="105"/>
      <c r="B60" s="105"/>
      <c r="C60" s="105"/>
      <c r="D60" s="105"/>
      <c r="E60" s="105"/>
      <c r="F60" s="132"/>
      <c r="G60" s="132"/>
      <c r="H60" s="136"/>
      <c r="I60" s="136"/>
      <c r="J60" s="136"/>
      <c r="K60" s="2"/>
      <c r="L60" s="132"/>
      <c r="M60" s="132"/>
      <c r="N60" s="132"/>
      <c r="O60" s="132"/>
      <c r="P60" s="132"/>
      <c r="Q60" s="132"/>
      <c r="R60" s="132"/>
      <c r="S60" s="132"/>
      <c r="T60" s="132"/>
      <c r="U60" s="132"/>
      <c r="V60" s="132"/>
      <c r="W60" s="132"/>
      <c r="X60" s="132"/>
      <c r="Y60" s="132"/>
      <c r="Z60" s="132"/>
      <c r="AA60" s="132"/>
      <c r="AB60" s="132"/>
      <c r="AC60" s="132"/>
    </row>
    <row r="61">
      <c r="A61" s="145" t="s">
        <v>20</v>
      </c>
      <c r="B61" s="145" t="s">
        <v>1032</v>
      </c>
      <c r="C61" s="144" t="s">
        <v>951</v>
      </c>
      <c r="D61" s="144" t="s">
        <v>902</v>
      </c>
      <c r="E61" s="144" t="s">
        <v>1033</v>
      </c>
      <c r="F61" s="128"/>
      <c r="G61" s="128"/>
      <c r="H61" s="379">
        <v>-1.0</v>
      </c>
      <c r="I61" s="379">
        <v>1.0</v>
      </c>
      <c r="J61" s="379">
        <v>30.0</v>
      </c>
      <c r="K61" s="6" t="s">
        <v>1034</v>
      </c>
      <c r="L61" s="132"/>
      <c r="M61" s="132"/>
      <c r="N61" s="132"/>
      <c r="O61" s="132"/>
      <c r="P61" s="132"/>
      <c r="Q61" s="132"/>
      <c r="R61" s="132"/>
      <c r="S61" s="132"/>
      <c r="T61" s="132"/>
      <c r="U61" s="132"/>
      <c r="V61" s="132"/>
      <c r="W61" s="132"/>
      <c r="X61" s="132"/>
      <c r="Y61" s="132"/>
      <c r="Z61" s="132"/>
      <c r="AA61" s="132"/>
      <c r="AB61" s="132"/>
      <c r="AC61" s="132"/>
    </row>
    <row r="62">
      <c r="A62" s="105"/>
      <c r="B62" s="105"/>
      <c r="C62" s="105"/>
      <c r="D62" s="105"/>
      <c r="E62" s="105"/>
      <c r="F62" s="132"/>
      <c r="G62" s="132"/>
      <c r="H62" s="136"/>
      <c r="I62" s="136"/>
      <c r="J62" s="136"/>
      <c r="K62" s="34"/>
      <c r="L62" s="132"/>
      <c r="M62" s="132"/>
      <c r="N62" s="132"/>
      <c r="O62" s="132"/>
      <c r="P62" s="132"/>
      <c r="Q62" s="132"/>
      <c r="R62" s="132"/>
      <c r="S62" s="132"/>
      <c r="T62" s="132"/>
      <c r="U62" s="132"/>
      <c r="V62" s="132"/>
      <c r="W62" s="132"/>
      <c r="X62" s="132"/>
      <c r="Y62" s="132"/>
      <c r="Z62" s="132"/>
      <c r="AA62" s="132"/>
      <c r="AB62" s="132"/>
      <c r="AC62" s="132"/>
    </row>
    <row r="63">
      <c r="A63" s="149" t="s">
        <v>967</v>
      </c>
      <c r="B63" s="149" t="s">
        <v>1035</v>
      </c>
      <c r="C63" s="144" t="s">
        <v>992</v>
      </c>
      <c r="D63" s="144" t="s">
        <v>1036</v>
      </c>
      <c r="E63" s="128"/>
      <c r="F63" s="128"/>
      <c r="G63" s="128"/>
      <c r="H63" s="379">
        <v>50.0</v>
      </c>
      <c r="I63" s="379">
        <v>1.0</v>
      </c>
      <c r="J63" s="379" t="s">
        <v>926</v>
      </c>
      <c r="K63" s="391"/>
      <c r="L63" s="132"/>
      <c r="M63" s="132"/>
      <c r="N63" s="132"/>
      <c r="O63" s="132"/>
      <c r="P63" s="132"/>
      <c r="Q63" s="132"/>
      <c r="R63" s="132"/>
      <c r="S63" s="132"/>
      <c r="T63" s="132"/>
      <c r="U63" s="132"/>
      <c r="V63" s="132"/>
      <c r="W63" s="132"/>
      <c r="X63" s="132"/>
      <c r="Y63" s="132"/>
      <c r="Z63" s="132"/>
      <c r="AA63" s="132"/>
      <c r="AB63" s="132"/>
      <c r="AC63" s="132"/>
    </row>
    <row r="64">
      <c r="A64" s="144"/>
      <c r="B64" s="128"/>
      <c r="C64" s="128"/>
      <c r="D64" s="128"/>
      <c r="E64" s="128"/>
      <c r="F64" s="128"/>
      <c r="G64" s="128"/>
      <c r="H64" s="390"/>
      <c r="I64" s="390"/>
      <c r="J64" s="390"/>
      <c r="K64" s="391"/>
      <c r="L64" s="128"/>
      <c r="M64" s="128"/>
      <c r="N64" s="128"/>
      <c r="O64" s="128"/>
      <c r="P64" s="128"/>
      <c r="Q64" s="128"/>
      <c r="R64" s="128"/>
      <c r="S64" s="128"/>
      <c r="T64" s="128"/>
      <c r="U64" s="128"/>
      <c r="V64" s="128"/>
      <c r="W64" s="128"/>
      <c r="X64" s="128"/>
      <c r="Y64" s="128"/>
      <c r="Z64" s="128"/>
      <c r="AA64" s="128"/>
      <c r="AB64" s="128"/>
      <c r="AC64" s="128"/>
    </row>
    <row r="65">
      <c r="A65" s="105"/>
      <c r="B65" s="132"/>
      <c r="C65" s="132"/>
      <c r="D65" s="132"/>
      <c r="E65" s="132"/>
      <c r="F65" s="132"/>
      <c r="G65" s="132"/>
      <c r="H65" s="372"/>
      <c r="I65" s="372"/>
      <c r="J65" s="372"/>
      <c r="K65" s="2"/>
      <c r="L65" s="132"/>
      <c r="M65" s="132"/>
      <c r="N65" s="132"/>
      <c r="O65" s="132"/>
      <c r="P65" s="132"/>
      <c r="Q65" s="132"/>
      <c r="R65" s="132"/>
      <c r="S65" s="132"/>
      <c r="T65" s="132"/>
      <c r="U65" s="132"/>
      <c r="V65" s="132"/>
      <c r="W65" s="132"/>
      <c r="X65" s="132"/>
      <c r="Y65" s="132"/>
      <c r="Z65" s="132"/>
      <c r="AA65" s="132"/>
      <c r="AB65" s="132"/>
      <c r="AC65" s="132"/>
    </row>
    <row r="66">
      <c r="A66" s="105"/>
      <c r="B66" s="132"/>
      <c r="C66" s="132"/>
      <c r="D66" s="132"/>
      <c r="E66" s="132"/>
      <c r="F66" s="132"/>
      <c r="G66" s="132"/>
      <c r="H66" s="372"/>
      <c r="I66" s="372"/>
      <c r="J66" s="372"/>
      <c r="K66" s="2"/>
      <c r="L66" s="132"/>
      <c r="M66" s="132"/>
      <c r="N66" s="132"/>
      <c r="O66" s="132"/>
      <c r="P66" s="132"/>
      <c r="Q66" s="132"/>
      <c r="R66" s="132"/>
      <c r="S66" s="132"/>
      <c r="T66" s="132"/>
      <c r="U66" s="132"/>
      <c r="V66" s="132"/>
      <c r="W66" s="132"/>
      <c r="X66" s="132"/>
      <c r="Y66" s="132"/>
      <c r="Z66" s="132"/>
      <c r="AA66" s="132"/>
      <c r="AB66" s="132"/>
      <c r="AC66" s="132"/>
    </row>
    <row r="67">
      <c r="A67" s="398" t="s">
        <v>512</v>
      </c>
      <c r="B67" s="119"/>
      <c r="C67" s="119"/>
      <c r="D67" s="119"/>
      <c r="E67" s="119"/>
      <c r="F67" s="119"/>
      <c r="G67" s="119"/>
      <c r="H67" s="399"/>
      <c r="I67" s="399"/>
      <c r="J67" s="399"/>
      <c r="K67" s="387"/>
      <c r="L67" s="132"/>
      <c r="M67" s="132"/>
      <c r="N67" s="132"/>
      <c r="O67" s="132"/>
      <c r="P67" s="132"/>
      <c r="Q67" s="132"/>
      <c r="R67" s="132"/>
      <c r="S67" s="132"/>
      <c r="T67" s="132"/>
      <c r="U67" s="132"/>
      <c r="V67" s="132"/>
      <c r="W67" s="132"/>
      <c r="X67" s="132"/>
      <c r="Y67" s="132"/>
      <c r="Z67" s="132"/>
      <c r="AA67" s="132"/>
      <c r="AB67" s="132"/>
      <c r="AC67" s="132"/>
    </row>
    <row r="68">
      <c r="A68" s="119"/>
      <c r="B68" s="400" t="s">
        <v>880</v>
      </c>
      <c r="C68" s="400" t="s">
        <v>881</v>
      </c>
      <c r="D68" s="400" t="s">
        <v>882</v>
      </c>
      <c r="E68" s="400" t="s">
        <v>883</v>
      </c>
      <c r="F68" s="400" t="s">
        <v>884</v>
      </c>
      <c r="G68" s="400" t="s">
        <v>885</v>
      </c>
      <c r="H68" s="401" t="s">
        <v>886</v>
      </c>
      <c r="I68" s="401" t="s">
        <v>887</v>
      </c>
      <c r="J68" s="401" t="s">
        <v>888</v>
      </c>
      <c r="K68" s="402" t="s">
        <v>889</v>
      </c>
      <c r="L68" s="132"/>
      <c r="M68" s="132"/>
      <c r="N68" s="132"/>
      <c r="O68" s="132"/>
      <c r="P68" s="132"/>
      <c r="Q68" s="132"/>
      <c r="R68" s="132"/>
      <c r="S68" s="132"/>
      <c r="T68" s="132"/>
      <c r="U68" s="132"/>
      <c r="V68" s="132"/>
      <c r="W68" s="132"/>
      <c r="X68" s="132"/>
      <c r="Y68" s="132"/>
      <c r="Z68" s="132"/>
      <c r="AA68" s="132"/>
      <c r="AB68" s="132"/>
      <c r="AC68" s="132"/>
    </row>
    <row r="69">
      <c r="A69" s="400" t="s">
        <v>431</v>
      </c>
      <c r="B69" s="160" t="s">
        <v>1037</v>
      </c>
      <c r="C69" s="160" t="s">
        <v>432</v>
      </c>
      <c r="D69" s="160" t="s">
        <v>434</v>
      </c>
      <c r="E69" s="119"/>
      <c r="F69" s="119"/>
      <c r="G69" s="119"/>
      <c r="H69" s="386" t="s">
        <v>332</v>
      </c>
      <c r="I69" s="386">
        <v>1.0</v>
      </c>
      <c r="J69" s="386">
        <v>20.0</v>
      </c>
      <c r="K69" s="387"/>
      <c r="L69" s="132"/>
      <c r="M69" s="132"/>
      <c r="N69" s="132"/>
      <c r="O69" s="132"/>
      <c r="P69" s="132"/>
      <c r="Q69" s="132"/>
      <c r="R69" s="132"/>
      <c r="S69" s="132"/>
      <c r="T69" s="132"/>
      <c r="U69" s="132"/>
      <c r="V69" s="132"/>
      <c r="W69" s="132"/>
      <c r="X69" s="132"/>
      <c r="Y69" s="132"/>
      <c r="Z69" s="132"/>
      <c r="AA69" s="132"/>
      <c r="AB69" s="132"/>
      <c r="AC69" s="132"/>
    </row>
    <row r="70">
      <c r="A70" s="119"/>
      <c r="B70" s="160" t="s">
        <v>1038</v>
      </c>
      <c r="C70" s="160" t="s">
        <v>432</v>
      </c>
      <c r="D70" s="160" t="s">
        <v>441</v>
      </c>
      <c r="E70" s="119"/>
      <c r="F70" s="119"/>
      <c r="G70" s="119"/>
      <c r="H70" s="386" t="s">
        <v>332</v>
      </c>
      <c r="I70" s="386">
        <v>1.0</v>
      </c>
      <c r="J70" s="386">
        <v>20.0</v>
      </c>
      <c r="K70" s="387"/>
      <c r="L70" s="132"/>
      <c r="M70" s="132"/>
      <c r="N70" s="132"/>
      <c r="O70" s="132"/>
      <c r="P70" s="132"/>
      <c r="Q70" s="132"/>
      <c r="R70" s="132"/>
      <c r="S70" s="132"/>
      <c r="T70" s="132"/>
      <c r="U70" s="132"/>
      <c r="V70" s="132"/>
      <c r="W70" s="132"/>
      <c r="X70" s="132"/>
      <c r="Y70" s="132"/>
      <c r="Z70" s="132"/>
      <c r="AA70" s="132"/>
      <c r="AB70" s="132"/>
      <c r="AC70" s="132"/>
    </row>
    <row r="71">
      <c r="A71" s="132"/>
      <c r="B71" s="132"/>
      <c r="C71" s="132"/>
      <c r="D71" s="132"/>
      <c r="E71" s="132"/>
      <c r="F71" s="132"/>
      <c r="G71" s="132"/>
      <c r="H71" s="372"/>
      <c r="I71" s="372"/>
      <c r="J71" s="372"/>
      <c r="K71" s="2"/>
      <c r="L71" s="132"/>
      <c r="M71" s="132"/>
      <c r="N71" s="132"/>
      <c r="O71" s="132"/>
      <c r="P71" s="132"/>
      <c r="Q71" s="132"/>
      <c r="R71" s="132"/>
      <c r="S71" s="132"/>
      <c r="T71" s="132"/>
      <c r="U71" s="132"/>
      <c r="V71" s="132"/>
      <c r="W71" s="132"/>
      <c r="X71" s="132"/>
      <c r="Y71" s="132"/>
      <c r="Z71" s="132"/>
      <c r="AA71" s="132"/>
      <c r="AB71" s="132"/>
      <c r="AC71" s="132"/>
    </row>
    <row r="72">
      <c r="A72" s="400" t="s">
        <v>891</v>
      </c>
      <c r="B72" s="160" t="s">
        <v>1039</v>
      </c>
      <c r="C72" s="160" t="s">
        <v>1040</v>
      </c>
      <c r="D72" s="160" t="s">
        <v>1041</v>
      </c>
      <c r="E72" s="160" t="s">
        <v>1042</v>
      </c>
      <c r="F72" s="119"/>
      <c r="G72" s="119"/>
      <c r="H72" s="386" t="s">
        <v>332</v>
      </c>
      <c r="I72" s="386">
        <v>1.0</v>
      </c>
      <c r="J72" s="386">
        <v>25.0</v>
      </c>
      <c r="K72" s="13" t="s">
        <v>1043</v>
      </c>
      <c r="L72" s="132"/>
      <c r="M72" s="132"/>
      <c r="N72" s="132"/>
      <c r="O72" s="132"/>
      <c r="P72" s="132"/>
      <c r="Q72" s="132"/>
      <c r="R72" s="132"/>
      <c r="S72" s="132"/>
      <c r="T72" s="132"/>
      <c r="U72" s="132"/>
      <c r="V72" s="132"/>
      <c r="W72" s="132"/>
      <c r="X72" s="132"/>
      <c r="Y72" s="132"/>
      <c r="Z72" s="132"/>
      <c r="AA72" s="132"/>
      <c r="AB72" s="132"/>
      <c r="AC72" s="132"/>
    </row>
    <row r="73">
      <c r="A73" s="119"/>
      <c r="B73" s="160" t="s">
        <v>1044</v>
      </c>
      <c r="C73" s="160" t="s">
        <v>1045</v>
      </c>
      <c r="D73" s="160" t="s">
        <v>1046</v>
      </c>
      <c r="E73" s="119"/>
      <c r="F73" s="119"/>
      <c r="G73" s="119"/>
      <c r="H73" s="386" t="s">
        <v>332</v>
      </c>
      <c r="I73" s="386">
        <v>1.0</v>
      </c>
      <c r="J73" s="386">
        <v>50.0</v>
      </c>
      <c r="K73" s="387"/>
      <c r="L73" s="132"/>
      <c r="M73" s="132"/>
      <c r="N73" s="132"/>
      <c r="O73" s="132"/>
      <c r="P73" s="132"/>
      <c r="Q73" s="132"/>
      <c r="R73" s="132"/>
      <c r="S73" s="132"/>
      <c r="T73" s="132"/>
      <c r="U73" s="132"/>
      <c r="V73" s="132"/>
      <c r="W73" s="132"/>
      <c r="X73" s="132"/>
      <c r="Y73" s="132"/>
      <c r="Z73" s="132"/>
      <c r="AA73" s="132"/>
      <c r="AB73" s="132"/>
      <c r="AC73" s="132"/>
    </row>
    <row r="74">
      <c r="A74" s="119"/>
      <c r="B74" s="160" t="s">
        <v>1047</v>
      </c>
      <c r="C74" s="160" t="s">
        <v>1048</v>
      </c>
      <c r="D74" s="160" t="s">
        <v>1049</v>
      </c>
      <c r="E74" s="119"/>
      <c r="F74" s="119"/>
      <c r="G74" s="119"/>
      <c r="H74" s="386" t="s">
        <v>332</v>
      </c>
      <c r="I74" s="386">
        <v>1.0</v>
      </c>
      <c r="J74" s="386">
        <v>50.0</v>
      </c>
      <c r="K74" s="13" t="s">
        <v>1050</v>
      </c>
      <c r="L74" s="132"/>
      <c r="M74" s="132"/>
      <c r="N74" s="132"/>
      <c r="O74" s="132"/>
      <c r="P74" s="132"/>
      <c r="Q74" s="132"/>
      <c r="R74" s="132"/>
      <c r="S74" s="132"/>
      <c r="T74" s="132"/>
      <c r="U74" s="132"/>
      <c r="V74" s="132"/>
      <c r="W74" s="132"/>
      <c r="X74" s="132"/>
      <c r="Y74" s="132"/>
      <c r="Z74" s="132"/>
      <c r="AA74" s="132"/>
      <c r="AB74" s="132"/>
      <c r="AC74" s="132"/>
    </row>
    <row r="75">
      <c r="A75" s="119"/>
      <c r="B75" s="160" t="s">
        <v>1051</v>
      </c>
      <c r="C75" s="160" t="s">
        <v>1052</v>
      </c>
      <c r="D75" s="160" t="s">
        <v>1053</v>
      </c>
      <c r="E75" s="119"/>
      <c r="F75" s="119"/>
      <c r="G75" s="119"/>
      <c r="H75" s="386">
        <v>80.0</v>
      </c>
      <c r="I75" s="386">
        <v>1.0</v>
      </c>
      <c r="J75" s="386" t="s">
        <v>1054</v>
      </c>
      <c r="K75" s="13" t="s">
        <v>1055</v>
      </c>
      <c r="L75" s="132"/>
      <c r="M75" s="132"/>
      <c r="N75" s="132"/>
      <c r="O75" s="132"/>
      <c r="P75" s="132"/>
      <c r="Q75" s="132"/>
      <c r="R75" s="132"/>
      <c r="S75" s="132"/>
      <c r="T75" s="132"/>
      <c r="U75" s="132"/>
      <c r="V75" s="132"/>
      <c r="W75" s="132"/>
      <c r="X75" s="132"/>
      <c r="Y75" s="132"/>
      <c r="Z75" s="132"/>
      <c r="AA75" s="132"/>
      <c r="AB75" s="132"/>
      <c r="AC75" s="132"/>
    </row>
    <row r="76">
      <c r="A76" s="119"/>
      <c r="B76" s="160" t="s">
        <v>1056</v>
      </c>
      <c r="C76" s="160" t="s">
        <v>1057</v>
      </c>
      <c r="D76" s="160" t="s">
        <v>1041</v>
      </c>
      <c r="E76" s="160" t="s">
        <v>1058</v>
      </c>
      <c r="F76" s="119"/>
      <c r="G76" s="160" t="s">
        <v>1059</v>
      </c>
      <c r="H76" s="386">
        <v>40.0</v>
      </c>
      <c r="I76" s="386">
        <v>1.0</v>
      </c>
      <c r="J76" s="386" t="s">
        <v>1054</v>
      </c>
      <c r="K76" s="13"/>
      <c r="L76" s="132"/>
      <c r="M76" s="132"/>
      <c r="N76" s="132"/>
      <c r="O76" s="132"/>
      <c r="P76" s="132"/>
      <c r="Q76" s="132"/>
      <c r="R76" s="132"/>
      <c r="S76" s="132"/>
      <c r="T76" s="132"/>
      <c r="U76" s="132"/>
      <c r="V76" s="132"/>
      <c r="W76" s="132"/>
      <c r="X76" s="132"/>
      <c r="Y76" s="132"/>
      <c r="Z76" s="132"/>
      <c r="AA76" s="132"/>
      <c r="AB76" s="132"/>
      <c r="AC76" s="132"/>
    </row>
    <row r="77">
      <c r="A77" s="119"/>
      <c r="B77" s="160" t="s">
        <v>1060</v>
      </c>
      <c r="C77" s="160" t="s">
        <v>1061</v>
      </c>
      <c r="D77" s="160" t="s">
        <v>1062</v>
      </c>
      <c r="E77" s="160" t="s">
        <v>900</v>
      </c>
      <c r="F77" s="119"/>
      <c r="G77" s="119"/>
      <c r="H77" s="386">
        <v>80.0</v>
      </c>
      <c r="I77" s="386">
        <v>1.0</v>
      </c>
      <c r="J77" s="386">
        <v>20.0</v>
      </c>
      <c r="K77" s="387"/>
      <c r="L77" s="132"/>
      <c r="M77" s="132"/>
      <c r="N77" s="132"/>
      <c r="O77" s="132"/>
      <c r="P77" s="132"/>
      <c r="Q77" s="132"/>
      <c r="R77" s="132"/>
      <c r="S77" s="132"/>
      <c r="T77" s="132"/>
      <c r="U77" s="132"/>
      <c r="V77" s="132"/>
      <c r="W77" s="132"/>
      <c r="X77" s="132"/>
      <c r="Y77" s="132"/>
      <c r="Z77" s="132"/>
      <c r="AA77" s="132"/>
      <c r="AB77" s="132"/>
      <c r="AC77" s="132"/>
    </row>
    <row r="78">
      <c r="A78" s="132"/>
      <c r="B78" s="132"/>
      <c r="C78" s="132"/>
      <c r="D78" s="132"/>
      <c r="E78" s="132"/>
      <c r="F78" s="132"/>
      <c r="G78" s="132"/>
      <c r="H78" s="372"/>
      <c r="I78" s="372"/>
      <c r="J78" s="372"/>
      <c r="K78" s="2"/>
      <c r="L78" s="132"/>
      <c r="M78" s="132"/>
      <c r="N78" s="132"/>
      <c r="O78" s="132"/>
      <c r="P78" s="132"/>
      <c r="Q78" s="132"/>
      <c r="R78" s="132"/>
      <c r="S78" s="132"/>
      <c r="T78" s="132"/>
      <c r="U78" s="132"/>
      <c r="V78" s="132"/>
      <c r="W78" s="132"/>
      <c r="X78" s="132"/>
      <c r="Y78" s="132"/>
      <c r="Z78" s="132"/>
      <c r="AA78" s="132"/>
      <c r="AB78" s="132"/>
      <c r="AC78" s="132"/>
    </row>
    <row r="79">
      <c r="A79" s="400" t="s">
        <v>1001</v>
      </c>
      <c r="B79" s="160" t="s">
        <v>1063</v>
      </c>
      <c r="C79" s="160" t="s">
        <v>1064</v>
      </c>
      <c r="D79" s="160" t="s">
        <v>1065</v>
      </c>
      <c r="E79" s="119"/>
      <c r="F79" s="119"/>
      <c r="G79" s="403" t="s">
        <v>1066</v>
      </c>
      <c r="H79" s="404" t="s">
        <v>332</v>
      </c>
      <c r="I79" s="404">
        <v>1.0</v>
      </c>
      <c r="J79" s="404">
        <v>25.0</v>
      </c>
      <c r="K79" s="13" t="s">
        <v>1067</v>
      </c>
      <c r="L79" s="132"/>
      <c r="M79" s="132"/>
      <c r="N79" s="132"/>
      <c r="O79" s="132"/>
      <c r="P79" s="132"/>
      <c r="Q79" s="132"/>
      <c r="R79" s="132"/>
      <c r="S79" s="132"/>
      <c r="T79" s="132"/>
      <c r="U79" s="132"/>
      <c r="V79" s="132"/>
      <c r="W79" s="132"/>
      <c r="X79" s="132"/>
      <c r="Y79" s="132"/>
      <c r="Z79" s="132"/>
      <c r="AA79" s="132"/>
      <c r="AB79" s="132"/>
      <c r="AC79" s="132"/>
    </row>
    <row r="80">
      <c r="A80" s="119"/>
      <c r="B80" s="160" t="s">
        <v>1068</v>
      </c>
      <c r="C80" s="160" t="s">
        <v>1069</v>
      </c>
      <c r="D80" s="160" t="s">
        <v>1070</v>
      </c>
      <c r="E80" s="119"/>
      <c r="F80" s="119"/>
      <c r="G80" s="160" t="s">
        <v>1071</v>
      </c>
      <c r="H80" s="386" t="s">
        <v>332</v>
      </c>
      <c r="I80" s="386">
        <v>1.0</v>
      </c>
      <c r="J80" s="386">
        <v>15.0</v>
      </c>
      <c r="K80" s="387"/>
      <c r="L80" s="132"/>
      <c r="M80" s="132"/>
      <c r="N80" s="132"/>
      <c r="O80" s="132"/>
      <c r="P80" s="132"/>
      <c r="Q80" s="132"/>
      <c r="R80" s="132"/>
      <c r="S80" s="132"/>
      <c r="T80" s="132"/>
      <c r="U80" s="132"/>
      <c r="V80" s="132"/>
      <c r="W80" s="132"/>
      <c r="X80" s="132"/>
      <c r="Y80" s="132"/>
      <c r="Z80" s="132"/>
      <c r="AA80" s="132"/>
      <c r="AB80" s="132"/>
      <c r="AC80" s="132"/>
    </row>
    <row r="81">
      <c r="A81" s="119"/>
      <c r="B81" s="160" t="s">
        <v>1072</v>
      </c>
      <c r="C81" s="160" t="s">
        <v>1073</v>
      </c>
      <c r="D81" s="405" t="s">
        <v>1074</v>
      </c>
      <c r="E81" s="160" t="s">
        <v>1075</v>
      </c>
      <c r="F81" s="119"/>
      <c r="G81" s="119"/>
      <c r="H81" s="386">
        <v>60.0</v>
      </c>
      <c r="I81" s="386">
        <v>1.0</v>
      </c>
      <c r="J81" s="386">
        <v>40.0</v>
      </c>
      <c r="K81" s="387"/>
      <c r="L81" s="132"/>
      <c r="M81" s="132"/>
      <c r="N81" s="132"/>
      <c r="O81" s="132"/>
      <c r="P81" s="132"/>
      <c r="Q81" s="132"/>
      <c r="R81" s="132"/>
      <c r="S81" s="132"/>
      <c r="T81" s="132"/>
      <c r="U81" s="132"/>
      <c r="V81" s="132"/>
      <c r="W81" s="132"/>
      <c r="X81" s="132"/>
      <c r="Y81" s="132"/>
      <c r="Z81" s="132"/>
      <c r="AA81" s="132"/>
      <c r="AB81" s="132"/>
      <c r="AC81" s="132"/>
    </row>
    <row r="82">
      <c r="A82" s="119"/>
      <c r="B82" s="119"/>
      <c r="C82" s="119"/>
      <c r="D82" s="119"/>
      <c r="E82" s="119"/>
      <c r="F82" s="119"/>
      <c r="G82" s="119"/>
      <c r="H82" s="399"/>
      <c r="I82" s="399"/>
      <c r="J82" s="399"/>
      <c r="K82" s="387"/>
      <c r="L82" s="132"/>
      <c r="M82" s="132"/>
      <c r="N82" s="132"/>
      <c r="O82" s="132"/>
      <c r="P82" s="132"/>
      <c r="Q82" s="132"/>
      <c r="R82" s="132"/>
      <c r="S82" s="132"/>
      <c r="T82" s="132"/>
      <c r="U82" s="132"/>
      <c r="V82" s="132"/>
      <c r="W82" s="132"/>
      <c r="X82" s="132"/>
      <c r="Y82" s="132"/>
      <c r="Z82" s="132"/>
      <c r="AA82" s="132"/>
      <c r="AB82" s="132"/>
      <c r="AC82" s="132"/>
    </row>
    <row r="83">
      <c r="A83" s="119"/>
      <c r="B83" s="160" t="s">
        <v>1076</v>
      </c>
      <c r="C83" s="160" t="s">
        <v>1077</v>
      </c>
      <c r="D83" s="160" t="s">
        <v>1078</v>
      </c>
      <c r="E83" s="119"/>
      <c r="F83" s="119"/>
      <c r="G83" s="119"/>
      <c r="H83" s="386">
        <v>20.0</v>
      </c>
      <c r="I83" s="386">
        <v>1.0</v>
      </c>
      <c r="J83" s="386">
        <v>50.0</v>
      </c>
      <c r="K83" s="387"/>
      <c r="L83" s="132"/>
      <c r="M83" s="132"/>
      <c r="N83" s="132"/>
      <c r="O83" s="132"/>
      <c r="P83" s="132"/>
      <c r="Q83" s="132"/>
      <c r="R83" s="132"/>
      <c r="S83" s="132"/>
      <c r="T83" s="132"/>
      <c r="U83" s="132"/>
      <c r="V83" s="132"/>
      <c r="W83" s="132"/>
      <c r="X83" s="132"/>
      <c r="Y83" s="132"/>
      <c r="Z83" s="132"/>
      <c r="AA83" s="132"/>
      <c r="AB83" s="132"/>
      <c r="AC83" s="132"/>
    </row>
    <row r="84">
      <c r="A84" s="132"/>
      <c r="B84" s="132"/>
      <c r="C84" s="132"/>
      <c r="D84" s="132"/>
      <c r="E84" s="132"/>
      <c r="F84" s="132"/>
      <c r="G84" s="132"/>
      <c r="H84" s="372"/>
      <c r="I84" s="372"/>
      <c r="J84" s="372"/>
      <c r="K84" s="2"/>
      <c r="L84" s="132"/>
      <c r="M84" s="132"/>
      <c r="N84" s="132"/>
      <c r="O84" s="132"/>
      <c r="P84" s="132"/>
      <c r="Q84" s="132"/>
      <c r="R84" s="132"/>
      <c r="S84" s="132"/>
      <c r="T84" s="132"/>
      <c r="U84" s="132"/>
      <c r="V84" s="132"/>
      <c r="W84" s="132"/>
      <c r="X84" s="132"/>
      <c r="Y84" s="132"/>
      <c r="Z84" s="132"/>
      <c r="AA84" s="132"/>
      <c r="AB84" s="132"/>
      <c r="AC84" s="132"/>
    </row>
    <row r="85">
      <c r="A85" s="144" t="s">
        <v>30</v>
      </c>
      <c r="B85" s="144" t="s">
        <v>1079</v>
      </c>
      <c r="C85" s="160" t="s">
        <v>1080</v>
      </c>
      <c r="D85" s="160" t="s">
        <v>1081</v>
      </c>
      <c r="E85" s="119"/>
      <c r="F85" s="119"/>
      <c r="G85" s="119"/>
      <c r="H85" s="386">
        <v>-1.0</v>
      </c>
      <c r="I85" s="386">
        <v>1.0</v>
      </c>
      <c r="J85" s="386">
        <v>80.0</v>
      </c>
      <c r="K85" s="387"/>
      <c r="L85" s="132"/>
      <c r="M85" s="132"/>
      <c r="N85" s="132"/>
      <c r="O85" s="132"/>
      <c r="P85" s="132"/>
      <c r="Q85" s="132"/>
      <c r="R85" s="132"/>
      <c r="S85" s="132"/>
      <c r="T85" s="132"/>
      <c r="U85" s="132"/>
      <c r="V85" s="132"/>
      <c r="W85" s="132"/>
      <c r="X85" s="132"/>
      <c r="Y85" s="132"/>
      <c r="Z85" s="132"/>
      <c r="AA85" s="132"/>
      <c r="AB85" s="132"/>
      <c r="AC85" s="132"/>
    </row>
    <row r="86">
      <c r="A86" s="105"/>
      <c r="B86" s="105"/>
      <c r="C86" s="105"/>
      <c r="D86" s="105"/>
      <c r="E86" s="132"/>
      <c r="F86" s="132"/>
      <c r="G86" s="132"/>
      <c r="H86" s="136"/>
      <c r="I86" s="136"/>
      <c r="J86" s="136"/>
      <c r="K86" s="2"/>
      <c r="L86" s="132"/>
      <c r="M86" s="132"/>
      <c r="N86" s="132"/>
      <c r="O86" s="132"/>
      <c r="P86" s="132"/>
      <c r="Q86" s="132"/>
      <c r="R86" s="132"/>
      <c r="S86" s="132"/>
      <c r="T86" s="132"/>
      <c r="U86" s="132"/>
      <c r="V86" s="132"/>
      <c r="W86" s="132"/>
      <c r="X86" s="132"/>
      <c r="Y86" s="132"/>
      <c r="Z86" s="132"/>
      <c r="AA86" s="132"/>
      <c r="AB86" s="132"/>
      <c r="AC86" s="132"/>
    </row>
    <row r="87">
      <c r="A87" s="382" t="s">
        <v>24</v>
      </c>
      <c r="B87" s="382" t="s">
        <v>1082</v>
      </c>
      <c r="C87" s="160" t="s">
        <v>1083</v>
      </c>
      <c r="D87" s="160" t="s">
        <v>912</v>
      </c>
      <c r="E87" s="119"/>
      <c r="F87" s="119"/>
      <c r="G87" s="119"/>
      <c r="H87" s="386">
        <v>-1.0</v>
      </c>
      <c r="I87" s="386">
        <v>1.0</v>
      </c>
      <c r="J87" s="386">
        <v>20.0</v>
      </c>
      <c r="K87" s="13" t="s">
        <v>1084</v>
      </c>
      <c r="L87" s="132"/>
      <c r="M87" s="132"/>
      <c r="N87" s="132"/>
      <c r="O87" s="132"/>
      <c r="P87" s="132"/>
      <c r="Q87" s="132"/>
      <c r="R87" s="132"/>
      <c r="S87" s="132"/>
      <c r="T87" s="132"/>
      <c r="U87" s="132"/>
      <c r="V87" s="132"/>
      <c r="W87" s="132"/>
      <c r="X87" s="132"/>
      <c r="Y87" s="132"/>
      <c r="Z87" s="132"/>
      <c r="AA87" s="132"/>
      <c r="AB87" s="132"/>
      <c r="AC87" s="132"/>
    </row>
    <row r="88">
      <c r="A88" s="382"/>
      <c r="B88" s="382" t="s">
        <v>1085</v>
      </c>
      <c r="C88" s="160" t="s">
        <v>1086</v>
      </c>
      <c r="D88" s="160" t="s">
        <v>1087</v>
      </c>
      <c r="E88" s="160" t="s">
        <v>1088</v>
      </c>
      <c r="F88" s="160" t="s">
        <v>912</v>
      </c>
      <c r="G88" s="119"/>
      <c r="H88" s="386">
        <v>-1.0</v>
      </c>
      <c r="I88" s="386">
        <v>1.0</v>
      </c>
      <c r="J88" s="386">
        <v>30.0</v>
      </c>
      <c r="K88" s="387"/>
      <c r="L88" s="132"/>
      <c r="M88" s="132"/>
      <c r="N88" s="132"/>
      <c r="O88" s="132"/>
      <c r="P88" s="132"/>
      <c r="Q88" s="132"/>
      <c r="R88" s="132"/>
      <c r="S88" s="132"/>
      <c r="T88" s="132"/>
      <c r="U88" s="132"/>
      <c r="V88" s="132"/>
      <c r="W88" s="132"/>
      <c r="X88" s="132"/>
      <c r="Y88" s="132"/>
      <c r="Z88" s="132"/>
      <c r="AA88" s="132"/>
      <c r="AB88" s="132"/>
      <c r="AC88" s="132"/>
    </row>
    <row r="89">
      <c r="A89" s="132"/>
      <c r="B89" s="105"/>
      <c r="C89" s="105"/>
      <c r="D89" s="105"/>
      <c r="E89" s="105"/>
      <c r="F89" s="105"/>
      <c r="G89" s="132"/>
      <c r="H89" s="136"/>
      <c r="I89" s="136"/>
      <c r="J89" s="136"/>
      <c r="K89" s="2"/>
      <c r="L89" s="132"/>
      <c r="M89" s="132"/>
      <c r="N89" s="132"/>
      <c r="O89" s="132"/>
      <c r="P89" s="132"/>
      <c r="Q89" s="132"/>
      <c r="R89" s="132"/>
      <c r="S89" s="132"/>
      <c r="T89" s="132"/>
      <c r="U89" s="132"/>
      <c r="V89" s="132"/>
      <c r="W89" s="132"/>
      <c r="X89" s="132"/>
      <c r="Y89" s="132"/>
      <c r="Z89" s="132"/>
      <c r="AA89" s="132"/>
      <c r="AB89" s="132"/>
      <c r="AC89" s="132"/>
    </row>
    <row r="90">
      <c r="A90" s="149" t="s">
        <v>967</v>
      </c>
      <c r="B90" s="149" t="s">
        <v>1089</v>
      </c>
      <c r="C90" s="160" t="s">
        <v>907</v>
      </c>
      <c r="D90" s="160" t="s">
        <v>1090</v>
      </c>
      <c r="E90" s="119"/>
      <c r="F90" s="119"/>
      <c r="G90" s="119"/>
      <c r="H90" s="386">
        <v>50.0</v>
      </c>
      <c r="I90" s="386">
        <v>1.0</v>
      </c>
      <c r="J90" s="386" t="s">
        <v>926</v>
      </c>
      <c r="K90" s="387"/>
      <c r="L90" s="132"/>
      <c r="M90" s="132"/>
      <c r="N90" s="132"/>
      <c r="O90" s="132"/>
      <c r="P90" s="132"/>
      <c r="Q90" s="132"/>
      <c r="R90" s="132"/>
      <c r="S90" s="132"/>
      <c r="T90" s="132"/>
      <c r="U90" s="132"/>
      <c r="V90" s="132"/>
      <c r="W90" s="132"/>
      <c r="X90" s="132"/>
      <c r="Y90" s="132"/>
      <c r="Z90" s="132"/>
      <c r="AA90" s="132"/>
      <c r="AB90" s="132"/>
      <c r="AC90" s="132"/>
    </row>
    <row r="91">
      <c r="A91" s="119"/>
      <c r="B91" s="119"/>
      <c r="C91" s="119"/>
      <c r="D91" s="119"/>
      <c r="E91" s="119"/>
      <c r="F91" s="119"/>
      <c r="G91" s="119"/>
      <c r="H91" s="399"/>
      <c r="I91" s="399"/>
      <c r="J91" s="399"/>
      <c r="K91" s="387"/>
      <c r="L91" s="132"/>
      <c r="M91" s="132"/>
      <c r="N91" s="132"/>
      <c r="O91" s="132"/>
      <c r="P91" s="132"/>
      <c r="Q91" s="132"/>
      <c r="R91" s="132"/>
      <c r="S91" s="132"/>
      <c r="T91" s="132"/>
      <c r="U91" s="132"/>
      <c r="V91" s="132"/>
      <c r="W91" s="132"/>
      <c r="X91" s="132"/>
      <c r="Y91" s="132"/>
      <c r="Z91" s="132"/>
      <c r="AA91" s="132"/>
      <c r="AB91" s="132"/>
      <c r="AC91" s="132"/>
    </row>
    <row r="92">
      <c r="A92" s="132"/>
      <c r="B92" s="132"/>
      <c r="C92" s="132"/>
      <c r="D92" s="132"/>
      <c r="E92" s="132"/>
      <c r="F92" s="132"/>
      <c r="G92" s="132"/>
      <c r="H92" s="372"/>
      <c r="I92" s="372"/>
      <c r="J92" s="372"/>
      <c r="K92" s="2"/>
      <c r="L92" s="132"/>
      <c r="M92" s="132"/>
      <c r="N92" s="132"/>
      <c r="O92" s="132"/>
      <c r="P92" s="132"/>
      <c r="Q92" s="132"/>
      <c r="R92" s="132"/>
      <c r="S92" s="132"/>
      <c r="T92" s="132"/>
      <c r="U92" s="132"/>
      <c r="V92" s="132"/>
      <c r="W92" s="132"/>
      <c r="X92" s="132"/>
      <c r="Y92" s="132"/>
      <c r="Z92" s="132"/>
      <c r="AA92" s="132"/>
      <c r="AB92" s="132"/>
      <c r="AC92" s="132"/>
    </row>
    <row r="93">
      <c r="A93" s="132"/>
      <c r="B93" s="132"/>
      <c r="C93" s="132"/>
      <c r="D93" s="132"/>
      <c r="E93" s="132"/>
      <c r="F93" s="132"/>
      <c r="G93" s="132"/>
      <c r="H93" s="372"/>
      <c r="I93" s="372"/>
      <c r="J93" s="372"/>
      <c r="K93" s="2"/>
      <c r="L93" s="132"/>
      <c r="M93" s="132"/>
      <c r="N93" s="132"/>
      <c r="O93" s="132"/>
      <c r="P93" s="132"/>
      <c r="Q93" s="132"/>
      <c r="R93" s="132"/>
      <c r="S93" s="132"/>
      <c r="T93" s="132"/>
      <c r="U93" s="132"/>
      <c r="V93" s="132"/>
      <c r="W93" s="132"/>
      <c r="X93" s="132"/>
      <c r="Y93" s="132"/>
      <c r="Z93" s="132"/>
      <c r="AA93" s="132"/>
      <c r="AB93" s="132"/>
      <c r="AC93" s="132"/>
    </row>
    <row r="94">
      <c r="A94" s="406" t="s">
        <v>513</v>
      </c>
      <c r="B94" s="121"/>
      <c r="C94" s="121"/>
      <c r="D94" s="121"/>
      <c r="E94" s="121"/>
      <c r="F94" s="121"/>
      <c r="G94" s="121"/>
      <c r="H94" s="407"/>
      <c r="I94" s="407"/>
      <c r="J94" s="407"/>
      <c r="K94" s="408"/>
      <c r="L94" s="132"/>
      <c r="M94" s="132"/>
      <c r="N94" s="132"/>
      <c r="O94" s="132"/>
      <c r="P94" s="132"/>
      <c r="Q94" s="132"/>
      <c r="R94" s="132"/>
      <c r="S94" s="132"/>
      <c r="T94" s="132"/>
      <c r="U94" s="132"/>
      <c r="V94" s="132"/>
      <c r="W94" s="132"/>
      <c r="X94" s="132"/>
      <c r="Y94" s="132"/>
      <c r="Z94" s="132"/>
      <c r="AA94" s="132"/>
      <c r="AB94" s="132"/>
      <c r="AC94" s="132"/>
    </row>
    <row r="95">
      <c r="A95" s="121"/>
      <c r="B95" s="409" t="s">
        <v>880</v>
      </c>
      <c r="C95" s="409" t="s">
        <v>881</v>
      </c>
      <c r="D95" s="409" t="s">
        <v>882</v>
      </c>
      <c r="E95" s="409" t="s">
        <v>883</v>
      </c>
      <c r="F95" s="409" t="s">
        <v>884</v>
      </c>
      <c r="G95" s="409" t="s">
        <v>885</v>
      </c>
      <c r="H95" s="410" t="s">
        <v>886</v>
      </c>
      <c r="I95" s="410" t="s">
        <v>887</v>
      </c>
      <c r="J95" s="410" t="s">
        <v>888</v>
      </c>
      <c r="K95" s="411" t="s">
        <v>889</v>
      </c>
      <c r="L95" s="132"/>
      <c r="M95" s="132"/>
      <c r="N95" s="132"/>
      <c r="O95" s="132"/>
      <c r="P95" s="132"/>
      <c r="Q95" s="132"/>
      <c r="R95" s="132"/>
      <c r="S95" s="132"/>
      <c r="T95" s="132"/>
      <c r="U95" s="132"/>
      <c r="V95" s="132"/>
      <c r="W95" s="132"/>
      <c r="X95" s="132"/>
      <c r="Y95" s="132"/>
      <c r="Z95" s="132"/>
      <c r="AA95" s="132"/>
      <c r="AB95" s="132"/>
      <c r="AC95" s="132"/>
    </row>
    <row r="96">
      <c r="A96" s="409" t="s">
        <v>431</v>
      </c>
      <c r="B96" s="145" t="s">
        <v>1091</v>
      </c>
      <c r="C96" s="145" t="s">
        <v>439</v>
      </c>
      <c r="D96" s="145" t="s">
        <v>438</v>
      </c>
      <c r="E96" s="145" t="s">
        <v>435</v>
      </c>
      <c r="F96" s="121"/>
      <c r="G96" s="121"/>
      <c r="H96" s="412" t="s">
        <v>332</v>
      </c>
      <c r="I96" s="412">
        <v>1.0</v>
      </c>
      <c r="J96" s="412">
        <v>20.0</v>
      </c>
      <c r="K96" s="408"/>
      <c r="L96" s="132"/>
      <c r="M96" s="132"/>
      <c r="N96" s="132"/>
      <c r="O96" s="132"/>
      <c r="P96" s="132"/>
      <c r="Q96" s="132"/>
      <c r="R96" s="132"/>
      <c r="S96" s="132"/>
      <c r="T96" s="132"/>
      <c r="U96" s="132"/>
      <c r="V96" s="132"/>
      <c r="W96" s="132"/>
      <c r="X96" s="132"/>
      <c r="Y96" s="132"/>
      <c r="Z96" s="132"/>
      <c r="AA96" s="132"/>
      <c r="AB96" s="132"/>
      <c r="AC96" s="132"/>
    </row>
    <row r="97">
      <c r="A97" s="121"/>
      <c r="B97" s="145" t="s">
        <v>1092</v>
      </c>
      <c r="C97" s="145" t="s">
        <v>437</v>
      </c>
      <c r="D97" s="145" t="s">
        <v>440</v>
      </c>
      <c r="E97" s="121"/>
      <c r="F97" s="121"/>
      <c r="G97" s="145" t="s">
        <v>1093</v>
      </c>
      <c r="H97" s="412" t="s">
        <v>332</v>
      </c>
      <c r="I97" s="412">
        <v>1.0</v>
      </c>
      <c r="J97" s="412">
        <v>20.0</v>
      </c>
      <c r="K97" s="10" t="s">
        <v>1094</v>
      </c>
      <c r="L97" s="132"/>
      <c r="M97" s="132"/>
      <c r="N97" s="132"/>
      <c r="O97" s="132"/>
      <c r="P97" s="132"/>
      <c r="Q97" s="132"/>
      <c r="R97" s="132"/>
      <c r="S97" s="132"/>
      <c r="T97" s="132"/>
      <c r="U97" s="132"/>
      <c r="V97" s="132"/>
      <c r="W97" s="132"/>
      <c r="X97" s="132"/>
      <c r="Y97" s="132"/>
      <c r="Z97" s="132"/>
      <c r="AA97" s="132"/>
      <c r="AB97" s="132"/>
      <c r="AC97" s="132"/>
    </row>
    <row r="98">
      <c r="A98" s="121"/>
      <c r="B98" s="145" t="s">
        <v>1095</v>
      </c>
      <c r="C98" s="145" t="s">
        <v>1096</v>
      </c>
      <c r="D98" s="145" t="s">
        <v>1097</v>
      </c>
      <c r="E98" s="145" t="s">
        <v>1098</v>
      </c>
      <c r="F98" s="121"/>
      <c r="G98" s="121"/>
      <c r="H98" s="412">
        <v>20.0</v>
      </c>
      <c r="I98" s="412">
        <v>1.0</v>
      </c>
      <c r="J98" s="412">
        <v>50.0</v>
      </c>
      <c r="K98" s="408"/>
      <c r="L98" s="132"/>
      <c r="M98" s="132"/>
      <c r="N98" s="132"/>
      <c r="O98" s="132"/>
      <c r="P98" s="132"/>
      <c r="Q98" s="132"/>
      <c r="R98" s="132"/>
      <c r="S98" s="132"/>
      <c r="T98" s="132"/>
      <c r="U98" s="132"/>
      <c r="V98" s="132"/>
      <c r="W98" s="132"/>
      <c r="X98" s="132"/>
      <c r="Y98" s="132"/>
      <c r="Z98" s="132"/>
      <c r="AA98" s="132"/>
      <c r="AB98" s="132"/>
      <c r="AC98" s="132"/>
    </row>
    <row r="99">
      <c r="A99" s="121"/>
      <c r="B99" s="145" t="s">
        <v>1099</v>
      </c>
      <c r="C99" s="145" t="s">
        <v>1100</v>
      </c>
      <c r="D99" s="145" t="s">
        <v>1101</v>
      </c>
      <c r="E99" s="145" t="s">
        <v>1102</v>
      </c>
      <c r="F99" s="121"/>
      <c r="G99" s="121"/>
      <c r="H99" s="412" t="s">
        <v>332</v>
      </c>
      <c r="I99" s="412">
        <v>1.0</v>
      </c>
      <c r="J99" s="412">
        <v>20.0</v>
      </c>
      <c r="K99" s="408"/>
      <c r="L99" s="132"/>
      <c r="M99" s="132"/>
      <c r="N99" s="132"/>
      <c r="O99" s="132"/>
      <c r="P99" s="132"/>
      <c r="Q99" s="132"/>
      <c r="R99" s="132"/>
      <c r="S99" s="132"/>
      <c r="T99" s="132"/>
      <c r="U99" s="132"/>
      <c r="V99" s="132"/>
      <c r="W99" s="132"/>
      <c r="X99" s="132"/>
      <c r="Y99" s="132"/>
      <c r="Z99" s="132"/>
      <c r="AA99" s="132"/>
      <c r="AB99" s="132"/>
      <c r="AC99" s="132"/>
    </row>
    <row r="100">
      <c r="A100" s="121"/>
      <c r="B100" s="145" t="s">
        <v>1103</v>
      </c>
      <c r="C100" s="145" t="s">
        <v>1104</v>
      </c>
      <c r="D100" s="145" t="s">
        <v>902</v>
      </c>
      <c r="E100" s="145" t="s">
        <v>1105</v>
      </c>
      <c r="F100" s="121"/>
      <c r="G100" s="121"/>
      <c r="H100" s="412">
        <v>30.0</v>
      </c>
      <c r="I100" s="412">
        <v>1.0</v>
      </c>
      <c r="J100" s="412">
        <v>30.0</v>
      </c>
      <c r="K100" s="408"/>
      <c r="L100" s="132"/>
      <c r="M100" s="132"/>
      <c r="N100" s="132"/>
      <c r="O100" s="132"/>
      <c r="P100" s="132"/>
      <c r="Q100" s="132"/>
      <c r="R100" s="132"/>
      <c r="S100" s="132"/>
      <c r="T100" s="132"/>
      <c r="U100" s="132"/>
      <c r="V100" s="132"/>
      <c r="W100" s="132"/>
      <c r="X100" s="132"/>
      <c r="Y100" s="132"/>
      <c r="Z100" s="132"/>
      <c r="AA100" s="132"/>
      <c r="AB100" s="132"/>
      <c r="AC100" s="132"/>
    </row>
    <row r="101">
      <c r="A101" s="132"/>
      <c r="B101" s="132"/>
      <c r="C101" s="132"/>
      <c r="D101" s="132"/>
      <c r="E101" s="132"/>
      <c r="F101" s="132"/>
      <c r="G101" s="132"/>
      <c r="H101" s="372"/>
      <c r="I101" s="372"/>
      <c r="J101" s="372"/>
      <c r="K101" s="2"/>
      <c r="L101" s="132"/>
      <c r="M101" s="132"/>
      <c r="N101" s="132"/>
      <c r="O101" s="132"/>
      <c r="P101" s="132"/>
      <c r="Q101" s="132"/>
      <c r="R101" s="132"/>
      <c r="S101" s="132"/>
      <c r="T101" s="132"/>
      <c r="U101" s="132"/>
      <c r="V101" s="132"/>
      <c r="W101" s="132"/>
      <c r="X101" s="132"/>
      <c r="Y101" s="132"/>
      <c r="Z101" s="132"/>
      <c r="AA101" s="132"/>
      <c r="AB101" s="132"/>
      <c r="AC101" s="132"/>
    </row>
    <row r="102">
      <c r="A102" s="409" t="s">
        <v>891</v>
      </c>
      <c r="B102" s="145" t="s">
        <v>1106</v>
      </c>
      <c r="C102" s="145" t="s">
        <v>1040</v>
      </c>
      <c r="D102" s="145" t="s">
        <v>1107</v>
      </c>
      <c r="E102" s="145" t="s">
        <v>950</v>
      </c>
      <c r="F102" s="121"/>
      <c r="G102" s="121"/>
      <c r="H102" s="412" t="s">
        <v>332</v>
      </c>
      <c r="I102" s="412">
        <v>1.0</v>
      </c>
      <c r="J102" s="412">
        <v>10.0</v>
      </c>
      <c r="K102" s="408"/>
      <c r="L102" s="132"/>
      <c r="M102" s="132"/>
      <c r="N102" s="132"/>
      <c r="O102" s="132"/>
      <c r="P102" s="132"/>
      <c r="Q102" s="132"/>
      <c r="R102" s="132"/>
      <c r="S102" s="132"/>
      <c r="T102" s="132"/>
      <c r="U102" s="132"/>
      <c r="V102" s="132"/>
      <c r="W102" s="132"/>
      <c r="X102" s="132"/>
      <c r="Y102" s="132"/>
      <c r="Z102" s="132"/>
      <c r="AA102" s="132"/>
      <c r="AB102" s="132"/>
      <c r="AC102" s="132"/>
    </row>
    <row r="103">
      <c r="A103" s="145"/>
      <c r="B103" s="145" t="s">
        <v>1108</v>
      </c>
      <c r="C103" s="145" t="s">
        <v>950</v>
      </c>
      <c r="D103" s="145" t="s">
        <v>1109</v>
      </c>
      <c r="E103" s="121"/>
      <c r="F103" s="121"/>
      <c r="G103" s="145" t="s">
        <v>1110</v>
      </c>
      <c r="H103" s="412" t="s">
        <v>332</v>
      </c>
      <c r="I103" s="412">
        <v>1.0</v>
      </c>
      <c r="J103" s="412" t="s">
        <v>1054</v>
      </c>
      <c r="K103" s="408"/>
      <c r="L103" s="132"/>
      <c r="M103" s="132"/>
      <c r="N103" s="132"/>
      <c r="O103" s="132"/>
      <c r="P103" s="132"/>
      <c r="Q103" s="132"/>
      <c r="R103" s="132"/>
      <c r="S103" s="132"/>
      <c r="T103" s="132"/>
      <c r="U103" s="132"/>
      <c r="V103" s="132"/>
      <c r="W103" s="132"/>
      <c r="X103" s="132"/>
      <c r="Y103" s="132"/>
      <c r="Z103" s="132"/>
      <c r="AA103" s="132"/>
      <c r="AB103" s="132"/>
      <c r="AC103" s="132"/>
    </row>
    <row r="104">
      <c r="A104" s="121"/>
      <c r="B104" s="145" t="s">
        <v>1111</v>
      </c>
      <c r="C104" s="145" t="s">
        <v>1112</v>
      </c>
      <c r="D104" s="145" t="s">
        <v>1113</v>
      </c>
      <c r="E104" s="145" t="s">
        <v>1114</v>
      </c>
      <c r="F104" s="145" t="s">
        <v>1115</v>
      </c>
      <c r="G104" s="121"/>
      <c r="H104" s="412">
        <v>20.0</v>
      </c>
      <c r="I104" s="412">
        <v>1.0</v>
      </c>
      <c r="J104" s="412">
        <v>30.0</v>
      </c>
      <c r="K104" s="408"/>
      <c r="L104" s="132"/>
      <c r="M104" s="132"/>
      <c r="N104" s="132"/>
      <c r="O104" s="132"/>
      <c r="P104" s="132"/>
      <c r="Q104" s="132"/>
      <c r="R104" s="132"/>
      <c r="S104" s="132"/>
      <c r="T104" s="132"/>
      <c r="U104" s="132"/>
      <c r="V104" s="132"/>
      <c r="W104" s="132"/>
      <c r="X104" s="132"/>
      <c r="Y104" s="132"/>
      <c r="Z104" s="132"/>
      <c r="AA104" s="132"/>
      <c r="AB104" s="132"/>
      <c r="AC104" s="132"/>
    </row>
    <row r="105">
      <c r="A105" s="121"/>
      <c r="B105" s="145" t="s">
        <v>1116</v>
      </c>
      <c r="C105" s="145" t="s">
        <v>1117</v>
      </c>
      <c r="D105" s="145" t="s">
        <v>1118</v>
      </c>
      <c r="E105" s="145" t="s">
        <v>899</v>
      </c>
      <c r="F105" s="121"/>
      <c r="G105" s="121"/>
      <c r="H105" s="412">
        <v>50.0</v>
      </c>
      <c r="I105" s="412">
        <v>1.0</v>
      </c>
      <c r="J105" s="412">
        <v>40.0</v>
      </c>
      <c r="K105" s="408"/>
      <c r="L105" s="132"/>
      <c r="M105" s="132"/>
      <c r="N105" s="132"/>
      <c r="O105" s="132"/>
      <c r="P105" s="132"/>
      <c r="Q105" s="132"/>
      <c r="R105" s="132"/>
      <c r="S105" s="132"/>
      <c r="T105" s="132"/>
      <c r="U105" s="132"/>
      <c r="V105" s="132"/>
      <c r="W105" s="132"/>
      <c r="X105" s="132"/>
      <c r="Y105" s="132"/>
      <c r="Z105" s="132"/>
      <c r="AA105" s="132"/>
      <c r="AB105" s="132"/>
      <c r="AC105" s="132"/>
    </row>
    <row r="106">
      <c r="A106" s="121"/>
      <c r="B106" s="145" t="s">
        <v>1119</v>
      </c>
      <c r="C106" s="145" t="s">
        <v>902</v>
      </c>
      <c r="D106" s="145" t="s">
        <v>950</v>
      </c>
      <c r="E106" s="145" t="s">
        <v>900</v>
      </c>
      <c r="F106" s="121"/>
      <c r="G106" s="121"/>
      <c r="H106" s="412">
        <v>70.0</v>
      </c>
      <c r="I106" s="412">
        <v>1.0</v>
      </c>
      <c r="J106" s="412">
        <v>30.0</v>
      </c>
      <c r="K106" s="408"/>
      <c r="L106" s="132"/>
      <c r="M106" s="132"/>
      <c r="N106" s="132"/>
      <c r="O106" s="132"/>
      <c r="P106" s="132"/>
      <c r="Q106" s="132"/>
      <c r="R106" s="132"/>
      <c r="S106" s="132"/>
      <c r="T106" s="132"/>
      <c r="U106" s="132"/>
      <c r="V106" s="132"/>
      <c r="W106" s="132"/>
      <c r="X106" s="132"/>
      <c r="Y106" s="132"/>
      <c r="Z106" s="132"/>
      <c r="AA106" s="132"/>
      <c r="AB106" s="132"/>
      <c r="AC106" s="132"/>
    </row>
    <row r="107">
      <c r="A107" s="132"/>
      <c r="B107" s="132"/>
      <c r="C107" s="132"/>
      <c r="D107" s="132"/>
      <c r="E107" s="132"/>
      <c r="F107" s="132"/>
      <c r="G107" s="132"/>
      <c r="H107" s="372"/>
      <c r="I107" s="372"/>
      <c r="J107" s="372"/>
      <c r="K107" s="2"/>
      <c r="L107" s="132"/>
      <c r="M107" s="132"/>
      <c r="N107" s="132"/>
      <c r="O107" s="132"/>
      <c r="P107" s="132"/>
      <c r="Q107" s="132"/>
      <c r="R107" s="132"/>
      <c r="S107" s="132"/>
      <c r="T107" s="132"/>
      <c r="U107" s="132"/>
      <c r="V107" s="132"/>
      <c r="W107" s="132"/>
      <c r="X107" s="132"/>
      <c r="Y107" s="132"/>
      <c r="Z107" s="132"/>
      <c r="AA107" s="132"/>
      <c r="AB107" s="132"/>
      <c r="AC107" s="132"/>
    </row>
    <row r="108">
      <c r="A108" s="409" t="s">
        <v>1001</v>
      </c>
      <c r="B108" s="145" t="s">
        <v>1120</v>
      </c>
      <c r="C108" s="145" t="s">
        <v>1121</v>
      </c>
      <c r="D108" s="145" t="s">
        <v>1061</v>
      </c>
      <c r="E108" s="145" t="s">
        <v>1122</v>
      </c>
      <c r="F108" s="121"/>
      <c r="G108" s="121"/>
      <c r="H108" s="412" t="s">
        <v>332</v>
      </c>
      <c r="I108" s="412">
        <v>1.0</v>
      </c>
      <c r="J108" s="412">
        <v>10.0</v>
      </c>
      <c r="K108" s="10" t="s">
        <v>1123</v>
      </c>
      <c r="L108" s="132"/>
      <c r="M108" s="132"/>
      <c r="N108" s="132"/>
      <c r="O108" s="132"/>
      <c r="P108" s="132"/>
      <c r="Q108" s="132"/>
      <c r="R108" s="132"/>
      <c r="S108" s="132"/>
      <c r="T108" s="132"/>
      <c r="U108" s="132"/>
      <c r="V108" s="132"/>
      <c r="W108" s="132"/>
      <c r="X108" s="132"/>
      <c r="Y108" s="132"/>
      <c r="Z108" s="132"/>
      <c r="AA108" s="132"/>
      <c r="AB108" s="132"/>
      <c r="AC108" s="132"/>
    </row>
    <row r="109">
      <c r="A109" s="121"/>
      <c r="B109" s="145" t="s">
        <v>1124</v>
      </c>
      <c r="C109" s="145" t="s">
        <v>1125</v>
      </c>
      <c r="D109" s="145" t="s">
        <v>1126</v>
      </c>
      <c r="E109" s="145" t="s">
        <v>1127</v>
      </c>
      <c r="F109" s="121"/>
      <c r="G109" s="121"/>
      <c r="H109" s="412" t="s">
        <v>332</v>
      </c>
      <c r="I109" s="412">
        <v>1.0</v>
      </c>
      <c r="J109" s="412">
        <v>20.0</v>
      </c>
      <c r="K109" s="408"/>
      <c r="L109" s="132"/>
      <c r="M109" s="132"/>
      <c r="N109" s="132"/>
      <c r="O109" s="132"/>
      <c r="P109" s="132"/>
      <c r="Q109" s="132"/>
      <c r="R109" s="132"/>
      <c r="S109" s="132"/>
      <c r="T109" s="132"/>
      <c r="U109" s="132"/>
      <c r="V109" s="132"/>
      <c r="W109" s="132"/>
      <c r="X109" s="132"/>
      <c r="Y109" s="132"/>
      <c r="Z109" s="132"/>
      <c r="AA109" s="132"/>
      <c r="AB109" s="132"/>
      <c r="AC109" s="132"/>
    </row>
    <row r="110">
      <c r="A110" s="121"/>
      <c r="B110" s="145" t="s">
        <v>1128</v>
      </c>
      <c r="C110" s="145" t="s">
        <v>1129</v>
      </c>
      <c r="D110" s="145" t="s">
        <v>1130</v>
      </c>
      <c r="E110" s="121"/>
      <c r="F110" s="121"/>
      <c r="G110" s="121"/>
      <c r="H110" s="412">
        <v>20.0</v>
      </c>
      <c r="I110" s="412">
        <v>1.0</v>
      </c>
      <c r="J110" s="412">
        <v>30.0</v>
      </c>
      <c r="K110" s="408"/>
      <c r="L110" s="132"/>
      <c r="M110" s="132"/>
      <c r="N110" s="132"/>
      <c r="O110" s="132"/>
      <c r="P110" s="132"/>
      <c r="Q110" s="132"/>
      <c r="R110" s="132"/>
      <c r="S110" s="132"/>
      <c r="T110" s="132"/>
      <c r="U110" s="132"/>
      <c r="V110" s="132"/>
      <c r="W110" s="132"/>
      <c r="X110" s="132"/>
      <c r="Y110" s="132"/>
      <c r="Z110" s="132"/>
      <c r="AA110" s="132"/>
      <c r="AB110" s="132"/>
      <c r="AC110" s="132"/>
    </row>
    <row r="111">
      <c r="A111" s="132"/>
      <c r="B111" s="105"/>
      <c r="C111" s="105"/>
      <c r="D111" s="105"/>
      <c r="E111" s="105"/>
      <c r="F111" s="132"/>
      <c r="G111" s="132"/>
      <c r="H111" s="372"/>
      <c r="I111" s="372"/>
      <c r="J111" s="372"/>
      <c r="K111" s="2"/>
      <c r="L111" s="132"/>
      <c r="M111" s="132"/>
      <c r="N111" s="132"/>
      <c r="O111" s="132"/>
      <c r="P111" s="132"/>
      <c r="Q111" s="132"/>
      <c r="R111" s="132"/>
      <c r="S111" s="132"/>
      <c r="T111" s="132"/>
      <c r="U111" s="132"/>
      <c r="V111" s="132"/>
      <c r="W111" s="132"/>
      <c r="X111" s="132"/>
      <c r="Y111" s="132"/>
      <c r="Z111" s="132"/>
      <c r="AA111" s="132"/>
      <c r="AB111" s="132"/>
      <c r="AC111" s="132"/>
    </row>
    <row r="112">
      <c r="A112" s="144" t="s">
        <v>30</v>
      </c>
      <c r="B112" s="144" t="s">
        <v>1131</v>
      </c>
      <c r="C112" s="145" t="s">
        <v>1132</v>
      </c>
      <c r="D112" s="145" t="s">
        <v>1133</v>
      </c>
      <c r="E112" s="145" t="s">
        <v>1081</v>
      </c>
      <c r="F112" s="121"/>
      <c r="G112" s="121"/>
      <c r="H112" s="412" t="s">
        <v>332</v>
      </c>
      <c r="I112" s="412">
        <v>1.0</v>
      </c>
      <c r="J112" s="412">
        <v>30.0</v>
      </c>
      <c r="K112" s="408"/>
      <c r="L112" s="132"/>
      <c r="M112" s="132"/>
      <c r="N112" s="132"/>
      <c r="O112" s="132"/>
      <c r="P112" s="132"/>
      <c r="Q112" s="132"/>
      <c r="R112" s="132"/>
      <c r="S112" s="132"/>
      <c r="T112" s="132"/>
      <c r="U112" s="132"/>
      <c r="V112" s="132"/>
      <c r="W112" s="132"/>
      <c r="X112" s="132"/>
      <c r="Y112" s="132"/>
      <c r="Z112" s="132"/>
      <c r="AA112" s="132"/>
      <c r="AB112" s="132"/>
      <c r="AC112" s="132"/>
    </row>
    <row r="113">
      <c r="A113" s="105"/>
      <c r="B113" s="105"/>
      <c r="C113" s="105"/>
      <c r="D113" s="105"/>
      <c r="E113" s="105"/>
      <c r="F113" s="132"/>
      <c r="G113" s="132"/>
      <c r="H113" s="136"/>
      <c r="I113" s="136"/>
      <c r="J113" s="136"/>
      <c r="K113" s="2"/>
      <c r="L113" s="132"/>
      <c r="M113" s="132"/>
      <c r="N113" s="132"/>
      <c r="O113" s="132"/>
      <c r="P113" s="132"/>
      <c r="Q113" s="132"/>
      <c r="R113" s="132"/>
      <c r="S113" s="132"/>
      <c r="T113" s="132"/>
      <c r="U113" s="132"/>
      <c r="V113" s="132"/>
      <c r="W113" s="132"/>
      <c r="X113" s="132"/>
      <c r="Y113" s="132"/>
      <c r="Z113" s="132"/>
      <c r="AA113" s="132"/>
      <c r="AB113" s="132"/>
      <c r="AC113" s="132"/>
    </row>
    <row r="114">
      <c r="A114" s="134" t="s">
        <v>954</v>
      </c>
      <c r="B114" s="134" t="s">
        <v>1134</v>
      </c>
      <c r="C114" s="145" t="s">
        <v>1135</v>
      </c>
      <c r="D114" s="145" t="s">
        <v>1136</v>
      </c>
      <c r="E114" s="145" t="s">
        <v>899</v>
      </c>
      <c r="F114" s="121"/>
      <c r="G114" s="121"/>
      <c r="H114" s="412">
        <v>70.0</v>
      </c>
      <c r="I114" s="412">
        <v>1.0</v>
      </c>
      <c r="J114" s="412">
        <v>20.0</v>
      </c>
      <c r="K114" s="408"/>
      <c r="L114" s="132"/>
      <c r="M114" s="132"/>
      <c r="N114" s="132"/>
      <c r="O114" s="132"/>
      <c r="P114" s="132"/>
      <c r="Q114" s="132"/>
      <c r="R114" s="132"/>
      <c r="S114" s="132"/>
      <c r="T114" s="132"/>
      <c r="U114" s="132"/>
      <c r="V114" s="132"/>
      <c r="W114" s="132"/>
      <c r="X114" s="132"/>
      <c r="Y114" s="132"/>
      <c r="Z114" s="132"/>
      <c r="AA114" s="132"/>
      <c r="AB114" s="132"/>
      <c r="AC114" s="132"/>
    </row>
    <row r="115">
      <c r="A115" s="105"/>
      <c r="B115" s="105"/>
      <c r="C115" s="105"/>
      <c r="D115" s="105"/>
      <c r="E115" s="105"/>
      <c r="F115" s="132"/>
      <c r="G115" s="132"/>
      <c r="H115" s="136"/>
      <c r="I115" s="136"/>
      <c r="J115" s="136"/>
      <c r="K115" s="2"/>
      <c r="L115" s="132"/>
      <c r="M115" s="132"/>
      <c r="N115" s="132"/>
      <c r="O115" s="132"/>
      <c r="P115" s="132"/>
      <c r="Q115" s="132"/>
      <c r="R115" s="132"/>
      <c r="S115" s="132"/>
      <c r="T115" s="132"/>
      <c r="U115" s="132"/>
      <c r="V115" s="132"/>
      <c r="W115" s="132"/>
      <c r="X115" s="132"/>
      <c r="Y115" s="132"/>
      <c r="Z115" s="132"/>
      <c r="AA115" s="132"/>
      <c r="AB115" s="132"/>
      <c r="AC115" s="132"/>
    </row>
    <row r="116">
      <c r="A116" s="382" t="s">
        <v>24</v>
      </c>
      <c r="B116" s="382" t="s">
        <v>1137</v>
      </c>
      <c r="C116" s="145" t="s">
        <v>1093</v>
      </c>
      <c r="D116" s="145" t="s">
        <v>1138</v>
      </c>
      <c r="E116" s="145" t="s">
        <v>966</v>
      </c>
      <c r="F116" s="121"/>
      <c r="G116" s="121"/>
      <c r="H116" s="412">
        <v>80.0</v>
      </c>
      <c r="I116" s="412">
        <v>1.0</v>
      </c>
      <c r="J116" s="412">
        <v>40.0</v>
      </c>
      <c r="K116" s="10" t="s">
        <v>1139</v>
      </c>
      <c r="L116" s="132"/>
      <c r="M116" s="132"/>
      <c r="N116" s="132"/>
      <c r="O116" s="132"/>
      <c r="P116" s="132"/>
      <c r="Q116" s="132"/>
      <c r="R116" s="132"/>
      <c r="S116" s="132"/>
      <c r="T116" s="132"/>
      <c r="U116" s="132"/>
      <c r="V116" s="132"/>
      <c r="W116" s="132"/>
      <c r="X116" s="132"/>
      <c r="Y116" s="132"/>
      <c r="Z116" s="132"/>
      <c r="AA116" s="132"/>
      <c r="AB116" s="132"/>
      <c r="AC116" s="132"/>
    </row>
    <row r="117">
      <c r="A117" s="382"/>
      <c r="B117" s="382" t="s">
        <v>1140</v>
      </c>
      <c r="C117" s="145" t="s">
        <v>1141</v>
      </c>
      <c r="D117" s="145" t="s">
        <v>1142</v>
      </c>
      <c r="E117" s="121"/>
      <c r="F117" s="121"/>
      <c r="G117" s="121"/>
      <c r="H117" s="412">
        <v>70.0</v>
      </c>
      <c r="I117" s="412">
        <v>1.0</v>
      </c>
      <c r="J117" s="412">
        <v>70.0</v>
      </c>
      <c r="K117" s="408"/>
      <c r="L117" s="132"/>
      <c r="M117" s="132"/>
      <c r="N117" s="132"/>
      <c r="O117" s="132"/>
      <c r="P117" s="132"/>
      <c r="Q117" s="132"/>
      <c r="R117" s="132"/>
      <c r="S117" s="132"/>
      <c r="T117" s="132"/>
      <c r="U117" s="132"/>
      <c r="V117" s="132"/>
      <c r="W117" s="132"/>
      <c r="X117" s="132"/>
      <c r="Y117" s="132"/>
      <c r="Z117" s="132"/>
      <c r="AA117" s="132"/>
      <c r="AB117" s="132"/>
      <c r="AC117" s="132"/>
    </row>
    <row r="118">
      <c r="A118" s="132"/>
      <c r="B118" s="105"/>
      <c r="C118" s="105"/>
      <c r="D118" s="105"/>
      <c r="E118" s="132"/>
      <c r="F118" s="132"/>
      <c r="G118" s="132"/>
      <c r="H118" s="136"/>
      <c r="I118" s="136"/>
      <c r="J118" s="136"/>
      <c r="K118" s="2"/>
      <c r="L118" s="132"/>
      <c r="M118" s="132"/>
      <c r="N118" s="132"/>
      <c r="O118" s="132"/>
      <c r="P118" s="132"/>
      <c r="Q118" s="132"/>
      <c r="R118" s="132"/>
      <c r="S118" s="132"/>
      <c r="T118" s="132"/>
      <c r="U118" s="132"/>
      <c r="V118" s="132"/>
      <c r="W118" s="132"/>
      <c r="X118" s="132"/>
      <c r="Y118" s="132"/>
      <c r="Z118" s="132"/>
      <c r="AA118" s="132"/>
      <c r="AB118" s="132"/>
      <c r="AC118" s="132"/>
    </row>
    <row r="119">
      <c r="A119" s="149" t="s">
        <v>967</v>
      </c>
      <c r="B119" s="149" t="s">
        <v>1143</v>
      </c>
      <c r="C119" s="145" t="s">
        <v>966</v>
      </c>
      <c r="D119" s="145" t="s">
        <v>903</v>
      </c>
      <c r="E119" s="121"/>
      <c r="F119" s="121"/>
      <c r="G119" s="121"/>
      <c r="H119" s="412">
        <v>50.0</v>
      </c>
      <c r="I119" s="412">
        <v>1.0</v>
      </c>
      <c r="J119" s="412" t="s">
        <v>926</v>
      </c>
      <c r="K119" s="408"/>
      <c r="L119" s="132"/>
      <c r="M119" s="132"/>
      <c r="N119" s="132"/>
      <c r="O119" s="132"/>
      <c r="P119" s="132"/>
      <c r="Q119" s="132"/>
      <c r="R119" s="132"/>
      <c r="S119" s="132"/>
      <c r="T119" s="132"/>
      <c r="U119" s="132"/>
      <c r="V119" s="132"/>
      <c r="W119" s="132"/>
      <c r="X119" s="132"/>
      <c r="Y119" s="132"/>
      <c r="Z119" s="132"/>
      <c r="AA119" s="132"/>
      <c r="AB119" s="132"/>
      <c r="AC119" s="132"/>
    </row>
    <row r="120">
      <c r="A120" s="121"/>
      <c r="B120" s="121"/>
      <c r="C120" s="121"/>
      <c r="D120" s="121"/>
      <c r="E120" s="121"/>
      <c r="F120" s="121"/>
      <c r="G120" s="121"/>
      <c r="H120" s="407"/>
      <c r="I120" s="407"/>
      <c r="J120" s="407"/>
      <c r="K120" s="408"/>
      <c r="L120" s="132"/>
      <c r="M120" s="132"/>
      <c r="N120" s="132"/>
      <c r="O120" s="132"/>
      <c r="P120" s="132"/>
      <c r="Q120" s="132"/>
      <c r="R120" s="132"/>
      <c r="S120" s="132"/>
      <c r="T120" s="132"/>
      <c r="U120" s="132"/>
      <c r="V120" s="132"/>
      <c r="W120" s="132"/>
      <c r="X120" s="132"/>
      <c r="Y120" s="132"/>
      <c r="Z120" s="132"/>
      <c r="AA120" s="132"/>
      <c r="AB120" s="132"/>
      <c r="AC120" s="132"/>
    </row>
    <row r="121">
      <c r="A121" s="132"/>
      <c r="B121" s="132"/>
      <c r="C121" s="132"/>
      <c r="D121" s="132"/>
      <c r="E121" s="132"/>
      <c r="F121" s="132"/>
      <c r="G121" s="132"/>
      <c r="H121" s="372"/>
      <c r="I121" s="372"/>
      <c r="J121" s="372"/>
      <c r="K121" s="2"/>
      <c r="L121" s="132"/>
      <c r="M121" s="132"/>
      <c r="N121" s="132"/>
      <c r="O121" s="132"/>
      <c r="P121" s="132"/>
      <c r="Q121" s="132"/>
      <c r="R121" s="132"/>
      <c r="S121" s="132"/>
      <c r="T121" s="132"/>
      <c r="U121" s="132"/>
      <c r="V121" s="132"/>
      <c r="W121" s="132"/>
      <c r="X121" s="132"/>
      <c r="Y121" s="132"/>
      <c r="Z121" s="132"/>
      <c r="AA121" s="132"/>
      <c r="AB121" s="132"/>
      <c r="AC121" s="132"/>
    </row>
    <row r="122">
      <c r="A122" s="132"/>
      <c r="B122" s="132"/>
      <c r="C122" s="132"/>
      <c r="D122" s="132"/>
      <c r="E122" s="132"/>
      <c r="F122" s="132"/>
      <c r="G122" s="132"/>
      <c r="H122" s="372"/>
      <c r="I122" s="372"/>
      <c r="J122" s="372"/>
      <c r="K122" s="2"/>
      <c r="L122" s="132"/>
      <c r="M122" s="132"/>
      <c r="N122" s="132"/>
      <c r="O122" s="132"/>
      <c r="P122" s="132"/>
      <c r="Q122" s="132"/>
      <c r="R122" s="132"/>
      <c r="S122" s="132"/>
      <c r="T122" s="132"/>
      <c r="U122" s="132"/>
      <c r="V122" s="132"/>
      <c r="W122" s="132"/>
      <c r="X122" s="132"/>
      <c r="Y122" s="132"/>
      <c r="Z122" s="132"/>
      <c r="AA122" s="132"/>
      <c r="AB122" s="132"/>
      <c r="AC122" s="132"/>
    </row>
    <row r="123">
      <c r="A123" s="413" t="s">
        <v>516</v>
      </c>
      <c r="B123" s="130"/>
      <c r="C123" s="130"/>
      <c r="D123" s="130"/>
      <c r="E123" s="130"/>
      <c r="F123" s="130"/>
      <c r="G123" s="130"/>
      <c r="H123" s="414"/>
      <c r="I123" s="414"/>
      <c r="J123" s="414"/>
      <c r="K123" s="415"/>
      <c r="L123" s="132"/>
      <c r="M123" s="132"/>
      <c r="N123" s="132"/>
      <c r="O123" s="132"/>
      <c r="P123" s="132"/>
      <c r="Q123" s="132"/>
      <c r="R123" s="132"/>
      <c r="S123" s="132"/>
      <c r="T123" s="132"/>
      <c r="U123" s="132"/>
      <c r="V123" s="132"/>
      <c r="W123" s="132"/>
      <c r="X123" s="132"/>
      <c r="Y123" s="132"/>
      <c r="Z123" s="132"/>
      <c r="AA123" s="132"/>
      <c r="AB123" s="132"/>
      <c r="AC123" s="132"/>
    </row>
    <row r="124">
      <c r="A124" s="130"/>
      <c r="B124" s="416" t="s">
        <v>880</v>
      </c>
      <c r="C124" s="416" t="s">
        <v>881</v>
      </c>
      <c r="D124" s="416" t="s">
        <v>882</v>
      </c>
      <c r="E124" s="416" t="s">
        <v>883</v>
      </c>
      <c r="F124" s="416" t="s">
        <v>884</v>
      </c>
      <c r="G124" s="416" t="s">
        <v>885</v>
      </c>
      <c r="H124" s="417" t="s">
        <v>886</v>
      </c>
      <c r="I124" s="417" t="s">
        <v>887</v>
      </c>
      <c r="J124" s="417" t="s">
        <v>888</v>
      </c>
      <c r="K124" s="418" t="s">
        <v>889</v>
      </c>
      <c r="L124" s="132"/>
      <c r="M124" s="132"/>
      <c r="N124" s="132"/>
      <c r="O124" s="132"/>
      <c r="P124" s="132"/>
      <c r="Q124" s="132"/>
      <c r="R124" s="132"/>
      <c r="S124" s="132"/>
      <c r="T124" s="132"/>
      <c r="U124" s="132"/>
      <c r="V124" s="132"/>
      <c r="W124" s="132"/>
      <c r="X124" s="132"/>
      <c r="Y124" s="132"/>
      <c r="Z124" s="132"/>
      <c r="AA124" s="132"/>
      <c r="AB124" s="132"/>
      <c r="AC124" s="132"/>
    </row>
    <row r="125">
      <c r="A125" s="416" t="s">
        <v>431</v>
      </c>
      <c r="B125" s="130"/>
      <c r="C125" s="130"/>
      <c r="D125" s="130"/>
      <c r="E125" s="130"/>
      <c r="F125" s="130"/>
      <c r="G125" s="130"/>
      <c r="H125" s="414"/>
      <c r="I125" s="414"/>
      <c r="J125" s="414"/>
      <c r="K125" s="415"/>
      <c r="L125" s="132"/>
      <c r="M125" s="132"/>
      <c r="N125" s="132"/>
      <c r="O125" s="132"/>
      <c r="P125" s="132"/>
      <c r="Q125" s="132"/>
      <c r="R125" s="132"/>
      <c r="S125" s="132"/>
      <c r="T125" s="132"/>
      <c r="U125" s="132"/>
      <c r="V125" s="132"/>
      <c r="W125" s="132"/>
      <c r="X125" s="132"/>
      <c r="Y125" s="132"/>
      <c r="Z125" s="132"/>
      <c r="AA125" s="132"/>
      <c r="AB125" s="132"/>
      <c r="AC125" s="132"/>
    </row>
    <row r="126">
      <c r="A126" s="132"/>
      <c r="B126" s="132"/>
      <c r="C126" s="132"/>
      <c r="D126" s="132"/>
      <c r="E126" s="132"/>
      <c r="F126" s="132"/>
      <c r="G126" s="132"/>
      <c r="H126" s="372"/>
      <c r="I126" s="372"/>
      <c r="J126" s="372"/>
      <c r="K126" s="2"/>
      <c r="L126" s="132"/>
      <c r="M126" s="132"/>
      <c r="N126" s="132"/>
      <c r="O126" s="132"/>
      <c r="P126" s="132"/>
      <c r="Q126" s="132"/>
      <c r="R126" s="132"/>
      <c r="S126" s="132"/>
      <c r="T126" s="132"/>
      <c r="U126" s="132"/>
      <c r="V126" s="132"/>
      <c r="W126" s="132"/>
      <c r="X126" s="132"/>
      <c r="Y126" s="132"/>
      <c r="Z126" s="132"/>
      <c r="AA126" s="132"/>
      <c r="AB126" s="132"/>
      <c r="AC126" s="132"/>
    </row>
    <row r="127">
      <c r="A127" s="416" t="s">
        <v>891</v>
      </c>
      <c r="B127" s="139" t="s">
        <v>1144</v>
      </c>
      <c r="C127" s="139" t="s">
        <v>1145</v>
      </c>
      <c r="D127" s="139" t="s">
        <v>1146</v>
      </c>
      <c r="E127" s="139" t="s">
        <v>1147</v>
      </c>
      <c r="F127" s="130"/>
      <c r="G127" s="139" t="s">
        <v>902</v>
      </c>
      <c r="H127" s="380" t="s">
        <v>332</v>
      </c>
      <c r="I127" s="380">
        <v>1.0</v>
      </c>
      <c r="J127" s="380">
        <v>75.0</v>
      </c>
      <c r="K127" s="415"/>
      <c r="L127" s="132"/>
      <c r="M127" s="132"/>
      <c r="N127" s="132"/>
      <c r="O127" s="132"/>
      <c r="P127" s="132"/>
      <c r="Q127" s="132"/>
      <c r="R127" s="132"/>
      <c r="S127" s="132"/>
      <c r="T127" s="132"/>
      <c r="U127" s="132"/>
      <c r="V127" s="132"/>
      <c r="W127" s="132"/>
      <c r="X127" s="132"/>
      <c r="Y127" s="132"/>
      <c r="Z127" s="132"/>
      <c r="AA127" s="132"/>
      <c r="AB127" s="132"/>
      <c r="AC127" s="132"/>
    </row>
    <row r="128">
      <c r="A128" s="130"/>
      <c r="B128" s="139" t="s">
        <v>1148</v>
      </c>
      <c r="C128" s="139" t="s">
        <v>1149</v>
      </c>
      <c r="D128" s="139" t="s">
        <v>1150</v>
      </c>
      <c r="E128" s="139" t="s">
        <v>1151</v>
      </c>
      <c r="F128" s="130"/>
      <c r="G128" s="130"/>
      <c r="H128" s="380">
        <v>20.0</v>
      </c>
      <c r="I128" s="380">
        <v>1.0</v>
      </c>
      <c r="J128" s="380">
        <v>50.0</v>
      </c>
      <c r="K128" s="415"/>
      <c r="L128" s="132"/>
      <c r="M128" s="132"/>
      <c r="N128" s="132"/>
      <c r="O128" s="132"/>
      <c r="P128" s="132"/>
      <c r="Q128" s="132"/>
      <c r="R128" s="132"/>
      <c r="S128" s="132"/>
      <c r="T128" s="132"/>
      <c r="U128" s="132"/>
      <c r="V128" s="132"/>
      <c r="W128" s="132"/>
      <c r="X128" s="132"/>
      <c r="Y128" s="132"/>
      <c r="Z128" s="132"/>
      <c r="AA128" s="132"/>
      <c r="AB128" s="132"/>
      <c r="AC128" s="132"/>
    </row>
    <row r="129">
      <c r="A129" s="130"/>
      <c r="B129" s="139" t="s">
        <v>1152</v>
      </c>
      <c r="C129" s="139" t="s">
        <v>1153</v>
      </c>
      <c r="D129" s="139" t="s">
        <v>1154</v>
      </c>
      <c r="E129" s="139" t="s">
        <v>1155</v>
      </c>
      <c r="F129" s="130"/>
      <c r="G129" s="130"/>
      <c r="H129" s="380">
        <v>20.0</v>
      </c>
      <c r="I129" s="380">
        <v>1.0</v>
      </c>
      <c r="J129" s="380">
        <v>10.0</v>
      </c>
      <c r="K129" s="415"/>
      <c r="L129" s="132"/>
      <c r="M129" s="132"/>
      <c r="N129" s="132"/>
      <c r="O129" s="132"/>
      <c r="P129" s="132"/>
      <c r="Q129" s="132"/>
      <c r="R129" s="132"/>
      <c r="S129" s="132"/>
      <c r="T129" s="132"/>
      <c r="U129" s="132"/>
      <c r="V129" s="132"/>
      <c r="W129" s="132"/>
      <c r="X129" s="132"/>
      <c r="Y129" s="132"/>
      <c r="Z129" s="132"/>
      <c r="AA129" s="132"/>
      <c r="AB129" s="132"/>
      <c r="AC129" s="132"/>
    </row>
    <row r="130">
      <c r="A130" s="130"/>
      <c r="B130" s="139" t="s">
        <v>1156</v>
      </c>
      <c r="C130" s="139" t="s">
        <v>902</v>
      </c>
      <c r="D130" s="139" t="s">
        <v>950</v>
      </c>
      <c r="E130" s="130"/>
      <c r="F130" s="130"/>
      <c r="G130" s="130"/>
      <c r="H130" s="380">
        <v>60.0</v>
      </c>
      <c r="I130" s="380">
        <v>1.0</v>
      </c>
      <c r="J130" s="380">
        <v>50.0</v>
      </c>
      <c r="K130" s="415"/>
      <c r="L130" s="132"/>
      <c r="M130" s="132"/>
      <c r="N130" s="132"/>
      <c r="O130" s="132"/>
      <c r="P130" s="132"/>
      <c r="Q130" s="132"/>
      <c r="R130" s="132"/>
      <c r="S130" s="132"/>
      <c r="T130" s="132"/>
      <c r="U130" s="132"/>
      <c r="V130" s="132"/>
      <c r="W130" s="132"/>
      <c r="X130" s="132"/>
      <c r="Y130" s="132"/>
      <c r="Z130" s="132"/>
      <c r="AA130" s="132"/>
      <c r="AB130" s="132"/>
      <c r="AC130" s="132"/>
    </row>
    <row r="131">
      <c r="A131" s="130"/>
      <c r="B131" s="139" t="s">
        <v>1157</v>
      </c>
      <c r="C131" s="139" t="s">
        <v>950</v>
      </c>
      <c r="D131" s="139" t="s">
        <v>1138</v>
      </c>
      <c r="E131" s="139" t="s">
        <v>1158</v>
      </c>
      <c r="F131" s="130"/>
      <c r="G131" s="130"/>
      <c r="H131" s="380" t="s">
        <v>332</v>
      </c>
      <c r="I131" s="380">
        <v>1.0</v>
      </c>
      <c r="J131" s="380">
        <v>20.0</v>
      </c>
      <c r="K131" s="415"/>
      <c r="L131" s="132"/>
      <c r="M131" s="132"/>
      <c r="N131" s="132"/>
      <c r="O131" s="132"/>
      <c r="P131" s="132"/>
      <c r="Q131" s="132"/>
      <c r="R131" s="132"/>
      <c r="S131" s="132"/>
      <c r="T131" s="132"/>
      <c r="U131" s="132"/>
      <c r="V131" s="132"/>
      <c r="W131" s="132"/>
      <c r="X131" s="132"/>
      <c r="Y131" s="132"/>
      <c r="Z131" s="132"/>
      <c r="AA131" s="132"/>
      <c r="AB131" s="132"/>
      <c r="AC131" s="132"/>
    </row>
    <row r="132">
      <c r="A132" s="132"/>
      <c r="B132" s="132"/>
      <c r="C132" s="132"/>
      <c r="D132" s="132"/>
      <c r="E132" s="132"/>
      <c r="F132" s="132"/>
      <c r="G132" s="132"/>
      <c r="H132" s="372"/>
      <c r="I132" s="372"/>
      <c r="J132" s="372"/>
      <c r="K132" s="2"/>
      <c r="L132" s="132"/>
      <c r="M132" s="132"/>
      <c r="N132" s="132"/>
      <c r="O132" s="132"/>
      <c r="P132" s="132"/>
      <c r="Q132" s="132"/>
      <c r="R132" s="132"/>
      <c r="S132" s="132"/>
      <c r="T132" s="132"/>
      <c r="U132" s="132"/>
      <c r="V132" s="132"/>
      <c r="W132" s="132"/>
      <c r="X132" s="132"/>
      <c r="Y132" s="132"/>
      <c r="Z132" s="132"/>
      <c r="AA132" s="132"/>
      <c r="AB132" s="132"/>
      <c r="AC132" s="132"/>
    </row>
    <row r="133">
      <c r="A133" s="416" t="s">
        <v>1001</v>
      </c>
      <c r="B133" s="139" t="s">
        <v>1159</v>
      </c>
      <c r="C133" s="419" t="s">
        <v>1160</v>
      </c>
      <c r="D133" s="139" t="s">
        <v>1161</v>
      </c>
      <c r="E133" s="130"/>
      <c r="F133" s="130"/>
      <c r="G133" s="130"/>
      <c r="H133" s="380" t="s">
        <v>332</v>
      </c>
      <c r="I133" s="380">
        <v>1.0</v>
      </c>
      <c r="J133" s="380">
        <v>50.0</v>
      </c>
      <c r="K133" s="15" t="s">
        <v>1014</v>
      </c>
      <c r="L133" s="132"/>
      <c r="M133" s="132"/>
      <c r="N133" s="132"/>
      <c r="O133" s="132"/>
      <c r="P133" s="132"/>
      <c r="Q133" s="132"/>
      <c r="R133" s="132"/>
      <c r="S133" s="132"/>
      <c r="T133" s="132"/>
      <c r="U133" s="132"/>
      <c r="V133" s="132"/>
      <c r="W133" s="132"/>
      <c r="X133" s="132"/>
      <c r="Y133" s="132"/>
      <c r="Z133" s="132"/>
      <c r="AA133" s="132"/>
      <c r="AB133" s="132"/>
      <c r="AC133" s="132"/>
    </row>
    <row r="134">
      <c r="A134" s="130"/>
      <c r="B134" s="139" t="s">
        <v>1162</v>
      </c>
      <c r="C134" s="139" t="s">
        <v>1163</v>
      </c>
      <c r="D134" s="139" t="s">
        <v>1164</v>
      </c>
      <c r="E134" s="130"/>
      <c r="F134" s="130"/>
      <c r="G134" s="139" t="s">
        <v>1160</v>
      </c>
      <c r="H134" s="380" t="s">
        <v>332</v>
      </c>
      <c r="I134" s="380">
        <v>1.0</v>
      </c>
      <c r="J134" s="380" t="s">
        <v>1054</v>
      </c>
      <c r="K134" s="15" t="s">
        <v>1014</v>
      </c>
      <c r="L134" s="132"/>
      <c r="M134" s="132"/>
      <c r="N134" s="132"/>
      <c r="O134" s="132"/>
      <c r="P134" s="132"/>
      <c r="Q134" s="132"/>
      <c r="R134" s="132"/>
      <c r="S134" s="132"/>
      <c r="T134" s="132"/>
      <c r="U134" s="132"/>
      <c r="V134" s="132"/>
      <c r="W134" s="132"/>
      <c r="X134" s="132"/>
      <c r="Y134" s="132"/>
      <c r="Z134" s="132"/>
      <c r="AA134" s="132"/>
      <c r="AB134" s="132"/>
      <c r="AC134" s="132"/>
    </row>
    <row r="135">
      <c r="A135" s="130"/>
      <c r="B135" s="139" t="s">
        <v>1165</v>
      </c>
      <c r="C135" s="139" t="s">
        <v>1166</v>
      </c>
      <c r="D135" s="139" t="s">
        <v>1167</v>
      </c>
      <c r="E135" s="139" t="s">
        <v>1168</v>
      </c>
      <c r="F135" s="130"/>
      <c r="G135" s="130"/>
      <c r="H135" s="380">
        <v>40.0</v>
      </c>
      <c r="I135" s="380">
        <v>1.0</v>
      </c>
      <c r="J135" s="380">
        <v>3.0</v>
      </c>
      <c r="K135" s="15" t="s">
        <v>1169</v>
      </c>
      <c r="L135" s="132"/>
      <c r="M135" s="132"/>
      <c r="N135" s="132"/>
      <c r="O135" s="132"/>
      <c r="P135" s="132"/>
      <c r="Q135" s="132"/>
      <c r="R135" s="132"/>
      <c r="S135" s="132"/>
      <c r="T135" s="132"/>
      <c r="U135" s="132"/>
      <c r="V135" s="132"/>
      <c r="W135" s="132"/>
      <c r="X135" s="132"/>
      <c r="Y135" s="132"/>
      <c r="Z135" s="132"/>
      <c r="AA135" s="132"/>
      <c r="AB135" s="132"/>
      <c r="AC135" s="132"/>
    </row>
    <row r="136">
      <c r="A136" s="130"/>
      <c r="B136" s="139" t="s">
        <v>1170</v>
      </c>
      <c r="C136" s="139" t="s">
        <v>1171</v>
      </c>
      <c r="D136" s="139" t="s">
        <v>1172</v>
      </c>
      <c r="E136" s="130"/>
      <c r="F136" s="130"/>
      <c r="G136" s="139" t="s">
        <v>509</v>
      </c>
      <c r="H136" s="380">
        <v>20.0</v>
      </c>
      <c r="I136" s="380">
        <v>1.0</v>
      </c>
      <c r="J136" s="380">
        <v>10.0</v>
      </c>
      <c r="K136" s="415"/>
      <c r="L136" s="132"/>
      <c r="M136" s="132"/>
      <c r="N136" s="132"/>
      <c r="O136" s="132"/>
      <c r="P136" s="132"/>
      <c r="Q136" s="132"/>
      <c r="R136" s="132"/>
      <c r="S136" s="132"/>
      <c r="T136" s="132"/>
      <c r="U136" s="132"/>
      <c r="V136" s="132"/>
      <c r="W136" s="132"/>
      <c r="X136" s="132"/>
      <c r="Y136" s="132"/>
      <c r="Z136" s="132"/>
      <c r="AA136" s="132"/>
      <c r="AB136" s="132"/>
      <c r="AC136" s="132"/>
    </row>
    <row r="137">
      <c r="A137" s="130"/>
      <c r="B137" s="139" t="s">
        <v>1173</v>
      </c>
      <c r="C137" s="139" t="s">
        <v>1174</v>
      </c>
      <c r="D137" s="139" t="s">
        <v>1175</v>
      </c>
      <c r="E137" s="139" t="s">
        <v>1176</v>
      </c>
      <c r="F137" s="130"/>
      <c r="G137" s="420" t="s">
        <v>1177</v>
      </c>
      <c r="H137" s="380">
        <v>40.0</v>
      </c>
      <c r="I137" s="380">
        <v>1.0</v>
      </c>
      <c r="J137" s="380">
        <v>5.0</v>
      </c>
      <c r="K137" s="415"/>
      <c r="L137" s="132"/>
      <c r="M137" s="132"/>
      <c r="N137" s="132"/>
      <c r="O137" s="132"/>
      <c r="P137" s="132"/>
      <c r="Q137" s="132"/>
      <c r="R137" s="132"/>
      <c r="S137" s="132"/>
      <c r="T137" s="132"/>
      <c r="U137" s="132"/>
      <c r="V137" s="132"/>
      <c r="W137" s="132"/>
      <c r="X137" s="132"/>
      <c r="Y137" s="132"/>
      <c r="Z137" s="132"/>
      <c r="AA137" s="132"/>
      <c r="AB137" s="132"/>
      <c r="AC137" s="132"/>
    </row>
    <row r="138">
      <c r="A138" s="130"/>
      <c r="B138" s="139" t="s">
        <v>1178</v>
      </c>
      <c r="C138" s="139" t="s">
        <v>1179</v>
      </c>
      <c r="D138" s="139" t="s">
        <v>1180</v>
      </c>
      <c r="E138" s="130"/>
      <c r="F138" s="130"/>
      <c r="G138" s="130"/>
      <c r="H138" s="380">
        <v>80.0</v>
      </c>
      <c r="I138" s="380">
        <v>2.0</v>
      </c>
      <c r="J138" s="380" t="s">
        <v>1054</v>
      </c>
      <c r="K138" s="15" t="s">
        <v>1181</v>
      </c>
      <c r="L138" s="132"/>
      <c r="M138" s="132"/>
      <c r="N138" s="132"/>
      <c r="O138" s="132"/>
      <c r="P138" s="132"/>
      <c r="Q138" s="132"/>
      <c r="R138" s="132"/>
      <c r="S138" s="132"/>
      <c r="T138" s="132"/>
      <c r="U138" s="132"/>
      <c r="V138" s="132"/>
      <c r="W138" s="132"/>
      <c r="X138" s="132"/>
      <c r="Y138" s="132"/>
      <c r="Z138" s="132"/>
      <c r="AA138" s="132"/>
      <c r="AB138" s="132"/>
      <c r="AC138" s="132"/>
    </row>
    <row r="139">
      <c r="A139" s="132"/>
      <c r="B139" s="132"/>
      <c r="C139" s="132"/>
      <c r="D139" s="132"/>
      <c r="E139" s="132"/>
      <c r="F139" s="132"/>
      <c r="G139" s="132"/>
      <c r="H139" s="372"/>
      <c r="I139" s="372"/>
      <c r="J139" s="372"/>
      <c r="K139" s="2"/>
      <c r="L139" s="132"/>
      <c r="M139" s="132"/>
      <c r="N139" s="132"/>
      <c r="O139" s="132"/>
      <c r="P139" s="132"/>
      <c r="Q139" s="132"/>
      <c r="R139" s="132"/>
      <c r="S139" s="132"/>
      <c r="T139" s="132"/>
      <c r="U139" s="132"/>
      <c r="V139" s="132"/>
      <c r="W139" s="132"/>
      <c r="X139" s="132"/>
      <c r="Y139" s="132"/>
      <c r="Z139" s="132"/>
      <c r="AA139" s="132"/>
      <c r="AB139" s="132"/>
      <c r="AC139" s="132"/>
    </row>
    <row r="140">
      <c r="A140" s="134" t="s">
        <v>954</v>
      </c>
      <c r="B140" s="134" t="s">
        <v>1182</v>
      </c>
      <c r="C140" s="139" t="s">
        <v>1183</v>
      </c>
      <c r="D140" s="139" t="s">
        <v>1040</v>
      </c>
      <c r="E140" s="130"/>
      <c r="F140" s="130"/>
      <c r="G140" s="130"/>
      <c r="H140" s="380">
        <v>70.0</v>
      </c>
      <c r="I140" s="380">
        <v>1.0</v>
      </c>
      <c r="J140" s="380">
        <v>40.0</v>
      </c>
      <c r="K140" s="415"/>
      <c r="L140" s="132"/>
      <c r="M140" s="132"/>
      <c r="N140" s="132"/>
      <c r="O140" s="132"/>
      <c r="P140" s="132"/>
      <c r="Q140" s="132"/>
      <c r="R140" s="132"/>
      <c r="S140" s="132"/>
      <c r="T140" s="132"/>
      <c r="U140" s="132"/>
      <c r="V140" s="132"/>
      <c r="W140" s="132"/>
      <c r="X140" s="132"/>
      <c r="Y140" s="132"/>
      <c r="Z140" s="132"/>
      <c r="AA140" s="132"/>
      <c r="AB140" s="132"/>
      <c r="AC140" s="132"/>
    </row>
    <row r="141">
      <c r="A141" s="105"/>
      <c r="B141" s="105"/>
      <c r="C141" s="105"/>
      <c r="D141" s="105"/>
      <c r="E141" s="105"/>
      <c r="F141" s="132"/>
      <c r="G141" s="132"/>
      <c r="H141" s="372"/>
      <c r="I141" s="372"/>
      <c r="J141" s="372"/>
      <c r="K141" s="2"/>
      <c r="L141" s="132"/>
      <c r="M141" s="132"/>
      <c r="N141" s="132"/>
      <c r="O141" s="132"/>
      <c r="P141" s="132"/>
      <c r="Q141" s="132"/>
      <c r="R141" s="132"/>
      <c r="S141" s="132"/>
      <c r="T141" s="132"/>
      <c r="U141" s="132"/>
      <c r="V141" s="132"/>
      <c r="W141" s="132"/>
      <c r="X141" s="132"/>
      <c r="Y141" s="132"/>
      <c r="Z141" s="132"/>
      <c r="AA141" s="132"/>
      <c r="AB141" s="132"/>
      <c r="AC141" s="132"/>
    </row>
    <row r="142">
      <c r="A142" s="144" t="s">
        <v>30</v>
      </c>
      <c r="B142" s="144" t="s">
        <v>1184</v>
      </c>
      <c r="C142" s="139" t="s">
        <v>1185</v>
      </c>
      <c r="D142" s="139" t="s">
        <v>1186</v>
      </c>
      <c r="E142" s="139" t="s">
        <v>1115</v>
      </c>
      <c r="F142" s="130"/>
      <c r="G142" s="130"/>
      <c r="H142" s="414"/>
      <c r="I142" s="414"/>
      <c r="J142" s="414"/>
      <c r="K142" s="415"/>
      <c r="L142" s="132"/>
      <c r="M142" s="132"/>
      <c r="N142" s="132"/>
      <c r="O142" s="132"/>
      <c r="P142" s="132"/>
      <c r="Q142" s="132"/>
      <c r="R142" s="132"/>
      <c r="S142" s="132"/>
      <c r="T142" s="132"/>
      <c r="U142" s="132"/>
      <c r="V142" s="132"/>
      <c r="W142" s="132"/>
      <c r="X142" s="132"/>
      <c r="Y142" s="132"/>
      <c r="Z142" s="132"/>
      <c r="AA142" s="132"/>
      <c r="AB142" s="132"/>
      <c r="AC142" s="132"/>
    </row>
    <row r="143">
      <c r="A143" s="105"/>
      <c r="B143" s="105"/>
      <c r="C143" s="105"/>
      <c r="D143" s="105"/>
      <c r="E143" s="105"/>
      <c r="F143" s="132"/>
      <c r="G143" s="132"/>
      <c r="H143" s="372"/>
      <c r="I143" s="372"/>
      <c r="J143" s="372"/>
      <c r="K143" s="2"/>
      <c r="L143" s="132"/>
      <c r="M143" s="132"/>
      <c r="N143" s="132"/>
      <c r="O143" s="132"/>
      <c r="P143" s="132"/>
      <c r="Q143" s="132"/>
      <c r="R143" s="132"/>
      <c r="S143" s="132"/>
      <c r="T143" s="132"/>
      <c r="U143" s="132"/>
      <c r="V143" s="132"/>
      <c r="W143" s="132"/>
      <c r="X143" s="132"/>
      <c r="Y143" s="132"/>
      <c r="Z143" s="132"/>
      <c r="AA143" s="132"/>
      <c r="AB143" s="132"/>
      <c r="AC143" s="132"/>
    </row>
    <row r="144">
      <c r="A144" s="149" t="s">
        <v>967</v>
      </c>
      <c r="B144" s="149" t="s">
        <v>1187</v>
      </c>
      <c r="C144" s="139" t="s">
        <v>1188</v>
      </c>
      <c r="D144" s="130"/>
      <c r="E144" s="130"/>
      <c r="F144" s="130"/>
      <c r="G144" s="130"/>
      <c r="H144" s="380">
        <v>50.0</v>
      </c>
      <c r="I144" s="380">
        <v>1.0</v>
      </c>
      <c r="J144" s="380" t="s">
        <v>926</v>
      </c>
      <c r="K144" s="15" t="s">
        <v>1189</v>
      </c>
      <c r="L144" s="132"/>
      <c r="M144" s="132"/>
      <c r="N144" s="132"/>
      <c r="O144" s="132"/>
      <c r="P144" s="132"/>
      <c r="Q144" s="132"/>
      <c r="R144" s="132"/>
      <c r="S144" s="132"/>
      <c r="T144" s="132"/>
      <c r="U144" s="132"/>
      <c r="V144" s="132"/>
      <c r="W144" s="132"/>
      <c r="X144" s="132"/>
      <c r="Y144" s="132"/>
      <c r="Z144" s="132"/>
      <c r="AA144" s="132"/>
      <c r="AB144" s="132"/>
      <c r="AC144" s="132"/>
    </row>
    <row r="145">
      <c r="A145" s="130"/>
      <c r="B145" s="130"/>
      <c r="C145" s="130"/>
      <c r="D145" s="130"/>
      <c r="E145" s="130"/>
      <c r="F145" s="130"/>
      <c r="G145" s="130"/>
      <c r="H145" s="414"/>
      <c r="I145" s="414"/>
      <c r="J145" s="414"/>
      <c r="K145" s="415"/>
      <c r="L145" s="132"/>
      <c r="M145" s="132"/>
      <c r="N145" s="132"/>
      <c r="O145" s="132"/>
      <c r="P145" s="132"/>
      <c r="Q145" s="132"/>
      <c r="R145" s="132"/>
      <c r="S145" s="132"/>
      <c r="T145" s="132"/>
      <c r="U145" s="132"/>
      <c r="V145" s="132"/>
      <c r="W145" s="132"/>
      <c r="X145" s="132"/>
      <c r="Y145" s="132"/>
      <c r="Z145" s="132"/>
      <c r="AA145" s="132"/>
      <c r="AB145" s="132"/>
      <c r="AC145" s="132"/>
    </row>
    <row r="146">
      <c r="A146" s="132"/>
      <c r="B146" s="132"/>
      <c r="C146" s="132"/>
      <c r="D146" s="132"/>
      <c r="E146" s="132"/>
      <c r="F146" s="132"/>
      <c r="G146" s="132"/>
      <c r="H146" s="372"/>
      <c r="I146" s="372"/>
      <c r="J146" s="372"/>
      <c r="K146" s="2"/>
      <c r="L146" s="132"/>
      <c r="M146" s="132"/>
      <c r="N146" s="132"/>
      <c r="O146" s="132"/>
      <c r="P146" s="132"/>
      <c r="Q146" s="132"/>
      <c r="R146" s="132"/>
      <c r="S146" s="132"/>
      <c r="T146" s="132"/>
      <c r="U146" s="132"/>
      <c r="V146" s="132"/>
      <c r="W146" s="132"/>
      <c r="X146" s="132"/>
      <c r="Y146" s="132"/>
      <c r="Z146" s="132"/>
      <c r="AA146" s="132"/>
      <c r="AB146" s="132"/>
      <c r="AC146" s="132"/>
    </row>
    <row r="147">
      <c r="A147" s="132"/>
      <c r="B147" s="132"/>
      <c r="C147" s="132"/>
      <c r="D147" s="132"/>
      <c r="E147" s="132"/>
      <c r="F147" s="132"/>
      <c r="G147" s="132"/>
      <c r="H147" s="372"/>
      <c r="I147" s="372"/>
      <c r="J147" s="372"/>
      <c r="K147" s="2"/>
      <c r="L147" s="132"/>
      <c r="M147" s="132"/>
      <c r="N147" s="132"/>
      <c r="O147" s="132"/>
      <c r="P147" s="132"/>
      <c r="Q147" s="132"/>
      <c r="R147" s="132"/>
      <c r="S147" s="132"/>
      <c r="T147" s="132"/>
      <c r="U147" s="132"/>
      <c r="V147" s="132"/>
      <c r="W147" s="132"/>
      <c r="X147" s="132"/>
      <c r="Y147" s="132"/>
      <c r="Z147" s="132"/>
      <c r="AA147" s="132"/>
      <c r="AB147" s="132"/>
      <c r="AC147" s="132"/>
    </row>
    <row r="148">
      <c r="A148" s="132"/>
      <c r="B148" s="132"/>
      <c r="C148" s="132"/>
      <c r="D148" s="132"/>
      <c r="E148" s="132"/>
      <c r="F148" s="132"/>
      <c r="G148" s="132"/>
      <c r="H148" s="372"/>
      <c r="I148" s="372"/>
      <c r="J148" s="372"/>
      <c r="K148" s="2"/>
      <c r="L148" s="132"/>
      <c r="M148" s="132"/>
      <c r="N148" s="132"/>
      <c r="O148" s="132"/>
      <c r="P148" s="132"/>
      <c r="Q148" s="132"/>
      <c r="R148" s="132"/>
      <c r="S148" s="132"/>
      <c r="T148" s="132"/>
      <c r="U148" s="132"/>
      <c r="V148" s="132"/>
      <c r="W148" s="132"/>
      <c r="X148" s="132"/>
      <c r="Y148" s="132"/>
      <c r="Z148" s="132"/>
      <c r="AA148" s="132"/>
      <c r="AB148" s="132"/>
      <c r="AC148" s="132"/>
    </row>
    <row r="149">
      <c r="A149" s="132"/>
      <c r="B149" s="132"/>
      <c r="C149" s="132"/>
      <c r="D149" s="132"/>
      <c r="E149" s="132"/>
      <c r="F149" s="132"/>
      <c r="G149" s="132"/>
      <c r="H149" s="372"/>
      <c r="I149" s="372"/>
      <c r="J149" s="372"/>
      <c r="K149" s="2"/>
      <c r="L149" s="132"/>
      <c r="M149" s="132"/>
      <c r="N149" s="132"/>
      <c r="O149" s="132"/>
      <c r="P149" s="132"/>
      <c r="Q149" s="132"/>
      <c r="R149" s="132"/>
      <c r="S149" s="132"/>
      <c r="T149" s="132"/>
      <c r="U149" s="132"/>
      <c r="V149" s="132"/>
      <c r="W149" s="132"/>
      <c r="X149" s="132"/>
      <c r="Y149" s="132"/>
      <c r="Z149" s="132"/>
      <c r="AA149" s="132"/>
      <c r="AB149" s="132"/>
      <c r="AC149" s="132"/>
    </row>
    <row r="150">
      <c r="A150" s="132"/>
      <c r="B150" s="132"/>
      <c r="C150" s="132"/>
      <c r="D150" s="132"/>
      <c r="E150" s="132"/>
      <c r="F150" s="132"/>
      <c r="G150" s="132"/>
      <c r="H150" s="372"/>
      <c r="I150" s="372"/>
      <c r="J150" s="372"/>
      <c r="K150" s="2"/>
      <c r="L150" s="132"/>
      <c r="M150" s="132"/>
      <c r="N150" s="132"/>
      <c r="O150" s="132"/>
      <c r="P150" s="132"/>
      <c r="Q150" s="132"/>
      <c r="R150" s="132"/>
      <c r="S150" s="132"/>
      <c r="T150" s="132"/>
      <c r="U150" s="132"/>
      <c r="V150" s="132"/>
      <c r="W150" s="132"/>
      <c r="X150" s="132"/>
      <c r="Y150" s="132"/>
      <c r="Z150" s="132"/>
      <c r="AA150" s="132"/>
      <c r="AB150" s="132"/>
      <c r="AC150" s="132"/>
    </row>
    <row r="151">
      <c r="A151" s="132"/>
      <c r="B151" s="132"/>
      <c r="C151" s="132"/>
      <c r="D151" s="132"/>
      <c r="E151" s="132"/>
      <c r="F151" s="132"/>
      <c r="G151" s="132"/>
      <c r="H151" s="372"/>
      <c r="I151" s="372"/>
      <c r="J151" s="372"/>
      <c r="K151" s="2"/>
      <c r="L151" s="132"/>
      <c r="M151" s="132"/>
      <c r="N151" s="132"/>
      <c r="O151" s="132"/>
      <c r="P151" s="132"/>
      <c r="Q151" s="132"/>
      <c r="R151" s="132"/>
      <c r="S151" s="132"/>
      <c r="T151" s="132"/>
      <c r="U151" s="132"/>
      <c r="V151" s="132"/>
      <c r="W151" s="132"/>
      <c r="X151" s="132"/>
      <c r="Y151" s="132"/>
      <c r="Z151" s="132"/>
      <c r="AA151" s="132"/>
      <c r="AB151" s="132"/>
      <c r="AC151" s="132"/>
    </row>
    <row r="152">
      <c r="A152" s="132"/>
      <c r="B152" s="132"/>
      <c r="C152" s="132"/>
      <c r="D152" s="132"/>
      <c r="E152" s="132"/>
      <c r="F152" s="132"/>
      <c r="G152" s="132"/>
      <c r="H152" s="372"/>
      <c r="I152" s="372"/>
      <c r="J152" s="372"/>
      <c r="K152" s="2"/>
      <c r="L152" s="132"/>
      <c r="M152" s="132"/>
      <c r="N152" s="132"/>
      <c r="O152" s="132"/>
      <c r="P152" s="132"/>
      <c r="Q152" s="132"/>
      <c r="R152" s="132"/>
      <c r="S152" s="132"/>
      <c r="T152" s="132"/>
      <c r="U152" s="132"/>
      <c r="V152" s="132"/>
      <c r="W152" s="132"/>
      <c r="X152" s="132"/>
      <c r="Y152" s="132"/>
      <c r="Z152" s="132"/>
      <c r="AA152" s="132"/>
      <c r="AB152" s="132"/>
      <c r="AC152" s="132"/>
    </row>
    <row r="153">
      <c r="A153" s="132"/>
      <c r="B153" s="132"/>
      <c r="C153" s="132"/>
      <c r="D153" s="132"/>
      <c r="E153" s="132"/>
      <c r="F153" s="132"/>
      <c r="G153" s="132"/>
      <c r="H153" s="372"/>
      <c r="I153" s="372"/>
      <c r="J153" s="372"/>
      <c r="K153" s="2"/>
      <c r="L153" s="132"/>
      <c r="M153" s="132"/>
      <c r="N153" s="132"/>
      <c r="O153" s="132"/>
      <c r="P153" s="132"/>
      <c r="Q153" s="132"/>
      <c r="R153" s="132"/>
      <c r="S153" s="132"/>
      <c r="T153" s="132"/>
      <c r="U153" s="132"/>
      <c r="V153" s="132"/>
      <c r="W153" s="132"/>
      <c r="X153" s="132"/>
      <c r="Y153" s="132"/>
      <c r="Z153" s="132"/>
      <c r="AA153" s="132"/>
      <c r="AB153" s="132"/>
      <c r="AC153" s="132"/>
    </row>
    <row r="154">
      <c r="A154" s="132"/>
      <c r="B154" s="132"/>
      <c r="C154" s="132"/>
      <c r="D154" s="132"/>
      <c r="E154" s="132"/>
      <c r="F154" s="132"/>
      <c r="G154" s="132"/>
      <c r="H154" s="372"/>
      <c r="I154" s="372"/>
      <c r="J154" s="372"/>
      <c r="K154" s="2"/>
      <c r="L154" s="132"/>
      <c r="M154" s="132"/>
      <c r="N154" s="132"/>
      <c r="O154" s="132"/>
      <c r="P154" s="132"/>
      <c r="Q154" s="132"/>
      <c r="R154" s="132"/>
      <c r="S154" s="132"/>
      <c r="T154" s="132"/>
      <c r="U154" s="132"/>
      <c r="V154" s="132"/>
      <c r="W154" s="132"/>
      <c r="X154" s="132"/>
      <c r="Y154" s="132"/>
      <c r="Z154" s="132"/>
      <c r="AA154" s="132"/>
      <c r="AB154" s="132"/>
      <c r="AC154" s="132"/>
    </row>
    <row r="155">
      <c r="A155" s="132"/>
      <c r="B155" s="132"/>
      <c r="C155" s="132"/>
      <c r="D155" s="132"/>
      <c r="E155" s="132"/>
      <c r="F155" s="132"/>
      <c r="G155" s="132"/>
      <c r="H155" s="372"/>
      <c r="I155" s="372"/>
      <c r="J155" s="372"/>
      <c r="K155" s="2"/>
      <c r="L155" s="132"/>
      <c r="M155" s="132"/>
      <c r="N155" s="132"/>
      <c r="O155" s="132"/>
      <c r="P155" s="132"/>
      <c r="Q155" s="132"/>
      <c r="R155" s="132"/>
      <c r="S155" s="132"/>
      <c r="T155" s="132"/>
      <c r="U155" s="132"/>
      <c r="V155" s="132"/>
      <c r="W155" s="132"/>
      <c r="X155" s="132"/>
      <c r="Y155" s="132"/>
      <c r="Z155" s="132"/>
      <c r="AA155" s="132"/>
      <c r="AB155" s="132"/>
      <c r="AC155" s="132"/>
    </row>
    <row r="156">
      <c r="A156" s="132"/>
      <c r="B156" s="132"/>
      <c r="C156" s="132"/>
      <c r="D156" s="132"/>
      <c r="E156" s="132"/>
      <c r="F156" s="132"/>
      <c r="G156" s="132"/>
      <c r="H156" s="372"/>
      <c r="I156" s="372"/>
      <c r="J156" s="372"/>
      <c r="K156" s="2"/>
      <c r="L156" s="132"/>
      <c r="M156" s="132"/>
      <c r="N156" s="132"/>
      <c r="O156" s="132"/>
      <c r="P156" s="132"/>
      <c r="Q156" s="132"/>
      <c r="R156" s="132"/>
      <c r="S156" s="132"/>
      <c r="T156" s="132"/>
      <c r="U156" s="132"/>
      <c r="V156" s="132"/>
      <c r="W156" s="132"/>
      <c r="X156" s="132"/>
      <c r="Y156" s="132"/>
      <c r="Z156" s="132"/>
      <c r="AA156" s="132"/>
      <c r="AB156" s="132"/>
      <c r="AC156" s="132"/>
    </row>
    <row r="157">
      <c r="A157" s="132"/>
      <c r="B157" s="132"/>
      <c r="C157" s="132"/>
      <c r="D157" s="132"/>
      <c r="E157" s="132"/>
      <c r="F157" s="132"/>
      <c r="G157" s="132"/>
      <c r="H157" s="372"/>
      <c r="I157" s="372"/>
      <c r="J157" s="372"/>
      <c r="K157" s="2"/>
      <c r="L157" s="132"/>
      <c r="M157" s="132"/>
      <c r="N157" s="132"/>
      <c r="O157" s="132"/>
      <c r="P157" s="132"/>
      <c r="Q157" s="132"/>
      <c r="R157" s="132"/>
      <c r="S157" s="132"/>
      <c r="T157" s="132"/>
      <c r="U157" s="132"/>
      <c r="V157" s="132"/>
      <c r="W157" s="132"/>
      <c r="X157" s="132"/>
      <c r="Y157" s="132"/>
      <c r="Z157" s="132"/>
      <c r="AA157" s="132"/>
      <c r="AB157" s="132"/>
      <c r="AC157" s="132"/>
    </row>
    <row r="158">
      <c r="A158" s="132"/>
      <c r="B158" s="132"/>
      <c r="C158" s="132"/>
      <c r="D158" s="132"/>
      <c r="E158" s="132"/>
      <c r="F158" s="132"/>
      <c r="G158" s="132"/>
      <c r="H158" s="372"/>
      <c r="I158" s="372"/>
      <c r="J158" s="372"/>
      <c r="K158" s="2"/>
      <c r="L158" s="132"/>
      <c r="M158" s="132"/>
      <c r="N158" s="132"/>
      <c r="O158" s="132"/>
      <c r="P158" s="132"/>
      <c r="Q158" s="132"/>
      <c r="R158" s="132"/>
      <c r="S158" s="132"/>
      <c r="T158" s="132"/>
      <c r="U158" s="132"/>
      <c r="V158" s="132"/>
      <c r="W158" s="132"/>
      <c r="X158" s="132"/>
      <c r="Y158" s="132"/>
      <c r="Z158" s="132"/>
      <c r="AA158" s="132"/>
      <c r="AB158" s="132"/>
      <c r="AC158" s="132"/>
    </row>
    <row r="159">
      <c r="A159" s="132"/>
      <c r="B159" s="132"/>
      <c r="C159" s="132"/>
      <c r="D159" s="132"/>
      <c r="E159" s="132"/>
      <c r="F159" s="132"/>
      <c r="G159" s="132"/>
      <c r="H159" s="372"/>
      <c r="I159" s="372"/>
      <c r="J159" s="372"/>
      <c r="K159" s="2"/>
      <c r="L159" s="132"/>
      <c r="M159" s="132"/>
      <c r="N159" s="132"/>
      <c r="O159" s="132"/>
      <c r="P159" s="132"/>
      <c r="Q159" s="132"/>
      <c r="R159" s="132"/>
      <c r="S159" s="132"/>
      <c r="T159" s="132"/>
      <c r="U159" s="132"/>
      <c r="V159" s="132"/>
      <c r="W159" s="132"/>
      <c r="X159" s="132"/>
      <c r="Y159" s="132"/>
      <c r="Z159" s="132"/>
      <c r="AA159" s="132"/>
      <c r="AB159" s="132"/>
      <c r="AC159" s="132"/>
    </row>
    <row r="160">
      <c r="A160" s="132"/>
      <c r="B160" s="132"/>
      <c r="C160" s="132"/>
      <c r="D160" s="132"/>
      <c r="E160" s="132"/>
      <c r="F160" s="132"/>
      <c r="G160" s="132"/>
      <c r="H160" s="372"/>
      <c r="I160" s="372"/>
      <c r="J160" s="372"/>
      <c r="K160" s="2"/>
      <c r="L160" s="132"/>
      <c r="M160" s="132"/>
      <c r="N160" s="132"/>
      <c r="O160" s="132"/>
      <c r="P160" s="132"/>
      <c r="Q160" s="132"/>
      <c r="R160" s="132"/>
      <c r="S160" s="132"/>
      <c r="T160" s="132"/>
      <c r="U160" s="132"/>
      <c r="V160" s="132"/>
      <c r="W160" s="132"/>
      <c r="X160" s="132"/>
      <c r="Y160" s="132"/>
      <c r="Z160" s="132"/>
      <c r="AA160" s="132"/>
      <c r="AB160" s="132"/>
      <c r="AC160" s="132"/>
    </row>
    <row r="161">
      <c r="A161" s="132"/>
      <c r="B161" s="132"/>
      <c r="C161" s="132"/>
      <c r="D161" s="132"/>
      <c r="E161" s="132"/>
      <c r="F161" s="132"/>
      <c r="G161" s="132"/>
      <c r="H161" s="372"/>
      <c r="I161" s="372"/>
      <c r="J161" s="372"/>
      <c r="K161" s="2"/>
      <c r="L161" s="132"/>
      <c r="M161" s="132"/>
      <c r="N161" s="132"/>
      <c r="O161" s="132"/>
      <c r="P161" s="132"/>
      <c r="Q161" s="132"/>
      <c r="R161" s="132"/>
      <c r="S161" s="132"/>
      <c r="T161" s="132"/>
      <c r="U161" s="132"/>
      <c r="V161" s="132"/>
      <c r="W161" s="132"/>
      <c r="X161" s="132"/>
      <c r="Y161" s="132"/>
      <c r="Z161" s="132"/>
      <c r="AA161" s="132"/>
      <c r="AB161" s="132"/>
      <c r="AC161" s="132"/>
    </row>
    <row r="162">
      <c r="A162" s="132"/>
      <c r="B162" s="132"/>
      <c r="C162" s="132"/>
      <c r="D162" s="132"/>
      <c r="E162" s="132"/>
      <c r="F162" s="132"/>
      <c r="G162" s="132"/>
      <c r="H162" s="372"/>
      <c r="I162" s="372"/>
      <c r="J162" s="372"/>
      <c r="K162" s="2"/>
      <c r="L162" s="132"/>
      <c r="M162" s="132"/>
      <c r="N162" s="132"/>
      <c r="O162" s="132"/>
      <c r="P162" s="132"/>
      <c r="Q162" s="132"/>
      <c r="R162" s="132"/>
      <c r="S162" s="132"/>
      <c r="T162" s="132"/>
      <c r="U162" s="132"/>
      <c r="V162" s="132"/>
      <c r="W162" s="132"/>
      <c r="X162" s="132"/>
      <c r="Y162" s="132"/>
      <c r="Z162" s="132"/>
      <c r="AA162" s="132"/>
      <c r="AB162" s="132"/>
      <c r="AC162" s="132"/>
    </row>
    <row r="163">
      <c r="A163" s="132"/>
      <c r="B163" s="132"/>
      <c r="C163" s="132"/>
      <c r="D163" s="132"/>
      <c r="E163" s="132"/>
      <c r="F163" s="132"/>
      <c r="G163" s="132"/>
      <c r="H163" s="372"/>
      <c r="I163" s="372"/>
      <c r="J163" s="372"/>
      <c r="K163" s="2"/>
      <c r="L163" s="132"/>
      <c r="M163" s="132"/>
      <c r="N163" s="132"/>
      <c r="O163" s="132"/>
      <c r="P163" s="132"/>
      <c r="Q163" s="132"/>
      <c r="R163" s="132"/>
      <c r="S163" s="132"/>
      <c r="T163" s="132"/>
      <c r="U163" s="132"/>
      <c r="V163" s="132"/>
      <c r="W163" s="132"/>
      <c r="X163" s="132"/>
      <c r="Y163" s="132"/>
      <c r="Z163" s="132"/>
      <c r="AA163" s="132"/>
      <c r="AB163" s="132"/>
      <c r="AC163" s="132"/>
    </row>
    <row r="164">
      <c r="A164" s="132"/>
      <c r="B164" s="132"/>
      <c r="C164" s="132"/>
      <c r="D164" s="132"/>
      <c r="E164" s="132"/>
      <c r="F164" s="132"/>
      <c r="G164" s="132"/>
      <c r="H164" s="372"/>
      <c r="I164" s="372"/>
      <c r="J164" s="372"/>
      <c r="K164" s="2"/>
      <c r="L164" s="132"/>
      <c r="M164" s="132"/>
      <c r="N164" s="132"/>
      <c r="O164" s="132"/>
      <c r="P164" s="132"/>
      <c r="Q164" s="132"/>
      <c r="R164" s="132"/>
      <c r="S164" s="132"/>
      <c r="T164" s="132"/>
      <c r="U164" s="132"/>
      <c r="V164" s="132"/>
      <c r="W164" s="132"/>
      <c r="X164" s="132"/>
      <c r="Y164" s="132"/>
      <c r="Z164" s="132"/>
      <c r="AA164" s="132"/>
      <c r="AB164" s="132"/>
      <c r="AC164" s="132"/>
    </row>
    <row r="165">
      <c r="A165" s="132"/>
      <c r="B165" s="132"/>
      <c r="C165" s="132"/>
      <c r="D165" s="132"/>
      <c r="E165" s="132"/>
      <c r="F165" s="132"/>
      <c r="G165" s="132"/>
      <c r="H165" s="372"/>
      <c r="I165" s="372"/>
      <c r="J165" s="372"/>
      <c r="K165" s="2"/>
      <c r="L165" s="132"/>
      <c r="M165" s="132"/>
      <c r="N165" s="132"/>
      <c r="O165" s="132"/>
      <c r="P165" s="132"/>
      <c r="Q165" s="132"/>
      <c r="R165" s="132"/>
      <c r="S165" s="132"/>
      <c r="T165" s="132"/>
      <c r="U165" s="132"/>
      <c r="V165" s="132"/>
      <c r="W165" s="132"/>
      <c r="X165" s="132"/>
      <c r="Y165" s="132"/>
      <c r="Z165" s="132"/>
      <c r="AA165" s="132"/>
      <c r="AB165" s="132"/>
      <c r="AC165" s="132"/>
    </row>
    <row r="166">
      <c r="A166" s="132"/>
      <c r="B166" s="132"/>
      <c r="C166" s="132"/>
      <c r="D166" s="132"/>
      <c r="E166" s="132"/>
      <c r="F166" s="132"/>
      <c r="G166" s="132"/>
      <c r="H166" s="372"/>
      <c r="I166" s="372"/>
      <c r="J166" s="372"/>
      <c r="K166" s="2"/>
      <c r="L166" s="132"/>
      <c r="M166" s="132"/>
      <c r="N166" s="132"/>
      <c r="O166" s="132"/>
      <c r="P166" s="132"/>
      <c r="Q166" s="132"/>
      <c r="R166" s="132"/>
      <c r="S166" s="132"/>
      <c r="T166" s="132"/>
      <c r="U166" s="132"/>
      <c r="V166" s="132"/>
      <c r="W166" s="132"/>
      <c r="X166" s="132"/>
      <c r="Y166" s="132"/>
      <c r="Z166" s="132"/>
      <c r="AA166" s="132"/>
      <c r="AB166" s="132"/>
      <c r="AC166" s="132"/>
    </row>
    <row r="167">
      <c r="A167" s="132"/>
      <c r="B167" s="132"/>
      <c r="C167" s="132"/>
      <c r="D167" s="132"/>
      <c r="E167" s="132"/>
      <c r="F167" s="132"/>
      <c r="G167" s="132"/>
      <c r="H167" s="372"/>
      <c r="I167" s="372"/>
      <c r="J167" s="372"/>
      <c r="K167" s="2"/>
      <c r="L167" s="132"/>
      <c r="M167" s="132"/>
      <c r="N167" s="132"/>
      <c r="O167" s="132"/>
      <c r="P167" s="132"/>
      <c r="Q167" s="132"/>
      <c r="R167" s="132"/>
      <c r="S167" s="132"/>
      <c r="T167" s="132"/>
      <c r="U167" s="132"/>
      <c r="V167" s="132"/>
      <c r="W167" s="132"/>
      <c r="X167" s="132"/>
      <c r="Y167" s="132"/>
      <c r="Z167" s="132"/>
      <c r="AA167" s="132"/>
      <c r="AB167" s="132"/>
      <c r="AC167" s="132"/>
    </row>
    <row r="168">
      <c r="A168" s="132"/>
      <c r="B168" s="132"/>
      <c r="C168" s="132"/>
      <c r="D168" s="132"/>
      <c r="E168" s="132"/>
      <c r="F168" s="132"/>
      <c r="G168" s="132"/>
      <c r="H168" s="372"/>
      <c r="I168" s="372"/>
      <c r="J168" s="372"/>
      <c r="K168" s="2"/>
      <c r="L168" s="132"/>
      <c r="M168" s="132"/>
      <c r="N168" s="132"/>
      <c r="O168" s="132"/>
      <c r="P168" s="132"/>
      <c r="Q168" s="132"/>
      <c r="R168" s="132"/>
      <c r="S168" s="132"/>
      <c r="T168" s="132"/>
      <c r="U168" s="132"/>
      <c r="V168" s="132"/>
      <c r="W168" s="132"/>
      <c r="X168" s="132"/>
      <c r="Y168" s="132"/>
      <c r="Z168" s="132"/>
      <c r="AA168" s="132"/>
      <c r="AB168" s="132"/>
      <c r="AC168" s="132"/>
    </row>
    <row r="169">
      <c r="A169" s="132"/>
      <c r="B169" s="132"/>
      <c r="C169" s="132"/>
      <c r="D169" s="132"/>
      <c r="E169" s="132"/>
      <c r="F169" s="132"/>
      <c r="G169" s="132"/>
      <c r="H169" s="372"/>
      <c r="I169" s="372"/>
      <c r="J169" s="372"/>
      <c r="K169" s="2"/>
      <c r="L169" s="132"/>
      <c r="M169" s="132"/>
      <c r="N169" s="132"/>
      <c r="O169" s="132"/>
      <c r="P169" s="132"/>
      <c r="Q169" s="132"/>
      <c r="R169" s="132"/>
      <c r="S169" s="132"/>
      <c r="T169" s="132"/>
      <c r="U169" s="132"/>
      <c r="V169" s="132"/>
      <c r="W169" s="132"/>
      <c r="X169" s="132"/>
      <c r="Y169" s="132"/>
      <c r="Z169" s="132"/>
      <c r="AA169" s="132"/>
      <c r="AB169" s="132"/>
      <c r="AC169" s="132"/>
    </row>
    <row r="170">
      <c r="A170" s="132"/>
      <c r="B170" s="132"/>
      <c r="C170" s="132"/>
      <c r="D170" s="132"/>
      <c r="E170" s="132"/>
      <c r="F170" s="132"/>
      <c r="G170" s="132"/>
      <c r="H170" s="372"/>
      <c r="I170" s="372"/>
      <c r="J170" s="372"/>
      <c r="K170" s="2"/>
      <c r="L170" s="132"/>
      <c r="M170" s="132"/>
      <c r="N170" s="132"/>
      <c r="O170" s="132"/>
      <c r="P170" s="132"/>
      <c r="Q170" s="132"/>
      <c r="R170" s="132"/>
      <c r="S170" s="132"/>
      <c r="T170" s="132"/>
      <c r="U170" s="132"/>
      <c r="V170" s="132"/>
      <c r="W170" s="132"/>
      <c r="X170" s="132"/>
      <c r="Y170" s="132"/>
      <c r="Z170" s="132"/>
      <c r="AA170" s="132"/>
      <c r="AB170" s="132"/>
      <c r="AC170" s="132"/>
    </row>
    <row r="171">
      <c r="A171" s="132"/>
      <c r="B171" s="132"/>
      <c r="C171" s="132"/>
      <c r="D171" s="132"/>
      <c r="E171" s="132"/>
      <c r="F171" s="132"/>
      <c r="G171" s="132"/>
      <c r="H171" s="372"/>
      <c r="I171" s="372"/>
      <c r="J171" s="372"/>
      <c r="K171" s="2"/>
      <c r="L171" s="132"/>
      <c r="M171" s="132"/>
      <c r="N171" s="132"/>
      <c r="O171" s="132"/>
      <c r="P171" s="132"/>
      <c r="Q171" s="132"/>
      <c r="R171" s="132"/>
      <c r="S171" s="132"/>
      <c r="T171" s="132"/>
      <c r="U171" s="132"/>
      <c r="V171" s="132"/>
      <c r="W171" s="132"/>
      <c r="X171" s="132"/>
      <c r="Y171" s="132"/>
      <c r="Z171" s="132"/>
      <c r="AA171" s="132"/>
      <c r="AB171" s="132"/>
      <c r="AC171" s="132"/>
    </row>
    <row r="172">
      <c r="A172" s="132"/>
      <c r="B172" s="132"/>
      <c r="C172" s="132"/>
      <c r="D172" s="132"/>
      <c r="E172" s="132"/>
      <c r="F172" s="132"/>
      <c r="G172" s="132"/>
      <c r="H172" s="372"/>
      <c r="I172" s="372"/>
      <c r="J172" s="372"/>
      <c r="K172" s="2"/>
      <c r="L172" s="132"/>
      <c r="M172" s="132"/>
      <c r="N172" s="132"/>
      <c r="O172" s="132"/>
      <c r="P172" s="132"/>
      <c r="Q172" s="132"/>
      <c r="R172" s="132"/>
      <c r="S172" s="132"/>
      <c r="T172" s="132"/>
      <c r="U172" s="132"/>
      <c r="V172" s="132"/>
      <c r="W172" s="132"/>
      <c r="X172" s="132"/>
      <c r="Y172" s="132"/>
      <c r="Z172" s="132"/>
      <c r="AA172" s="132"/>
      <c r="AB172" s="132"/>
      <c r="AC172" s="132"/>
    </row>
    <row r="173">
      <c r="A173" s="132"/>
      <c r="B173" s="132"/>
      <c r="C173" s="132"/>
      <c r="D173" s="132"/>
      <c r="E173" s="132"/>
      <c r="F173" s="132"/>
      <c r="G173" s="132"/>
      <c r="H173" s="372"/>
      <c r="I173" s="372"/>
      <c r="J173" s="372"/>
      <c r="K173" s="2"/>
      <c r="L173" s="132"/>
      <c r="M173" s="132"/>
      <c r="N173" s="132"/>
      <c r="O173" s="132"/>
      <c r="P173" s="132"/>
      <c r="Q173" s="132"/>
      <c r="R173" s="132"/>
      <c r="S173" s="132"/>
      <c r="T173" s="132"/>
      <c r="U173" s="132"/>
      <c r="V173" s="132"/>
      <c r="W173" s="132"/>
      <c r="X173" s="132"/>
      <c r="Y173" s="132"/>
      <c r="Z173" s="132"/>
      <c r="AA173" s="132"/>
      <c r="AB173" s="132"/>
      <c r="AC173" s="132"/>
    </row>
    <row r="174">
      <c r="A174" s="132"/>
      <c r="B174" s="132"/>
      <c r="C174" s="132"/>
      <c r="D174" s="132"/>
      <c r="E174" s="132"/>
      <c r="F174" s="132"/>
      <c r="G174" s="132"/>
      <c r="H174" s="372"/>
      <c r="I174" s="372"/>
      <c r="J174" s="372"/>
      <c r="K174" s="2"/>
      <c r="L174" s="132"/>
      <c r="M174" s="132"/>
      <c r="N174" s="132"/>
      <c r="O174" s="132"/>
      <c r="P174" s="132"/>
      <c r="Q174" s="132"/>
      <c r="R174" s="132"/>
      <c r="S174" s="132"/>
      <c r="T174" s="132"/>
      <c r="U174" s="132"/>
      <c r="V174" s="132"/>
      <c r="W174" s="132"/>
      <c r="X174" s="132"/>
      <c r="Y174" s="132"/>
      <c r="Z174" s="132"/>
      <c r="AA174" s="132"/>
      <c r="AB174" s="132"/>
      <c r="AC174" s="132"/>
    </row>
    <row r="175">
      <c r="A175" s="132"/>
      <c r="B175" s="132"/>
      <c r="C175" s="132"/>
      <c r="D175" s="132"/>
      <c r="E175" s="132"/>
      <c r="F175" s="132"/>
      <c r="G175" s="132"/>
      <c r="H175" s="372"/>
      <c r="I175" s="372"/>
      <c r="J175" s="372"/>
      <c r="K175" s="2"/>
      <c r="L175" s="132"/>
      <c r="M175" s="132"/>
      <c r="N175" s="132"/>
      <c r="O175" s="132"/>
      <c r="P175" s="132"/>
      <c r="Q175" s="132"/>
      <c r="R175" s="132"/>
      <c r="S175" s="132"/>
      <c r="T175" s="132"/>
      <c r="U175" s="132"/>
      <c r="V175" s="132"/>
      <c r="W175" s="132"/>
      <c r="X175" s="132"/>
      <c r="Y175" s="132"/>
      <c r="Z175" s="132"/>
      <c r="AA175" s="132"/>
      <c r="AB175" s="132"/>
      <c r="AC175" s="132"/>
    </row>
    <row r="176">
      <c r="A176" s="132"/>
      <c r="B176" s="132"/>
      <c r="C176" s="132"/>
      <c r="D176" s="132"/>
      <c r="E176" s="132"/>
      <c r="F176" s="132"/>
      <c r="G176" s="132"/>
      <c r="H176" s="372"/>
      <c r="I176" s="372"/>
      <c r="J176" s="372"/>
      <c r="K176" s="2"/>
      <c r="L176" s="132"/>
      <c r="M176" s="132"/>
      <c r="N176" s="132"/>
      <c r="O176" s="132"/>
      <c r="P176" s="132"/>
      <c r="Q176" s="132"/>
      <c r="R176" s="132"/>
      <c r="S176" s="132"/>
      <c r="T176" s="132"/>
      <c r="U176" s="132"/>
      <c r="V176" s="132"/>
      <c r="W176" s="132"/>
      <c r="X176" s="132"/>
      <c r="Y176" s="132"/>
      <c r="Z176" s="132"/>
      <c r="AA176" s="132"/>
      <c r="AB176" s="132"/>
      <c r="AC176" s="132"/>
    </row>
    <row r="177">
      <c r="A177" s="132"/>
      <c r="B177" s="132"/>
      <c r="C177" s="132"/>
      <c r="D177" s="132"/>
      <c r="E177" s="132"/>
      <c r="F177" s="132"/>
      <c r="G177" s="132"/>
      <c r="H177" s="372"/>
      <c r="I177" s="372"/>
      <c r="J177" s="372"/>
      <c r="K177" s="2"/>
      <c r="L177" s="132"/>
      <c r="M177" s="132"/>
      <c r="N177" s="132"/>
      <c r="O177" s="132"/>
      <c r="P177" s="132"/>
      <c r="Q177" s="132"/>
      <c r="R177" s="132"/>
      <c r="S177" s="132"/>
      <c r="T177" s="132"/>
      <c r="U177" s="132"/>
      <c r="V177" s="132"/>
      <c r="W177" s="132"/>
      <c r="X177" s="132"/>
      <c r="Y177" s="132"/>
      <c r="Z177" s="132"/>
      <c r="AA177" s="132"/>
      <c r="AB177" s="132"/>
      <c r="AC177" s="132"/>
    </row>
    <row r="178">
      <c r="A178" s="132"/>
      <c r="B178" s="132"/>
      <c r="C178" s="132"/>
      <c r="D178" s="132"/>
      <c r="E178" s="132"/>
      <c r="F178" s="132"/>
      <c r="G178" s="132"/>
      <c r="H178" s="372"/>
      <c r="I178" s="372"/>
      <c r="J178" s="372"/>
      <c r="K178" s="2"/>
      <c r="L178" s="132"/>
      <c r="M178" s="132"/>
      <c r="N178" s="132"/>
      <c r="O178" s="132"/>
      <c r="P178" s="132"/>
      <c r="Q178" s="132"/>
      <c r="R178" s="132"/>
      <c r="S178" s="132"/>
      <c r="T178" s="132"/>
      <c r="U178" s="132"/>
      <c r="V178" s="132"/>
      <c r="W178" s="132"/>
      <c r="X178" s="132"/>
      <c r="Y178" s="132"/>
      <c r="Z178" s="132"/>
      <c r="AA178" s="132"/>
      <c r="AB178" s="132"/>
      <c r="AC178" s="132"/>
    </row>
    <row r="179">
      <c r="A179" s="132"/>
      <c r="B179" s="132"/>
      <c r="C179" s="132"/>
      <c r="D179" s="132"/>
      <c r="E179" s="132"/>
      <c r="F179" s="132"/>
      <c r="G179" s="132"/>
      <c r="H179" s="372"/>
      <c r="I179" s="372"/>
      <c r="J179" s="372"/>
      <c r="K179" s="2"/>
      <c r="L179" s="132"/>
      <c r="M179" s="132"/>
      <c r="N179" s="132"/>
      <c r="O179" s="132"/>
      <c r="P179" s="132"/>
      <c r="Q179" s="132"/>
      <c r="R179" s="132"/>
      <c r="S179" s="132"/>
      <c r="T179" s="132"/>
      <c r="U179" s="132"/>
      <c r="V179" s="132"/>
      <c r="W179" s="132"/>
      <c r="X179" s="132"/>
      <c r="Y179" s="132"/>
      <c r="Z179" s="132"/>
      <c r="AA179" s="132"/>
      <c r="AB179" s="132"/>
      <c r="AC179" s="132"/>
    </row>
    <row r="180">
      <c r="A180" s="132"/>
      <c r="B180" s="132"/>
      <c r="C180" s="132"/>
      <c r="D180" s="132"/>
      <c r="E180" s="132"/>
      <c r="F180" s="132"/>
      <c r="G180" s="132"/>
      <c r="H180" s="372"/>
      <c r="I180" s="372"/>
      <c r="J180" s="372"/>
      <c r="K180" s="2"/>
      <c r="L180" s="132"/>
      <c r="M180" s="132"/>
      <c r="N180" s="132"/>
      <c r="O180" s="132"/>
      <c r="P180" s="132"/>
      <c r="Q180" s="132"/>
      <c r="R180" s="132"/>
      <c r="S180" s="132"/>
      <c r="T180" s="132"/>
      <c r="U180" s="132"/>
      <c r="V180" s="132"/>
      <c r="W180" s="132"/>
      <c r="X180" s="132"/>
      <c r="Y180" s="132"/>
      <c r="Z180" s="132"/>
      <c r="AA180" s="132"/>
      <c r="AB180" s="132"/>
      <c r="AC180" s="132"/>
    </row>
    <row r="181">
      <c r="A181" s="132"/>
      <c r="B181" s="132"/>
      <c r="C181" s="132"/>
      <c r="D181" s="132"/>
      <c r="E181" s="132"/>
      <c r="F181" s="132"/>
      <c r="G181" s="132"/>
      <c r="H181" s="372"/>
      <c r="I181" s="372"/>
      <c r="J181" s="372"/>
      <c r="K181" s="2"/>
      <c r="L181" s="132"/>
      <c r="M181" s="132"/>
      <c r="N181" s="132"/>
      <c r="O181" s="132"/>
      <c r="P181" s="132"/>
      <c r="Q181" s="132"/>
      <c r="R181" s="132"/>
      <c r="S181" s="132"/>
      <c r="T181" s="132"/>
      <c r="U181" s="132"/>
      <c r="V181" s="132"/>
      <c r="W181" s="132"/>
      <c r="X181" s="132"/>
      <c r="Y181" s="132"/>
      <c r="Z181" s="132"/>
      <c r="AA181" s="132"/>
      <c r="AB181" s="132"/>
      <c r="AC181" s="132"/>
    </row>
    <row r="182">
      <c r="A182" s="132"/>
      <c r="B182" s="132"/>
      <c r="C182" s="132"/>
      <c r="D182" s="132"/>
      <c r="E182" s="132"/>
      <c r="F182" s="132"/>
      <c r="G182" s="132"/>
      <c r="H182" s="372"/>
      <c r="I182" s="372"/>
      <c r="J182" s="372"/>
      <c r="K182" s="2"/>
      <c r="L182" s="132"/>
      <c r="M182" s="132"/>
      <c r="N182" s="132"/>
      <c r="O182" s="132"/>
      <c r="P182" s="132"/>
      <c r="Q182" s="132"/>
      <c r="R182" s="132"/>
      <c r="S182" s="132"/>
      <c r="T182" s="132"/>
      <c r="U182" s="132"/>
      <c r="V182" s="132"/>
      <c r="W182" s="132"/>
      <c r="X182" s="132"/>
      <c r="Y182" s="132"/>
      <c r="Z182" s="132"/>
      <c r="AA182" s="132"/>
      <c r="AB182" s="132"/>
      <c r="AC182" s="132"/>
    </row>
    <row r="183">
      <c r="A183" s="132"/>
      <c r="B183" s="132"/>
      <c r="C183" s="132"/>
      <c r="D183" s="132"/>
      <c r="E183" s="132"/>
      <c r="F183" s="132"/>
      <c r="G183" s="132"/>
      <c r="H183" s="372"/>
      <c r="I183" s="372"/>
      <c r="J183" s="372"/>
      <c r="K183" s="2"/>
      <c r="L183" s="132"/>
      <c r="M183" s="132"/>
      <c r="N183" s="132"/>
      <c r="O183" s="132"/>
      <c r="P183" s="132"/>
      <c r="Q183" s="132"/>
      <c r="R183" s="132"/>
      <c r="S183" s="132"/>
      <c r="T183" s="132"/>
      <c r="U183" s="132"/>
      <c r="V183" s="132"/>
      <c r="W183" s="132"/>
      <c r="X183" s="132"/>
      <c r="Y183" s="132"/>
      <c r="Z183" s="132"/>
      <c r="AA183" s="132"/>
      <c r="AB183" s="132"/>
      <c r="AC183" s="132"/>
    </row>
    <row r="184">
      <c r="A184" s="132"/>
      <c r="B184" s="132"/>
      <c r="C184" s="132"/>
      <c r="D184" s="132"/>
      <c r="E184" s="132"/>
      <c r="F184" s="132"/>
      <c r="G184" s="132"/>
      <c r="H184" s="372"/>
      <c r="I184" s="372"/>
      <c r="J184" s="372"/>
      <c r="K184" s="2"/>
      <c r="L184" s="132"/>
      <c r="M184" s="132"/>
      <c r="N184" s="132"/>
      <c r="O184" s="132"/>
      <c r="P184" s="132"/>
      <c r="Q184" s="132"/>
      <c r="R184" s="132"/>
      <c r="S184" s="132"/>
      <c r="T184" s="132"/>
      <c r="U184" s="132"/>
      <c r="V184" s="132"/>
      <c r="W184" s="132"/>
      <c r="X184" s="132"/>
      <c r="Y184" s="132"/>
      <c r="Z184" s="132"/>
      <c r="AA184" s="132"/>
      <c r="AB184" s="132"/>
      <c r="AC184" s="132"/>
    </row>
    <row r="185">
      <c r="A185" s="132"/>
      <c r="B185" s="132"/>
      <c r="C185" s="132"/>
      <c r="D185" s="132"/>
      <c r="E185" s="132"/>
      <c r="F185" s="132"/>
      <c r="G185" s="132"/>
      <c r="H185" s="372"/>
      <c r="I185" s="372"/>
      <c r="J185" s="372"/>
      <c r="K185" s="2"/>
      <c r="L185" s="132"/>
      <c r="M185" s="132"/>
      <c r="N185" s="132"/>
      <c r="O185" s="132"/>
      <c r="P185" s="132"/>
      <c r="Q185" s="132"/>
      <c r="R185" s="132"/>
      <c r="S185" s="132"/>
      <c r="T185" s="132"/>
      <c r="U185" s="132"/>
      <c r="V185" s="132"/>
      <c r="W185" s="132"/>
      <c r="X185" s="132"/>
      <c r="Y185" s="132"/>
      <c r="Z185" s="132"/>
      <c r="AA185" s="132"/>
      <c r="AB185" s="132"/>
      <c r="AC185" s="132"/>
    </row>
    <row r="186">
      <c r="A186" s="132"/>
      <c r="B186" s="132"/>
      <c r="C186" s="132"/>
      <c r="D186" s="132"/>
      <c r="E186" s="132"/>
      <c r="F186" s="132"/>
      <c r="G186" s="132"/>
      <c r="H186" s="372"/>
      <c r="I186" s="372"/>
      <c r="J186" s="372"/>
      <c r="K186" s="2"/>
      <c r="L186" s="132"/>
      <c r="M186" s="132"/>
      <c r="N186" s="132"/>
      <c r="O186" s="132"/>
      <c r="P186" s="132"/>
      <c r="Q186" s="132"/>
      <c r="R186" s="132"/>
      <c r="S186" s="132"/>
      <c r="T186" s="132"/>
      <c r="U186" s="132"/>
      <c r="V186" s="132"/>
      <c r="W186" s="132"/>
      <c r="X186" s="132"/>
      <c r="Y186" s="132"/>
      <c r="Z186" s="132"/>
      <c r="AA186" s="132"/>
      <c r="AB186" s="132"/>
      <c r="AC186" s="132"/>
    </row>
    <row r="187">
      <c r="A187" s="132"/>
      <c r="B187" s="132"/>
      <c r="C187" s="132"/>
      <c r="D187" s="132"/>
      <c r="E187" s="132"/>
      <c r="F187" s="132"/>
      <c r="G187" s="132"/>
      <c r="H187" s="372"/>
      <c r="I187" s="372"/>
      <c r="J187" s="372"/>
      <c r="K187" s="2"/>
      <c r="L187" s="132"/>
      <c r="M187" s="132"/>
      <c r="N187" s="132"/>
      <c r="O187" s="132"/>
      <c r="P187" s="132"/>
      <c r="Q187" s="132"/>
      <c r="R187" s="132"/>
      <c r="S187" s="132"/>
      <c r="T187" s="132"/>
      <c r="U187" s="132"/>
      <c r="V187" s="132"/>
      <c r="W187" s="132"/>
      <c r="X187" s="132"/>
      <c r="Y187" s="132"/>
      <c r="Z187" s="132"/>
      <c r="AA187" s="132"/>
      <c r="AB187" s="132"/>
      <c r="AC187" s="132"/>
    </row>
    <row r="188">
      <c r="A188" s="132"/>
      <c r="B188" s="132"/>
      <c r="C188" s="132"/>
      <c r="D188" s="132"/>
      <c r="E188" s="132"/>
      <c r="F188" s="132"/>
      <c r="G188" s="132"/>
      <c r="H188" s="372"/>
      <c r="I188" s="372"/>
      <c r="J188" s="372"/>
      <c r="K188" s="2"/>
      <c r="L188" s="132"/>
      <c r="M188" s="132"/>
      <c r="N188" s="132"/>
      <c r="O188" s="132"/>
      <c r="P188" s="132"/>
      <c r="Q188" s="132"/>
      <c r="R188" s="132"/>
      <c r="S188" s="132"/>
      <c r="T188" s="132"/>
      <c r="U188" s="132"/>
      <c r="V188" s="132"/>
      <c r="W188" s="132"/>
      <c r="X188" s="132"/>
      <c r="Y188" s="132"/>
      <c r="Z188" s="132"/>
      <c r="AA188" s="132"/>
      <c r="AB188" s="132"/>
      <c r="AC188" s="132"/>
    </row>
    <row r="189">
      <c r="A189" s="132"/>
      <c r="B189" s="132"/>
      <c r="C189" s="132"/>
      <c r="D189" s="132"/>
      <c r="E189" s="132"/>
      <c r="F189" s="132"/>
      <c r="G189" s="132"/>
      <c r="H189" s="372"/>
      <c r="I189" s="372"/>
      <c r="J189" s="372"/>
      <c r="K189" s="2"/>
      <c r="L189" s="132"/>
      <c r="M189" s="132"/>
      <c r="N189" s="132"/>
      <c r="O189" s="132"/>
      <c r="P189" s="132"/>
      <c r="Q189" s="132"/>
      <c r="R189" s="132"/>
      <c r="S189" s="132"/>
      <c r="T189" s="132"/>
      <c r="U189" s="132"/>
      <c r="V189" s="132"/>
      <c r="W189" s="132"/>
      <c r="X189" s="132"/>
      <c r="Y189" s="132"/>
      <c r="Z189" s="132"/>
      <c r="AA189" s="132"/>
      <c r="AB189" s="132"/>
      <c r="AC189" s="132"/>
    </row>
    <row r="190">
      <c r="A190" s="132"/>
      <c r="B190" s="132"/>
      <c r="C190" s="132"/>
      <c r="D190" s="132"/>
      <c r="E190" s="132"/>
      <c r="F190" s="132"/>
      <c r="G190" s="132"/>
      <c r="H190" s="372"/>
      <c r="I190" s="372"/>
      <c r="J190" s="372"/>
      <c r="K190" s="2"/>
      <c r="L190" s="132"/>
      <c r="M190" s="132"/>
      <c r="N190" s="132"/>
      <c r="O190" s="132"/>
      <c r="P190" s="132"/>
      <c r="Q190" s="132"/>
      <c r="R190" s="132"/>
      <c r="S190" s="132"/>
      <c r="T190" s="132"/>
      <c r="U190" s="132"/>
      <c r="V190" s="132"/>
      <c r="W190" s="132"/>
      <c r="X190" s="132"/>
      <c r="Y190" s="132"/>
      <c r="Z190" s="132"/>
      <c r="AA190" s="132"/>
      <c r="AB190" s="132"/>
      <c r="AC190" s="132"/>
    </row>
    <row r="191">
      <c r="A191" s="132"/>
      <c r="B191" s="132"/>
      <c r="C191" s="132"/>
      <c r="D191" s="132"/>
      <c r="E191" s="132"/>
      <c r="F191" s="132"/>
      <c r="G191" s="132"/>
      <c r="H191" s="372"/>
      <c r="I191" s="372"/>
      <c r="J191" s="372"/>
      <c r="K191" s="2"/>
      <c r="L191" s="132"/>
      <c r="M191" s="132"/>
      <c r="N191" s="132"/>
      <c r="O191" s="132"/>
      <c r="P191" s="132"/>
      <c r="Q191" s="132"/>
      <c r="R191" s="132"/>
      <c r="S191" s="132"/>
      <c r="T191" s="132"/>
      <c r="U191" s="132"/>
      <c r="V191" s="132"/>
      <c r="W191" s="132"/>
      <c r="X191" s="132"/>
      <c r="Y191" s="132"/>
      <c r="Z191" s="132"/>
      <c r="AA191" s="132"/>
      <c r="AB191" s="132"/>
      <c r="AC191" s="132"/>
    </row>
    <row r="192">
      <c r="A192" s="132"/>
      <c r="B192" s="132"/>
      <c r="C192" s="132"/>
      <c r="D192" s="132"/>
      <c r="E192" s="132"/>
      <c r="F192" s="132"/>
      <c r="G192" s="132"/>
      <c r="H192" s="372"/>
      <c r="I192" s="372"/>
      <c r="J192" s="372"/>
      <c r="K192" s="2"/>
      <c r="L192" s="132"/>
      <c r="M192" s="132"/>
      <c r="N192" s="132"/>
      <c r="O192" s="132"/>
      <c r="P192" s="132"/>
      <c r="Q192" s="132"/>
      <c r="R192" s="132"/>
      <c r="S192" s="132"/>
      <c r="T192" s="132"/>
      <c r="U192" s="132"/>
      <c r="V192" s="132"/>
      <c r="W192" s="132"/>
      <c r="X192" s="132"/>
      <c r="Y192" s="132"/>
      <c r="Z192" s="132"/>
      <c r="AA192" s="132"/>
      <c r="AB192" s="132"/>
      <c r="AC192" s="132"/>
    </row>
    <row r="193">
      <c r="A193" s="132"/>
      <c r="B193" s="132"/>
      <c r="C193" s="132"/>
      <c r="D193" s="132"/>
      <c r="E193" s="132"/>
      <c r="F193" s="132"/>
      <c r="G193" s="132"/>
      <c r="H193" s="372"/>
      <c r="I193" s="372"/>
      <c r="J193" s="372"/>
      <c r="K193" s="2"/>
      <c r="L193" s="132"/>
      <c r="M193" s="132"/>
      <c r="N193" s="132"/>
      <c r="O193" s="132"/>
      <c r="P193" s="132"/>
      <c r="Q193" s="132"/>
      <c r="R193" s="132"/>
      <c r="S193" s="132"/>
      <c r="T193" s="132"/>
      <c r="U193" s="132"/>
      <c r="V193" s="132"/>
      <c r="W193" s="132"/>
      <c r="X193" s="132"/>
      <c r="Y193" s="132"/>
      <c r="Z193" s="132"/>
      <c r="AA193" s="132"/>
      <c r="AB193" s="132"/>
      <c r="AC193" s="132"/>
    </row>
    <row r="194">
      <c r="A194" s="132"/>
      <c r="B194" s="132"/>
      <c r="C194" s="132"/>
      <c r="D194" s="132"/>
      <c r="E194" s="132"/>
      <c r="F194" s="132"/>
      <c r="G194" s="132"/>
      <c r="H194" s="372"/>
      <c r="I194" s="372"/>
      <c r="J194" s="372"/>
      <c r="K194" s="2"/>
      <c r="L194" s="132"/>
      <c r="M194" s="132"/>
      <c r="N194" s="132"/>
      <c r="O194" s="132"/>
      <c r="P194" s="132"/>
      <c r="Q194" s="132"/>
      <c r="R194" s="132"/>
      <c r="S194" s="132"/>
      <c r="T194" s="132"/>
      <c r="U194" s="132"/>
      <c r="V194" s="132"/>
      <c r="W194" s="132"/>
      <c r="X194" s="132"/>
      <c r="Y194" s="132"/>
      <c r="Z194" s="132"/>
      <c r="AA194" s="132"/>
      <c r="AB194" s="132"/>
      <c r="AC194" s="132"/>
    </row>
    <row r="195">
      <c r="A195" s="132"/>
      <c r="B195" s="132"/>
      <c r="C195" s="132"/>
      <c r="D195" s="132"/>
      <c r="E195" s="132"/>
      <c r="F195" s="132"/>
      <c r="G195" s="132"/>
      <c r="H195" s="372"/>
      <c r="I195" s="372"/>
      <c r="J195" s="372"/>
      <c r="K195" s="2"/>
      <c r="L195" s="132"/>
      <c r="M195" s="132"/>
      <c r="N195" s="132"/>
      <c r="O195" s="132"/>
      <c r="P195" s="132"/>
      <c r="Q195" s="132"/>
      <c r="R195" s="132"/>
      <c r="S195" s="132"/>
      <c r="T195" s="132"/>
      <c r="U195" s="132"/>
      <c r="V195" s="132"/>
      <c r="W195" s="132"/>
      <c r="X195" s="132"/>
      <c r="Y195" s="132"/>
      <c r="Z195" s="132"/>
      <c r="AA195" s="132"/>
      <c r="AB195" s="132"/>
      <c r="AC195" s="132"/>
    </row>
    <row r="196">
      <c r="A196" s="132"/>
      <c r="B196" s="132"/>
      <c r="C196" s="132"/>
      <c r="D196" s="132"/>
      <c r="E196" s="132"/>
      <c r="F196" s="132"/>
      <c r="G196" s="132"/>
      <c r="H196" s="372"/>
      <c r="I196" s="372"/>
      <c r="J196" s="372"/>
      <c r="K196" s="2"/>
      <c r="L196" s="132"/>
      <c r="M196" s="132"/>
      <c r="N196" s="132"/>
      <c r="O196" s="132"/>
      <c r="P196" s="132"/>
      <c r="Q196" s="132"/>
      <c r="R196" s="132"/>
      <c r="S196" s="132"/>
      <c r="T196" s="132"/>
      <c r="U196" s="132"/>
      <c r="V196" s="132"/>
      <c r="W196" s="132"/>
      <c r="X196" s="132"/>
      <c r="Y196" s="132"/>
      <c r="Z196" s="132"/>
      <c r="AA196" s="132"/>
      <c r="AB196" s="132"/>
      <c r="AC196" s="132"/>
    </row>
    <row r="197">
      <c r="A197" s="132"/>
      <c r="B197" s="132"/>
      <c r="C197" s="132"/>
      <c r="D197" s="132"/>
      <c r="E197" s="132"/>
      <c r="F197" s="132"/>
      <c r="G197" s="132"/>
      <c r="H197" s="372"/>
      <c r="I197" s="372"/>
      <c r="J197" s="372"/>
      <c r="K197" s="2"/>
      <c r="L197" s="132"/>
      <c r="M197" s="132"/>
      <c r="N197" s="132"/>
      <c r="O197" s="132"/>
      <c r="P197" s="132"/>
      <c r="Q197" s="132"/>
      <c r="R197" s="132"/>
      <c r="S197" s="132"/>
      <c r="T197" s="132"/>
      <c r="U197" s="132"/>
      <c r="V197" s="132"/>
      <c r="W197" s="132"/>
      <c r="X197" s="132"/>
      <c r="Y197" s="132"/>
      <c r="Z197" s="132"/>
      <c r="AA197" s="132"/>
      <c r="AB197" s="132"/>
      <c r="AC197" s="132"/>
    </row>
    <row r="198">
      <c r="A198" s="132"/>
      <c r="B198" s="132"/>
      <c r="C198" s="132"/>
      <c r="D198" s="132"/>
      <c r="E198" s="132"/>
      <c r="F198" s="132"/>
      <c r="G198" s="132"/>
      <c r="H198" s="372"/>
      <c r="I198" s="372"/>
      <c r="J198" s="372"/>
      <c r="K198" s="2"/>
      <c r="L198" s="132"/>
      <c r="M198" s="132"/>
      <c r="N198" s="132"/>
      <c r="O198" s="132"/>
      <c r="P198" s="132"/>
      <c r="Q198" s="132"/>
      <c r="R198" s="132"/>
      <c r="S198" s="132"/>
      <c r="T198" s="132"/>
      <c r="U198" s="132"/>
      <c r="V198" s="132"/>
      <c r="W198" s="132"/>
      <c r="X198" s="132"/>
      <c r="Y198" s="132"/>
      <c r="Z198" s="132"/>
      <c r="AA198" s="132"/>
      <c r="AB198" s="132"/>
      <c r="AC198" s="132"/>
    </row>
    <row r="199">
      <c r="A199" s="132"/>
      <c r="B199" s="132"/>
      <c r="C199" s="132"/>
      <c r="D199" s="132"/>
      <c r="E199" s="132"/>
      <c r="F199" s="132"/>
      <c r="G199" s="132"/>
      <c r="H199" s="372"/>
      <c r="I199" s="372"/>
      <c r="J199" s="372"/>
      <c r="K199" s="2"/>
      <c r="L199" s="132"/>
      <c r="M199" s="132"/>
      <c r="N199" s="132"/>
      <c r="O199" s="132"/>
      <c r="P199" s="132"/>
      <c r="Q199" s="132"/>
      <c r="R199" s="132"/>
      <c r="S199" s="132"/>
      <c r="T199" s="132"/>
      <c r="U199" s="132"/>
      <c r="V199" s="132"/>
      <c r="W199" s="132"/>
      <c r="X199" s="132"/>
      <c r="Y199" s="132"/>
      <c r="Z199" s="132"/>
      <c r="AA199" s="132"/>
      <c r="AB199" s="132"/>
      <c r="AC199" s="132"/>
    </row>
    <row r="200">
      <c r="A200" s="132"/>
      <c r="B200" s="132"/>
      <c r="C200" s="132"/>
      <c r="D200" s="132"/>
      <c r="E200" s="132"/>
      <c r="F200" s="132"/>
      <c r="G200" s="132"/>
      <c r="H200" s="372"/>
      <c r="I200" s="372"/>
      <c r="J200" s="372"/>
      <c r="K200" s="2"/>
      <c r="L200" s="132"/>
      <c r="M200" s="132"/>
      <c r="N200" s="132"/>
      <c r="O200" s="132"/>
      <c r="P200" s="132"/>
      <c r="Q200" s="132"/>
      <c r="R200" s="132"/>
      <c r="S200" s="132"/>
      <c r="T200" s="132"/>
      <c r="U200" s="132"/>
      <c r="V200" s="132"/>
      <c r="W200" s="132"/>
      <c r="X200" s="132"/>
      <c r="Y200" s="132"/>
      <c r="Z200" s="132"/>
      <c r="AA200" s="132"/>
      <c r="AB200" s="132"/>
      <c r="AC200" s="132"/>
    </row>
    <row r="201">
      <c r="A201" s="132"/>
      <c r="B201" s="132"/>
      <c r="C201" s="132"/>
      <c r="D201" s="132"/>
      <c r="E201" s="132"/>
      <c r="F201" s="132"/>
      <c r="G201" s="132"/>
      <c r="H201" s="372"/>
      <c r="I201" s="372"/>
      <c r="J201" s="372"/>
      <c r="K201" s="2"/>
      <c r="L201" s="132"/>
      <c r="M201" s="132"/>
      <c r="N201" s="132"/>
      <c r="O201" s="132"/>
      <c r="P201" s="132"/>
      <c r="Q201" s="132"/>
      <c r="R201" s="132"/>
      <c r="S201" s="132"/>
      <c r="T201" s="132"/>
      <c r="U201" s="132"/>
      <c r="V201" s="132"/>
      <c r="W201" s="132"/>
      <c r="X201" s="132"/>
      <c r="Y201" s="132"/>
      <c r="Z201" s="132"/>
      <c r="AA201" s="132"/>
      <c r="AB201" s="132"/>
      <c r="AC201" s="132"/>
    </row>
    <row r="202">
      <c r="A202" s="132"/>
      <c r="B202" s="132"/>
      <c r="C202" s="132"/>
      <c r="D202" s="132"/>
      <c r="E202" s="132"/>
      <c r="F202" s="132"/>
      <c r="G202" s="132"/>
      <c r="H202" s="372"/>
      <c r="I202" s="372"/>
      <c r="J202" s="372"/>
      <c r="K202" s="2"/>
      <c r="L202" s="132"/>
      <c r="M202" s="132"/>
      <c r="N202" s="132"/>
      <c r="O202" s="132"/>
      <c r="P202" s="132"/>
      <c r="Q202" s="132"/>
      <c r="R202" s="132"/>
      <c r="S202" s="132"/>
      <c r="T202" s="132"/>
      <c r="U202" s="132"/>
      <c r="V202" s="132"/>
      <c r="W202" s="132"/>
      <c r="X202" s="132"/>
      <c r="Y202" s="132"/>
      <c r="Z202" s="132"/>
      <c r="AA202" s="132"/>
      <c r="AB202" s="132"/>
      <c r="AC202" s="132"/>
    </row>
    <row r="203">
      <c r="A203" s="132"/>
      <c r="B203" s="132"/>
      <c r="C203" s="132"/>
      <c r="D203" s="132"/>
      <c r="E203" s="132"/>
      <c r="F203" s="132"/>
      <c r="G203" s="132"/>
      <c r="H203" s="372"/>
      <c r="I203" s="372"/>
      <c r="J203" s="372"/>
      <c r="K203" s="2"/>
      <c r="L203" s="132"/>
      <c r="M203" s="132"/>
      <c r="N203" s="132"/>
      <c r="O203" s="132"/>
      <c r="P203" s="132"/>
      <c r="Q203" s="132"/>
      <c r="R203" s="132"/>
      <c r="S203" s="132"/>
      <c r="T203" s="132"/>
      <c r="U203" s="132"/>
      <c r="V203" s="132"/>
      <c r="W203" s="132"/>
      <c r="X203" s="132"/>
      <c r="Y203" s="132"/>
      <c r="Z203" s="132"/>
      <c r="AA203" s="132"/>
      <c r="AB203" s="132"/>
      <c r="AC203" s="132"/>
    </row>
    <row r="204">
      <c r="A204" s="132"/>
      <c r="B204" s="132"/>
      <c r="C204" s="132"/>
      <c r="D204" s="132"/>
      <c r="E204" s="132"/>
      <c r="F204" s="132"/>
      <c r="G204" s="132"/>
      <c r="H204" s="372"/>
      <c r="I204" s="372"/>
      <c r="J204" s="372"/>
      <c r="K204" s="2"/>
      <c r="L204" s="132"/>
      <c r="M204" s="132"/>
      <c r="N204" s="132"/>
      <c r="O204" s="132"/>
      <c r="P204" s="132"/>
      <c r="Q204" s="132"/>
      <c r="R204" s="132"/>
      <c r="S204" s="132"/>
      <c r="T204" s="132"/>
      <c r="U204" s="132"/>
      <c r="V204" s="132"/>
      <c r="W204" s="132"/>
      <c r="X204" s="132"/>
      <c r="Y204" s="132"/>
      <c r="Z204" s="132"/>
      <c r="AA204" s="132"/>
      <c r="AB204" s="132"/>
      <c r="AC204" s="132"/>
    </row>
    <row r="205">
      <c r="A205" s="132"/>
      <c r="B205" s="132"/>
      <c r="C205" s="132"/>
      <c r="D205" s="132"/>
      <c r="E205" s="132"/>
      <c r="F205" s="132"/>
      <c r="G205" s="132"/>
      <c r="H205" s="372"/>
      <c r="I205" s="372"/>
      <c r="J205" s="372"/>
      <c r="K205" s="2"/>
      <c r="L205" s="132"/>
      <c r="M205" s="132"/>
      <c r="N205" s="132"/>
      <c r="O205" s="132"/>
      <c r="P205" s="132"/>
      <c r="Q205" s="132"/>
      <c r="R205" s="132"/>
      <c r="S205" s="132"/>
      <c r="T205" s="132"/>
      <c r="U205" s="132"/>
      <c r="V205" s="132"/>
      <c r="W205" s="132"/>
      <c r="X205" s="132"/>
      <c r="Y205" s="132"/>
      <c r="Z205" s="132"/>
      <c r="AA205" s="132"/>
      <c r="AB205" s="132"/>
      <c r="AC205" s="132"/>
    </row>
    <row r="206">
      <c r="A206" s="132"/>
      <c r="B206" s="132"/>
      <c r="C206" s="132"/>
      <c r="D206" s="132"/>
      <c r="E206" s="132"/>
      <c r="F206" s="132"/>
      <c r="G206" s="132"/>
      <c r="H206" s="372"/>
      <c r="I206" s="372"/>
      <c r="J206" s="372"/>
      <c r="K206" s="2"/>
      <c r="L206" s="132"/>
      <c r="M206" s="132"/>
      <c r="N206" s="132"/>
      <c r="O206" s="132"/>
      <c r="P206" s="132"/>
      <c r="Q206" s="132"/>
      <c r="R206" s="132"/>
      <c r="S206" s="132"/>
      <c r="T206" s="132"/>
      <c r="U206" s="132"/>
      <c r="V206" s="132"/>
      <c r="W206" s="132"/>
      <c r="X206" s="132"/>
      <c r="Y206" s="132"/>
      <c r="Z206" s="132"/>
      <c r="AA206" s="132"/>
      <c r="AB206" s="132"/>
      <c r="AC206" s="132"/>
    </row>
    <row r="207">
      <c r="A207" s="132"/>
      <c r="B207" s="132"/>
      <c r="C207" s="132"/>
      <c r="D207" s="132"/>
      <c r="E207" s="132"/>
      <c r="F207" s="132"/>
      <c r="G207" s="132"/>
      <c r="H207" s="372"/>
      <c r="I207" s="372"/>
      <c r="J207" s="372"/>
      <c r="K207" s="2"/>
      <c r="L207" s="132"/>
      <c r="M207" s="132"/>
      <c r="N207" s="132"/>
      <c r="O207" s="132"/>
      <c r="P207" s="132"/>
      <c r="Q207" s="132"/>
      <c r="R207" s="132"/>
      <c r="S207" s="132"/>
      <c r="T207" s="132"/>
      <c r="U207" s="132"/>
      <c r="V207" s="132"/>
      <c r="W207" s="132"/>
      <c r="X207" s="132"/>
      <c r="Y207" s="132"/>
      <c r="Z207" s="132"/>
      <c r="AA207" s="132"/>
      <c r="AB207" s="132"/>
      <c r="AC207" s="132"/>
    </row>
    <row r="208">
      <c r="A208" s="132"/>
      <c r="B208" s="132"/>
      <c r="C208" s="132"/>
      <c r="D208" s="132"/>
      <c r="E208" s="132"/>
      <c r="F208" s="132"/>
      <c r="G208" s="132"/>
      <c r="H208" s="372"/>
      <c r="I208" s="372"/>
      <c r="J208" s="372"/>
      <c r="K208" s="2"/>
      <c r="L208" s="132"/>
      <c r="M208" s="132"/>
      <c r="N208" s="132"/>
      <c r="O208" s="132"/>
      <c r="P208" s="132"/>
      <c r="Q208" s="132"/>
      <c r="R208" s="132"/>
      <c r="S208" s="132"/>
      <c r="T208" s="132"/>
      <c r="U208" s="132"/>
      <c r="V208" s="132"/>
      <c r="W208" s="132"/>
      <c r="X208" s="132"/>
      <c r="Y208" s="132"/>
      <c r="Z208" s="132"/>
      <c r="AA208" s="132"/>
      <c r="AB208" s="132"/>
      <c r="AC208" s="132"/>
    </row>
    <row r="209">
      <c r="A209" s="132"/>
      <c r="B209" s="132"/>
      <c r="C209" s="132"/>
      <c r="D209" s="132"/>
      <c r="E209" s="132"/>
      <c r="F209" s="132"/>
      <c r="G209" s="132"/>
      <c r="H209" s="372"/>
      <c r="I209" s="372"/>
      <c r="J209" s="372"/>
      <c r="K209" s="2"/>
      <c r="L209" s="132"/>
      <c r="M209" s="132"/>
      <c r="N209" s="132"/>
      <c r="O209" s="132"/>
      <c r="P209" s="132"/>
      <c r="Q209" s="132"/>
      <c r="R209" s="132"/>
      <c r="S209" s="132"/>
      <c r="T209" s="132"/>
      <c r="U209" s="132"/>
      <c r="V209" s="132"/>
      <c r="W209" s="132"/>
      <c r="X209" s="132"/>
      <c r="Y209" s="132"/>
      <c r="Z209" s="132"/>
      <c r="AA209" s="132"/>
      <c r="AB209" s="132"/>
      <c r="AC209" s="132"/>
    </row>
    <row r="210">
      <c r="A210" s="132"/>
      <c r="B210" s="132"/>
      <c r="C210" s="132"/>
      <c r="D210" s="132"/>
      <c r="E210" s="132"/>
      <c r="F210" s="132"/>
      <c r="G210" s="132"/>
      <c r="H210" s="372"/>
      <c r="I210" s="372"/>
      <c r="J210" s="372"/>
      <c r="K210" s="2"/>
      <c r="L210" s="132"/>
      <c r="M210" s="132"/>
      <c r="N210" s="132"/>
      <c r="O210" s="132"/>
      <c r="P210" s="132"/>
      <c r="Q210" s="132"/>
      <c r="R210" s="132"/>
      <c r="S210" s="132"/>
      <c r="T210" s="132"/>
      <c r="U210" s="132"/>
      <c r="V210" s="132"/>
      <c r="W210" s="132"/>
      <c r="X210" s="132"/>
      <c r="Y210" s="132"/>
      <c r="Z210" s="132"/>
      <c r="AA210" s="132"/>
      <c r="AB210" s="132"/>
      <c r="AC210" s="132"/>
    </row>
    <row r="211">
      <c r="A211" s="132"/>
      <c r="B211" s="132"/>
      <c r="C211" s="132"/>
      <c r="D211" s="132"/>
      <c r="E211" s="132"/>
      <c r="F211" s="132"/>
      <c r="G211" s="132"/>
      <c r="H211" s="372"/>
      <c r="I211" s="372"/>
      <c r="J211" s="372"/>
      <c r="K211" s="2"/>
      <c r="L211" s="132"/>
      <c r="M211" s="132"/>
      <c r="N211" s="132"/>
      <c r="O211" s="132"/>
      <c r="P211" s="132"/>
      <c r="Q211" s="132"/>
      <c r="R211" s="132"/>
      <c r="S211" s="132"/>
      <c r="T211" s="132"/>
      <c r="U211" s="132"/>
      <c r="V211" s="132"/>
      <c r="W211" s="132"/>
      <c r="X211" s="132"/>
      <c r="Y211" s="132"/>
      <c r="Z211" s="132"/>
      <c r="AA211" s="132"/>
      <c r="AB211" s="132"/>
      <c r="AC211" s="132"/>
    </row>
    <row r="212">
      <c r="A212" s="132"/>
      <c r="B212" s="132"/>
      <c r="C212" s="132"/>
      <c r="D212" s="132"/>
      <c r="E212" s="132"/>
      <c r="F212" s="132"/>
      <c r="G212" s="132"/>
      <c r="H212" s="372"/>
      <c r="I212" s="372"/>
      <c r="J212" s="372"/>
      <c r="K212" s="2"/>
      <c r="L212" s="132"/>
      <c r="M212" s="132"/>
      <c r="N212" s="132"/>
      <c r="O212" s="132"/>
      <c r="P212" s="132"/>
      <c r="Q212" s="132"/>
      <c r="R212" s="132"/>
      <c r="S212" s="132"/>
      <c r="T212" s="132"/>
      <c r="U212" s="132"/>
      <c r="V212" s="132"/>
      <c r="W212" s="132"/>
      <c r="X212" s="132"/>
      <c r="Y212" s="132"/>
      <c r="Z212" s="132"/>
      <c r="AA212" s="132"/>
      <c r="AB212" s="132"/>
      <c r="AC212" s="132"/>
    </row>
    <row r="213">
      <c r="A213" s="132"/>
      <c r="B213" s="132"/>
      <c r="C213" s="132"/>
      <c r="D213" s="132"/>
      <c r="E213" s="132"/>
      <c r="F213" s="132"/>
      <c r="G213" s="132"/>
      <c r="H213" s="372"/>
      <c r="I213" s="372"/>
      <c r="J213" s="372"/>
      <c r="K213" s="2"/>
      <c r="L213" s="132"/>
      <c r="M213" s="132"/>
      <c r="N213" s="132"/>
      <c r="O213" s="132"/>
      <c r="P213" s="132"/>
      <c r="Q213" s="132"/>
      <c r="R213" s="132"/>
      <c r="S213" s="132"/>
      <c r="T213" s="132"/>
      <c r="U213" s="132"/>
      <c r="V213" s="132"/>
      <c r="W213" s="132"/>
      <c r="X213" s="132"/>
      <c r="Y213" s="132"/>
      <c r="Z213" s="132"/>
      <c r="AA213" s="132"/>
      <c r="AB213" s="132"/>
      <c r="AC213" s="132"/>
    </row>
    <row r="214">
      <c r="A214" s="132"/>
      <c r="B214" s="132"/>
      <c r="C214" s="132"/>
      <c r="D214" s="132"/>
      <c r="E214" s="132"/>
      <c r="F214" s="132"/>
      <c r="G214" s="132"/>
      <c r="H214" s="372"/>
      <c r="I214" s="372"/>
      <c r="J214" s="372"/>
      <c r="K214" s="2"/>
      <c r="L214" s="132"/>
      <c r="M214" s="132"/>
      <c r="N214" s="132"/>
      <c r="O214" s="132"/>
      <c r="P214" s="132"/>
      <c r="Q214" s="132"/>
      <c r="R214" s="132"/>
      <c r="S214" s="132"/>
      <c r="T214" s="132"/>
      <c r="U214" s="132"/>
      <c r="V214" s="132"/>
      <c r="W214" s="132"/>
      <c r="X214" s="132"/>
      <c r="Y214" s="132"/>
      <c r="Z214" s="132"/>
      <c r="AA214" s="132"/>
      <c r="AB214" s="132"/>
      <c r="AC214" s="132"/>
    </row>
    <row r="215">
      <c r="A215" s="132"/>
      <c r="B215" s="132"/>
      <c r="C215" s="132"/>
      <c r="D215" s="132"/>
      <c r="E215" s="132"/>
      <c r="F215" s="132"/>
      <c r="G215" s="132"/>
      <c r="H215" s="372"/>
      <c r="I215" s="372"/>
      <c r="J215" s="372"/>
      <c r="K215" s="2"/>
      <c r="L215" s="132"/>
      <c r="M215" s="132"/>
      <c r="N215" s="132"/>
      <c r="O215" s="132"/>
      <c r="P215" s="132"/>
      <c r="Q215" s="132"/>
      <c r="R215" s="132"/>
      <c r="S215" s="132"/>
      <c r="T215" s="132"/>
      <c r="U215" s="132"/>
      <c r="V215" s="132"/>
      <c r="W215" s="132"/>
      <c r="X215" s="132"/>
      <c r="Y215" s="132"/>
      <c r="Z215" s="132"/>
      <c r="AA215" s="132"/>
      <c r="AB215" s="132"/>
      <c r="AC215" s="132"/>
    </row>
    <row r="216">
      <c r="A216" s="132"/>
      <c r="B216" s="132"/>
      <c r="C216" s="132"/>
      <c r="D216" s="132"/>
      <c r="E216" s="132"/>
      <c r="F216" s="132"/>
      <c r="G216" s="132"/>
      <c r="H216" s="372"/>
      <c r="I216" s="372"/>
      <c r="J216" s="372"/>
      <c r="K216" s="2"/>
      <c r="L216" s="132"/>
      <c r="M216" s="132"/>
      <c r="N216" s="132"/>
      <c r="O216" s="132"/>
      <c r="P216" s="132"/>
      <c r="Q216" s="132"/>
      <c r="R216" s="132"/>
      <c r="S216" s="132"/>
      <c r="T216" s="132"/>
      <c r="U216" s="132"/>
      <c r="V216" s="132"/>
      <c r="W216" s="132"/>
      <c r="X216" s="132"/>
      <c r="Y216" s="132"/>
      <c r="Z216" s="132"/>
      <c r="AA216" s="132"/>
      <c r="AB216" s="132"/>
      <c r="AC216" s="132"/>
    </row>
    <row r="217">
      <c r="A217" s="132"/>
      <c r="B217" s="132"/>
      <c r="C217" s="132"/>
      <c r="D217" s="132"/>
      <c r="E217" s="132"/>
      <c r="F217" s="132"/>
      <c r="G217" s="132"/>
      <c r="H217" s="372"/>
      <c r="I217" s="372"/>
      <c r="J217" s="372"/>
      <c r="K217" s="2"/>
      <c r="L217" s="132"/>
      <c r="M217" s="132"/>
      <c r="N217" s="132"/>
      <c r="O217" s="132"/>
      <c r="P217" s="132"/>
      <c r="Q217" s="132"/>
      <c r="R217" s="132"/>
      <c r="S217" s="132"/>
      <c r="T217" s="132"/>
      <c r="U217" s="132"/>
      <c r="V217" s="132"/>
      <c r="W217" s="132"/>
      <c r="X217" s="132"/>
      <c r="Y217" s="132"/>
      <c r="Z217" s="132"/>
      <c r="AA217" s="132"/>
      <c r="AB217" s="132"/>
      <c r="AC217" s="132"/>
    </row>
    <row r="218">
      <c r="A218" s="132"/>
      <c r="B218" s="132"/>
      <c r="C218" s="132"/>
      <c r="D218" s="132"/>
      <c r="E218" s="132"/>
      <c r="F218" s="132"/>
      <c r="G218" s="132"/>
      <c r="H218" s="372"/>
      <c r="I218" s="372"/>
      <c r="J218" s="372"/>
      <c r="K218" s="2"/>
      <c r="L218" s="132"/>
      <c r="M218" s="132"/>
      <c r="N218" s="132"/>
      <c r="O218" s="132"/>
      <c r="P218" s="132"/>
      <c r="Q218" s="132"/>
      <c r="R218" s="132"/>
      <c r="S218" s="132"/>
      <c r="T218" s="132"/>
      <c r="U218" s="132"/>
      <c r="V218" s="132"/>
      <c r="W218" s="132"/>
      <c r="X218" s="132"/>
      <c r="Y218" s="132"/>
      <c r="Z218" s="132"/>
      <c r="AA218" s="132"/>
      <c r="AB218" s="132"/>
      <c r="AC218" s="132"/>
    </row>
    <row r="219">
      <c r="A219" s="132"/>
      <c r="B219" s="132"/>
      <c r="C219" s="132"/>
      <c r="D219" s="132"/>
      <c r="E219" s="132"/>
      <c r="F219" s="132"/>
      <c r="G219" s="132"/>
      <c r="H219" s="372"/>
      <c r="I219" s="372"/>
      <c r="J219" s="372"/>
      <c r="K219" s="2"/>
      <c r="L219" s="132"/>
      <c r="M219" s="132"/>
      <c r="N219" s="132"/>
      <c r="O219" s="132"/>
      <c r="P219" s="132"/>
      <c r="Q219" s="132"/>
      <c r="R219" s="132"/>
      <c r="S219" s="132"/>
      <c r="T219" s="132"/>
      <c r="U219" s="132"/>
      <c r="V219" s="132"/>
      <c r="W219" s="132"/>
      <c r="X219" s="132"/>
      <c r="Y219" s="132"/>
      <c r="Z219" s="132"/>
      <c r="AA219" s="132"/>
      <c r="AB219" s="132"/>
      <c r="AC219" s="132"/>
    </row>
    <row r="220">
      <c r="A220" s="132"/>
      <c r="B220" s="132"/>
      <c r="C220" s="132"/>
      <c r="D220" s="132"/>
      <c r="E220" s="132"/>
      <c r="F220" s="132"/>
      <c r="G220" s="132"/>
      <c r="H220" s="372"/>
      <c r="I220" s="372"/>
      <c r="J220" s="372"/>
      <c r="K220" s="2"/>
      <c r="L220" s="132"/>
      <c r="M220" s="132"/>
      <c r="N220" s="132"/>
      <c r="O220" s="132"/>
      <c r="P220" s="132"/>
      <c r="Q220" s="132"/>
      <c r="R220" s="132"/>
      <c r="S220" s="132"/>
      <c r="T220" s="132"/>
      <c r="U220" s="132"/>
      <c r="V220" s="132"/>
      <c r="W220" s="132"/>
      <c r="X220" s="132"/>
      <c r="Y220" s="132"/>
      <c r="Z220" s="132"/>
      <c r="AA220" s="132"/>
      <c r="AB220" s="132"/>
      <c r="AC220" s="132"/>
    </row>
    <row r="221">
      <c r="A221" s="132"/>
      <c r="B221" s="132"/>
      <c r="C221" s="132"/>
      <c r="D221" s="132"/>
      <c r="E221" s="132"/>
      <c r="F221" s="132"/>
      <c r="G221" s="132"/>
      <c r="H221" s="372"/>
      <c r="I221" s="372"/>
      <c r="J221" s="372"/>
      <c r="K221" s="2"/>
      <c r="L221" s="132"/>
      <c r="M221" s="132"/>
      <c r="N221" s="132"/>
      <c r="O221" s="132"/>
      <c r="P221" s="132"/>
      <c r="Q221" s="132"/>
      <c r="R221" s="132"/>
      <c r="S221" s="132"/>
      <c r="T221" s="132"/>
      <c r="U221" s="132"/>
      <c r="V221" s="132"/>
      <c r="W221" s="132"/>
      <c r="X221" s="132"/>
      <c r="Y221" s="132"/>
      <c r="Z221" s="132"/>
      <c r="AA221" s="132"/>
      <c r="AB221" s="132"/>
      <c r="AC221" s="132"/>
    </row>
    <row r="222">
      <c r="A222" s="132"/>
      <c r="B222" s="132"/>
      <c r="C222" s="132"/>
      <c r="D222" s="132"/>
      <c r="E222" s="132"/>
      <c r="F222" s="132"/>
      <c r="G222" s="132"/>
      <c r="H222" s="372"/>
      <c r="I222" s="372"/>
      <c r="J222" s="372"/>
      <c r="K222" s="2"/>
      <c r="L222" s="132"/>
      <c r="M222" s="132"/>
      <c r="N222" s="132"/>
      <c r="O222" s="132"/>
      <c r="P222" s="132"/>
      <c r="Q222" s="132"/>
      <c r="R222" s="132"/>
      <c r="S222" s="132"/>
      <c r="T222" s="132"/>
      <c r="U222" s="132"/>
      <c r="V222" s="132"/>
      <c r="W222" s="132"/>
      <c r="X222" s="132"/>
      <c r="Y222" s="132"/>
      <c r="Z222" s="132"/>
      <c r="AA222" s="132"/>
      <c r="AB222" s="132"/>
      <c r="AC222" s="132"/>
    </row>
    <row r="223">
      <c r="A223" s="132"/>
      <c r="B223" s="132"/>
      <c r="C223" s="132"/>
      <c r="D223" s="132"/>
      <c r="E223" s="132"/>
      <c r="F223" s="132"/>
      <c r="G223" s="132"/>
      <c r="H223" s="372"/>
      <c r="I223" s="372"/>
      <c r="J223" s="372"/>
      <c r="K223" s="2"/>
      <c r="L223" s="132"/>
      <c r="M223" s="132"/>
      <c r="N223" s="132"/>
      <c r="O223" s="132"/>
      <c r="P223" s="132"/>
      <c r="Q223" s="132"/>
      <c r="R223" s="132"/>
      <c r="S223" s="132"/>
      <c r="T223" s="132"/>
      <c r="U223" s="132"/>
      <c r="V223" s="132"/>
      <c r="W223" s="132"/>
      <c r="X223" s="132"/>
      <c r="Y223" s="132"/>
      <c r="Z223" s="132"/>
      <c r="AA223" s="132"/>
      <c r="AB223" s="132"/>
      <c r="AC223" s="132"/>
    </row>
    <row r="224">
      <c r="A224" s="132"/>
      <c r="B224" s="132"/>
      <c r="C224" s="132"/>
      <c r="D224" s="132"/>
      <c r="E224" s="132"/>
      <c r="F224" s="132"/>
      <c r="G224" s="132"/>
      <c r="H224" s="372"/>
      <c r="I224" s="372"/>
      <c r="J224" s="372"/>
      <c r="K224" s="2"/>
      <c r="L224" s="132"/>
      <c r="M224" s="132"/>
      <c r="N224" s="132"/>
      <c r="O224" s="132"/>
      <c r="P224" s="132"/>
      <c r="Q224" s="132"/>
      <c r="R224" s="132"/>
      <c r="S224" s="132"/>
      <c r="T224" s="132"/>
      <c r="U224" s="132"/>
      <c r="V224" s="132"/>
      <c r="W224" s="132"/>
      <c r="X224" s="132"/>
      <c r="Y224" s="132"/>
      <c r="Z224" s="132"/>
      <c r="AA224" s="132"/>
      <c r="AB224" s="132"/>
      <c r="AC224" s="132"/>
    </row>
    <row r="225">
      <c r="A225" s="132"/>
      <c r="B225" s="132"/>
      <c r="C225" s="132"/>
      <c r="D225" s="132"/>
      <c r="E225" s="132"/>
      <c r="F225" s="132"/>
      <c r="G225" s="132"/>
      <c r="H225" s="372"/>
      <c r="I225" s="372"/>
      <c r="J225" s="372"/>
      <c r="K225" s="2"/>
      <c r="L225" s="132"/>
      <c r="M225" s="132"/>
      <c r="N225" s="132"/>
      <c r="O225" s="132"/>
      <c r="P225" s="132"/>
      <c r="Q225" s="132"/>
      <c r="R225" s="132"/>
      <c r="S225" s="132"/>
      <c r="T225" s="132"/>
      <c r="U225" s="132"/>
      <c r="V225" s="132"/>
      <c r="W225" s="132"/>
      <c r="X225" s="132"/>
      <c r="Y225" s="132"/>
      <c r="Z225" s="132"/>
      <c r="AA225" s="132"/>
      <c r="AB225" s="132"/>
      <c r="AC225" s="132"/>
    </row>
    <row r="226">
      <c r="A226" s="132"/>
      <c r="B226" s="132"/>
      <c r="C226" s="132"/>
      <c r="D226" s="132"/>
      <c r="E226" s="132"/>
      <c r="F226" s="132"/>
      <c r="G226" s="132"/>
      <c r="H226" s="372"/>
      <c r="I226" s="372"/>
      <c r="J226" s="372"/>
      <c r="K226" s="2"/>
      <c r="L226" s="132"/>
      <c r="M226" s="132"/>
      <c r="N226" s="132"/>
      <c r="O226" s="132"/>
      <c r="P226" s="132"/>
      <c r="Q226" s="132"/>
      <c r="R226" s="132"/>
      <c r="S226" s="132"/>
      <c r="T226" s="132"/>
      <c r="U226" s="132"/>
      <c r="V226" s="132"/>
      <c r="W226" s="132"/>
      <c r="X226" s="132"/>
      <c r="Y226" s="132"/>
      <c r="Z226" s="132"/>
      <c r="AA226" s="132"/>
      <c r="AB226" s="132"/>
      <c r="AC226" s="132"/>
    </row>
    <row r="227">
      <c r="A227" s="132"/>
      <c r="B227" s="132"/>
      <c r="C227" s="132"/>
      <c r="D227" s="132"/>
      <c r="E227" s="132"/>
      <c r="F227" s="132"/>
      <c r="G227" s="132"/>
      <c r="H227" s="372"/>
      <c r="I227" s="372"/>
      <c r="J227" s="372"/>
      <c r="K227" s="2"/>
      <c r="L227" s="132"/>
      <c r="M227" s="132"/>
      <c r="N227" s="132"/>
      <c r="O227" s="132"/>
      <c r="P227" s="132"/>
      <c r="Q227" s="132"/>
      <c r="R227" s="132"/>
      <c r="S227" s="132"/>
      <c r="T227" s="132"/>
      <c r="U227" s="132"/>
      <c r="V227" s="132"/>
      <c r="W227" s="132"/>
      <c r="X227" s="132"/>
      <c r="Y227" s="132"/>
      <c r="Z227" s="132"/>
      <c r="AA227" s="132"/>
      <c r="AB227" s="132"/>
      <c r="AC227" s="132"/>
    </row>
    <row r="228">
      <c r="A228" s="132"/>
      <c r="B228" s="132"/>
      <c r="C228" s="132"/>
      <c r="D228" s="132"/>
      <c r="E228" s="132"/>
      <c r="F228" s="132"/>
      <c r="G228" s="132"/>
      <c r="H228" s="372"/>
      <c r="I228" s="372"/>
      <c r="J228" s="372"/>
      <c r="K228" s="2"/>
      <c r="L228" s="132"/>
      <c r="M228" s="132"/>
      <c r="N228" s="132"/>
      <c r="O228" s="132"/>
      <c r="P228" s="132"/>
      <c r="Q228" s="132"/>
      <c r="R228" s="132"/>
      <c r="S228" s="132"/>
      <c r="T228" s="132"/>
      <c r="U228" s="132"/>
      <c r="V228" s="132"/>
      <c r="W228" s="132"/>
      <c r="X228" s="132"/>
      <c r="Y228" s="132"/>
      <c r="Z228" s="132"/>
      <c r="AA228" s="132"/>
      <c r="AB228" s="132"/>
      <c r="AC228" s="132"/>
    </row>
    <row r="229">
      <c r="A229" s="132"/>
      <c r="B229" s="132"/>
      <c r="C229" s="132"/>
      <c r="D229" s="132"/>
      <c r="E229" s="132"/>
      <c r="F229" s="132"/>
      <c r="G229" s="132"/>
      <c r="H229" s="372"/>
      <c r="I229" s="372"/>
      <c r="J229" s="372"/>
      <c r="K229" s="2"/>
      <c r="L229" s="132"/>
      <c r="M229" s="132"/>
      <c r="N229" s="132"/>
      <c r="O229" s="132"/>
      <c r="P229" s="132"/>
      <c r="Q229" s="132"/>
      <c r="R229" s="132"/>
      <c r="S229" s="132"/>
      <c r="T229" s="132"/>
      <c r="U229" s="132"/>
      <c r="V229" s="132"/>
      <c r="W229" s="132"/>
      <c r="X229" s="132"/>
      <c r="Y229" s="132"/>
      <c r="Z229" s="132"/>
      <c r="AA229" s="132"/>
      <c r="AB229" s="132"/>
      <c r="AC229" s="132"/>
    </row>
    <row r="230">
      <c r="A230" s="132"/>
      <c r="B230" s="132"/>
      <c r="C230" s="132"/>
      <c r="D230" s="132"/>
      <c r="E230" s="132"/>
      <c r="F230" s="132"/>
      <c r="G230" s="132"/>
      <c r="H230" s="372"/>
      <c r="I230" s="372"/>
      <c r="J230" s="372"/>
      <c r="K230" s="2"/>
      <c r="L230" s="132"/>
      <c r="M230" s="132"/>
      <c r="N230" s="132"/>
      <c r="O230" s="132"/>
      <c r="P230" s="132"/>
      <c r="Q230" s="132"/>
      <c r="R230" s="132"/>
      <c r="S230" s="132"/>
      <c r="T230" s="132"/>
      <c r="U230" s="132"/>
      <c r="V230" s="132"/>
      <c r="W230" s="132"/>
      <c r="X230" s="132"/>
      <c r="Y230" s="132"/>
      <c r="Z230" s="132"/>
      <c r="AA230" s="132"/>
      <c r="AB230" s="132"/>
      <c r="AC230" s="132"/>
    </row>
    <row r="231">
      <c r="A231" s="132"/>
      <c r="B231" s="132"/>
      <c r="C231" s="132"/>
      <c r="D231" s="132"/>
      <c r="E231" s="132"/>
      <c r="F231" s="132"/>
      <c r="G231" s="132"/>
      <c r="H231" s="372"/>
      <c r="I231" s="372"/>
      <c r="J231" s="372"/>
      <c r="K231" s="2"/>
      <c r="L231" s="132"/>
      <c r="M231" s="132"/>
      <c r="N231" s="132"/>
      <c r="O231" s="132"/>
      <c r="P231" s="132"/>
      <c r="Q231" s="132"/>
      <c r="R231" s="132"/>
      <c r="S231" s="132"/>
      <c r="T231" s="132"/>
      <c r="U231" s="132"/>
      <c r="V231" s="132"/>
      <c r="W231" s="132"/>
      <c r="X231" s="132"/>
      <c r="Y231" s="132"/>
      <c r="Z231" s="132"/>
      <c r="AA231" s="132"/>
      <c r="AB231" s="132"/>
      <c r="AC231" s="132"/>
    </row>
    <row r="232">
      <c r="A232" s="132"/>
      <c r="B232" s="132"/>
      <c r="C232" s="132"/>
      <c r="D232" s="132"/>
      <c r="E232" s="132"/>
      <c r="F232" s="132"/>
      <c r="G232" s="132"/>
      <c r="H232" s="372"/>
      <c r="I232" s="372"/>
      <c r="J232" s="372"/>
      <c r="K232" s="2"/>
      <c r="L232" s="132"/>
      <c r="M232" s="132"/>
      <c r="N232" s="132"/>
      <c r="O232" s="132"/>
      <c r="P232" s="132"/>
      <c r="Q232" s="132"/>
      <c r="R232" s="132"/>
      <c r="S232" s="132"/>
      <c r="T232" s="132"/>
      <c r="U232" s="132"/>
      <c r="V232" s="132"/>
      <c r="W232" s="132"/>
      <c r="X232" s="132"/>
      <c r="Y232" s="132"/>
      <c r="Z232" s="132"/>
      <c r="AA232" s="132"/>
      <c r="AB232" s="132"/>
      <c r="AC232" s="132"/>
    </row>
    <row r="233">
      <c r="A233" s="132"/>
      <c r="B233" s="132"/>
      <c r="C233" s="132"/>
      <c r="D233" s="132"/>
      <c r="E233" s="132"/>
      <c r="F233" s="132"/>
      <c r="G233" s="132"/>
      <c r="H233" s="372"/>
      <c r="I233" s="372"/>
      <c r="J233" s="372"/>
      <c r="K233" s="2"/>
      <c r="L233" s="132"/>
      <c r="M233" s="132"/>
      <c r="N233" s="132"/>
      <c r="O233" s="132"/>
      <c r="P233" s="132"/>
      <c r="Q233" s="132"/>
      <c r="R233" s="132"/>
      <c r="S233" s="132"/>
      <c r="T233" s="132"/>
      <c r="U233" s="132"/>
      <c r="V233" s="132"/>
      <c r="W233" s="132"/>
      <c r="X233" s="132"/>
      <c r="Y233" s="132"/>
      <c r="Z233" s="132"/>
      <c r="AA233" s="132"/>
      <c r="AB233" s="132"/>
      <c r="AC233" s="132"/>
    </row>
    <row r="234">
      <c r="A234" s="132"/>
      <c r="B234" s="132"/>
      <c r="C234" s="132"/>
      <c r="D234" s="132"/>
      <c r="E234" s="132"/>
      <c r="F234" s="132"/>
      <c r="G234" s="132"/>
      <c r="H234" s="372"/>
      <c r="I234" s="372"/>
      <c r="J234" s="372"/>
      <c r="K234" s="2"/>
      <c r="L234" s="132"/>
      <c r="M234" s="132"/>
      <c r="N234" s="132"/>
      <c r="O234" s="132"/>
      <c r="P234" s="132"/>
      <c r="Q234" s="132"/>
      <c r="R234" s="132"/>
      <c r="S234" s="132"/>
      <c r="T234" s="132"/>
      <c r="U234" s="132"/>
      <c r="V234" s="132"/>
      <c r="W234" s="132"/>
      <c r="X234" s="132"/>
      <c r="Y234" s="132"/>
      <c r="Z234" s="132"/>
      <c r="AA234" s="132"/>
      <c r="AB234" s="132"/>
      <c r="AC234" s="132"/>
    </row>
    <row r="235">
      <c r="A235" s="132"/>
      <c r="B235" s="132"/>
      <c r="C235" s="132"/>
      <c r="D235" s="132"/>
      <c r="E235" s="132"/>
      <c r="F235" s="132"/>
      <c r="G235" s="132"/>
      <c r="H235" s="372"/>
      <c r="I235" s="372"/>
      <c r="J235" s="372"/>
      <c r="K235" s="2"/>
      <c r="L235" s="132"/>
      <c r="M235" s="132"/>
      <c r="N235" s="132"/>
      <c r="O235" s="132"/>
      <c r="P235" s="132"/>
      <c r="Q235" s="132"/>
      <c r="R235" s="132"/>
      <c r="S235" s="132"/>
      <c r="T235" s="132"/>
      <c r="U235" s="132"/>
      <c r="V235" s="132"/>
      <c r="W235" s="132"/>
      <c r="X235" s="132"/>
      <c r="Y235" s="132"/>
      <c r="Z235" s="132"/>
      <c r="AA235" s="132"/>
      <c r="AB235" s="132"/>
      <c r="AC235" s="132"/>
    </row>
    <row r="236">
      <c r="A236" s="132"/>
      <c r="B236" s="132"/>
      <c r="C236" s="132"/>
      <c r="D236" s="132"/>
      <c r="E236" s="132"/>
      <c r="F236" s="132"/>
      <c r="G236" s="132"/>
      <c r="H236" s="372"/>
      <c r="I236" s="372"/>
      <c r="J236" s="372"/>
      <c r="K236" s="2"/>
      <c r="L236" s="132"/>
      <c r="M236" s="132"/>
      <c r="N236" s="132"/>
      <c r="O236" s="132"/>
      <c r="P236" s="132"/>
      <c r="Q236" s="132"/>
      <c r="R236" s="132"/>
      <c r="S236" s="132"/>
      <c r="T236" s="132"/>
      <c r="U236" s="132"/>
      <c r="V236" s="132"/>
      <c r="W236" s="132"/>
      <c r="X236" s="132"/>
      <c r="Y236" s="132"/>
      <c r="Z236" s="132"/>
      <c r="AA236" s="132"/>
      <c r="AB236" s="132"/>
      <c r="AC236" s="132"/>
    </row>
    <row r="237">
      <c r="A237" s="132"/>
      <c r="B237" s="132"/>
      <c r="C237" s="132"/>
      <c r="D237" s="132"/>
      <c r="E237" s="132"/>
      <c r="F237" s="132"/>
      <c r="G237" s="132"/>
      <c r="H237" s="372"/>
      <c r="I237" s="372"/>
      <c r="J237" s="372"/>
      <c r="K237" s="2"/>
      <c r="L237" s="132"/>
      <c r="M237" s="132"/>
      <c r="N237" s="132"/>
      <c r="O237" s="132"/>
      <c r="P237" s="132"/>
      <c r="Q237" s="132"/>
      <c r="R237" s="132"/>
      <c r="S237" s="132"/>
      <c r="T237" s="132"/>
      <c r="U237" s="132"/>
      <c r="V237" s="132"/>
      <c r="W237" s="132"/>
      <c r="X237" s="132"/>
      <c r="Y237" s="132"/>
      <c r="Z237" s="132"/>
      <c r="AA237" s="132"/>
      <c r="AB237" s="132"/>
      <c r="AC237" s="132"/>
    </row>
    <row r="238">
      <c r="A238" s="132"/>
      <c r="B238" s="132"/>
      <c r="C238" s="132"/>
      <c r="D238" s="132"/>
      <c r="E238" s="132"/>
      <c r="F238" s="132"/>
      <c r="G238" s="132"/>
      <c r="H238" s="372"/>
      <c r="I238" s="372"/>
      <c r="J238" s="372"/>
      <c r="K238" s="2"/>
      <c r="L238" s="132"/>
      <c r="M238" s="132"/>
      <c r="N238" s="132"/>
      <c r="O238" s="132"/>
      <c r="P238" s="132"/>
      <c r="Q238" s="132"/>
      <c r="R238" s="132"/>
      <c r="S238" s="132"/>
      <c r="T238" s="132"/>
      <c r="U238" s="132"/>
      <c r="V238" s="132"/>
      <c r="W238" s="132"/>
      <c r="X238" s="132"/>
      <c r="Y238" s="132"/>
      <c r="Z238" s="132"/>
      <c r="AA238" s="132"/>
      <c r="AB238" s="132"/>
      <c r="AC238" s="132"/>
    </row>
    <row r="239">
      <c r="A239" s="132"/>
      <c r="B239" s="132"/>
      <c r="C239" s="132"/>
      <c r="D239" s="132"/>
      <c r="E239" s="132"/>
      <c r="F239" s="132"/>
      <c r="G239" s="132"/>
      <c r="H239" s="372"/>
      <c r="I239" s="372"/>
      <c r="J239" s="372"/>
      <c r="K239" s="2"/>
      <c r="L239" s="132"/>
      <c r="M239" s="132"/>
      <c r="N239" s="132"/>
      <c r="O239" s="132"/>
      <c r="P239" s="132"/>
      <c r="Q239" s="132"/>
      <c r="R239" s="132"/>
      <c r="S239" s="132"/>
      <c r="T239" s="132"/>
      <c r="U239" s="132"/>
      <c r="V239" s="132"/>
      <c r="W239" s="132"/>
      <c r="X239" s="132"/>
      <c r="Y239" s="132"/>
      <c r="Z239" s="132"/>
      <c r="AA239" s="132"/>
      <c r="AB239" s="132"/>
      <c r="AC239" s="132"/>
    </row>
    <row r="240">
      <c r="A240" s="132"/>
      <c r="B240" s="132"/>
      <c r="C240" s="132"/>
      <c r="D240" s="132"/>
      <c r="E240" s="132"/>
      <c r="F240" s="132"/>
      <c r="G240" s="132"/>
      <c r="H240" s="372"/>
      <c r="I240" s="372"/>
      <c r="J240" s="372"/>
      <c r="K240" s="2"/>
      <c r="L240" s="132"/>
      <c r="M240" s="132"/>
      <c r="N240" s="132"/>
      <c r="O240" s="132"/>
      <c r="P240" s="132"/>
      <c r="Q240" s="132"/>
      <c r="R240" s="132"/>
      <c r="S240" s="132"/>
      <c r="T240" s="132"/>
      <c r="U240" s="132"/>
      <c r="V240" s="132"/>
      <c r="W240" s="132"/>
      <c r="X240" s="132"/>
      <c r="Y240" s="132"/>
      <c r="Z240" s="132"/>
      <c r="AA240" s="132"/>
      <c r="AB240" s="132"/>
      <c r="AC240" s="132"/>
    </row>
    <row r="241">
      <c r="A241" s="132"/>
      <c r="B241" s="132"/>
      <c r="C241" s="132"/>
      <c r="D241" s="132"/>
      <c r="E241" s="132"/>
      <c r="F241" s="132"/>
      <c r="G241" s="132"/>
      <c r="H241" s="372"/>
      <c r="I241" s="372"/>
      <c r="J241" s="372"/>
      <c r="K241" s="2"/>
      <c r="L241" s="132"/>
      <c r="M241" s="132"/>
      <c r="N241" s="132"/>
      <c r="O241" s="132"/>
      <c r="P241" s="132"/>
      <c r="Q241" s="132"/>
      <c r="R241" s="132"/>
      <c r="S241" s="132"/>
      <c r="T241" s="132"/>
      <c r="U241" s="132"/>
      <c r="V241" s="132"/>
      <c r="W241" s="132"/>
      <c r="X241" s="132"/>
      <c r="Y241" s="132"/>
      <c r="Z241" s="132"/>
      <c r="AA241" s="132"/>
      <c r="AB241" s="132"/>
      <c r="AC241" s="132"/>
    </row>
    <row r="242">
      <c r="A242" s="132"/>
      <c r="B242" s="132"/>
      <c r="C242" s="132"/>
      <c r="D242" s="132"/>
      <c r="E242" s="132"/>
      <c r="F242" s="132"/>
      <c r="G242" s="132"/>
      <c r="H242" s="372"/>
      <c r="I242" s="372"/>
      <c r="J242" s="372"/>
      <c r="K242" s="2"/>
      <c r="L242" s="132"/>
      <c r="M242" s="132"/>
      <c r="N242" s="132"/>
      <c r="O242" s="132"/>
      <c r="P242" s="132"/>
      <c r="Q242" s="132"/>
      <c r="R242" s="132"/>
      <c r="S242" s="132"/>
      <c r="T242" s="132"/>
      <c r="U242" s="132"/>
      <c r="V242" s="132"/>
      <c r="W242" s="132"/>
      <c r="X242" s="132"/>
      <c r="Y242" s="132"/>
      <c r="Z242" s="132"/>
      <c r="AA242" s="132"/>
      <c r="AB242" s="132"/>
      <c r="AC242" s="132"/>
    </row>
    <row r="243">
      <c r="A243" s="132"/>
      <c r="B243" s="132"/>
      <c r="C243" s="132"/>
      <c r="D243" s="132"/>
      <c r="E243" s="132"/>
      <c r="F243" s="132"/>
      <c r="G243" s="132"/>
      <c r="H243" s="372"/>
      <c r="I243" s="372"/>
      <c r="J243" s="372"/>
      <c r="K243" s="2"/>
      <c r="L243" s="132"/>
      <c r="M243" s="132"/>
      <c r="N243" s="132"/>
      <c r="O243" s="132"/>
      <c r="P243" s="132"/>
      <c r="Q243" s="132"/>
      <c r="R243" s="132"/>
      <c r="S243" s="132"/>
      <c r="T243" s="132"/>
      <c r="U243" s="132"/>
      <c r="V243" s="132"/>
      <c r="W243" s="132"/>
      <c r="X243" s="132"/>
      <c r="Y243" s="132"/>
      <c r="Z243" s="132"/>
      <c r="AA243" s="132"/>
      <c r="AB243" s="132"/>
      <c r="AC243" s="132"/>
    </row>
    <row r="244">
      <c r="A244" s="132"/>
      <c r="B244" s="132"/>
      <c r="C244" s="132"/>
      <c r="D244" s="132"/>
      <c r="E244" s="132"/>
      <c r="F244" s="132"/>
      <c r="G244" s="132"/>
      <c r="H244" s="372"/>
      <c r="I244" s="372"/>
      <c r="J244" s="372"/>
      <c r="K244" s="2"/>
      <c r="L244" s="132"/>
      <c r="M244" s="132"/>
      <c r="N244" s="132"/>
      <c r="O244" s="132"/>
      <c r="P244" s="132"/>
      <c r="Q244" s="132"/>
      <c r="R244" s="132"/>
      <c r="S244" s="132"/>
      <c r="T244" s="132"/>
      <c r="U244" s="132"/>
      <c r="V244" s="132"/>
      <c r="W244" s="132"/>
      <c r="X244" s="132"/>
      <c r="Y244" s="132"/>
      <c r="Z244" s="132"/>
      <c r="AA244" s="132"/>
      <c r="AB244" s="132"/>
      <c r="AC244" s="132"/>
    </row>
    <row r="245">
      <c r="A245" s="132"/>
      <c r="B245" s="132"/>
      <c r="C245" s="132"/>
      <c r="D245" s="132"/>
      <c r="E245" s="132"/>
      <c r="F245" s="132"/>
      <c r="G245" s="132"/>
      <c r="H245" s="372"/>
      <c r="I245" s="372"/>
      <c r="J245" s="372"/>
      <c r="K245" s="2"/>
      <c r="L245" s="132"/>
      <c r="M245" s="132"/>
      <c r="N245" s="132"/>
      <c r="O245" s="132"/>
      <c r="P245" s="132"/>
      <c r="Q245" s="132"/>
      <c r="R245" s="132"/>
      <c r="S245" s="132"/>
      <c r="T245" s="132"/>
      <c r="U245" s="132"/>
      <c r="V245" s="132"/>
      <c r="W245" s="132"/>
      <c r="X245" s="132"/>
      <c r="Y245" s="132"/>
      <c r="Z245" s="132"/>
      <c r="AA245" s="132"/>
      <c r="AB245" s="132"/>
      <c r="AC245" s="132"/>
    </row>
    <row r="246">
      <c r="A246" s="132"/>
      <c r="B246" s="132"/>
      <c r="C246" s="132"/>
      <c r="D246" s="132"/>
      <c r="E246" s="132"/>
      <c r="F246" s="132"/>
      <c r="G246" s="132"/>
      <c r="H246" s="372"/>
      <c r="I246" s="372"/>
      <c r="J246" s="372"/>
      <c r="K246" s="2"/>
      <c r="L246" s="132"/>
      <c r="M246" s="132"/>
      <c r="N246" s="132"/>
      <c r="O246" s="132"/>
      <c r="P246" s="132"/>
      <c r="Q246" s="132"/>
      <c r="R246" s="132"/>
      <c r="S246" s="132"/>
      <c r="T246" s="132"/>
      <c r="U246" s="132"/>
      <c r="V246" s="132"/>
      <c r="W246" s="132"/>
      <c r="X246" s="132"/>
      <c r="Y246" s="132"/>
      <c r="Z246" s="132"/>
      <c r="AA246" s="132"/>
      <c r="AB246" s="132"/>
      <c r="AC246" s="132"/>
    </row>
    <row r="247">
      <c r="A247" s="132"/>
      <c r="B247" s="132"/>
      <c r="C247" s="132"/>
      <c r="D247" s="132"/>
      <c r="E247" s="132"/>
      <c r="F247" s="132"/>
      <c r="G247" s="132"/>
      <c r="H247" s="372"/>
      <c r="I247" s="372"/>
      <c r="J247" s="372"/>
      <c r="K247" s="2"/>
      <c r="L247" s="132"/>
      <c r="M247" s="132"/>
      <c r="N247" s="132"/>
      <c r="O247" s="132"/>
      <c r="P247" s="132"/>
      <c r="Q247" s="132"/>
      <c r="R247" s="132"/>
      <c r="S247" s="132"/>
      <c r="T247" s="132"/>
      <c r="U247" s="132"/>
      <c r="V247" s="132"/>
      <c r="W247" s="132"/>
      <c r="X247" s="132"/>
      <c r="Y247" s="132"/>
      <c r="Z247" s="132"/>
      <c r="AA247" s="132"/>
      <c r="AB247" s="132"/>
      <c r="AC247" s="132"/>
    </row>
    <row r="248">
      <c r="A248" s="132"/>
      <c r="B248" s="132"/>
      <c r="C248" s="132"/>
      <c r="D248" s="132"/>
      <c r="E248" s="132"/>
      <c r="F248" s="132"/>
      <c r="G248" s="132"/>
      <c r="H248" s="372"/>
      <c r="I248" s="372"/>
      <c r="J248" s="372"/>
      <c r="K248" s="2"/>
      <c r="L248" s="132"/>
      <c r="M248" s="132"/>
      <c r="N248" s="132"/>
      <c r="O248" s="132"/>
      <c r="P248" s="132"/>
      <c r="Q248" s="132"/>
      <c r="R248" s="132"/>
      <c r="S248" s="132"/>
      <c r="T248" s="132"/>
      <c r="U248" s="132"/>
      <c r="V248" s="132"/>
      <c r="W248" s="132"/>
      <c r="X248" s="132"/>
      <c r="Y248" s="132"/>
      <c r="Z248" s="132"/>
      <c r="AA248" s="132"/>
      <c r="AB248" s="132"/>
      <c r="AC248" s="132"/>
    </row>
    <row r="249">
      <c r="A249" s="132"/>
      <c r="B249" s="132"/>
      <c r="C249" s="132"/>
      <c r="D249" s="132"/>
      <c r="E249" s="132"/>
      <c r="F249" s="132"/>
      <c r="G249" s="132"/>
      <c r="H249" s="372"/>
      <c r="I249" s="372"/>
      <c r="J249" s="372"/>
      <c r="K249" s="2"/>
      <c r="L249" s="132"/>
      <c r="M249" s="132"/>
      <c r="N249" s="132"/>
      <c r="O249" s="132"/>
      <c r="P249" s="132"/>
      <c r="Q249" s="132"/>
      <c r="R249" s="132"/>
      <c r="S249" s="132"/>
      <c r="T249" s="132"/>
      <c r="U249" s="132"/>
      <c r="V249" s="132"/>
      <c r="W249" s="132"/>
      <c r="X249" s="132"/>
      <c r="Y249" s="132"/>
      <c r="Z249" s="132"/>
      <c r="AA249" s="132"/>
      <c r="AB249" s="132"/>
      <c r="AC249" s="132"/>
    </row>
    <row r="250">
      <c r="A250" s="132"/>
      <c r="B250" s="132"/>
      <c r="C250" s="132"/>
      <c r="D250" s="132"/>
      <c r="E250" s="132"/>
      <c r="F250" s="132"/>
      <c r="G250" s="132"/>
      <c r="H250" s="372"/>
      <c r="I250" s="372"/>
      <c r="J250" s="372"/>
      <c r="K250" s="2"/>
      <c r="L250" s="132"/>
      <c r="M250" s="132"/>
      <c r="N250" s="132"/>
      <c r="O250" s="132"/>
      <c r="P250" s="132"/>
      <c r="Q250" s="132"/>
      <c r="R250" s="132"/>
      <c r="S250" s="132"/>
      <c r="T250" s="132"/>
      <c r="U250" s="132"/>
      <c r="V250" s="132"/>
      <c r="W250" s="132"/>
      <c r="X250" s="132"/>
      <c r="Y250" s="132"/>
      <c r="Z250" s="132"/>
      <c r="AA250" s="132"/>
      <c r="AB250" s="132"/>
      <c r="AC250" s="132"/>
    </row>
    <row r="251">
      <c r="A251" s="132"/>
      <c r="B251" s="132"/>
      <c r="C251" s="132"/>
      <c r="D251" s="132"/>
      <c r="E251" s="132"/>
      <c r="F251" s="132"/>
      <c r="G251" s="132"/>
      <c r="H251" s="372"/>
      <c r="I251" s="372"/>
      <c r="J251" s="372"/>
      <c r="K251" s="2"/>
      <c r="L251" s="132"/>
      <c r="M251" s="132"/>
      <c r="N251" s="132"/>
      <c r="O251" s="132"/>
      <c r="P251" s="132"/>
      <c r="Q251" s="132"/>
      <c r="R251" s="132"/>
      <c r="S251" s="132"/>
      <c r="T251" s="132"/>
      <c r="U251" s="132"/>
      <c r="V251" s="132"/>
      <c r="W251" s="132"/>
      <c r="X251" s="132"/>
      <c r="Y251" s="132"/>
      <c r="Z251" s="132"/>
      <c r="AA251" s="132"/>
      <c r="AB251" s="132"/>
      <c r="AC251" s="132"/>
    </row>
    <row r="252">
      <c r="A252" s="132"/>
      <c r="B252" s="132"/>
      <c r="C252" s="132"/>
      <c r="D252" s="132"/>
      <c r="E252" s="132"/>
      <c r="F252" s="132"/>
      <c r="G252" s="132"/>
      <c r="H252" s="372"/>
      <c r="I252" s="372"/>
      <c r="J252" s="372"/>
      <c r="K252" s="2"/>
      <c r="L252" s="132"/>
      <c r="M252" s="132"/>
      <c r="N252" s="132"/>
      <c r="O252" s="132"/>
      <c r="P252" s="132"/>
      <c r="Q252" s="132"/>
      <c r="R252" s="132"/>
      <c r="S252" s="132"/>
      <c r="T252" s="132"/>
      <c r="U252" s="132"/>
      <c r="V252" s="132"/>
      <c r="W252" s="132"/>
      <c r="X252" s="132"/>
      <c r="Y252" s="132"/>
      <c r="Z252" s="132"/>
      <c r="AA252" s="132"/>
      <c r="AB252" s="132"/>
      <c r="AC252" s="132"/>
    </row>
    <row r="253">
      <c r="A253" s="132"/>
      <c r="B253" s="132"/>
      <c r="C253" s="132"/>
      <c r="D253" s="132"/>
      <c r="E253" s="132"/>
      <c r="F253" s="132"/>
      <c r="G253" s="132"/>
      <c r="H253" s="372"/>
      <c r="I253" s="372"/>
      <c r="J253" s="372"/>
      <c r="K253" s="2"/>
      <c r="L253" s="132"/>
      <c r="M253" s="132"/>
      <c r="N253" s="132"/>
      <c r="O253" s="132"/>
      <c r="P253" s="132"/>
      <c r="Q253" s="132"/>
      <c r="R253" s="132"/>
      <c r="S253" s="132"/>
      <c r="T253" s="132"/>
      <c r="U253" s="132"/>
      <c r="V253" s="132"/>
      <c r="W253" s="132"/>
      <c r="X253" s="132"/>
      <c r="Y253" s="132"/>
      <c r="Z253" s="132"/>
      <c r="AA253" s="132"/>
      <c r="AB253" s="132"/>
      <c r="AC253" s="132"/>
    </row>
    <row r="254">
      <c r="A254" s="132"/>
      <c r="B254" s="132"/>
      <c r="C254" s="132"/>
      <c r="D254" s="132"/>
      <c r="E254" s="132"/>
      <c r="F254" s="132"/>
      <c r="G254" s="132"/>
      <c r="H254" s="372"/>
      <c r="I254" s="372"/>
      <c r="J254" s="372"/>
      <c r="K254" s="2"/>
      <c r="L254" s="132"/>
      <c r="M254" s="132"/>
      <c r="N254" s="132"/>
      <c r="O254" s="132"/>
      <c r="P254" s="132"/>
      <c r="Q254" s="132"/>
      <c r="R254" s="132"/>
      <c r="S254" s="132"/>
      <c r="T254" s="132"/>
      <c r="U254" s="132"/>
      <c r="V254" s="132"/>
      <c r="W254" s="132"/>
      <c r="X254" s="132"/>
      <c r="Y254" s="132"/>
      <c r="Z254" s="132"/>
      <c r="AA254" s="132"/>
      <c r="AB254" s="132"/>
      <c r="AC254" s="132"/>
    </row>
    <row r="255">
      <c r="A255" s="132"/>
      <c r="B255" s="132"/>
      <c r="C255" s="132"/>
      <c r="D255" s="132"/>
      <c r="E255" s="132"/>
      <c r="F255" s="132"/>
      <c r="G255" s="132"/>
      <c r="H255" s="372"/>
      <c r="I255" s="372"/>
      <c r="J255" s="372"/>
      <c r="K255" s="2"/>
      <c r="L255" s="132"/>
      <c r="M255" s="132"/>
      <c r="N255" s="132"/>
      <c r="O255" s="132"/>
      <c r="P255" s="132"/>
      <c r="Q255" s="132"/>
      <c r="R255" s="132"/>
      <c r="S255" s="132"/>
      <c r="T255" s="132"/>
      <c r="U255" s="132"/>
      <c r="V255" s="132"/>
      <c r="W255" s="132"/>
      <c r="X255" s="132"/>
      <c r="Y255" s="132"/>
      <c r="Z255" s="132"/>
      <c r="AA255" s="132"/>
      <c r="AB255" s="132"/>
      <c r="AC255" s="132"/>
    </row>
    <row r="256">
      <c r="A256" s="132"/>
      <c r="B256" s="132"/>
      <c r="C256" s="132"/>
      <c r="D256" s="132"/>
      <c r="E256" s="132"/>
      <c r="F256" s="132"/>
      <c r="G256" s="132"/>
      <c r="H256" s="372"/>
      <c r="I256" s="372"/>
      <c r="J256" s="372"/>
      <c r="K256" s="2"/>
      <c r="L256" s="132"/>
      <c r="M256" s="132"/>
      <c r="N256" s="132"/>
      <c r="O256" s="132"/>
      <c r="P256" s="132"/>
      <c r="Q256" s="132"/>
      <c r="R256" s="132"/>
      <c r="S256" s="132"/>
      <c r="T256" s="132"/>
      <c r="U256" s="132"/>
      <c r="V256" s="132"/>
      <c r="W256" s="132"/>
      <c r="X256" s="132"/>
      <c r="Y256" s="132"/>
      <c r="Z256" s="132"/>
      <c r="AA256" s="132"/>
      <c r="AB256" s="132"/>
      <c r="AC256" s="132"/>
    </row>
    <row r="257">
      <c r="A257" s="132"/>
      <c r="B257" s="132"/>
      <c r="C257" s="132"/>
      <c r="D257" s="132"/>
      <c r="E257" s="132"/>
      <c r="F257" s="132"/>
      <c r="G257" s="132"/>
      <c r="H257" s="372"/>
      <c r="I257" s="372"/>
      <c r="J257" s="372"/>
      <c r="K257" s="2"/>
      <c r="L257" s="132"/>
      <c r="M257" s="132"/>
      <c r="N257" s="132"/>
      <c r="O257" s="132"/>
      <c r="P257" s="132"/>
      <c r="Q257" s="132"/>
      <c r="R257" s="132"/>
      <c r="S257" s="132"/>
      <c r="T257" s="132"/>
      <c r="U257" s="132"/>
      <c r="V257" s="132"/>
      <c r="W257" s="132"/>
      <c r="X257" s="132"/>
      <c r="Y257" s="132"/>
      <c r="Z257" s="132"/>
      <c r="AA257" s="132"/>
      <c r="AB257" s="132"/>
      <c r="AC257" s="132"/>
    </row>
    <row r="258">
      <c r="A258" s="132"/>
      <c r="B258" s="132"/>
      <c r="C258" s="132"/>
      <c r="D258" s="132"/>
      <c r="E258" s="132"/>
      <c r="F258" s="132"/>
      <c r="G258" s="132"/>
      <c r="H258" s="372"/>
      <c r="I258" s="372"/>
      <c r="J258" s="372"/>
      <c r="K258" s="2"/>
      <c r="L258" s="132"/>
      <c r="M258" s="132"/>
      <c r="N258" s="132"/>
      <c r="O258" s="132"/>
      <c r="P258" s="132"/>
      <c r="Q258" s="132"/>
      <c r="R258" s="132"/>
      <c r="S258" s="132"/>
      <c r="T258" s="132"/>
      <c r="U258" s="132"/>
      <c r="V258" s="132"/>
      <c r="W258" s="132"/>
      <c r="X258" s="132"/>
      <c r="Y258" s="132"/>
      <c r="Z258" s="132"/>
      <c r="AA258" s="132"/>
      <c r="AB258" s="132"/>
      <c r="AC258" s="132"/>
    </row>
    <row r="259">
      <c r="A259" s="132"/>
      <c r="B259" s="132"/>
      <c r="C259" s="132"/>
      <c r="D259" s="132"/>
      <c r="E259" s="132"/>
      <c r="F259" s="132"/>
      <c r="G259" s="132"/>
      <c r="H259" s="372"/>
      <c r="I259" s="372"/>
      <c r="J259" s="372"/>
      <c r="K259" s="2"/>
      <c r="L259" s="132"/>
      <c r="M259" s="132"/>
      <c r="N259" s="132"/>
      <c r="O259" s="132"/>
      <c r="P259" s="132"/>
      <c r="Q259" s="132"/>
      <c r="R259" s="132"/>
      <c r="S259" s="132"/>
      <c r="T259" s="132"/>
      <c r="U259" s="132"/>
      <c r="V259" s="132"/>
      <c r="W259" s="132"/>
      <c r="X259" s="132"/>
      <c r="Y259" s="132"/>
      <c r="Z259" s="132"/>
      <c r="AA259" s="132"/>
      <c r="AB259" s="132"/>
      <c r="AC259" s="132"/>
    </row>
    <row r="260">
      <c r="A260" s="132"/>
      <c r="B260" s="132"/>
      <c r="C260" s="132"/>
      <c r="D260" s="132"/>
      <c r="E260" s="132"/>
      <c r="F260" s="132"/>
      <c r="G260" s="132"/>
      <c r="H260" s="372"/>
      <c r="I260" s="372"/>
      <c r="J260" s="372"/>
      <c r="K260" s="2"/>
      <c r="L260" s="132"/>
      <c r="M260" s="132"/>
      <c r="N260" s="132"/>
      <c r="O260" s="132"/>
      <c r="P260" s="132"/>
      <c r="Q260" s="132"/>
      <c r="R260" s="132"/>
      <c r="S260" s="132"/>
      <c r="T260" s="132"/>
      <c r="U260" s="132"/>
      <c r="V260" s="132"/>
      <c r="W260" s="132"/>
      <c r="X260" s="132"/>
      <c r="Y260" s="132"/>
      <c r="Z260" s="132"/>
      <c r="AA260" s="132"/>
      <c r="AB260" s="132"/>
      <c r="AC260" s="132"/>
    </row>
    <row r="261">
      <c r="A261" s="132"/>
      <c r="B261" s="132"/>
      <c r="C261" s="132"/>
      <c r="D261" s="132"/>
      <c r="E261" s="132"/>
      <c r="F261" s="132"/>
      <c r="G261" s="132"/>
      <c r="H261" s="372"/>
      <c r="I261" s="372"/>
      <c r="J261" s="372"/>
      <c r="K261" s="2"/>
      <c r="L261" s="132"/>
      <c r="M261" s="132"/>
      <c r="N261" s="132"/>
      <c r="O261" s="132"/>
      <c r="P261" s="132"/>
      <c r="Q261" s="132"/>
      <c r="R261" s="132"/>
      <c r="S261" s="132"/>
      <c r="T261" s="132"/>
      <c r="U261" s="132"/>
      <c r="V261" s="132"/>
      <c r="W261" s="132"/>
      <c r="X261" s="132"/>
      <c r="Y261" s="132"/>
      <c r="Z261" s="132"/>
      <c r="AA261" s="132"/>
      <c r="AB261" s="132"/>
      <c r="AC261" s="132"/>
    </row>
    <row r="262">
      <c r="A262" s="132"/>
      <c r="B262" s="132"/>
      <c r="C262" s="132"/>
      <c r="D262" s="132"/>
      <c r="E262" s="132"/>
      <c r="F262" s="132"/>
      <c r="G262" s="132"/>
      <c r="H262" s="372"/>
      <c r="I262" s="372"/>
      <c r="J262" s="372"/>
      <c r="K262" s="2"/>
      <c r="L262" s="132"/>
      <c r="M262" s="132"/>
      <c r="N262" s="132"/>
      <c r="O262" s="132"/>
      <c r="P262" s="132"/>
      <c r="Q262" s="132"/>
      <c r="R262" s="132"/>
      <c r="S262" s="132"/>
      <c r="T262" s="132"/>
      <c r="U262" s="132"/>
      <c r="V262" s="132"/>
      <c r="W262" s="132"/>
      <c r="X262" s="132"/>
      <c r="Y262" s="132"/>
      <c r="Z262" s="132"/>
      <c r="AA262" s="132"/>
      <c r="AB262" s="132"/>
      <c r="AC262" s="132"/>
    </row>
    <row r="263">
      <c r="A263" s="132"/>
      <c r="B263" s="132"/>
      <c r="C263" s="132"/>
      <c r="D263" s="132"/>
      <c r="E263" s="132"/>
      <c r="F263" s="132"/>
      <c r="G263" s="132"/>
      <c r="H263" s="372"/>
      <c r="I263" s="372"/>
      <c r="J263" s="372"/>
      <c r="K263" s="2"/>
      <c r="L263" s="132"/>
      <c r="M263" s="132"/>
      <c r="N263" s="132"/>
      <c r="O263" s="132"/>
      <c r="P263" s="132"/>
      <c r="Q263" s="132"/>
      <c r="R263" s="132"/>
      <c r="S263" s="132"/>
      <c r="T263" s="132"/>
      <c r="U263" s="132"/>
      <c r="V263" s="132"/>
      <c r="W263" s="132"/>
      <c r="X263" s="132"/>
      <c r="Y263" s="132"/>
      <c r="Z263" s="132"/>
      <c r="AA263" s="132"/>
      <c r="AB263" s="132"/>
      <c r="AC263" s="132"/>
    </row>
    <row r="264">
      <c r="A264" s="132"/>
      <c r="B264" s="132"/>
      <c r="C264" s="132"/>
      <c r="D264" s="132"/>
      <c r="E264" s="132"/>
      <c r="F264" s="132"/>
      <c r="G264" s="132"/>
      <c r="H264" s="372"/>
      <c r="I264" s="372"/>
      <c r="J264" s="372"/>
      <c r="K264" s="2"/>
      <c r="L264" s="132"/>
      <c r="M264" s="132"/>
      <c r="N264" s="132"/>
      <c r="O264" s="132"/>
      <c r="P264" s="132"/>
      <c r="Q264" s="132"/>
      <c r="R264" s="132"/>
      <c r="S264" s="132"/>
      <c r="T264" s="132"/>
      <c r="U264" s="132"/>
      <c r="V264" s="132"/>
      <c r="W264" s="132"/>
      <c r="X264" s="132"/>
      <c r="Y264" s="132"/>
      <c r="Z264" s="132"/>
      <c r="AA264" s="132"/>
      <c r="AB264" s="132"/>
      <c r="AC264" s="132"/>
    </row>
    <row r="265">
      <c r="A265" s="132"/>
      <c r="B265" s="132"/>
      <c r="C265" s="132"/>
      <c r="D265" s="132"/>
      <c r="E265" s="132"/>
      <c r="F265" s="132"/>
      <c r="G265" s="132"/>
      <c r="H265" s="372"/>
      <c r="I265" s="372"/>
      <c r="J265" s="372"/>
      <c r="K265" s="2"/>
      <c r="L265" s="132"/>
      <c r="M265" s="132"/>
      <c r="N265" s="132"/>
      <c r="O265" s="132"/>
      <c r="P265" s="132"/>
      <c r="Q265" s="132"/>
      <c r="R265" s="132"/>
      <c r="S265" s="132"/>
      <c r="T265" s="132"/>
      <c r="U265" s="132"/>
      <c r="V265" s="132"/>
      <c r="W265" s="132"/>
      <c r="X265" s="132"/>
      <c r="Y265" s="132"/>
      <c r="Z265" s="132"/>
      <c r="AA265" s="132"/>
      <c r="AB265" s="132"/>
      <c r="AC265" s="132"/>
    </row>
    <row r="266">
      <c r="A266" s="132"/>
      <c r="B266" s="132"/>
      <c r="C266" s="132"/>
      <c r="D266" s="132"/>
      <c r="E266" s="132"/>
      <c r="F266" s="132"/>
      <c r="G266" s="132"/>
      <c r="H266" s="372"/>
      <c r="I266" s="372"/>
      <c r="J266" s="372"/>
      <c r="K266" s="2"/>
      <c r="L266" s="132"/>
      <c r="M266" s="132"/>
      <c r="N266" s="132"/>
      <c r="O266" s="132"/>
      <c r="P266" s="132"/>
      <c r="Q266" s="132"/>
      <c r="R266" s="132"/>
      <c r="S266" s="132"/>
      <c r="T266" s="132"/>
      <c r="U266" s="132"/>
      <c r="V266" s="132"/>
      <c r="W266" s="132"/>
      <c r="X266" s="132"/>
      <c r="Y266" s="132"/>
      <c r="Z266" s="132"/>
      <c r="AA266" s="132"/>
      <c r="AB266" s="132"/>
      <c r="AC266" s="132"/>
    </row>
    <row r="267">
      <c r="A267" s="132"/>
      <c r="B267" s="132"/>
      <c r="C267" s="132"/>
      <c r="D267" s="132"/>
      <c r="E267" s="132"/>
      <c r="F267" s="132"/>
      <c r="G267" s="132"/>
      <c r="H267" s="372"/>
      <c r="I267" s="372"/>
      <c r="J267" s="372"/>
      <c r="K267" s="2"/>
      <c r="L267" s="132"/>
      <c r="M267" s="132"/>
      <c r="N267" s="132"/>
      <c r="O267" s="132"/>
      <c r="P267" s="132"/>
      <c r="Q267" s="132"/>
      <c r="R267" s="132"/>
      <c r="S267" s="132"/>
      <c r="T267" s="132"/>
      <c r="U267" s="132"/>
      <c r="V267" s="132"/>
      <c r="W267" s="132"/>
      <c r="X267" s="132"/>
      <c r="Y267" s="132"/>
      <c r="Z267" s="132"/>
      <c r="AA267" s="132"/>
      <c r="AB267" s="132"/>
      <c r="AC267" s="132"/>
    </row>
    <row r="268">
      <c r="A268" s="132"/>
      <c r="B268" s="132"/>
      <c r="C268" s="132"/>
      <c r="D268" s="132"/>
      <c r="E268" s="132"/>
      <c r="F268" s="132"/>
      <c r="G268" s="132"/>
      <c r="H268" s="372"/>
      <c r="I268" s="372"/>
      <c r="J268" s="372"/>
      <c r="K268" s="2"/>
      <c r="L268" s="132"/>
      <c r="M268" s="132"/>
      <c r="N268" s="132"/>
      <c r="O268" s="132"/>
      <c r="P268" s="132"/>
      <c r="Q268" s="132"/>
      <c r="R268" s="132"/>
      <c r="S268" s="132"/>
      <c r="T268" s="132"/>
      <c r="U268" s="132"/>
      <c r="V268" s="132"/>
      <c r="W268" s="132"/>
      <c r="X268" s="132"/>
      <c r="Y268" s="132"/>
      <c r="Z268" s="132"/>
      <c r="AA268" s="132"/>
      <c r="AB268" s="132"/>
      <c r="AC268" s="132"/>
    </row>
    <row r="269">
      <c r="A269" s="132"/>
      <c r="B269" s="132"/>
      <c r="C269" s="132"/>
      <c r="D269" s="132"/>
      <c r="E269" s="132"/>
      <c r="F269" s="132"/>
      <c r="G269" s="132"/>
      <c r="H269" s="372"/>
      <c r="I269" s="372"/>
      <c r="J269" s="372"/>
      <c r="K269" s="2"/>
      <c r="L269" s="132"/>
      <c r="M269" s="132"/>
      <c r="N269" s="132"/>
      <c r="O269" s="132"/>
      <c r="P269" s="132"/>
      <c r="Q269" s="132"/>
      <c r="R269" s="132"/>
      <c r="S269" s="132"/>
      <c r="T269" s="132"/>
      <c r="U269" s="132"/>
      <c r="V269" s="132"/>
      <c r="W269" s="132"/>
      <c r="X269" s="132"/>
      <c r="Y269" s="132"/>
      <c r="Z269" s="132"/>
      <c r="AA269" s="132"/>
      <c r="AB269" s="132"/>
      <c r="AC269" s="132"/>
    </row>
    <row r="270">
      <c r="A270" s="132"/>
      <c r="B270" s="132"/>
      <c r="C270" s="132"/>
      <c r="D270" s="132"/>
      <c r="E270" s="132"/>
      <c r="F270" s="132"/>
      <c r="G270" s="132"/>
      <c r="H270" s="372"/>
      <c r="I270" s="372"/>
      <c r="J270" s="372"/>
      <c r="K270" s="2"/>
      <c r="L270" s="132"/>
      <c r="M270" s="132"/>
      <c r="N270" s="132"/>
      <c r="O270" s="132"/>
      <c r="P270" s="132"/>
      <c r="Q270" s="132"/>
      <c r="R270" s="132"/>
      <c r="S270" s="132"/>
      <c r="T270" s="132"/>
      <c r="U270" s="132"/>
      <c r="V270" s="132"/>
      <c r="W270" s="132"/>
      <c r="X270" s="132"/>
      <c r="Y270" s="132"/>
      <c r="Z270" s="132"/>
      <c r="AA270" s="132"/>
      <c r="AB270" s="132"/>
      <c r="AC270" s="132"/>
    </row>
    <row r="271">
      <c r="A271" s="132"/>
      <c r="B271" s="132"/>
      <c r="C271" s="132"/>
      <c r="D271" s="132"/>
      <c r="E271" s="132"/>
      <c r="F271" s="132"/>
      <c r="G271" s="132"/>
      <c r="H271" s="372"/>
      <c r="I271" s="372"/>
      <c r="J271" s="372"/>
      <c r="K271" s="2"/>
      <c r="L271" s="132"/>
      <c r="M271" s="132"/>
      <c r="N271" s="132"/>
      <c r="O271" s="132"/>
      <c r="P271" s="132"/>
      <c r="Q271" s="132"/>
      <c r="R271" s="132"/>
      <c r="S271" s="132"/>
      <c r="T271" s="132"/>
      <c r="U271" s="132"/>
      <c r="V271" s="132"/>
      <c r="W271" s="132"/>
      <c r="X271" s="132"/>
      <c r="Y271" s="132"/>
      <c r="Z271" s="132"/>
      <c r="AA271" s="132"/>
      <c r="AB271" s="132"/>
      <c r="AC271" s="132"/>
    </row>
    <row r="272">
      <c r="A272" s="132"/>
      <c r="B272" s="132"/>
      <c r="C272" s="132"/>
      <c r="D272" s="132"/>
      <c r="E272" s="132"/>
      <c r="F272" s="132"/>
      <c r="G272" s="132"/>
      <c r="H272" s="372"/>
      <c r="I272" s="372"/>
      <c r="J272" s="372"/>
      <c r="K272" s="2"/>
      <c r="L272" s="132"/>
      <c r="M272" s="132"/>
      <c r="N272" s="132"/>
      <c r="O272" s="132"/>
      <c r="P272" s="132"/>
      <c r="Q272" s="132"/>
      <c r="R272" s="132"/>
      <c r="S272" s="132"/>
      <c r="T272" s="132"/>
      <c r="U272" s="132"/>
      <c r="V272" s="132"/>
      <c r="W272" s="132"/>
      <c r="X272" s="132"/>
      <c r="Y272" s="132"/>
      <c r="Z272" s="132"/>
      <c r="AA272" s="132"/>
      <c r="AB272" s="132"/>
      <c r="AC272" s="132"/>
    </row>
    <row r="273">
      <c r="A273" s="132"/>
      <c r="B273" s="132"/>
      <c r="C273" s="132"/>
      <c r="D273" s="132"/>
      <c r="E273" s="132"/>
      <c r="F273" s="132"/>
      <c r="G273" s="132"/>
      <c r="H273" s="372"/>
      <c r="I273" s="372"/>
      <c r="J273" s="372"/>
      <c r="K273" s="2"/>
      <c r="L273" s="132"/>
      <c r="M273" s="132"/>
      <c r="N273" s="132"/>
      <c r="O273" s="132"/>
      <c r="P273" s="132"/>
      <c r="Q273" s="132"/>
      <c r="R273" s="132"/>
      <c r="S273" s="132"/>
      <c r="T273" s="132"/>
      <c r="U273" s="132"/>
      <c r="V273" s="132"/>
      <c r="W273" s="132"/>
      <c r="X273" s="132"/>
      <c r="Y273" s="132"/>
      <c r="Z273" s="132"/>
      <c r="AA273" s="132"/>
      <c r="AB273" s="132"/>
      <c r="AC273" s="132"/>
    </row>
    <row r="274">
      <c r="A274" s="132"/>
      <c r="B274" s="132"/>
      <c r="C274" s="132"/>
      <c r="D274" s="132"/>
      <c r="E274" s="132"/>
      <c r="F274" s="132"/>
      <c r="G274" s="132"/>
      <c r="H274" s="372"/>
      <c r="I274" s="372"/>
      <c r="J274" s="372"/>
      <c r="K274" s="2"/>
      <c r="L274" s="132"/>
      <c r="M274" s="132"/>
      <c r="N274" s="132"/>
      <c r="O274" s="132"/>
      <c r="P274" s="132"/>
      <c r="Q274" s="132"/>
      <c r="R274" s="132"/>
      <c r="S274" s="132"/>
      <c r="T274" s="132"/>
      <c r="U274" s="132"/>
      <c r="V274" s="132"/>
      <c r="W274" s="132"/>
      <c r="X274" s="132"/>
      <c r="Y274" s="132"/>
      <c r="Z274" s="132"/>
      <c r="AA274" s="132"/>
      <c r="AB274" s="132"/>
      <c r="AC274" s="132"/>
    </row>
    <row r="275">
      <c r="A275" s="132"/>
      <c r="B275" s="132"/>
      <c r="C275" s="132"/>
      <c r="D275" s="132"/>
      <c r="E275" s="132"/>
      <c r="F275" s="132"/>
      <c r="G275" s="132"/>
      <c r="H275" s="372"/>
      <c r="I275" s="372"/>
      <c r="J275" s="372"/>
      <c r="K275" s="2"/>
      <c r="L275" s="132"/>
      <c r="M275" s="132"/>
      <c r="N275" s="132"/>
      <c r="O275" s="132"/>
      <c r="P275" s="132"/>
      <c r="Q275" s="132"/>
      <c r="R275" s="132"/>
      <c r="S275" s="132"/>
      <c r="T275" s="132"/>
      <c r="U275" s="132"/>
      <c r="V275" s="132"/>
      <c r="W275" s="132"/>
      <c r="X275" s="132"/>
      <c r="Y275" s="132"/>
      <c r="Z275" s="132"/>
      <c r="AA275" s="132"/>
      <c r="AB275" s="132"/>
      <c r="AC275" s="132"/>
    </row>
    <row r="276">
      <c r="A276" s="132"/>
      <c r="B276" s="132"/>
      <c r="C276" s="132"/>
      <c r="D276" s="132"/>
      <c r="E276" s="132"/>
      <c r="F276" s="132"/>
      <c r="G276" s="132"/>
      <c r="H276" s="372"/>
      <c r="I276" s="372"/>
      <c r="J276" s="372"/>
      <c r="K276" s="2"/>
      <c r="L276" s="132"/>
      <c r="M276" s="132"/>
      <c r="N276" s="132"/>
      <c r="O276" s="132"/>
      <c r="P276" s="132"/>
      <c r="Q276" s="132"/>
      <c r="R276" s="132"/>
      <c r="S276" s="132"/>
      <c r="T276" s="132"/>
      <c r="U276" s="132"/>
      <c r="V276" s="132"/>
      <c r="W276" s="132"/>
      <c r="X276" s="132"/>
      <c r="Y276" s="132"/>
      <c r="Z276" s="132"/>
      <c r="AA276" s="132"/>
      <c r="AB276" s="132"/>
      <c r="AC276" s="132"/>
    </row>
    <row r="277">
      <c r="A277" s="132"/>
      <c r="B277" s="132"/>
      <c r="C277" s="132"/>
      <c r="D277" s="132"/>
      <c r="E277" s="132"/>
      <c r="F277" s="132"/>
      <c r="G277" s="132"/>
      <c r="H277" s="372"/>
      <c r="I277" s="372"/>
      <c r="J277" s="372"/>
      <c r="K277" s="2"/>
      <c r="L277" s="132"/>
      <c r="M277" s="132"/>
      <c r="N277" s="132"/>
      <c r="O277" s="132"/>
      <c r="P277" s="132"/>
      <c r="Q277" s="132"/>
      <c r="R277" s="132"/>
      <c r="S277" s="132"/>
      <c r="T277" s="132"/>
      <c r="U277" s="132"/>
      <c r="V277" s="132"/>
      <c r="W277" s="132"/>
      <c r="X277" s="132"/>
      <c r="Y277" s="132"/>
      <c r="Z277" s="132"/>
      <c r="AA277" s="132"/>
      <c r="AB277" s="132"/>
      <c r="AC277" s="132"/>
    </row>
    <row r="278">
      <c r="A278" s="132"/>
      <c r="B278" s="132"/>
      <c r="C278" s="132"/>
      <c r="D278" s="132"/>
      <c r="E278" s="132"/>
      <c r="F278" s="132"/>
      <c r="G278" s="132"/>
      <c r="H278" s="372"/>
      <c r="I278" s="372"/>
      <c r="J278" s="372"/>
      <c r="K278" s="2"/>
      <c r="L278" s="132"/>
      <c r="M278" s="132"/>
      <c r="N278" s="132"/>
      <c r="O278" s="132"/>
      <c r="P278" s="132"/>
      <c r="Q278" s="132"/>
      <c r="R278" s="132"/>
      <c r="S278" s="132"/>
      <c r="T278" s="132"/>
      <c r="U278" s="132"/>
      <c r="V278" s="132"/>
      <c r="W278" s="132"/>
      <c r="X278" s="132"/>
      <c r="Y278" s="132"/>
      <c r="Z278" s="132"/>
      <c r="AA278" s="132"/>
      <c r="AB278" s="132"/>
      <c r="AC278" s="132"/>
    </row>
    <row r="279">
      <c r="A279" s="132"/>
      <c r="B279" s="132"/>
      <c r="C279" s="132"/>
      <c r="D279" s="132"/>
      <c r="E279" s="132"/>
      <c r="F279" s="132"/>
      <c r="G279" s="132"/>
      <c r="H279" s="372"/>
      <c r="I279" s="372"/>
      <c r="J279" s="372"/>
      <c r="K279" s="2"/>
      <c r="L279" s="132"/>
      <c r="M279" s="132"/>
      <c r="N279" s="132"/>
      <c r="O279" s="132"/>
      <c r="P279" s="132"/>
      <c r="Q279" s="132"/>
      <c r="R279" s="132"/>
      <c r="S279" s="132"/>
      <c r="T279" s="132"/>
      <c r="U279" s="132"/>
      <c r="V279" s="132"/>
      <c r="W279" s="132"/>
      <c r="X279" s="132"/>
      <c r="Y279" s="132"/>
      <c r="Z279" s="132"/>
      <c r="AA279" s="132"/>
      <c r="AB279" s="132"/>
      <c r="AC279" s="132"/>
    </row>
    <row r="280">
      <c r="A280" s="132"/>
      <c r="B280" s="132"/>
      <c r="C280" s="132"/>
      <c r="D280" s="132"/>
      <c r="E280" s="132"/>
      <c r="F280" s="132"/>
      <c r="G280" s="132"/>
      <c r="H280" s="372"/>
      <c r="I280" s="372"/>
      <c r="J280" s="372"/>
      <c r="K280" s="2"/>
      <c r="L280" s="132"/>
      <c r="M280" s="132"/>
      <c r="N280" s="132"/>
      <c r="O280" s="132"/>
      <c r="P280" s="132"/>
      <c r="Q280" s="132"/>
      <c r="R280" s="132"/>
      <c r="S280" s="132"/>
      <c r="T280" s="132"/>
      <c r="U280" s="132"/>
      <c r="V280" s="132"/>
      <c r="W280" s="132"/>
      <c r="X280" s="132"/>
      <c r="Y280" s="132"/>
      <c r="Z280" s="132"/>
      <c r="AA280" s="132"/>
      <c r="AB280" s="132"/>
      <c r="AC280" s="132"/>
    </row>
    <row r="281">
      <c r="A281" s="132"/>
      <c r="B281" s="132"/>
      <c r="C281" s="132"/>
      <c r="D281" s="132"/>
      <c r="E281" s="132"/>
      <c r="F281" s="132"/>
      <c r="G281" s="132"/>
      <c r="H281" s="372"/>
      <c r="I281" s="372"/>
      <c r="J281" s="372"/>
      <c r="K281" s="2"/>
      <c r="L281" s="132"/>
      <c r="M281" s="132"/>
      <c r="N281" s="132"/>
      <c r="O281" s="132"/>
      <c r="P281" s="132"/>
      <c r="Q281" s="132"/>
      <c r="R281" s="132"/>
      <c r="S281" s="132"/>
      <c r="T281" s="132"/>
      <c r="U281" s="132"/>
      <c r="V281" s="132"/>
      <c r="W281" s="132"/>
      <c r="X281" s="132"/>
      <c r="Y281" s="132"/>
      <c r="Z281" s="132"/>
      <c r="AA281" s="132"/>
      <c r="AB281" s="132"/>
      <c r="AC281" s="132"/>
    </row>
    <row r="282">
      <c r="A282" s="132"/>
      <c r="B282" s="132"/>
      <c r="C282" s="132"/>
      <c r="D282" s="132"/>
      <c r="E282" s="132"/>
      <c r="F282" s="132"/>
      <c r="G282" s="132"/>
      <c r="H282" s="372"/>
      <c r="I282" s="372"/>
      <c r="J282" s="372"/>
      <c r="K282" s="2"/>
      <c r="L282" s="132"/>
      <c r="M282" s="132"/>
      <c r="N282" s="132"/>
      <c r="O282" s="132"/>
      <c r="P282" s="132"/>
      <c r="Q282" s="132"/>
      <c r="R282" s="132"/>
      <c r="S282" s="132"/>
      <c r="T282" s="132"/>
      <c r="U282" s="132"/>
      <c r="V282" s="132"/>
      <c r="W282" s="132"/>
      <c r="X282" s="132"/>
      <c r="Y282" s="132"/>
      <c r="Z282" s="132"/>
      <c r="AA282" s="132"/>
      <c r="AB282" s="132"/>
      <c r="AC282" s="132"/>
    </row>
    <row r="283">
      <c r="A283" s="132"/>
      <c r="B283" s="132"/>
      <c r="C283" s="132"/>
      <c r="D283" s="132"/>
      <c r="E283" s="132"/>
      <c r="F283" s="132"/>
      <c r="G283" s="132"/>
      <c r="H283" s="372"/>
      <c r="I283" s="372"/>
      <c r="J283" s="372"/>
      <c r="K283" s="2"/>
      <c r="L283" s="132"/>
      <c r="M283" s="132"/>
      <c r="N283" s="132"/>
      <c r="O283" s="132"/>
      <c r="P283" s="132"/>
      <c r="Q283" s="132"/>
      <c r="R283" s="132"/>
      <c r="S283" s="132"/>
      <c r="T283" s="132"/>
      <c r="U283" s="132"/>
      <c r="V283" s="132"/>
      <c r="W283" s="132"/>
      <c r="X283" s="132"/>
      <c r="Y283" s="132"/>
      <c r="Z283" s="132"/>
      <c r="AA283" s="132"/>
      <c r="AB283" s="132"/>
      <c r="AC283" s="132"/>
    </row>
    <row r="284">
      <c r="A284" s="132"/>
      <c r="B284" s="132"/>
      <c r="C284" s="132"/>
      <c r="D284" s="132"/>
      <c r="E284" s="132"/>
      <c r="F284" s="132"/>
      <c r="G284" s="132"/>
      <c r="H284" s="372"/>
      <c r="I284" s="372"/>
      <c r="J284" s="372"/>
      <c r="K284" s="2"/>
      <c r="L284" s="132"/>
      <c r="M284" s="132"/>
      <c r="N284" s="132"/>
      <c r="O284" s="132"/>
      <c r="P284" s="132"/>
      <c r="Q284" s="132"/>
      <c r="R284" s="132"/>
      <c r="S284" s="132"/>
      <c r="T284" s="132"/>
      <c r="U284" s="132"/>
      <c r="V284" s="132"/>
      <c r="W284" s="132"/>
      <c r="X284" s="132"/>
      <c r="Y284" s="132"/>
      <c r="Z284" s="132"/>
      <c r="AA284" s="132"/>
      <c r="AB284" s="132"/>
      <c r="AC284" s="132"/>
    </row>
    <row r="285">
      <c r="A285" s="132"/>
      <c r="B285" s="132"/>
      <c r="C285" s="132"/>
      <c r="D285" s="132"/>
      <c r="E285" s="132"/>
      <c r="F285" s="132"/>
      <c r="G285" s="132"/>
      <c r="H285" s="372"/>
      <c r="I285" s="372"/>
      <c r="J285" s="372"/>
      <c r="K285" s="2"/>
      <c r="L285" s="132"/>
      <c r="M285" s="132"/>
      <c r="N285" s="132"/>
      <c r="O285" s="132"/>
      <c r="P285" s="132"/>
      <c r="Q285" s="132"/>
      <c r="R285" s="132"/>
      <c r="S285" s="132"/>
      <c r="T285" s="132"/>
      <c r="U285" s="132"/>
      <c r="V285" s="132"/>
      <c r="W285" s="132"/>
      <c r="X285" s="132"/>
      <c r="Y285" s="132"/>
      <c r="Z285" s="132"/>
      <c r="AA285" s="132"/>
      <c r="AB285" s="132"/>
      <c r="AC285" s="132"/>
    </row>
    <row r="286">
      <c r="A286" s="132"/>
      <c r="B286" s="132"/>
      <c r="C286" s="132"/>
      <c r="D286" s="132"/>
      <c r="E286" s="132"/>
      <c r="F286" s="132"/>
      <c r="G286" s="132"/>
      <c r="H286" s="372"/>
      <c r="I286" s="372"/>
      <c r="J286" s="372"/>
      <c r="K286" s="2"/>
      <c r="L286" s="132"/>
      <c r="M286" s="132"/>
      <c r="N286" s="132"/>
      <c r="O286" s="132"/>
      <c r="P286" s="132"/>
      <c r="Q286" s="132"/>
      <c r="R286" s="132"/>
      <c r="S286" s="132"/>
      <c r="T286" s="132"/>
      <c r="U286" s="132"/>
      <c r="V286" s="132"/>
      <c r="W286" s="132"/>
      <c r="X286" s="132"/>
      <c r="Y286" s="132"/>
      <c r="Z286" s="132"/>
      <c r="AA286" s="132"/>
      <c r="AB286" s="132"/>
      <c r="AC286" s="132"/>
    </row>
    <row r="287">
      <c r="A287" s="132"/>
      <c r="B287" s="132"/>
      <c r="C287" s="132"/>
      <c r="D287" s="132"/>
      <c r="E287" s="132"/>
      <c r="F287" s="132"/>
      <c r="G287" s="132"/>
      <c r="H287" s="372"/>
      <c r="I287" s="372"/>
      <c r="J287" s="372"/>
      <c r="K287" s="2"/>
      <c r="L287" s="132"/>
      <c r="M287" s="132"/>
      <c r="N287" s="132"/>
      <c r="O287" s="132"/>
      <c r="P287" s="132"/>
      <c r="Q287" s="132"/>
      <c r="R287" s="132"/>
      <c r="S287" s="132"/>
      <c r="T287" s="132"/>
      <c r="U287" s="132"/>
      <c r="V287" s="132"/>
      <c r="W287" s="132"/>
      <c r="X287" s="132"/>
      <c r="Y287" s="132"/>
      <c r="Z287" s="132"/>
      <c r="AA287" s="132"/>
      <c r="AB287" s="132"/>
      <c r="AC287" s="132"/>
    </row>
    <row r="288">
      <c r="A288" s="132"/>
      <c r="B288" s="132"/>
      <c r="C288" s="132"/>
      <c r="D288" s="132"/>
      <c r="E288" s="132"/>
      <c r="F288" s="132"/>
      <c r="G288" s="132"/>
      <c r="H288" s="372"/>
      <c r="I288" s="372"/>
      <c r="J288" s="372"/>
      <c r="K288" s="2"/>
      <c r="L288" s="132"/>
      <c r="M288" s="132"/>
      <c r="N288" s="132"/>
      <c r="O288" s="132"/>
      <c r="P288" s="132"/>
      <c r="Q288" s="132"/>
      <c r="R288" s="132"/>
      <c r="S288" s="132"/>
      <c r="T288" s="132"/>
      <c r="U288" s="132"/>
      <c r="V288" s="132"/>
      <c r="W288" s="132"/>
      <c r="X288" s="132"/>
      <c r="Y288" s="132"/>
      <c r="Z288" s="132"/>
      <c r="AA288" s="132"/>
      <c r="AB288" s="132"/>
      <c r="AC288" s="132"/>
    </row>
    <row r="289">
      <c r="A289" s="132"/>
      <c r="B289" s="132"/>
      <c r="C289" s="132"/>
      <c r="D289" s="132"/>
      <c r="E289" s="132"/>
      <c r="F289" s="132"/>
      <c r="G289" s="132"/>
      <c r="H289" s="372"/>
      <c r="I289" s="372"/>
      <c r="J289" s="372"/>
      <c r="K289" s="2"/>
      <c r="L289" s="132"/>
      <c r="M289" s="132"/>
      <c r="N289" s="132"/>
      <c r="O289" s="132"/>
      <c r="P289" s="132"/>
      <c r="Q289" s="132"/>
      <c r="R289" s="132"/>
      <c r="S289" s="132"/>
      <c r="T289" s="132"/>
      <c r="U289" s="132"/>
      <c r="V289" s="132"/>
      <c r="W289" s="132"/>
      <c r="X289" s="132"/>
      <c r="Y289" s="132"/>
      <c r="Z289" s="132"/>
      <c r="AA289" s="132"/>
      <c r="AB289" s="132"/>
      <c r="AC289" s="132"/>
    </row>
    <row r="290">
      <c r="A290" s="132"/>
      <c r="B290" s="132"/>
      <c r="C290" s="132"/>
      <c r="D290" s="132"/>
      <c r="E290" s="132"/>
      <c r="F290" s="132"/>
      <c r="G290" s="132"/>
      <c r="H290" s="372"/>
      <c r="I290" s="372"/>
      <c r="J290" s="372"/>
      <c r="K290" s="2"/>
      <c r="L290" s="132"/>
      <c r="M290" s="132"/>
      <c r="N290" s="132"/>
      <c r="O290" s="132"/>
      <c r="P290" s="132"/>
      <c r="Q290" s="132"/>
      <c r="R290" s="132"/>
      <c r="S290" s="132"/>
      <c r="T290" s="132"/>
      <c r="U290" s="132"/>
      <c r="V290" s="132"/>
      <c r="W290" s="132"/>
      <c r="X290" s="132"/>
      <c r="Y290" s="132"/>
      <c r="Z290" s="132"/>
      <c r="AA290" s="132"/>
      <c r="AB290" s="132"/>
      <c r="AC290" s="132"/>
    </row>
    <row r="291">
      <c r="A291" s="132"/>
      <c r="B291" s="132"/>
      <c r="C291" s="132"/>
      <c r="D291" s="132"/>
      <c r="E291" s="132"/>
      <c r="F291" s="132"/>
      <c r="G291" s="132"/>
      <c r="H291" s="372"/>
      <c r="I291" s="372"/>
      <c r="J291" s="372"/>
      <c r="K291" s="2"/>
      <c r="L291" s="132"/>
      <c r="M291" s="132"/>
      <c r="N291" s="132"/>
      <c r="O291" s="132"/>
      <c r="P291" s="132"/>
      <c r="Q291" s="132"/>
      <c r="R291" s="132"/>
      <c r="S291" s="132"/>
      <c r="T291" s="132"/>
      <c r="U291" s="132"/>
      <c r="V291" s="132"/>
      <c r="W291" s="132"/>
      <c r="X291" s="132"/>
      <c r="Y291" s="132"/>
      <c r="Z291" s="132"/>
      <c r="AA291" s="132"/>
      <c r="AB291" s="132"/>
      <c r="AC291" s="132"/>
    </row>
    <row r="292">
      <c r="A292" s="132"/>
      <c r="B292" s="132"/>
      <c r="C292" s="132"/>
      <c r="D292" s="132"/>
      <c r="E292" s="132"/>
      <c r="F292" s="132"/>
      <c r="G292" s="132"/>
      <c r="H292" s="372"/>
      <c r="I292" s="372"/>
      <c r="J292" s="372"/>
      <c r="K292" s="2"/>
      <c r="L292" s="132"/>
      <c r="M292" s="132"/>
      <c r="N292" s="132"/>
      <c r="O292" s="132"/>
      <c r="P292" s="132"/>
      <c r="Q292" s="132"/>
      <c r="R292" s="132"/>
      <c r="S292" s="132"/>
      <c r="T292" s="132"/>
      <c r="U292" s="132"/>
      <c r="V292" s="132"/>
      <c r="W292" s="132"/>
      <c r="X292" s="132"/>
      <c r="Y292" s="132"/>
      <c r="Z292" s="132"/>
      <c r="AA292" s="132"/>
      <c r="AB292" s="132"/>
      <c r="AC292" s="132"/>
    </row>
    <row r="293">
      <c r="A293" s="132"/>
      <c r="B293" s="132"/>
      <c r="C293" s="132"/>
      <c r="D293" s="132"/>
      <c r="E293" s="132"/>
      <c r="F293" s="132"/>
      <c r="G293" s="132"/>
      <c r="H293" s="372"/>
      <c r="I293" s="372"/>
      <c r="J293" s="372"/>
      <c r="K293" s="2"/>
      <c r="L293" s="132"/>
      <c r="M293" s="132"/>
      <c r="N293" s="132"/>
      <c r="O293" s="132"/>
      <c r="P293" s="132"/>
      <c r="Q293" s="132"/>
      <c r="R293" s="132"/>
      <c r="S293" s="132"/>
      <c r="T293" s="132"/>
      <c r="U293" s="132"/>
      <c r="V293" s="132"/>
      <c r="W293" s="132"/>
      <c r="X293" s="132"/>
      <c r="Y293" s="132"/>
      <c r="Z293" s="132"/>
      <c r="AA293" s="132"/>
      <c r="AB293" s="132"/>
      <c r="AC293" s="132"/>
    </row>
    <row r="294">
      <c r="A294" s="132"/>
      <c r="B294" s="132"/>
      <c r="C294" s="132"/>
      <c r="D294" s="132"/>
      <c r="E294" s="132"/>
      <c r="F294" s="132"/>
      <c r="G294" s="132"/>
      <c r="H294" s="372"/>
      <c r="I294" s="372"/>
      <c r="J294" s="372"/>
      <c r="K294" s="2"/>
      <c r="L294" s="132"/>
      <c r="M294" s="132"/>
      <c r="N294" s="132"/>
      <c r="O294" s="132"/>
      <c r="P294" s="132"/>
      <c r="Q294" s="132"/>
      <c r="R294" s="132"/>
      <c r="S294" s="132"/>
      <c r="T294" s="132"/>
      <c r="U294" s="132"/>
      <c r="V294" s="132"/>
      <c r="W294" s="132"/>
      <c r="X294" s="132"/>
      <c r="Y294" s="132"/>
      <c r="Z294" s="132"/>
      <c r="AA294" s="132"/>
      <c r="AB294" s="132"/>
      <c r="AC294" s="132"/>
    </row>
    <row r="295">
      <c r="A295" s="132"/>
      <c r="B295" s="132"/>
      <c r="C295" s="132"/>
      <c r="D295" s="132"/>
      <c r="E295" s="132"/>
      <c r="F295" s="132"/>
      <c r="G295" s="132"/>
      <c r="H295" s="372"/>
      <c r="I295" s="372"/>
      <c r="J295" s="372"/>
      <c r="K295" s="2"/>
      <c r="L295" s="132"/>
      <c r="M295" s="132"/>
      <c r="N295" s="132"/>
      <c r="O295" s="132"/>
      <c r="P295" s="132"/>
      <c r="Q295" s="132"/>
      <c r="R295" s="132"/>
      <c r="S295" s="132"/>
      <c r="T295" s="132"/>
      <c r="U295" s="132"/>
      <c r="V295" s="132"/>
      <c r="W295" s="132"/>
      <c r="X295" s="132"/>
      <c r="Y295" s="132"/>
      <c r="Z295" s="132"/>
      <c r="AA295" s="132"/>
      <c r="AB295" s="132"/>
      <c r="AC295" s="132"/>
    </row>
    <row r="296">
      <c r="A296" s="132"/>
      <c r="B296" s="132"/>
      <c r="C296" s="132"/>
      <c r="D296" s="132"/>
      <c r="E296" s="132"/>
      <c r="F296" s="132"/>
      <c r="G296" s="132"/>
      <c r="H296" s="372"/>
      <c r="I296" s="372"/>
      <c r="J296" s="372"/>
      <c r="K296" s="2"/>
      <c r="L296" s="132"/>
      <c r="M296" s="132"/>
      <c r="N296" s="132"/>
      <c r="O296" s="132"/>
      <c r="P296" s="132"/>
      <c r="Q296" s="132"/>
      <c r="R296" s="132"/>
      <c r="S296" s="132"/>
      <c r="T296" s="132"/>
      <c r="U296" s="132"/>
      <c r="V296" s="132"/>
      <c r="W296" s="132"/>
      <c r="X296" s="132"/>
      <c r="Y296" s="132"/>
      <c r="Z296" s="132"/>
      <c r="AA296" s="132"/>
      <c r="AB296" s="132"/>
      <c r="AC296" s="132"/>
    </row>
    <row r="297">
      <c r="A297" s="132"/>
      <c r="B297" s="132"/>
      <c r="C297" s="132"/>
      <c r="D297" s="132"/>
      <c r="E297" s="132"/>
      <c r="F297" s="132"/>
      <c r="G297" s="132"/>
      <c r="H297" s="372"/>
      <c r="I297" s="372"/>
      <c r="J297" s="372"/>
      <c r="K297" s="2"/>
      <c r="L297" s="132"/>
      <c r="M297" s="132"/>
      <c r="N297" s="132"/>
      <c r="O297" s="132"/>
      <c r="P297" s="132"/>
      <c r="Q297" s="132"/>
      <c r="R297" s="132"/>
      <c r="S297" s="132"/>
      <c r="T297" s="132"/>
      <c r="U297" s="132"/>
      <c r="V297" s="132"/>
      <c r="W297" s="132"/>
      <c r="X297" s="132"/>
      <c r="Y297" s="132"/>
      <c r="Z297" s="132"/>
      <c r="AA297" s="132"/>
      <c r="AB297" s="132"/>
      <c r="AC297" s="132"/>
    </row>
    <row r="298">
      <c r="A298" s="132"/>
      <c r="B298" s="132"/>
      <c r="C298" s="132"/>
      <c r="D298" s="132"/>
      <c r="E298" s="132"/>
      <c r="F298" s="132"/>
      <c r="G298" s="132"/>
      <c r="H298" s="372"/>
      <c r="I298" s="372"/>
      <c r="J298" s="372"/>
      <c r="K298" s="2"/>
      <c r="L298" s="132"/>
      <c r="M298" s="132"/>
      <c r="N298" s="132"/>
      <c r="O298" s="132"/>
      <c r="P298" s="132"/>
      <c r="Q298" s="132"/>
      <c r="R298" s="132"/>
      <c r="S298" s="132"/>
      <c r="T298" s="132"/>
      <c r="U298" s="132"/>
      <c r="V298" s="132"/>
      <c r="W298" s="132"/>
      <c r="X298" s="132"/>
      <c r="Y298" s="132"/>
      <c r="Z298" s="132"/>
      <c r="AA298" s="132"/>
      <c r="AB298" s="132"/>
      <c r="AC298" s="132"/>
    </row>
    <row r="299">
      <c r="A299" s="132"/>
      <c r="B299" s="132"/>
      <c r="C299" s="132"/>
      <c r="D299" s="132"/>
      <c r="E299" s="132"/>
      <c r="F299" s="132"/>
      <c r="G299" s="132"/>
      <c r="H299" s="372"/>
      <c r="I299" s="372"/>
      <c r="J299" s="372"/>
      <c r="K299" s="2"/>
      <c r="L299" s="132"/>
      <c r="M299" s="132"/>
      <c r="N299" s="132"/>
      <c r="O299" s="132"/>
      <c r="P299" s="132"/>
      <c r="Q299" s="132"/>
      <c r="R299" s="132"/>
      <c r="S299" s="132"/>
      <c r="T299" s="132"/>
      <c r="U299" s="132"/>
      <c r="V299" s="132"/>
      <c r="W299" s="132"/>
      <c r="X299" s="132"/>
      <c r="Y299" s="132"/>
      <c r="Z299" s="132"/>
      <c r="AA299" s="132"/>
      <c r="AB299" s="132"/>
      <c r="AC299" s="132"/>
    </row>
    <row r="300">
      <c r="A300" s="132"/>
      <c r="B300" s="132"/>
      <c r="C300" s="132"/>
      <c r="D300" s="132"/>
      <c r="E300" s="132"/>
      <c r="F300" s="132"/>
      <c r="G300" s="132"/>
      <c r="H300" s="372"/>
      <c r="I300" s="372"/>
      <c r="J300" s="372"/>
      <c r="K300" s="2"/>
      <c r="L300" s="132"/>
      <c r="M300" s="132"/>
      <c r="N300" s="132"/>
      <c r="O300" s="132"/>
      <c r="P300" s="132"/>
      <c r="Q300" s="132"/>
      <c r="R300" s="132"/>
      <c r="S300" s="132"/>
      <c r="T300" s="132"/>
      <c r="U300" s="132"/>
      <c r="V300" s="132"/>
      <c r="W300" s="132"/>
      <c r="X300" s="132"/>
      <c r="Y300" s="132"/>
      <c r="Z300" s="132"/>
      <c r="AA300" s="132"/>
      <c r="AB300" s="132"/>
      <c r="AC300" s="132"/>
    </row>
    <row r="301">
      <c r="A301" s="132"/>
      <c r="B301" s="132"/>
      <c r="C301" s="132"/>
      <c r="D301" s="132"/>
      <c r="E301" s="132"/>
      <c r="F301" s="132"/>
      <c r="G301" s="132"/>
      <c r="H301" s="372"/>
      <c r="I301" s="372"/>
      <c r="J301" s="372"/>
      <c r="K301" s="2"/>
      <c r="L301" s="132"/>
      <c r="M301" s="132"/>
      <c r="N301" s="132"/>
      <c r="O301" s="132"/>
      <c r="P301" s="132"/>
      <c r="Q301" s="132"/>
      <c r="R301" s="132"/>
      <c r="S301" s="132"/>
      <c r="T301" s="132"/>
      <c r="U301" s="132"/>
      <c r="V301" s="132"/>
      <c r="W301" s="132"/>
      <c r="X301" s="132"/>
      <c r="Y301" s="132"/>
      <c r="Z301" s="132"/>
      <c r="AA301" s="132"/>
      <c r="AB301" s="132"/>
      <c r="AC301" s="132"/>
    </row>
    <row r="302">
      <c r="A302" s="132"/>
      <c r="B302" s="132"/>
      <c r="C302" s="132"/>
      <c r="D302" s="132"/>
      <c r="E302" s="132"/>
      <c r="F302" s="132"/>
      <c r="G302" s="132"/>
      <c r="H302" s="372"/>
      <c r="I302" s="372"/>
      <c r="J302" s="372"/>
      <c r="K302" s="2"/>
      <c r="L302" s="132"/>
      <c r="M302" s="132"/>
      <c r="N302" s="132"/>
      <c r="O302" s="132"/>
      <c r="P302" s="132"/>
      <c r="Q302" s="132"/>
      <c r="R302" s="132"/>
      <c r="S302" s="132"/>
      <c r="T302" s="132"/>
      <c r="U302" s="132"/>
      <c r="V302" s="132"/>
      <c r="W302" s="132"/>
      <c r="X302" s="132"/>
      <c r="Y302" s="132"/>
      <c r="Z302" s="132"/>
      <c r="AA302" s="132"/>
      <c r="AB302" s="132"/>
      <c r="AC302" s="132"/>
    </row>
    <row r="303">
      <c r="A303" s="132"/>
      <c r="B303" s="132"/>
      <c r="C303" s="132"/>
      <c r="D303" s="132"/>
      <c r="E303" s="132"/>
      <c r="F303" s="132"/>
      <c r="G303" s="132"/>
      <c r="H303" s="372"/>
      <c r="I303" s="372"/>
      <c r="J303" s="372"/>
      <c r="K303" s="2"/>
      <c r="L303" s="132"/>
      <c r="M303" s="132"/>
      <c r="N303" s="132"/>
      <c r="O303" s="132"/>
      <c r="P303" s="132"/>
      <c r="Q303" s="132"/>
      <c r="R303" s="132"/>
      <c r="S303" s="132"/>
      <c r="T303" s="132"/>
      <c r="U303" s="132"/>
      <c r="V303" s="132"/>
      <c r="W303" s="132"/>
      <c r="X303" s="132"/>
      <c r="Y303" s="132"/>
      <c r="Z303" s="132"/>
      <c r="AA303" s="132"/>
      <c r="AB303" s="132"/>
      <c r="AC303" s="132"/>
    </row>
    <row r="304">
      <c r="A304" s="132"/>
      <c r="B304" s="132"/>
      <c r="C304" s="132"/>
      <c r="D304" s="132"/>
      <c r="E304" s="132"/>
      <c r="F304" s="132"/>
      <c r="G304" s="132"/>
      <c r="H304" s="372"/>
      <c r="I304" s="372"/>
      <c r="J304" s="372"/>
      <c r="K304" s="2"/>
      <c r="L304" s="132"/>
      <c r="M304" s="132"/>
      <c r="N304" s="132"/>
      <c r="O304" s="132"/>
      <c r="P304" s="132"/>
      <c r="Q304" s="132"/>
      <c r="R304" s="132"/>
      <c r="S304" s="132"/>
      <c r="T304" s="132"/>
      <c r="U304" s="132"/>
      <c r="V304" s="132"/>
      <c r="W304" s="132"/>
      <c r="X304" s="132"/>
      <c r="Y304" s="132"/>
      <c r="Z304" s="132"/>
      <c r="AA304" s="132"/>
      <c r="AB304" s="132"/>
      <c r="AC304" s="132"/>
    </row>
    <row r="305">
      <c r="A305" s="132"/>
      <c r="B305" s="132"/>
      <c r="C305" s="132"/>
      <c r="D305" s="132"/>
      <c r="E305" s="132"/>
      <c r="F305" s="132"/>
      <c r="G305" s="132"/>
      <c r="H305" s="372"/>
      <c r="I305" s="372"/>
      <c r="J305" s="372"/>
      <c r="K305" s="2"/>
      <c r="L305" s="132"/>
      <c r="M305" s="132"/>
      <c r="N305" s="132"/>
      <c r="O305" s="132"/>
      <c r="P305" s="132"/>
      <c r="Q305" s="132"/>
      <c r="R305" s="132"/>
      <c r="S305" s="132"/>
      <c r="T305" s="132"/>
      <c r="U305" s="132"/>
      <c r="V305" s="132"/>
      <c r="W305" s="132"/>
      <c r="X305" s="132"/>
      <c r="Y305" s="132"/>
      <c r="Z305" s="132"/>
      <c r="AA305" s="132"/>
      <c r="AB305" s="132"/>
      <c r="AC305" s="132"/>
    </row>
    <row r="306">
      <c r="A306" s="132"/>
      <c r="B306" s="132"/>
      <c r="C306" s="132"/>
      <c r="D306" s="132"/>
      <c r="E306" s="132"/>
      <c r="F306" s="132"/>
      <c r="G306" s="132"/>
      <c r="H306" s="372"/>
      <c r="I306" s="372"/>
      <c r="J306" s="372"/>
      <c r="K306" s="2"/>
      <c r="L306" s="132"/>
      <c r="M306" s="132"/>
      <c r="N306" s="132"/>
      <c r="O306" s="132"/>
      <c r="P306" s="132"/>
      <c r="Q306" s="132"/>
      <c r="R306" s="132"/>
      <c r="S306" s="132"/>
      <c r="T306" s="132"/>
      <c r="U306" s="132"/>
      <c r="V306" s="132"/>
      <c r="W306" s="132"/>
      <c r="X306" s="132"/>
      <c r="Y306" s="132"/>
      <c r="Z306" s="132"/>
      <c r="AA306" s="132"/>
      <c r="AB306" s="132"/>
      <c r="AC306" s="132"/>
    </row>
    <row r="307">
      <c r="A307" s="132"/>
      <c r="B307" s="132"/>
      <c r="C307" s="132"/>
      <c r="D307" s="132"/>
      <c r="E307" s="132"/>
      <c r="F307" s="132"/>
      <c r="G307" s="132"/>
      <c r="H307" s="372"/>
      <c r="I307" s="372"/>
      <c r="J307" s="372"/>
      <c r="K307" s="2"/>
      <c r="L307" s="132"/>
      <c r="M307" s="132"/>
      <c r="N307" s="132"/>
      <c r="O307" s="132"/>
      <c r="P307" s="132"/>
      <c r="Q307" s="132"/>
      <c r="R307" s="132"/>
      <c r="S307" s="132"/>
      <c r="T307" s="132"/>
      <c r="U307" s="132"/>
      <c r="V307" s="132"/>
      <c r="W307" s="132"/>
      <c r="X307" s="132"/>
      <c r="Y307" s="132"/>
      <c r="Z307" s="132"/>
      <c r="AA307" s="132"/>
      <c r="AB307" s="132"/>
      <c r="AC307" s="132"/>
    </row>
    <row r="308">
      <c r="A308" s="132"/>
      <c r="B308" s="132"/>
      <c r="C308" s="132"/>
      <c r="D308" s="132"/>
      <c r="E308" s="132"/>
      <c r="F308" s="132"/>
      <c r="G308" s="132"/>
      <c r="H308" s="372"/>
      <c r="I308" s="372"/>
      <c r="J308" s="372"/>
      <c r="K308" s="2"/>
      <c r="L308" s="132"/>
      <c r="M308" s="132"/>
      <c r="N308" s="132"/>
      <c r="O308" s="132"/>
      <c r="P308" s="132"/>
      <c r="Q308" s="132"/>
      <c r="R308" s="132"/>
      <c r="S308" s="132"/>
      <c r="T308" s="132"/>
      <c r="U308" s="132"/>
      <c r="V308" s="132"/>
      <c r="W308" s="132"/>
      <c r="X308" s="132"/>
      <c r="Y308" s="132"/>
      <c r="Z308" s="132"/>
      <c r="AA308" s="132"/>
      <c r="AB308" s="132"/>
      <c r="AC308" s="132"/>
    </row>
    <row r="309">
      <c r="A309" s="132"/>
      <c r="B309" s="132"/>
      <c r="C309" s="132"/>
      <c r="D309" s="132"/>
      <c r="E309" s="132"/>
      <c r="F309" s="132"/>
      <c r="G309" s="132"/>
      <c r="H309" s="372"/>
      <c r="I309" s="372"/>
      <c r="J309" s="372"/>
      <c r="K309" s="2"/>
      <c r="L309" s="132"/>
      <c r="M309" s="132"/>
      <c r="N309" s="132"/>
      <c r="O309" s="132"/>
      <c r="P309" s="132"/>
      <c r="Q309" s="132"/>
      <c r="R309" s="132"/>
      <c r="S309" s="132"/>
      <c r="T309" s="132"/>
      <c r="U309" s="132"/>
      <c r="V309" s="132"/>
      <c r="W309" s="132"/>
      <c r="X309" s="132"/>
      <c r="Y309" s="132"/>
      <c r="Z309" s="132"/>
      <c r="AA309" s="132"/>
      <c r="AB309" s="132"/>
      <c r="AC309" s="132"/>
    </row>
    <row r="310">
      <c r="A310" s="132"/>
      <c r="B310" s="132"/>
      <c r="C310" s="132"/>
      <c r="D310" s="132"/>
      <c r="E310" s="132"/>
      <c r="F310" s="132"/>
      <c r="G310" s="132"/>
      <c r="H310" s="372"/>
      <c r="I310" s="372"/>
      <c r="J310" s="372"/>
      <c r="K310" s="2"/>
      <c r="L310" s="132"/>
      <c r="M310" s="132"/>
      <c r="N310" s="132"/>
      <c r="O310" s="132"/>
      <c r="P310" s="132"/>
      <c r="Q310" s="132"/>
      <c r="R310" s="132"/>
      <c r="S310" s="132"/>
      <c r="T310" s="132"/>
      <c r="U310" s="132"/>
      <c r="V310" s="132"/>
      <c r="W310" s="132"/>
      <c r="X310" s="132"/>
      <c r="Y310" s="132"/>
      <c r="Z310" s="132"/>
      <c r="AA310" s="132"/>
      <c r="AB310" s="132"/>
      <c r="AC310" s="132"/>
    </row>
    <row r="311">
      <c r="A311" s="132"/>
      <c r="B311" s="132"/>
      <c r="C311" s="132"/>
      <c r="D311" s="132"/>
      <c r="E311" s="132"/>
      <c r="F311" s="132"/>
      <c r="G311" s="132"/>
      <c r="H311" s="372"/>
      <c r="I311" s="372"/>
      <c r="J311" s="372"/>
      <c r="K311" s="2"/>
      <c r="L311" s="132"/>
      <c r="M311" s="132"/>
      <c r="N311" s="132"/>
      <c r="O311" s="132"/>
      <c r="P311" s="132"/>
      <c r="Q311" s="132"/>
      <c r="R311" s="132"/>
      <c r="S311" s="132"/>
      <c r="T311" s="132"/>
      <c r="U311" s="132"/>
      <c r="V311" s="132"/>
      <c r="W311" s="132"/>
      <c r="X311" s="132"/>
      <c r="Y311" s="132"/>
      <c r="Z311" s="132"/>
      <c r="AA311" s="132"/>
      <c r="AB311" s="132"/>
      <c r="AC311" s="132"/>
    </row>
    <row r="312">
      <c r="A312" s="132"/>
      <c r="B312" s="132"/>
      <c r="C312" s="132"/>
      <c r="D312" s="132"/>
      <c r="E312" s="132"/>
      <c r="F312" s="132"/>
      <c r="G312" s="132"/>
      <c r="H312" s="372"/>
      <c r="I312" s="372"/>
      <c r="J312" s="372"/>
      <c r="K312" s="2"/>
      <c r="L312" s="132"/>
      <c r="M312" s="132"/>
      <c r="N312" s="132"/>
      <c r="O312" s="132"/>
      <c r="P312" s="132"/>
      <c r="Q312" s="132"/>
      <c r="R312" s="132"/>
      <c r="S312" s="132"/>
      <c r="T312" s="132"/>
      <c r="U312" s="132"/>
      <c r="V312" s="132"/>
      <c r="W312" s="132"/>
      <c r="X312" s="132"/>
      <c r="Y312" s="132"/>
      <c r="Z312" s="132"/>
      <c r="AA312" s="132"/>
      <c r="AB312" s="132"/>
      <c r="AC312" s="132"/>
    </row>
    <row r="313">
      <c r="A313" s="132"/>
      <c r="B313" s="132"/>
      <c r="C313" s="132"/>
      <c r="D313" s="132"/>
      <c r="E313" s="132"/>
      <c r="F313" s="132"/>
      <c r="G313" s="132"/>
      <c r="H313" s="372"/>
      <c r="I313" s="372"/>
      <c r="J313" s="372"/>
      <c r="K313" s="2"/>
      <c r="L313" s="132"/>
      <c r="M313" s="132"/>
      <c r="N313" s="132"/>
      <c r="O313" s="132"/>
      <c r="P313" s="132"/>
      <c r="Q313" s="132"/>
      <c r="R313" s="132"/>
      <c r="S313" s="132"/>
      <c r="T313" s="132"/>
      <c r="U313" s="132"/>
      <c r="V313" s="132"/>
      <c r="W313" s="132"/>
      <c r="X313" s="132"/>
      <c r="Y313" s="132"/>
      <c r="Z313" s="132"/>
      <c r="AA313" s="132"/>
      <c r="AB313" s="132"/>
      <c r="AC313" s="132"/>
    </row>
    <row r="314">
      <c r="A314" s="132"/>
      <c r="B314" s="132"/>
      <c r="C314" s="132"/>
      <c r="D314" s="132"/>
      <c r="E314" s="132"/>
      <c r="F314" s="132"/>
      <c r="G314" s="132"/>
      <c r="H314" s="372"/>
      <c r="I314" s="372"/>
      <c r="J314" s="372"/>
      <c r="K314" s="2"/>
      <c r="L314" s="132"/>
      <c r="M314" s="132"/>
      <c r="N314" s="132"/>
      <c r="O314" s="132"/>
      <c r="P314" s="132"/>
      <c r="Q314" s="132"/>
      <c r="R314" s="132"/>
      <c r="S314" s="132"/>
      <c r="T314" s="132"/>
      <c r="U314" s="132"/>
      <c r="V314" s="132"/>
      <c r="W314" s="132"/>
      <c r="X314" s="132"/>
      <c r="Y314" s="132"/>
      <c r="Z314" s="132"/>
      <c r="AA314" s="132"/>
      <c r="AB314" s="132"/>
      <c r="AC314" s="132"/>
    </row>
    <row r="315">
      <c r="A315" s="132"/>
      <c r="B315" s="132"/>
      <c r="C315" s="132"/>
      <c r="D315" s="132"/>
      <c r="E315" s="132"/>
      <c r="F315" s="132"/>
      <c r="G315" s="132"/>
      <c r="H315" s="372"/>
      <c r="I315" s="372"/>
      <c r="J315" s="372"/>
      <c r="K315" s="2"/>
      <c r="L315" s="132"/>
      <c r="M315" s="132"/>
      <c r="N315" s="132"/>
      <c r="O315" s="132"/>
      <c r="P315" s="132"/>
      <c r="Q315" s="132"/>
      <c r="R315" s="132"/>
      <c r="S315" s="132"/>
      <c r="T315" s="132"/>
      <c r="U315" s="132"/>
      <c r="V315" s="132"/>
      <c r="W315" s="132"/>
      <c r="X315" s="132"/>
      <c r="Y315" s="132"/>
      <c r="Z315" s="132"/>
      <c r="AA315" s="132"/>
      <c r="AB315" s="132"/>
      <c r="AC315" s="132"/>
    </row>
    <row r="316">
      <c r="A316" s="132"/>
      <c r="B316" s="132"/>
      <c r="C316" s="132"/>
      <c r="D316" s="132"/>
      <c r="E316" s="132"/>
      <c r="F316" s="132"/>
      <c r="G316" s="132"/>
      <c r="H316" s="372"/>
      <c r="I316" s="372"/>
      <c r="J316" s="372"/>
      <c r="K316" s="2"/>
      <c r="L316" s="132"/>
      <c r="M316" s="132"/>
      <c r="N316" s="132"/>
      <c r="O316" s="132"/>
      <c r="P316" s="132"/>
      <c r="Q316" s="132"/>
      <c r="R316" s="132"/>
      <c r="S316" s="132"/>
      <c r="T316" s="132"/>
      <c r="U316" s="132"/>
      <c r="V316" s="132"/>
      <c r="W316" s="132"/>
      <c r="X316" s="132"/>
      <c r="Y316" s="132"/>
      <c r="Z316" s="132"/>
      <c r="AA316" s="132"/>
      <c r="AB316" s="132"/>
      <c r="AC316" s="132"/>
    </row>
    <row r="317">
      <c r="A317" s="132"/>
      <c r="B317" s="132"/>
      <c r="C317" s="132"/>
      <c r="D317" s="132"/>
      <c r="E317" s="132"/>
      <c r="F317" s="132"/>
      <c r="G317" s="132"/>
      <c r="H317" s="372"/>
      <c r="I317" s="372"/>
      <c r="J317" s="372"/>
      <c r="K317" s="2"/>
      <c r="L317" s="132"/>
      <c r="M317" s="132"/>
      <c r="N317" s="132"/>
      <c r="O317" s="132"/>
      <c r="P317" s="132"/>
      <c r="Q317" s="132"/>
      <c r="R317" s="132"/>
      <c r="S317" s="132"/>
      <c r="T317" s="132"/>
      <c r="U317" s="132"/>
      <c r="V317" s="132"/>
      <c r="W317" s="132"/>
      <c r="X317" s="132"/>
      <c r="Y317" s="132"/>
      <c r="Z317" s="132"/>
      <c r="AA317" s="132"/>
      <c r="AB317" s="132"/>
      <c r="AC317" s="132"/>
    </row>
    <row r="318">
      <c r="A318" s="132"/>
      <c r="B318" s="132"/>
      <c r="C318" s="132"/>
      <c r="D318" s="132"/>
      <c r="E318" s="132"/>
      <c r="F318" s="132"/>
      <c r="G318" s="132"/>
      <c r="H318" s="372"/>
      <c r="I318" s="372"/>
      <c r="J318" s="372"/>
      <c r="K318" s="2"/>
      <c r="L318" s="132"/>
      <c r="M318" s="132"/>
      <c r="N318" s="132"/>
      <c r="O318" s="132"/>
      <c r="P318" s="132"/>
      <c r="Q318" s="132"/>
      <c r="R318" s="132"/>
      <c r="S318" s="132"/>
      <c r="T318" s="132"/>
      <c r="U318" s="132"/>
      <c r="V318" s="132"/>
      <c r="W318" s="132"/>
      <c r="X318" s="132"/>
      <c r="Y318" s="132"/>
      <c r="Z318" s="132"/>
      <c r="AA318" s="132"/>
      <c r="AB318" s="132"/>
      <c r="AC318" s="132"/>
    </row>
    <row r="319">
      <c r="A319" s="132"/>
      <c r="B319" s="132"/>
      <c r="C319" s="132"/>
      <c r="D319" s="132"/>
      <c r="E319" s="132"/>
      <c r="F319" s="132"/>
      <c r="G319" s="132"/>
      <c r="H319" s="372"/>
      <c r="I319" s="372"/>
      <c r="J319" s="372"/>
      <c r="K319" s="2"/>
      <c r="L319" s="132"/>
      <c r="M319" s="132"/>
      <c r="N319" s="132"/>
      <c r="O319" s="132"/>
      <c r="P319" s="132"/>
      <c r="Q319" s="132"/>
      <c r="R319" s="132"/>
      <c r="S319" s="132"/>
      <c r="T319" s="132"/>
      <c r="U319" s="132"/>
      <c r="V319" s="132"/>
      <c r="W319" s="132"/>
      <c r="X319" s="132"/>
      <c r="Y319" s="132"/>
      <c r="Z319" s="132"/>
      <c r="AA319" s="132"/>
      <c r="AB319" s="132"/>
      <c r="AC319" s="132"/>
    </row>
    <row r="320">
      <c r="A320" s="132"/>
      <c r="B320" s="132"/>
      <c r="C320" s="132"/>
      <c r="D320" s="132"/>
      <c r="E320" s="132"/>
      <c r="F320" s="132"/>
      <c r="G320" s="132"/>
      <c r="H320" s="372"/>
      <c r="I320" s="372"/>
      <c r="J320" s="372"/>
      <c r="K320" s="2"/>
      <c r="L320" s="132"/>
      <c r="M320" s="132"/>
      <c r="N320" s="132"/>
      <c r="O320" s="132"/>
      <c r="P320" s="132"/>
      <c r="Q320" s="132"/>
      <c r="R320" s="132"/>
      <c r="S320" s="132"/>
      <c r="T320" s="132"/>
      <c r="U320" s="132"/>
      <c r="V320" s="132"/>
      <c r="W320" s="132"/>
      <c r="X320" s="132"/>
      <c r="Y320" s="132"/>
      <c r="Z320" s="132"/>
      <c r="AA320" s="132"/>
      <c r="AB320" s="132"/>
      <c r="AC320" s="132"/>
    </row>
    <row r="321">
      <c r="A321" s="132"/>
      <c r="B321" s="132"/>
      <c r="C321" s="132"/>
      <c r="D321" s="132"/>
      <c r="E321" s="132"/>
      <c r="F321" s="132"/>
      <c r="G321" s="132"/>
      <c r="H321" s="372"/>
      <c r="I321" s="372"/>
      <c r="J321" s="372"/>
      <c r="K321" s="2"/>
      <c r="L321" s="132"/>
      <c r="M321" s="132"/>
      <c r="N321" s="132"/>
      <c r="O321" s="132"/>
      <c r="P321" s="132"/>
      <c r="Q321" s="132"/>
      <c r="R321" s="132"/>
      <c r="S321" s="132"/>
      <c r="T321" s="132"/>
      <c r="U321" s="132"/>
      <c r="V321" s="132"/>
      <c r="W321" s="132"/>
      <c r="X321" s="132"/>
      <c r="Y321" s="132"/>
      <c r="Z321" s="132"/>
      <c r="AA321" s="132"/>
      <c r="AB321" s="132"/>
      <c r="AC321" s="132"/>
    </row>
    <row r="322">
      <c r="A322" s="132"/>
      <c r="B322" s="132"/>
      <c r="C322" s="132"/>
      <c r="D322" s="132"/>
      <c r="E322" s="132"/>
      <c r="F322" s="132"/>
      <c r="G322" s="132"/>
      <c r="H322" s="372"/>
      <c r="I322" s="372"/>
      <c r="J322" s="372"/>
      <c r="K322" s="2"/>
      <c r="L322" s="132"/>
      <c r="M322" s="132"/>
      <c r="N322" s="132"/>
      <c r="O322" s="132"/>
      <c r="P322" s="132"/>
      <c r="Q322" s="132"/>
      <c r="R322" s="132"/>
      <c r="S322" s="132"/>
      <c r="T322" s="132"/>
      <c r="U322" s="132"/>
      <c r="V322" s="132"/>
      <c r="W322" s="132"/>
      <c r="X322" s="132"/>
      <c r="Y322" s="132"/>
      <c r="Z322" s="132"/>
      <c r="AA322" s="132"/>
      <c r="AB322" s="132"/>
      <c r="AC322" s="132"/>
    </row>
    <row r="323">
      <c r="A323" s="132"/>
      <c r="B323" s="132"/>
      <c r="C323" s="132"/>
      <c r="D323" s="132"/>
      <c r="E323" s="132"/>
      <c r="F323" s="132"/>
      <c r="G323" s="132"/>
      <c r="H323" s="372"/>
      <c r="I323" s="372"/>
      <c r="J323" s="372"/>
      <c r="K323" s="2"/>
      <c r="L323" s="132"/>
      <c r="M323" s="132"/>
      <c r="N323" s="132"/>
      <c r="O323" s="132"/>
      <c r="P323" s="132"/>
      <c r="Q323" s="132"/>
      <c r="R323" s="132"/>
      <c r="S323" s="132"/>
      <c r="T323" s="132"/>
      <c r="U323" s="132"/>
      <c r="V323" s="132"/>
      <c r="W323" s="132"/>
      <c r="X323" s="132"/>
      <c r="Y323" s="132"/>
      <c r="Z323" s="132"/>
      <c r="AA323" s="132"/>
      <c r="AB323" s="132"/>
      <c r="AC323" s="132"/>
    </row>
    <row r="324">
      <c r="A324" s="132"/>
      <c r="B324" s="132"/>
      <c r="C324" s="132"/>
      <c r="D324" s="132"/>
      <c r="E324" s="132"/>
      <c r="F324" s="132"/>
      <c r="G324" s="132"/>
      <c r="H324" s="372"/>
      <c r="I324" s="372"/>
      <c r="J324" s="372"/>
      <c r="K324" s="2"/>
      <c r="L324" s="132"/>
      <c r="M324" s="132"/>
      <c r="N324" s="132"/>
      <c r="O324" s="132"/>
      <c r="P324" s="132"/>
      <c r="Q324" s="132"/>
      <c r="R324" s="132"/>
      <c r="S324" s="132"/>
      <c r="T324" s="132"/>
      <c r="U324" s="132"/>
      <c r="V324" s="132"/>
      <c r="W324" s="132"/>
      <c r="X324" s="132"/>
      <c r="Y324" s="132"/>
      <c r="Z324" s="132"/>
      <c r="AA324" s="132"/>
      <c r="AB324" s="132"/>
      <c r="AC324" s="132"/>
    </row>
    <row r="325">
      <c r="A325" s="132"/>
      <c r="B325" s="132"/>
      <c r="C325" s="132"/>
      <c r="D325" s="132"/>
      <c r="E325" s="132"/>
      <c r="F325" s="132"/>
      <c r="G325" s="132"/>
      <c r="H325" s="372"/>
      <c r="I325" s="372"/>
      <c r="J325" s="372"/>
      <c r="K325" s="2"/>
      <c r="L325" s="132"/>
      <c r="M325" s="132"/>
      <c r="N325" s="132"/>
      <c r="O325" s="132"/>
      <c r="P325" s="132"/>
      <c r="Q325" s="132"/>
      <c r="R325" s="132"/>
      <c r="S325" s="132"/>
      <c r="T325" s="132"/>
      <c r="U325" s="132"/>
      <c r="V325" s="132"/>
      <c r="W325" s="132"/>
      <c r="X325" s="132"/>
      <c r="Y325" s="132"/>
      <c r="Z325" s="132"/>
      <c r="AA325" s="132"/>
      <c r="AB325" s="132"/>
      <c r="AC325" s="132"/>
    </row>
    <row r="326">
      <c r="A326" s="132"/>
      <c r="B326" s="132"/>
      <c r="C326" s="132"/>
      <c r="D326" s="132"/>
      <c r="E326" s="132"/>
      <c r="F326" s="132"/>
      <c r="G326" s="132"/>
      <c r="H326" s="372"/>
      <c r="I326" s="372"/>
      <c r="J326" s="372"/>
      <c r="K326" s="2"/>
      <c r="L326" s="132"/>
      <c r="M326" s="132"/>
      <c r="N326" s="132"/>
      <c r="O326" s="132"/>
      <c r="P326" s="132"/>
      <c r="Q326" s="132"/>
      <c r="R326" s="132"/>
      <c r="S326" s="132"/>
      <c r="T326" s="132"/>
      <c r="U326" s="132"/>
      <c r="V326" s="132"/>
      <c r="W326" s="132"/>
      <c r="X326" s="132"/>
      <c r="Y326" s="132"/>
      <c r="Z326" s="132"/>
      <c r="AA326" s="132"/>
      <c r="AB326" s="132"/>
      <c r="AC326" s="132"/>
    </row>
    <row r="327">
      <c r="A327" s="132"/>
      <c r="B327" s="132"/>
      <c r="C327" s="132"/>
      <c r="D327" s="132"/>
      <c r="E327" s="132"/>
      <c r="F327" s="132"/>
      <c r="G327" s="132"/>
      <c r="H327" s="372"/>
      <c r="I327" s="372"/>
      <c r="J327" s="372"/>
      <c r="K327" s="2"/>
      <c r="L327" s="132"/>
      <c r="M327" s="132"/>
      <c r="N327" s="132"/>
      <c r="O327" s="132"/>
      <c r="P327" s="132"/>
      <c r="Q327" s="132"/>
      <c r="R327" s="132"/>
      <c r="S327" s="132"/>
      <c r="T327" s="132"/>
      <c r="U327" s="132"/>
      <c r="V327" s="132"/>
      <c r="W327" s="132"/>
      <c r="X327" s="132"/>
      <c r="Y327" s="132"/>
      <c r="Z327" s="132"/>
      <c r="AA327" s="132"/>
      <c r="AB327" s="132"/>
      <c r="AC327" s="132"/>
    </row>
    <row r="328">
      <c r="A328" s="132"/>
      <c r="B328" s="132"/>
      <c r="C328" s="132"/>
      <c r="D328" s="132"/>
      <c r="E328" s="132"/>
      <c r="F328" s="132"/>
      <c r="G328" s="132"/>
      <c r="H328" s="372"/>
      <c r="I328" s="372"/>
      <c r="J328" s="372"/>
      <c r="K328" s="2"/>
      <c r="L328" s="132"/>
      <c r="M328" s="132"/>
      <c r="N328" s="132"/>
      <c r="O328" s="132"/>
      <c r="P328" s="132"/>
      <c r="Q328" s="132"/>
      <c r="R328" s="132"/>
      <c r="S328" s="132"/>
      <c r="T328" s="132"/>
      <c r="U328" s="132"/>
      <c r="V328" s="132"/>
      <c r="W328" s="132"/>
      <c r="X328" s="132"/>
      <c r="Y328" s="132"/>
      <c r="Z328" s="132"/>
      <c r="AA328" s="132"/>
      <c r="AB328" s="132"/>
      <c r="AC328" s="132"/>
    </row>
    <row r="329">
      <c r="A329" s="132"/>
      <c r="B329" s="132"/>
      <c r="C329" s="132"/>
      <c r="D329" s="132"/>
      <c r="E329" s="132"/>
      <c r="F329" s="132"/>
      <c r="G329" s="132"/>
      <c r="H329" s="372"/>
      <c r="I329" s="372"/>
      <c r="J329" s="372"/>
      <c r="K329" s="2"/>
      <c r="L329" s="132"/>
      <c r="M329" s="132"/>
      <c r="N329" s="132"/>
      <c r="O329" s="132"/>
      <c r="P329" s="132"/>
      <c r="Q329" s="132"/>
      <c r="R329" s="132"/>
      <c r="S329" s="132"/>
      <c r="T329" s="132"/>
      <c r="U329" s="132"/>
      <c r="V329" s="132"/>
      <c r="W329" s="132"/>
      <c r="X329" s="132"/>
      <c r="Y329" s="132"/>
      <c r="Z329" s="132"/>
      <c r="AA329" s="132"/>
      <c r="AB329" s="132"/>
      <c r="AC329" s="132"/>
    </row>
    <row r="330">
      <c r="A330" s="132"/>
      <c r="B330" s="132"/>
      <c r="C330" s="132"/>
      <c r="D330" s="132"/>
      <c r="E330" s="132"/>
      <c r="F330" s="132"/>
      <c r="G330" s="132"/>
      <c r="H330" s="372"/>
      <c r="I330" s="372"/>
      <c r="J330" s="372"/>
      <c r="K330" s="2"/>
      <c r="L330" s="132"/>
      <c r="M330" s="132"/>
      <c r="N330" s="132"/>
      <c r="O330" s="132"/>
      <c r="P330" s="132"/>
      <c r="Q330" s="132"/>
      <c r="R330" s="132"/>
      <c r="S330" s="132"/>
      <c r="T330" s="132"/>
      <c r="U330" s="132"/>
      <c r="V330" s="132"/>
      <c r="W330" s="132"/>
      <c r="X330" s="132"/>
      <c r="Y330" s="132"/>
      <c r="Z330" s="132"/>
      <c r="AA330" s="132"/>
      <c r="AB330" s="132"/>
      <c r="AC330" s="132"/>
    </row>
    <row r="331">
      <c r="A331" s="132"/>
      <c r="B331" s="132"/>
      <c r="C331" s="132"/>
      <c r="D331" s="132"/>
      <c r="E331" s="132"/>
      <c r="F331" s="132"/>
      <c r="G331" s="132"/>
      <c r="H331" s="372"/>
      <c r="I331" s="372"/>
      <c r="J331" s="372"/>
      <c r="K331" s="2"/>
      <c r="L331" s="132"/>
      <c r="M331" s="132"/>
      <c r="N331" s="132"/>
      <c r="O331" s="132"/>
      <c r="P331" s="132"/>
      <c r="Q331" s="132"/>
      <c r="R331" s="132"/>
      <c r="S331" s="132"/>
      <c r="T331" s="132"/>
      <c r="U331" s="132"/>
      <c r="V331" s="132"/>
      <c r="W331" s="132"/>
      <c r="X331" s="132"/>
      <c r="Y331" s="132"/>
      <c r="Z331" s="132"/>
      <c r="AA331" s="132"/>
      <c r="AB331" s="132"/>
      <c r="AC331" s="132"/>
    </row>
    <row r="332">
      <c r="A332" s="132"/>
      <c r="B332" s="132"/>
      <c r="C332" s="132"/>
      <c r="D332" s="132"/>
      <c r="E332" s="132"/>
      <c r="F332" s="132"/>
      <c r="G332" s="132"/>
      <c r="H332" s="372"/>
      <c r="I332" s="372"/>
      <c r="J332" s="372"/>
      <c r="K332" s="2"/>
      <c r="L332" s="132"/>
      <c r="M332" s="132"/>
      <c r="N332" s="132"/>
      <c r="O332" s="132"/>
      <c r="P332" s="132"/>
      <c r="Q332" s="132"/>
      <c r="R332" s="132"/>
      <c r="S332" s="132"/>
      <c r="T332" s="132"/>
      <c r="U332" s="132"/>
      <c r="V332" s="132"/>
      <c r="W332" s="132"/>
      <c r="X332" s="132"/>
      <c r="Y332" s="132"/>
      <c r="Z332" s="132"/>
      <c r="AA332" s="132"/>
      <c r="AB332" s="132"/>
      <c r="AC332" s="132"/>
    </row>
    <row r="333">
      <c r="A333" s="132"/>
      <c r="B333" s="132"/>
      <c r="C333" s="132"/>
      <c r="D333" s="132"/>
      <c r="E333" s="132"/>
      <c r="F333" s="132"/>
      <c r="G333" s="132"/>
      <c r="H333" s="372"/>
      <c r="I333" s="372"/>
      <c r="J333" s="372"/>
      <c r="K333" s="2"/>
      <c r="L333" s="132"/>
      <c r="M333" s="132"/>
      <c r="N333" s="132"/>
      <c r="O333" s="132"/>
      <c r="P333" s="132"/>
      <c r="Q333" s="132"/>
      <c r="R333" s="132"/>
      <c r="S333" s="132"/>
      <c r="T333" s="132"/>
      <c r="U333" s="132"/>
      <c r="V333" s="132"/>
      <c r="W333" s="132"/>
      <c r="X333" s="132"/>
      <c r="Y333" s="132"/>
      <c r="Z333" s="132"/>
      <c r="AA333" s="132"/>
      <c r="AB333" s="132"/>
      <c r="AC333" s="132"/>
    </row>
    <row r="334">
      <c r="A334" s="132"/>
      <c r="B334" s="132"/>
      <c r="C334" s="132"/>
      <c r="D334" s="132"/>
      <c r="E334" s="132"/>
      <c r="F334" s="132"/>
      <c r="G334" s="132"/>
      <c r="H334" s="372"/>
      <c r="I334" s="372"/>
      <c r="J334" s="372"/>
      <c r="K334" s="2"/>
      <c r="L334" s="132"/>
      <c r="M334" s="132"/>
      <c r="N334" s="132"/>
      <c r="O334" s="132"/>
      <c r="P334" s="132"/>
      <c r="Q334" s="132"/>
      <c r="R334" s="132"/>
      <c r="S334" s="132"/>
      <c r="T334" s="132"/>
      <c r="U334" s="132"/>
      <c r="V334" s="132"/>
      <c r="W334" s="132"/>
      <c r="X334" s="132"/>
      <c r="Y334" s="132"/>
      <c r="Z334" s="132"/>
      <c r="AA334" s="132"/>
      <c r="AB334" s="132"/>
      <c r="AC334" s="132"/>
    </row>
    <row r="335">
      <c r="A335" s="132"/>
      <c r="B335" s="132"/>
      <c r="C335" s="132"/>
      <c r="D335" s="132"/>
      <c r="E335" s="132"/>
      <c r="F335" s="132"/>
      <c r="G335" s="132"/>
      <c r="H335" s="372"/>
      <c r="I335" s="372"/>
      <c r="J335" s="372"/>
      <c r="K335" s="2"/>
      <c r="L335" s="132"/>
      <c r="M335" s="132"/>
      <c r="N335" s="132"/>
      <c r="O335" s="132"/>
      <c r="P335" s="132"/>
      <c r="Q335" s="132"/>
      <c r="R335" s="132"/>
      <c r="S335" s="132"/>
      <c r="T335" s="132"/>
      <c r="U335" s="132"/>
      <c r="V335" s="132"/>
      <c r="W335" s="132"/>
      <c r="X335" s="132"/>
      <c r="Y335" s="132"/>
      <c r="Z335" s="132"/>
      <c r="AA335" s="132"/>
      <c r="AB335" s="132"/>
      <c r="AC335" s="132"/>
    </row>
    <row r="336">
      <c r="A336" s="132"/>
      <c r="B336" s="132"/>
      <c r="C336" s="132"/>
      <c r="D336" s="132"/>
      <c r="E336" s="132"/>
      <c r="F336" s="132"/>
      <c r="G336" s="132"/>
      <c r="H336" s="372"/>
      <c r="I336" s="372"/>
      <c r="J336" s="372"/>
      <c r="K336" s="2"/>
      <c r="L336" s="132"/>
      <c r="M336" s="132"/>
      <c r="N336" s="132"/>
      <c r="O336" s="132"/>
      <c r="P336" s="132"/>
      <c r="Q336" s="132"/>
      <c r="R336" s="132"/>
      <c r="S336" s="132"/>
      <c r="T336" s="132"/>
      <c r="U336" s="132"/>
      <c r="V336" s="132"/>
      <c r="W336" s="132"/>
      <c r="X336" s="132"/>
      <c r="Y336" s="132"/>
      <c r="Z336" s="132"/>
      <c r="AA336" s="132"/>
      <c r="AB336" s="132"/>
      <c r="AC336" s="132"/>
    </row>
    <row r="337">
      <c r="A337" s="132"/>
      <c r="B337" s="132"/>
      <c r="C337" s="132"/>
      <c r="D337" s="132"/>
      <c r="E337" s="132"/>
      <c r="F337" s="132"/>
      <c r="G337" s="132"/>
      <c r="H337" s="372"/>
      <c r="I337" s="372"/>
      <c r="J337" s="372"/>
      <c r="K337" s="2"/>
      <c r="L337" s="132"/>
      <c r="M337" s="132"/>
      <c r="N337" s="132"/>
      <c r="O337" s="132"/>
      <c r="P337" s="132"/>
      <c r="Q337" s="132"/>
      <c r="R337" s="132"/>
      <c r="S337" s="132"/>
      <c r="T337" s="132"/>
      <c r="U337" s="132"/>
      <c r="V337" s="132"/>
      <c r="W337" s="132"/>
      <c r="X337" s="132"/>
      <c r="Y337" s="132"/>
      <c r="Z337" s="132"/>
      <c r="AA337" s="132"/>
      <c r="AB337" s="132"/>
      <c r="AC337" s="132"/>
    </row>
    <row r="338">
      <c r="A338" s="132"/>
      <c r="B338" s="132"/>
      <c r="C338" s="132"/>
      <c r="D338" s="132"/>
      <c r="E338" s="132"/>
      <c r="F338" s="132"/>
      <c r="G338" s="132"/>
      <c r="H338" s="372"/>
      <c r="I338" s="372"/>
      <c r="J338" s="372"/>
      <c r="K338" s="2"/>
      <c r="L338" s="132"/>
      <c r="M338" s="132"/>
      <c r="N338" s="132"/>
      <c r="O338" s="132"/>
      <c r="P338" s="132"/>
      <c r="Q338" s="132"/>
      <c r="R338" s="132"/>
      <c r="S338" s="132"/>
      <c r="T338" s="132"/>
      <c r="U338" s="132"/>
      <c r="V338" s="132"/>
      <c r="W338" s="132"/>
      <c r="X338" s="132"/>
      <c r="Y338" s="132"/>
      <c r="Z338" s="132"/>
      <c r="AA338" s="132"/>
      <c r="AB338" s="132"/>
      <c r="AC338" s="132"/>
    </row>
    <row r="339">
      <c r="A339" s="132"/>
      <c r="B339" s="132"/>
      <c r="C339" s="132"/>
      <c r="D339" s="132"/>
      <c r="E339" s="132"/>
      <c r="F339" s="132"/>
      <c r="G339" s="132"/>
      <c r="H339" s="372"/>
      <c r="I339" s="372"/>
      <c r="J339" s="372"/>
      <c r="K339" s="2"/>
      <c r="L339" s="132"/>
      <c r="M339" s="132"/>
      <c r="N339" s="132"/>
      <c r="O339" s="132"/>
      <c r="P339" s="132"/>
      <c r="Q339" s="132"/>
      <c r="R339" s="132"/>
      <c r="S339" s="132"/>
      <c r="T339" s="132"/>
      <c r="U339" s="132"/>
      <c r="V339" s="132"/>
      <c r="W339" s="132"/>
      <c r="X339" s="132"/>
      <c r="Y339" s="132"/>
      <c r="Z339" s="132"/>
      <c r="AA339" s="132"/>
      <c r="AB339" s="132"/>
      <c r="AC339" s="132"/>
    </row>
    <row r="340">
      <c r="A340" s="132"/>
      <c r="B340" s="132"/>
      <c r="C340" s="132"/>
      <c r="D340" s="132"/>
      <c r="E340" s="132"/>
      <c r="F340" s="132"/>
      <c r="G340" s="132"/>
      <c r="H340" s="372"/>
      <c r="I340" s="372"/>
      <c r="J340" s="372"/>
      <c r="K340" s="2"/>
      <c r="L340" s="132"/>
      <c r="M340" s="132"/>
      <c r="N340" s="132"/>
      <c r="O340" s="132"/>
      <c r="P340" s="132"/>
      <c r="Q340" s="132"/>
      <c r="R340" s="132"/>
      <c r="S340" s="132"/>
      <c r="T340" s="132"/>
      <c r="U340" s="132"/>
      <c r="V340" s="132"/>
      <c r="W340" s="132"/>
      <c r="X340" s="132"/>
      <c r="Y340" s="132"/>
      <c r="Z340" s="132"/>
      <c r="AA340" s="132"/>
      <c r="AB340" s="132"/>
      <c r="AC340" s="132"/>
    </row>
    <row r="341">
      <c r="A341" s="132"/>
      <c r="B341" s="132"/>
      <c r="C341" s="132"/>
      <c r="D341" s="132"/>
      <c r="E341" s="132"/>
      <c r="F341" s="132"/>
      <c r="G341" s="132"/>
      <c r="H341" s="372"/>
      <c r="I341" s="372"/>
      <c r="J341" s="372"/>
      <c r="K341" s="2"/>
      <c r="L341" s="132"/>
      <c r="M341" s="132"/>
      <c r="N341" s="132"/>
      <c r="O341" s="132"/>
      <c r="P341" s="132"/>
      <c r="Q341" s="132"/>
      <c r="R341" s="132"/>
      <c r="S341" s="132"/>
      <c r="T341" s="132"/>
      <c r="U341" s="132"/>
      <c r="V341" s="132"/>
      <c r="W341" s="132"/>
      <c r="X341" s="132"/>
      <c r="Y341" s="132"/>
      <c r="Z341" s="132"/>
      <c r="AA341" s="132"/>
      <c r="AB341" s="132"/>
      <c r="AC341" s="132"/>
    </row>
    <row r="342">
      <c r="A342" s="132"/>
      <c r="B342" s="132"/>
      <c r="C342" s="132"/>
      <c r="D342" s="132"/>
      <c r="E342" s="132"/>
      <c r="F342" s="132"/>
      <c r="G342" s="132"/>
      <c r="H342" s="372"/>
      <c r="I342" s="372"/>
      <c r="J342" s="372"/>
      <c r="K342" s="2"/>
      <c r="L342" s="132"/>
      <c r="M342" s="132"/>
      <c r="N342" s="132"/>
      <c r="O342" s="132"/>
      <c r="P342" s="132"/>
      <c r="Q342" s="132"/>
      <c r="R342" s="132"/>
      <c r="S342" s="132"/>
      <c r="T342" s="132"/>
      <c r="U342" s="132"/>
      <c r="V342" s="132"/>
      <c r="W342" s="132"/>
      <c r="X342" s="132"/>
      <c r="Y342" s="132"/>
      <c r="Z342" s="132"/>
      <c r="AA342" s="132"/>
      <c r="AB342" s="132"/>
      <c r="AC342" s="132"/>
    </row>
    <row r="343">
      <c r="A343" s="132"/>
      <c r="B343" s="132"/>
      <c r="C343" s="132"/>
      <c r="D343" s="132"/>
      <c r="E343" s="132"/>
      <c r="F343" s="132"/>
      <c r="G343" s="132"/>
      <c r="H343" s="372"/>
      <c r="I343" s="372"/>
      <c r="J343" s="372"/>
      <c r="K343" s="2"/>
      <c r="L343" s="132"/>
      <c r="M343" s="132"/>
      <c r="N343" s="132"/>
      <c r="O343" s="132"/>
      <c r="P343" s="132"/>
      <c r="Q343" s="132"/>
      <c r="R343" s="132"/>
      <c r="S343" s="132"/>
      <c r="T343" s="132"/>
      <c r="U343" s="132"/>
      <c r="V343" s="132"/>
      <c r="W343" s="132"/>
      <c r="X343" s="132"/>
      <c r="Y343" s="132"/>
      <c r="Z343" s="132"/>
      <c r="AA343" s="132"/>
      <c r="AB343" s="132"/>
      <c r="AC343" s="132"/>
    </row>
    <row r="344">
      <c r="A344" s="132"/>
      <c r="B344" s="132"/>
      <c r="C344" s="132"/>
      <c r="D344" s="132"/>
      <c r="E344" s="132"/>
      <c r="F344" s="132"/>
      <c r="G344" s="132"/>
      <c r="H344" s="372"/>
      <c r="I344" s="372"/>
      <c r="J344" s="372"/>
      <c r="K344" s="2"/>
      <c r="L344" s="132"/>
      <c r="M344" s="132"/>
      <c r="N344" s="132"/>
      <c r="O344" s="132"/>
      <c r="P344" s="132"/>
      <c r="Q344" s="132"/>
      <c r="R344" s="132"/>
      <c r="S344" s="132"/>
      <c r="T344" s="132"/>
      <c r="U344" s="132"/>
      <c r="V344" s="132"/>
      <c r="W344" s="132"/>
      <c r="X344" s="132"/>
      <c r="Y344" s="132"/>
      <c r="Z344" s="132"/>
      <c r="AA344" s="132"/>
      <c r="AB344" s="132"/>
      <c r="AC344" s="132"/>
    </row>
    <row r="345">
      <c r="A345" s="132"/>
      <c r="B345" s="132"/>
      <c r="C345" s="132"/>
      <c r="D345" s="132"/>
      <c r="E345" s="132"/>
      <c r="F345" s="132"/>
      <c r="G345" s="132"/>
      <c r="H345" s="372"/>
      <c r="I345" s="372"/>
      <c r="J345" s="372"/>
      <c r="K345" s="2"/>
      <c r="L345" s="132"/>
      <c r="M345" s="132"/>
      <c r="N345" s="132"/>
      <c r="O345" s="132"/>
      <c r="P345" s="132"/>
      <c r="Q345" s="132"/>
      <c r="R345" s="132"/>
      <c r="S345" s="132"/>
      <c r="T345" s="132"/>
      <c r="U345" s="132"/>
      <c r="V345" s="132"/>
      <c r="W345" s="132"/>
      <c r="X345" s="132"/>
      <c r="Y345" s="132"/>
      <c r="Z345" s="132"/>
      <c r="AA345" s="132"/>
      <c r="AB345" s="132"/>
      <c r="AC345" s="132"/>
    </row>
    <row r="346">
      <c r="A346" s="132"/>
      <c r="B346" s="132"/>
      <c r="C346" s="132"/>
      <c r="D346" s="132"/>
      <c r="E346" s="132"/>
      <c r="F346" s="132"/>
      <c r="G346" s="132"/>
      <c r="H346" s="372"/>
      <c r="I346" s="372"/>
      <c r="J346" s="372"/>
      <c r="K346" s="2"/>
      <c r="L346" s="132"/>
      <c r="M346" s="132"/>
      <c r="N346" s="132"/>
      <c r="O346" s="132"/>
      <c r="P346" s="132"/>
      <c r="Q346" s="132"/>
      <c r="R346" s="132"/>
      <c r="S346" s="132"/>
      <c r="T346" s="132"/>
      <c r="U346" s="132"/>
      <c r="V346" s="132"/>
      <c r="W346" s="132"/>
      <c r="X346" s="132"/>
      <c r="Y346" s="132"/>
      <c r="Z346" s="132"/>
      <c r="AA346" s="132"/>
      <c r="AB346" s="132"/>
      <c r="AC346" s="132"/>
    </row>
    <row r="347">
      <c r="A347" s="132"/>
      <c r="B347" s="132"/>
      <c r="C347" s="132"/>
      <c r="D347" s="132"/>
      <c r="E347" s="132"/>
      <c r="F347" s="132"/>
      <c r="G347" s="132"/>
      <c r="H347" s="372"/>
      <c r="I347" s="372"/>
      <c r="J347" s="372"/>
      <c r="K347" s="2"/>
      <c r="L347" s="132"/>
      <c r="M347" s="132"/>
      <c r="N347" s="132"/>
      <c r="O347" s="132"/>
      <c r="P347" s="132"/>
      <c r="Q347" s="132"/>
      <c r="R347" s="132"/>
      <c r="S347" s="132"/>
      <c r="T347" s="132"/>
      <c r="U347" s="132"/>
      <c r="V347" s="132"/>
      <c r="W347" s="132"/>
      <c r="X347" s="132"/>
      <c r="Y347" s="132"/>
      <c r="Z347" s="132"/>
      <c r="AA347" s="132"/>
      <c r="AB347" s="132"/>
      <c r="AC347" s="132"/>
    </row>
    <row r="348">
      <c r="A348" s="132"/>
      <c r="B348" s="132"/>
      <c r="C348" s="132"/>
      <c r="D348" s="132"/>
      <c r="E348" s="132"/>
      <c r="F348" s="132"/>
      <c r="G348" s="132"/>
      <c r="H348" s="372"/>
      <c r="I348" s="372"/>
      <c r="J348" s="372"/>
      <c r="K348" s="2"/>
      <c r="L348" s="132"/>
      <c r="M348" s="132"/>
      <c r="N348" s="132"/>
      <c r="O348" s="132"/>
      <c r="P348" s="132"/>
      <c r="Q348" s="132"/>
      <c r="R348" s="132"/>
      <c r="S348" s="132"/>
      <c r="T348" s="132"/>
      <c r="U348" s="132"/>
      <c r="V348" s="132"/>
      <c r="W348" s="132"/>
      <c r="X348" s="132"/>
      <c r="Y348" s="132"/>
      <c r="Z348" s="132"/>
      <c r="AA348" s="132"/>
      <c r="AB348" s="132"/>
      <c r="AC348" s="132"/>
    </row>
    <row r="349">
      <c r="A349" s="132"/>
      <c r="B349" s="132"/>
      <c r="C349" s="132"/>
      <c r="D349" s="132"/>
      <c r="E349" s="132"/>
      <c r="F349" s="132"/>
      <c r="G349" s="132"/>
      <c r="H349" s="372"/>
      <c r="I349" s="372"/>
      <c r="J349" s="372"/>
      <c r="K349" s="2"/>
      <c r="L349" s="132"/>
      <c r="M349" s="132"/>
      <c r="N349" s="132"/>
      <c r="O349" s="132"/>
      <c r="P349" s="132"/>
      <c r="Q349" s="132"/>
      <c r="R349" s="132"/>
      <c r="S349" s="132"/>
      <c r="T349" s="132"/>
      <c r="U349" s="132"/>
      <c r="V349" s="132"/>
      <c r="W349" s="132"/>
      <c r="X349" s="132"/>
      <c r="Y349" s="132"/>
      <c r="Z349" s="132"/>
      <c r="AA349" s="132"/>
      <c r="AB349" s="132"/>
      <c r="AC349" s="132"/>
    </row>
    <row r="350">
      <c r="A350" s="132"/>
      <c r="B350" s="132"/>
      <c r="C350" s="132"/>
      <c r="D350" s="132"/>
      <c r="E350" s="132"/>
      <c r="F350" s="132"/>
      <c r="G350" s="132"/>
      <c r="H350" s="372"/>
      <c r="I350" s="372"/>
      <c r="J350" s="372"/>
      <c r="K350" s="2"/>
      <c r="L350" s="132"/>
      <c r="M350" s="132"/>
      <c r="N350" s="132"/>
      <c r="O350" s="132"/>
      <c r="P350" s="132"/>
      <c r="Q350" s="132"/>
      <c r="R350" s="132"/>
      <c r="S350" s="132"/>
      <c r="T350" s="132"/>
      <c r="U350" s="132"/>
      <c r="V350" s="132"/>
      <c r="W350" s="132"/>
      <c r="X350" s="132"/>
      <c r="Y350" s="132"/>
      <c r="Z350" s="132"/>
      <c r="AA350" s="132"/>
      <c r="AB350" s="132"/>
      <c r="AC350" s="132"/>
    </row>
    <row r="351">
      <c r="A351" s="132"/>
      <c r="B351" s="132"/>
      <c r="C351" s="132"/>
      <c r="D351" s="132"/>
      <c r="E351" s="132"/>
      <c r="F351" s="132"/>
      <c r="G351" s="132"/>
      <c r="H351" s="372"/>
      <c r="I351" s="372"/>
      <c r="J351" s="372"/>
      <c r="K351" s="2"/>
      <c r="L351" s="132"/>
      <c r="M351" s="132"/>
      <c r="N351" s="132"/>
      <c r="O351" s="132"/>
      <c r="P351" s="132"/>
      <c r="Q351" s="132"/>
      <c r="R351" s="132"/>
      <c r="S351" s="132"/>
      <c r="T351" s="132"/>
      <c r="U351" s="132"/>
      <c r="V351" s="132"/>
      <c r="W351" s="132"/>
      <c r="X351" s="132"/>
      <c r="Y351" s="132"/>
      <c r="Z351" s="132"/>
      <c r="AA351" s="132"/>
      <c r="AB351" s="132"/>
      <c r="AC351" s="132"/>
    </row>
    <row r="352">
      <c r="A352" s="132"/>
      <c r="B352" s="132"/>
      <c r="C352" s="132"/>
      <c r="D352" s="132"/>
      <c r="E352" s="132"/>
      <c r="F352" s="132"/>
      <c r="G352" s="132"/>
      <c r="H352" s="372"/>
      <c r="I352" s="372"/>
      <c r="J352" s="372"/>
      <c r="K352" s="2"/>
      <c r="L352" s="132"/>
      <c r="M352" s="132"/>
      <c r="N352" s="132"/>
      <c r="O352" s="132"/>
      <c r="P352" s="132"/>
      <c r="Q352" s="132"/>
      <c r="R352" s="132"/>
      <c r="S352" s="132"/>
      <c r="T352" s="132"/>
      <c r="U352" s="132"/>
      <c r="V352" s="132"/>
      <c r="W352" s="132"/>
      <c r="X352" s="132"/>
      <c r="Y352" s="132"/>
      <c r="Z352" s="132"/>
      <c r="AA352" s="132"/>
      <c r="AB352" s="132"/>
      <c r="AC352" s="132"/>
    </row>
    <row r="353">
      <c r="A353" s="132"/>
      <c r="B353" s="132"/>
      <c r="C353" s="132"/>
      <c r="D353" s="132"/>
      <c r="E353" s="132"/>
      <c r="F353" s="132"/>
      <c r="G353" s="132"/>
      <c r="H353" s="372"/>
      <c r="I353" s="372"/>
      <c r="J353" s="372"/>
      <c r="K353" s="2"/>
      <c r="L353" s="132"/>
      <c r="M353" s="132"/>
      <c r="N353" s="132"/>
      <c r="O353" s="132"/>
      <c r="P353" s="132"/>
      <c r="Q353" s="132"/>
      <c r="R353" s="132"/>
      <c r="S353" s="132"/>
      <c r="T353" s="132"/>
      <c r="U353" s="132"/>
      <c r="V353" s="132"/>
      <c r="W353" s="132"/>
      <c r="X353" s="132"/>
      <c r="Y353" s="132"/>
      <c r="Z353" s="132"/>
      <c r="AA353" s="132"/>
      <c r="AB353" s="132"/>
      <c r="AC353" s="132"/>
    </row>
    <row r="354">
      <c r="A354" s="132"/>
      <c r="B354" s="132"/>
      <c r="C354" s="132"/>
      <c r="D354" s="132"/>
      <c r="E354" s="132"/>
      <c r="F354" s="132"/>
      <c r="G354" s="132"/>
      <c r="H354" s="372"/>
      <c r="I354" s="372"/>
      <c r="J354" s="372"/>
      <c r="K354" s="2"/>
      <c r="L354" s="132"/>
      <c r="M354" s="132"/>
      <c r="N354" s="132"/>
      <c r="O354" s="132"/>
      <c r="P354" s="132"/>
      <c r="Q354" s="132"/>
      <c r="R354" s="132"/>
      <c r="S354" s="132"/>
      <c r="T354" s="132"/>
      <c r="U354" s="132"/>
      <c r="V354" s="132"/>
      <c r="W354" s="132"/>
      <c r="X354" s="132"/>
      <c r="Y354" s="132"/>
      <c r="Z354" s="132"/>
      <c r="AA354" s="132"/>
      <c r="AB354" s="132"/>
      <c r="AC354" s="132"/>
    </row>
    <row r="355">
      <c r="A355" s="132"/>
      <c r="B355" s="132"/>
      <c r="C355" s="132"/>
      <c r="D355" s="132"/>
      <c r="E355" s="132"/>
      <c r="F355" s="132"/>
      <c r="G355" s="132"/>
      <c r="H355" s="372"/>
      <c r="I355" s="372"/>
      <c r="J355" s="372"/>
      <c r="K355" s="2"/>
      <c r="L355" s="132"/>
      <c r="M355" s="132"/>
      <c r="N355" s="132"/>
      <c r="O355" s="132"/>
      <c r="P355" s="132"/>
      <c r="Q355" s="132"/>
      <c r="R355" s="132"/>
      <c r="S355" s="132"/>
      <c r="T355" s="132"/>
      <c r="U355" s="132"/>
      <c r="V355" s="132"/>
      <c r="W355" s="132"/>
      <c r="X355" s="132"/>
      <c r="Y355" s="132"/>
      <c r="Z355" s="132"/>
      <c r="AA355" s="132"/>
      <c r="AB355" s="132"/>
      <c r="AC355" s="132"/>
    </row>
    <row r="356">
      <c r="A356" s="132"/>
      <c r="B356" s="132"/>
      <c r="C356" s="132"/>
      <c r="D356" s="132"/>
      <c r="E356" s="132"/>
      <c r="F356" s="132"/>
      <c r="G356" s="132"/>
      <c r="H356" s="372"/>
      <c r="I356" s="372"/>
      <c r="J356" s="372"/>
      <c r="K356" s="2"/>
      <c r="L356" s="132"/>
      <c r="M356" s="132"/>
      <c r="N356" s="132"/>
      <c r="O356" s="132"/>
      <c r="P356" s="132"/>
      <c r="Q356" s="132"/>
      <c r="R356" s="132"/>
      <c r="S356" s="132"/>
      <c r="T356" s="132"/>
      <c r="U356" s="132"/>
      <c r="V356" s="132"/>
      <c r="W356" s="132"/>
      <c r="X356" s="132"/>
      <c r="Y356" s="132"/>
      <c r="Z356" s="132"/>
      <c r="AA356" s="132"/>
      <c r="AB356" s="132"/>
      <c r="AC356" s="132"/>
    </row>
    <row r="357">
      <c r="A357" s="132"/>
      <c r="B357" s="132"/>
      <c r="C357" s="132"/>
      <c r="D357" s="132"/>
      <c r="E357" s="132"/>
      <c r="F357" s="132"/>
      <c r="G357" s="132"/>
      <c r="H357" s="372"/>
      <c r="I357" s="372"/>
      <c r="J357" s="372"/>
      <c r="K357" s="2"/>
      <c r="L357" s="132"/>
      <c r="M357" s="132"/>
      <c r="N357" s="132"/>
      <c r="O357" s="132"/>
      <c r="P357" s="132"/>
      <c r="Q357" s="132"/>
      <c r="R357" s="132"/>
      <c r="S357" s="132"/>
      <c r="T357" s="132"/>
      <c r="U357" s="132"/>
      <c r="V357" s="132"/>
      <c r="W357" s="132"/>
      <c r="X357" s="132"/>
      <c r="Y357" s="132"/>
      <c r="Z357" s="132"/>
      <c r="AA357" s="132"/>
      <c r="AB357" s="132"/>
      <c r="AC357" s="132"/>
    </row>
    <row r="358">
      <c r="A358" s="132"/>
      <c r="B358" s="132"/>
      <c r="C358" s="132"/>
      <c r="D358" s="132"/>
      <c r="E358" s="132"/>
      <c r="F358" s="132"/>
      <c r="G358" s="132"/>
      <c r="H358" s="372"/>
      <c r="I358" s="372"/>
      <c r="J358" s="372"/>
      <c r="K358" s="2"/>
      <c r="L358" s="132"/>
      <c r="M358" s="132"/>
      <c r="N358" s="132"/>
      <c r="O358" s="132"/>
      <c r="P358" s="132"/>
      <c r="Q358" s="132"/>
      <c r="R358" s="132"/>
      <c r="S358" s="132"/>
      <c r="T358" s="132"/>
      <c r="U358" s="132"/>
      <c r="V358" s="132"/>
      <c r="W358" s="132"/>
      <c r="X358" s="132"/>
      <c r="Y358" s="132"/>
      <c r="Z358" s="132"/>
      <c r="AA358" s="132"/>
      <c r="AB358" s="132"/>
      <c r="AC358" s="132"/>
    </row>
    <row r="359">
      <c r="A359" s="132"/>
      <c r="B359" s="132"/>
      <c r="C359" s="132"/>
      <c r="D359" s="132"/>
      <c r="E359" s="132"/>
      <c r="F359" s="132"/>
      <c r="G359" s="132"/>
      <c r="H359" s="372"/>
      <c r="I359" s="372"/>
      <c r="J359" s="372"/>
      <c r="K359" s="2"/>
      <c r="L359" s="132"/>
      <c r="M359" s="132"/>
      <c r="N359" s="132"/>
      <c r="O359" s="132"/>
      <c r="P359" s="132"/>
      <c r="Q359" s="132"/>
      <c r="R359" s="132"/>
      <c r="S359" s="132"/>
      <c r="T359" s="132"/>
      <c r="U359" s="132"/>
      <c r="V359" s="132"/>
      <c r="W359" s="132"/>
      <c r="X359" s="132"/>
      <c r="Y359" s="132"/>
      <c r="Z359" s="132"/>
      <c r="AA359" s="132"/>
      <c r="AB359" s="132"/>
      <c r="AC359" s="132"/>
    </row>
    <row r="360">
      <c r="A360" s="132"/>
      <c r="B360" s="132"/>
      <c r="C360" s="132"/>
      <c r="D360" s="132"/>
      <c r="E360" s="132"/>
      <c r="F360" s="132"/>
      <c r="G360" s="132"/>
      <c r="H360" s="372"/>
      <c r="I360" s="372"/>
      <c r="J360" s="372"/>
      <c r="K360" s="2"/>
      <c r="L360" s="132"/>
      <c r="M360" s="132"/>
      <c r="N360" s="132"/>
      <c r="O360" s="132"/>
      <c r="P360" s="132"/>
      <c r="Q360" s="132"/>
      <c r="R360" s="132"/>
      <c r="S360" s="132"/>
      <c r="T360" s="132"/>
      <c r="U360" s="132"/>
      <c r="V360" s="132"/>
      <c r="W360" s="132"/>
      <c r="X360" s="132"/>
      <c r="Y360" s="132"/>
      <c r="Z360" s="132"/>
      <c r="AA360" s="132"/>
      <c r="AB360" s="132"/>
      <c r="AC360" s="132"/>
    </row>
    <row r="361">
      <c r="A361" s="132"/>
      <c r="B361" s="132"/>
      <c r="C361" s="132"/>
      <c r="D361" s="132"/>
      <c r="E361" s="132"/>
      <c r="F361" s="132"/>
      <c r="G361" s="132"/>
      <c r="H361" s="372"/>
      <c r="I361" s="372"/>
      <c r="J361" s="372"/>
      <c r="K361" s="2"/>
      <c r="L361" s="132"/>
      <c r="M361" s="132"/>
      <c r="N361" s="132"/>
      <c r="O361" s="132"/>
      <c r="P361" s="132"/>
      <c r="Q361" s="132"/>
      <c r="R361" s="132"/>
      <c r="S361" s="132"/>
      <c r="T361" s="132"/>
      <c r="U361" s="132"/>
      <c r="V361" s="132"/>
      <c r="W361" s="132"/>
      <c r="X361" s="132"/>
      <c r="Y361" s="132"/>
      <c r="Z361" s="132"/>
      <c r="AA361" s="132"/>
      <c r="AB361" s="132"/>
      <c r="AC361" s="132"/>
    </row>
    <row r="362">
      <c r="A362" s="132"/>
      <c r="B362" s="132"/>
      <c r="C362" s="132"/>
      <c r="D362" s="132"/>
      <c r="E362" s="132"/>
      <c r="F362" s="132"/>
      <c r="G362" s="132"/>
      <c r="H362" s="372"/>
      <c r="I362" s="372"/>
      <c r="J362" s="372"/>
      <c r="K362" s="2"/>
      <c r="L362" s="132"/>
      <c r="M362" s="132"/>
      <c r="N362" s="132"/>
      <c r="O362" s="132"/>
      <c r="P362" s="132"/>
      <c r="Q362" s="132"/>
      <c r="R362" s="132"/>
      <c r="S362" s="132"/>
      <c r="T362" s="132"/>
      <c r="U362" s="132"/>
      <c r="V362" s="132"/>
      <c r="W362" s="132"/>
      <c r="X362" s="132"/>
      <c r="Y362" s="132"/>
      <c r="Z362" s="132"/>
      <c r="AA362" s="132"/>
      <c r="AB362" s="132"/>
      <c r="AC362" s="132"/>
    </row>
    <row r="363">
      <c r="A363" s="132"/>
      <c r="B363" s="132"/>
      <c r="C363" s="132"/>
      <c r="D363" s="132"/>
      <c r="E363" s="132"/>
      <c r="F363" s="132"/>
      <c r="G363" s="132"/>
      <c r="H363" s="372"/>
      <c r="I363" s="372"/>
      <c r="J363" s="372"/>
      <c r="K363" s="2"/>
      <c r="L363" s="132"/>
      <c r="M363" s="132"/>
      <c r="N363" s="132"/>
      <c r="O363" s="132"/>
      <c r="P363" s="132"/>
      <c r="Q363" s="132"/>
      <c r="R363" s="132"/>
      <c r="S363" s="132"/>
      <c r="T363" s="132"/>
      <c r="U363" s="132"/>
      <c r="V363" s="132"/>
      <c r="W363" s="132"/>
      <c r="X363" s="132"/>
      <c r="Y363" s="132"/>
      <c r="Z363" s="132"/>
      <c r="AA363" s="132"/>
      <c r="AB363" s="132"/>
      <c r="AC363" s="132"/>
    </row>
    <row r="364">
      <c r="A364" s="132"/>
      <c r="B364" s="132"/>
      <c r="C364" s="132"/>
      <c r="D364" s="132"/>
      <c r="E364" s="132"/>
      <c r="F364" s="132"/>
      <c r="G364" s="132"/>
      <c r="H364" s="372"/>
      <c r="I364" s="372"/>
      <c r="J364" s="372"/>
      <c r="K364" s="2"/>
      <c r="L364" s="132"/>
      <c r="M364" s="132"/>
      <c r="N364" s="132"/>
      <c r="O364" s="132"/>
      <c r="P364" s="132"/>
      <c r="Q364" s="132"/>
      <c r="R364" s="132"/>
      <c r="S364" s="132"/>
      <c r="T364" s="132"/>
      <c r="U364" s="132"/>
      <c r="V364" s="132"/>
      <c r="W364" s="132"/>
      <c r="X364" s="132"/>
      <c r="Y364" s="132"/>
      <c r="Z364" s="132"/>
      <c r="AA364" s="132"/>
      <c r="AB364" s="132"/>
      <c r="AC364" s="132"/>
    </row>
    <row r="365">
      <c r="A365" s="132"/>
      <c r="B365" s="132"/>
      <c r="C365" s="132"/>
      <c r="D365" s="132"/>
      <c r="E365" s="132"/>
      <c r="F365" s="132"/>
      <c r="G365" s="132"/>
      <c r="H365" s="372"/>
      <c r="I365" s="372"/>
      <c r="J365" s="372"/>
      <c r="K365" s="2"/>
      <c r="L365" s="132"/>
      <c r="M365" s="132"/>
      <c r="N365" s="132"/>
      <c r="O365" s="132"/>
      <c r="P365" s="132"/>
      <c r="Q365" s="132"/>
      <c r="R365" s="132"/>
      <c r="S365" s="132"/>
      <c r="T365" s="132"/>
      <c r="U365" s="132"/>
      <c r="V365" s="132"/>
      <c r="W365" s="132"/>
      <c r="X365" s="132"/>
      <c r="Y365" s="132"/>
      <c r="Z365" s="132"/>
      <c r="AA365" s="132"/>
      <c r="AB365" s="132"/>
      <c r="AC365" s="132"/>
    </row>
    <row r="366">
      <c r="A366" s="132"/>
      <c r="B366" s="132"/>
      <c r="C366" s="132"/>
      <c r="D366" s="132"/>
      <c r="E366" s="132"/>
      <c r="F366" s="132"/>
      <c r="G366" s="132"/>
      <c r="H366" s="372"/>
      <c r="I366" s="372"/>
      <c r="J366" s="372"/>
      <c r="K366" s="2"/>
      <c r="L366" s="132"/>
      <c r="M366" s="132"/>
      <c r="N366" s="132"/>
      <c r="O366" s="132"/>
      <c r="P366" s="132"/>
      <c r="Q366" s="132"/>
      <c r="R366" s="132"/>
      <c r="S366" s="132"/>
      <c r="T366" s="132"/>
      <c r="U366" s="132"/>
      <c r="V366" s="132"/>
      <c r="W366" s="132"/>
      <c r="X366" s="132"/>
      <c r="Y366" s="132"/>
      <c r="Z366" s="132"/>
      <c r="AA366" s="132"/>
      <c r="AB366" s="132"/>
      <c r="AC366" s="132"/>
    </row>
    <row r="367">
      <c r="A367" s="132"/>
      <c r="B367" s="132"/>
      <c r="C367" s="132"/>
      <c r="D367" s="132"/>
      <c r="E367" s="132"/>
      <c r="F367" s="132"/>
      <c r="G367" s="132"/>
      <c r="H367" s="372"/>
      <c r="I367" s="372"/>
      <c r="J367" s="372"/>
      <c r="K367" s="2"/>
      <c r="L367" s="132"/>
      <c r="M367" s="132"/>
      <c r="N367" s="132"/>
      <c r="O367" s="132"/>
      <c r="P367" s="132"/>
      <c r="Q367" s="132"/>
      <c r="R367" s="132"/>
      <c r="S367" s="132"/>
      <c r="T367" s="132"/>
      <c r="U367" s="132"/>
      <c r="V367" s="132"/>
      <c r="W367" s="132"/>
      <c r="X367" s="132"/>
      <c r="Y367" s="132"/>
      <c r="Z367" s="132"/>
      <c r="AA367" s="132"/>
      <c r="AB367" s="132"/>
      <c r="AC367" s="132"/>
    </row>
    <row r="368">
      <c r="A368" s="132"/>
      <c r="B368" s="132"/>
      <c r="C368" s="132"/>
      <c r="D368" s="132"/>
      <c r="E368" s="132"/>
      <c r="F368" s="132"/>
      <c r="G368" s="132"/>
      <c r="H368" s="372"/>
      <c r="I368" s="372"/>
      <c r="J368" s="372"/>
      <c r="K368" s="2"/>
      <c r="L368" s="132"/>
      <c r="M368" s="132"/>
      <c r="N368" s="132"/>
      <c r="O368" s="132"/>
      <c r="P368" s="132"/>
      <c r="Q368" s="132"/>
      <c r="R368" s="132"/>
      <c r="S368" s="132"/>
      <c r="T368" s="132"/>
      <c r="U368" s="132"/>
      <c r="V368" s="132"/>
      <c r="W368" s="132"/>
      <c r="X368" s="132"/>
      <c r="Y368" s="132"/>
      <c r="Z368" s="132"/>
      <c r="AA368" s="132"/>
      <c r="AB368" s="132"/>
      <c r="AC368" s="132"/>
    </row>
    <row r="369">
      <c r="A369" s="132"/>
      <c r="B369" s="132"/>
      <c r="C369" s="132"/>
      <c r="D369" s="132"/>
      <c r="E369" s="132"/>
      <c r="F369" s="132"/>
      <c r="G369" s="132"/>
      <c r="H369" s="372"/>
      <c r="I369" s="372"/>
      <c r="J369" s="372"/>
      <c r="K369" s="2"/>
      <c r="L369" s="132"/>
      <c r="M369" s="132"/>
      <c r="N369" s="132"/>
      <c r="O369" s="132"/>
      <c r="P369" s="132"/>
      <c r="Q369" s="132"/>
      <c r="R369" s="132"/>
      <c r="S369" s="132"/>
      <c r="T369" s="132"/>
      <c r="U369" s="132"/>
      <c r="V369" s="132"/>
      <c r="W369" s="132"/>
      <c r="X369" s="132"/>
      <c r="Y369" s="132"/>
      <c r="Z369" s="132"/>
      <c r="AA369" s="132"/>
      <c r="AB369" s="132"/>
      <c r="AC369" s="132"/>
    </row>
    <row r="370">
      <c r="A370" s="132"/>
      <c r="B370" s="132"/>
      <c r="C370" s="132"/>
      <c r="D370" s="132"/>
      <c r="E370" s="132"/>
      <c r="F370" s="132"/>
      <c r="G370" s="132"/>
      <c r="H370" s="372"/>
      <c r="I370" s="372"/>
      <c r="J370" s="372"/>
      <c r="K370" s="2"/>
      <c r="L370" s="132"/>
      <c r="M370" s="132"/>
      <c r="N370" s="132"/>
      <c r="O370" s="132"/>
      <c r="P370" s="132"/>
      <c r="Q370" s="132"/>
      <c r="R370" s="132"/>
      <c r="S370" s="132"/>
      <c r="T370" s="132"/>
      <c r="U370" s="132"/>
      <c r="V370" s="132"/>
      <c r="W370" s="132"/>
      <c r="X370" s="132"/>
      <c r="Y370" s="132"/>
      <c r="Z370" s="132"/>
      <c r="AA370" s="132"/>
      <c r="AB370" s="132"/>
      <c r="AC370" s="132"/>
    </row>
    <row r="371">
      <c r="A371" s="132"/>
      <c r="B371" s="132"/>
      <c r="C371" s="132"/>
      <c r="D371" s="132"/>
      <c r="E371" s="132"/>
      <c r="F371" s="132"/>
      <c r="G371" s="132"/>
      <c r="H371" s="372"/>
      <c r="I371" s="372"/>
      <c r="J371" s="372"/>
      <c r="K371" s="2"/>
      <c r="L371" s="132"/>
      <c r="M371" s="132"/>
      <c r="N371" s="132"/>
      <c r="O371" s="132"/>
      <c r="P371" s="132"/>
      <c r="Q371" s="132"/>
      <c r="R371" s="132"/>
      <c r="S371" s="132"/>
      <c r="T371" s="132"/>
      <c r="U371" s="132"/>
      <c r="V371" s="132"/>
      <c r="W371" s="132"/>
      <c r="X371" s="132"/>
      <c r="Y371" s="132"/>
      <c r="Z371" s="132"/>
      <c r="AA371" s="132"/>
      <c r="AB371" s="132"/>
      <c r="AC371" s="132"/>
    </row>
    <row r="372">
      <c r="A372" s="132"/>
      <c r="B372" s="132"/>
      <c r="C372" s="132"/>
      <c r="D372" s="132"/>
      <c r="E372" s="132"/>
      <c r="F372" s="132"/>
      <c r="G372" s="132"/>
      <c r="H372" s="372"/>
      <c r="I372" s="372"/>
      <c r="J372" s="372"/>
      <c r="K372" s="2"/>
      <c r="L372" s="132"/>
      <c r="M372" s="132"/>
      <c r="N372" s="132"/>
      <c r="O372" s="132"/>
      <c r="P372" s="132"/>
      <c r="Q372" s="132"/>
      <c r="R372" s="132"/>
      <c r="S372" s="132"/>
      <c r="T372" s="132"/>
      <c r="U372" s="132"/>
      <c r="V372" s="132"/>
      <c r="W372" s="132"/>
      <c r="X372" s="132"/>
      <c r="Y372" s="132"/>
      <c r="Z372" s="132"/>
      <c r="AA372" s="132"/>
      <c r="AB372" s="132"/>
      <c r="AC372" s="132"/>
    </row>
    <row r="373">
      <c r="A373" s="132"/>
      <c r="B373" s="132"/>
      <c r="C373" s="132"/>
      <c r="D373" s="132"/>
      <c r="E373" s="132"/>
      <c r="F373" s="132"/>
      <c r="G373" s="132"/>
      <c r="H373" s="372"/>
      <c r="I373" s="372"/>
      <c r="J373" s="372"/>
      <c r="K373" s="2"/>
      <c r="L373" s="132"/>
      <c r="M373" s="132"/>
      <c r="N373" s="132"/>
      <c r="O373" s="132"/>
      <c r="P373" s="132"/>
      <c r="Q373" s="132"/>
      <c r="R373" s="132"/>
      <c r="S373" s="132"/>
      <c r="T373" s="132"/>
      <c r="U373" s="132"/>
      <c r="V373" s="132"/>
      <c r="W373" s="132"/>
      <c r="X373" s="132"/>
      <c r="Y373" s="132"/>
      <c r="Z373" s="132"/>
      <c r="AA373" s="132"/>
      <c r="AB373" s="132"/>
      <c r="AC373" s="132"/>
    </row>
    <row r="374">
      <c r="A374" s="132"/>
      <c r="B374" s="132"/>
      <c r="C374" s="132"/>
      <c r="D374" s="132"/>
      <c r="E374" s="132"/>
      <c r="F374" s="132"/>
      <c r="G374" s="132"/>
      <c r="H374" s="372"/>
      <c r="I374" s="372"/>
      <c r="J374" s="372"/>
      <c r="K374" s="2"/>
      <c r="L374" s="132"/>
      <c r="M374" s="132"/>
      <c r="N374" s="132"/>
      <c r="O374" s="132"/>
      <c r="P374" s="132"/>
      <c r="Q374" s="132"/>
      <c r="R374" s="132"/>
      <c r="S374" s="132"/>
      <c r="T374" s="132"/>
      <c r="U374" s="132"/>
      <c r="V374" s="132"/>
      <c r="W374" s="132"/>
      <c r="X374" s="132"/>
      <c r="Y374" s="132"/>
      <c r="Z374" s="132"/>
      <c r="AA374" s="132"/>
      <c r="AB374" s="132"/>
      <c r="AC374" s="132"/>
    </row>
    <row r="375">
      <c r="A375" s="132"/>
      <c r="B375" s="132"/>
      <c r="C375" s="132"/>
      <c r="D375" s="132"/>
      <c r="E375" s="132"/>
      <c r="F375" s="132"/>
      <c r="G375" s="132"/>
      <c r="H375" s="372"/>
      <c r="I375" s="372"/>
      <c r="J375" s="372"/>
      <c r="K375" s="2"/>
      <c r="L375" s="132"/>
      <c r="M375" s="132"/>
      <c r="N375" s="132"/>
      <c r="O375" s="132"/>
      <c r="P375" s="132"/>
      <c r="Q375" s="132"/>
      <c r="R375" s="132"/>
      <c r="S375" s="132"/>
      <c r="T375" s="132"/>
      <c r="U375" s="132"/>
      <c r="V375" s="132"/>
      <c r="W375" s="132"/>
      <c r="X375" s="132"/>
      <c r="Y375" s="132"/>
      <c r="Z375" s="132"/>
      <c r="AA375" s="132"/>
      <c r="AB375" s="132"/>
      <c r="AC375" s="132"/>
    </row>
    <row r="376">
      <c r="A376" s="132"/>
      <c r="B376" s="132"/>
      <c r="C376" s="132"/>
      <c r="D376" s="132"/>
      <c r="E376" s="132"/>
      <c r="F376" s="132"/>
      <c r="G376" s="132"/>
      <c r="H376" s="372"/>
      <c r="I376" s="372"/>
      <c r="J376" s="372"/>
      <c r="K376" s="2"/>
      <c r="L376" s="132"/>
      <c r="M376" s="132"/>
      <c r="N376" s="132"/>
      <c r="O376" s="132"/>
      <c r="P376" s="132"/>
      <c r="Q376" s="132"/>
      <c r="R376" s="132"/>
      <c r="S376" s="132"/>
      <c r="T376" s="132"/>
      <c r="U376" s="132"/>
      <c r="V376" s="132"/>
      <c r="W376" s="132"/>
      <c r="X376" s="132"/>
      <c r="Y376" s="132"/>
      <c r="Z376" s="132"/>
      <c r="AA376" s="132"/>
      <c r="AB376" s="132"/>
      <c r="AC376" s="132"/>
    </row>
    <row r="377">
      <c r="A377" s="132"/>
      <c r="B377" s="132"/>
      <c r="C377" s="132"/>
      <c r="D377" s="132"/>
      <c r="E377" s="132"/>
      <c r="F377" s="132"/>
      <c r="G377" s="132"/>
      <c r="H377" s="372"/>
      <c r="I377" s="372"/>
      <c r="J377" s="372"/>
      <c r="K377" s="2"/>
      <c r="L377" s="132"/>
      <c r="M377" s="132"/>
      <c r="N377" s="132"/>
      <c r="O377" s="132"/>
      <c r="P377" s="132"/>
      <c r="Q377" s="132"/>
      <c r="R377" s="132"/>
      <c r="S377" s="132"/>
      <c r="T377" s="132"/>
      <c r="U377" s="132"/>
      <c r="V377" s="132"/>
      <c r="W377" s="132"/>
      <c r="X377" s="132"/>
      <c r="Y377" s="132"/>
      <c r="Z377" s="132"/>
      <c r="AA377" s="132"/>
      <c r="AB377" s="132"/>
      <c r="AC377" s="132"/>
    </row>
    <row r="378">
      <c r="A378" s="132"/>
      <c r="B378" s="132"/>
      <c r="C378" s="132"/>
      <c r="D378" s="132"/>
      <c r="E378" s="132"/>
      <c r="F378" s="132"/>
      <c r="G378" s="132"/>
      <c r="H378" s="372"/>
      <c r="I378" s="372"/>
      <c r="J378" s="372"/>
      <c r="K378" s="2"/>
      <c r="L378" s="132"/>
      <c r="M378" s="132"/>
      <c r="N378" s="132"/>
      <c r="O378" s="132"/>
      <c r="P378" s="132"/>
      <c r="Q378" s="132"/>
      <c r="R378" s="132"/>
      <c r="S378" s="132"/>
      <c r="T378" s="132"/>
      <c r="U378" s="132"/>
      <c r="V378" s="132"/>
      <c r="W378" s="132"/>
      <c r="X378" s="132"/>
      <c r="Y378" s="132"/>
      <c r="Z378" s="132"/>
      <c r="AA378" s="132"/>
      <c r="AB378" s="132"/>
      <c r="AC378" s="132"/>
    </row>
    <row r="379">
      <c r="A379" s="132"/>
      <c r="B379" s="132"/>
      <c r="C379" s="132"/>
      <c r="D379" s="132"/>
      <c r="E379" s="132"/>
      <c r="F379" s="132"/>
      <c r="G379" s="132"/>
      <c r="H379" s="372"/>
      <c r="I379" s="372"/>
      <c r="J379" s="372"/>
      <c r="K379" s="2"/>
      <c r="L379" s="132"/>
      <c r="M379" s="132"/>
      <c r="N379" s="132"/>
      <c r="O379" s="132"/>
      <c r="P379" s="132"/>
      <c r="Q379" s="132"/>
      <c r="R379" s="132"/>
      <c r="S379" s="132"/>
      <c r="T379" s="132"/>
      <c r="U379" s="132"/>
      <c r="V379" s="132"/>
      <c r="W379" s="132"/>
      <c r="X379" s="132"/>
      <c r="Y379" s="132"/>
      <c r="Z379" s="132"/>
      <c r="AA379" s="132"/>
      <c r="AB379" s="132"/>
      <c r="AC379" s="132"/>
    </row>
    <row r="380">
      <c r="A380" s="132"/>
      <c r="B380" s="132"/>
      <c r="C380" s="132"/>
      <c r="D380" s="132"/>
      <c r="E380" s="132"/>
      <c r="F380" s="132"/>
      <c r="G380" s="132"/>
      <c r="H380" s="372"/>
      <c r="I380" s="372"/>
      <c r="J380" s="372"/>
      <c r="K380" s="2"/>
      <c r="L380" s="132"/>
      <c r="M380" s="132"/>
      <c r="N380" s="132"/>
      <c r="O380" s="132"/>
      <c r="P380" s="132"/>
      <c r="Q380" s="132"/>
      <c r="R380" s="132"/>
      <c r="S380" s="132"/>
      <c r="T380" s="132"/>
      <c r="U380" s="132"/>
      <c r="V380" s="132"/>
      <c r="W380" s="132"/>
      <c r="X380" s="132"/>
      <c r="Y380" s="132"/>
      <c r="Z380" s="132"/>
      <c r="AA380" s="132"/>
      <c r="AB380" s="132"/>
      <c r="AC380" s="132"/>
    </row>
    <row r="381">
      <c r="A381" s="132"/>
      <c r="B381" s="132"/>
      <c r="C381" s="132"/>
      <c r="D381" s="132"/>
      <c r="E381" s="132"/>
      <c r="F381" s="132"/>
      <c r="G381" s="132"/>
      <c r="H381" s="372"/>
      <c r="I381" s="372"/>
      <c r="J381" s="372"/>
      <c r="K381" s="2"/>
      <c r="L381" s="132"/>
      <c r="M381" s="132"/>
      <c r="N381" s="132"/>
      <c r="O381" s="132"/>
      <c r="P381" s="132"/>
      <c r="Q381" s="132"/>
      <c r="R381" s="132"/>
      <c r="S381" s="132"/>
      <c r="T381" s="132"/>
      <c r="U381" s="132"/>
      <c r="V381" s="132"/>
      <c r="W381" s="132"/>
      <c r="X381" s="132"/>
      <c r="Y381" s="132"/>
      <c r="Z381" s="132"/>
      <c r="AA381" s="132"/>
      <c r="AB381" s="132"/>
      <c r="AC381" s="132"/>
    </row>
    <row r="382">
      <c r="A382" s="132"/>
      <c r="B382" s="132"/>
      <c r="C382" s="132"/>
      <c r="D382" s="132"/>
      <c r="E382" s="132"/>
      <c r="F382" s="132"/>
      <c r="G382" s="132"/>
      <c r="H382" s="372"/>
      <c r="I382" s="372"/>
      <c r="J382" s="372"/>
      <c r="K382" s="2"/>
      <c r="L382" s="132"/>
      <c r="M382" s="132"/>
      <c r="N382" s="132"/>
      <c r="O382" s="132"/>
      <c r="P382" s="132"/>
      <c r="Q382" s="132"/>
      <c r="R382" s="132"/>
      <c r="S382" s="132"/>
      <c r="T382" s="132"/>
      <c r="U382" s="132"/>
      <c r="V382" s="132"/>
      <c r="W382" s="132"/>
      <c r="X382" s="132"/>
      <c r="Y382" s="132"/>
      <c r="Z382" s="132"/>
      <c r="AA382" s="132"/>
      <c r="AB382" s="132"/>
      <c r="AC382" s="132"/>
    </row>
    <row r="383">
      <c r="A383" s="132"/>
      <c r="B383" s="132"/>
      <c r="C383" s="132"/>
      <c r="D383" s="132"/>
      <c r="E383" s="132"/>
      <c r="F383" s="132"/>
      <c r="G383" s="132"/>
      <c r="H383" s="372"/>
      <c r="I383" s="372"/>
      <c r="J383" s="372"/>
      <c r="K383" s="2"/>
      <c r="L383" s="132"/>
      <c r="M383" s="132"/>
      <c r="N383" s="132"/>
      <c r="O383" s="132"/>
      <c r="P383" s="132"/>
      <c r="Q383" s="132"/>
      <c r="R383" s="132"/>
      <c r="S383" s="132"/>
      <c r="T383" s="132"/>
      <c r="U383" s="132"/>
      <c r="V383" s="132"/>
      <c r="W383" s="132"/>
      <c r="X383" s="132"/>
      <c r="Y383" s="132"/>
      <c r="Z383" s="132"/>
      <c r="AA383" s="132"/>
      <c r="AB383" s="132"/>
      <c r="AC383" s="132"/>
    </row>
    <row r="384">
      <c r="A384" s="132"/>
      <c r="B384" s="132"/>
      <c r="C384" s="132"/>
      <c r="D384" s="132"/>
      <c r="E384" s="132"/>
      <c r="F384" s="132"/>
      <c r="G384" s="132"/>
      <c r="H384" s="372"/>
      <c r="I384" s="372"/>
      <c r="J384" s="372"/>
      <c r="K384" s="2"/>
      <c r="L384" s="132"/>
      <c r="M384" s="132"/>
      <c r="N384" s="132"/>
      <c r="O384" s="132"/>
      <c r="P384" s="132"/>
      <c r="Q384" s="132"/>
      <c r="R384" s="132"/>
      <c r="S384" s="132"/>
      <c r="T384" s="132"/>
      <c r="U384" s="132"/>
      <c r="V384" s="132"/>
      <c r="W384" s="132"/>
      <c r="X384" s="132"/>
      <c r="Y384" s="132"/>
      <c r="Z384" s="132"/>
      <c r="AA384" s="132"/>
      <c r="AB384" s="132"/>
      <c r="AC384" s="132"/>
    </row>
    <row r="385">
      <c r="A385" s="132"/>
      <c r="B385" s="132"/>
      <c r="C385" s="132"/>
      <c r="D385" s="132"/>
      <c r="E385" s="132"/>
      <c r="F385" s="132"/>
      <c r="G385" s="132"/>
      <c r="H385" s="372"/>
      <c r="I385" s="372"/>
      <c r="J385" s="372"/>
      <c r="K385" s="2"/>
      <c r="L385" s="132"/>
      <c r="M385" s="132"/>
      <c r="N385" s="132"/>
      <c r="O385" s="132"/>
      <c r="P385" s="132"/>
      <c r="Q385" s="132"/>
      <c r="R385" s="132"/>
      <c r="S385" s="132"/>
      <c r="T385" s="132"/>
      <c r="U385" s="132"/>
      <c r="V385" s="132"/>
      <c r="W385" s="132"/>
      <c r="X385" s="132"/>
      <c r="Y385" s="132"/>
      <c r="Z385" s="132"/>
      <c r="AA385" s="132"/>
      <c r="AB385" s="132"/>
      <c r="AC385" s="132"/>
    </row>
    <row r="386">
      <c r="A386" s="132"/>
      <c r="B386" s="132"/>
      <c r="C386" s="132"/>
      <c r="D386" s="132"/>
      <c r="E386" s="132"/>
      <c r="F386" s="132"/>
      <c r="G386" s="132"/>
      <c r="H386" s="372"/>
      <c r="I386" s="372"/>
      <c r="J386" s="372"/>
      <c r="K386" s="2"/>
      <c r="L386" s="132"/>
      <c r="M386" s="132"/>
      <c r="N386" s="132"/>
      <c r="O386" s="132"/>
      <c r="P386" s="132"/>
      <c r="Q386" s="132"/>
      <c r="R386" s="132"/>
      <c r="S386" s="132"/>
      <c r="T386" s="132"/>
      <c r="U386" s="132"/>
      <c r="V386" s="132"/>
      <c r="W386" s="132"/>
      <c r="X386" s="132"/>
      <c r="Y386" s="132"/>
      <c r="Z386" s="132"/>
      <c r="AA386" s="132"/>
      <c r="AB386" s="132"/>
      <c r="AC386" s="132"/>
    </row>
    <row r="387">
      <c r="A387" s="132"/>
      <c r="B387" s="132"/>
      <c r="C387" s="132"/>
      <c r="D387" s="132"/>
      <c r="E387" s="132"/>
      <c r="F387" s="132"/>
      <c r="G387" s="132"/>
      <c r="H387" s="372"/>
      <c r="I387" s="372"/>
      <c r="J387" s="372"/>
      <c r="K387" s="2"/>
      <c r="L387" s="132"/>
      <c r="M387" s="132"/>
      <c r="N387" s="132"/>
      <c r="O387" s="132"/>
      <c r="P387" s="132"/>
      <c r="Q387" s="132"/>
      <c r="R387" s="132"/>
      <c r="S387" s="132"/>
      <c r="T387" s="132"/>
      <c r="U387" s="132"/>
      <c r="V387" s="132"/>
      <c r="W387" s="132"/>
      <c r="X387" s="132"/>
      <c r="Y387" s="132"/>
      <c r="Z387" s="132"/>
      <c r="AA387" s="132"/>
      <c r="AB387" s="132"/>
      <c r="AC387" s="132"/>
    </row>
    <row r="388">
      <c r="A388" s="132"/>
      <c r="B388" s="132"/>
      <c r="C388" s="132"/>
      <c r="D388" s="132"/>
      <c r="E388" s="132"/>
      <c r="F388" s="132"/>
      <c r="G388" s="132"/>
      <c r="H388" s="372"/>
      <c r="I388" s="372"/>
      <c r="J388" s="372"/>
      <c r="K388" s="2"/>
      <c r="L388" s="132"/>
      <c r="M388" s="132"/>
      <c r="N388" s="132"/>
      <c r="O388" s="132"/>
      <c r="P388" s="132"/>
      <c r="Q388" s="132"/>
      <c r="R388" s="132"/>
      <c r="S388" s="132"/>
      <c r="T388" s="132"/>
      <c r="U388" s="132"/>
      <c r="V388" s="132"/>
      <c r="W388" s="132"/>
      <c r="X388" s="132"/>
      <c r="Y388" s="132"/>
      <c r="Z388" s="132"/>
      <c r="AA388" s="132"/>
      <c r="AB388" s="132"/>
      <c r="AC388" s="132"/>
    </row>
    <row r="389">
      <c r="A389" s="132"/>
      <c r="B389" s="132"/>
      <c r="C389" s="132"/>
      <c r="D389" s="132"/>
      <c r="E389" s="132"/>
      <c r="F389" s="132"/>
      <c r="G389" s="132"/>
      <c r="H389" s="372"/>
      <c r="I389" s="372"/>
      <c r="J389" s="372"/>
      <c r="K389" s="2"/>
      <c r="L389" s="132"/>
      <c r="M389" s="132"/>
      <c r="N389" s="132"/>
      <c r="O389" s="132"/>
      <c r="P389" s="132"/>
      <c r="Q389" s="132"/>
      <c r="R389" s="132"/>
      <c r="S389" s="132"/>
      <c r="T389" s="132"/>
      <c r="U389" s="132"/>
      <c r="V389" s="132"/>
      <c r="W389" s="132"/>
      <c r="X389" s="132"/>
      <c r="Y389" s="132"/>
      <c r="Z389" s="132"/>
      <c r="AA389" s="132"/>
      <c r="AB389" s="132"/>
      <c r="AC389" s="132"/>
    </row>
    <row r="390">
      <c r="A390" s="132"/>
      <c r="B390" s="132"/>
      <c r="C390" s="132"/>
      <c r="D390" s="132"/>
      <c r="E390" s="132"/>
      <c r="F390" s="132"/>
      <c r="G390" s="132"/>
      <c r="H390" s="372"/>
      <c r="I390" s="372"/>
      <c r="J390" s="372"/>
      <c r="K390" s="2"/>
      <c r="L390" s="132"/>
      <c r="M390" s="132"/>
      <c r="N390" s="132"/>
      <c r="O390" s="132"/>
      <c r="P390" s="132"/>
      <c r="Q390" s="132"/>
      <c r="R390" s="132"/>
      <c r="S390" s="132"/>
      <c r="T390" s="132"/>
      <c r="U390" s="132"/>
      <c r="V390" s="132"/>
      <c r="W390" s="132"/>
      <c r="X390" s="132"/>
      <c r="Y390" s="132"/>
      <c r="Z390" s="132"/>
      <c r="AA390" s="132"/>
      <c r="AB390" s="132"/>
      <c r="AC390" s="132"/>
    </row>
    <row r="391">
      <c r="A391" s="132"/>
      <c r="B391" s="132"/>
      <c r="C391" s="132"/>
      <c r="D391" s="132"/>
      <c r="E391" s="132"/>
      <c r="F391" s="132"/>
      <c r="G391" s="132"/>
      <c r="H391" s="372"/>
      <c r="I391" s="372"/>
      <c r="J391" s="372"/>
      <c r="K391" s="2"/>
      <c r="L391" s="132"/>
      <c r="M391" s="132"/>
      <c r="N391" s="132"/>
      <c r="O391" s="132"/>
      <c r="P391" s="132"/>
      <c r="Q391" s="132"/>
      <c r="R391" s="132"/>
      <c r="S391" s="132"/>
      <c r="T391" s="132"/>
      <c r="U391" s="132"/>
      <c r="V391" s="132"/>
      <c r="W391" s="132"/>
      <c r="X391" s="132"/>
      <c r="Y391" s="132"/>
      <c r="Z391" s="132"/>
      <c r="AA391" s="132"/>
      <c r="AB391" s="132"/>
      <c r="AC391" s="132"/>
    </row>
    <row r="392">
      <c r="A392" s="132"/>
      <c r="B392" s="132"/>
      <c r="C392" s="132"/>
      <c r="D392" s="132"/>
      <c r="E392" s="132"/>
      <c r="F392" s="132"/>
      <c r="G392" s="132"/>
      <c r="H392" s="372"/>
      <c r="I392" s="372"/>
      <c r="J392" s="372"/>
      <c r="K392" s="2"/>
      <c r="L392" s="132"/>
      <c r="M392" s="132"/>
      <c r="N392" s="132"/>
      <c r="O392" s="132"/>
      <c r="P392" s="132"/>
      <c r="Q392" s="132"/>
      <c r="R392" s="132"/>
      <c r="S392" s="132"/>
      <c r="T392" s="132"/>
      <c r="U392" s="132"/>
      <c r="V392" s="132"/>
      <c r="W392" s="132"/>
      <c r="X392" s="132"/>
      <c r="Y392" s="132"/>
      <c r="Z392" s="132"/>
      <c r="AA392" s="132"/>
      <c r="AB392" s="132"/>
      <c r="AC392" s="132"/>
    </row>
    <row r="393">
      <c r="A393" s="132"/>
      <c r="B393" s="132"/>
      <c r="C393" s="132"/>
      <c r="D393" s="132"/>
      <c r="E393" s="132"/>
      <c r="F393" s="132"/>
      <c r="G393" s="132"/>
      <c r="H393" s="372"/>
      <c r="I393" s="372"/>
      <c r="J393" s="372"/>
      <c r="K393" s="2"/>
      <c r="L393" s="132"/>
      <c r="M393" s="132"/>
      <c r="N393" s="132"/>
      <c r="O393" s="132"/>
      <c r="P393" s="132"/>
      <c r="Q393" s="132"/>
      <c r="R393" s="132"/>
      <c r="S393" s="132"/>
      <c r="T393" s="132"/>
      <c r="U393" s="132"/>
      <c r="V393" s="132"/>
      <c r="W393" s="132"/>
      <c r="X393" s="132"/>
      <c r="Y393" s="132"/>
      <c r="Z393" s="132"/>
      <c r="AA393" s="132"/>
      <c r="AB393" s="132"/>
      <c r="AC393" s="132"/>
    </row>
    <row r="394">
      <c r="A394" s="132"/>
      <c r="B394" s="132"/>
      <c r="C394" s="132"/>
      <c r="D394" s="132"/>
      <c r="E394" s="132"/>
      <c r="F394" s="132"/>
      <c r="G394" s="132"/>
      <c r="H394" s="372"/>
      <c r="I394" s="372"/>
      <c r="J394" s="372"/>
      <c r="K394" s="2"/>
      <c r="L394" s="132"/>
      <c r="M394" s="132"/>
      <c r="N394" s="132"/>
      <c r="O394" s="132"/>
      <c r="P394" s="132"/>
      <c r="Q394" s="132"/>
      <c r="R394" s="132"/>
      <c r="S394" s="132"/>
      <c r="T394" s="132"/>
      <c r="U394" s="132"/>
      <c r="V394" s="132"/>
      <c r="W394" s="132"/>
      <c r="X394" s="132"/>
      <c r="Y394" s="132"/>
      <c r="Z394" s="132"/>
      <c r="AA394" s="132"/>
      <c r="AB394" s="132"/>
      <c r="AC394" s="132"/>
    </row>
    <row r="395">
      <c r="A395" s="132"/>
      <c r="B395" s="132"/>
      <c r="C395" s="132"/>
      <c r="D395" s="132"/>
      <c r="E395" s="132"/>
      <c r="F395" s="132"/>
      <c r="G395" s="132"/>
      <c r="H395" s="372"/>
      <c r="I395" s="372"/>
      <c r="J395" s="372"/>
      <c r="K395" s="2"/>
      <c r="L395" s="132"/>
      <c r="M395" s="132"/>
      <c r="N395" s="132"/>
      <c r="O395" s="132"/>
      <c r="P395" s="132"/>
      <c r="Q395" s="132"/>
      <c r="R395" s="132"/>
      <c r="S395" s="132"/>
      <c r="T395" s="132"/>
      <c r="U395" s="132"/>
      <c r="V395" s="132"/>
      <c r="W395" s="132"/>
      <c r="X395" s="132"/>
      <c r="Y395" s="132"/>
      <c r="Z395" s="132"/>
      <c r="AA395" s="132"/>
      <c r="AB395" s="132"/>
      <c r="AC395" s="132"/>
    </row>
    <row r="396">
      <c r="A396" s="132"/>
      <c r="B396" s="132"/>
      <c r="C396" s="132"/>
      <c r="D396" s="132"/>
      <c r="E396" s="132"/>
      <c r="F396" s="132"/>
      <c r="G396" s="132"/>
      <c r="H396" s="372"/>
      <c r="I396" s="372"/>
      <c r="J396" s="372"/>
      <c r="K396" s="2"/>
      <c r="L396" s="132"/>
      <c r="M396" s="132"/>
      <c r="N396" s="132"/>
      <c r="O396" s="132"/>
      <c r="P396" s="132"/>
      <c r="Q396" s="132"/>
      <c r="R396" s="132"/>
      <c r="S396" s="132"/>
      <c r="T396" s="132"/>
      <c r="U396" s="132"/>
      <c r="V396" s="132"/>
      <c r="W396" s="132"/>
      <c r="X396" s="132"/>
      <c r="Y396" s="132"/>
      <c r="Z396" s="132"/>
      <c r="AA396" s="132"/>
      <c r="AB396" s="132"/>
      <c r="AC396" s="132"/>
    </row>
    <row r="397">
      <c r="A397" s="132"/>
      <c r="B397" s="132"/>
      <c r="C397" s="132"/>
      <c r="D397" s="132"/>
      <c r="E397" s="132"/>
      <c r="F397" s="132"/>
      <c r="G397" s="132"/>
      <c r="H397" s="372"/>
      <c r="I397" s="372"/>
      <c r="J397" s="372"/>
      <c r="K397" s="2"/>
      <c r="L397" s="132"/>
      <c r="M397" s="132"/>
      <c r="N397" s="132"/>
      <c r="O397" s="132"/>
      <c r="P397" s="132"/>
      <c r="Q397" s="132"/>
      <c r="R397" s="132"/>
      <c r="S397" s="132"/>
      <c r="T397" s="132"/>
      <c r="U397" s="132"/>
      <c r="V397" s="132"/>
      <c r="W397" s="132"/>
      <c r="X397" s="132"/>
      <c r="Y397" s="132"/>
      <c r="Z397" s="132"/>
      <c r="AA397" s="132"/>
      <c r="AB397" s="132"/>
      <c r="AC397" s="132"/>
    </row>
    <row r="398">
      <c r="A398" s="132"/>
      <c r="B398" s="132"/>
      <c r="C398" s="132"/>
      <c r="D398" s="132"/>
      <c r="E398" s="132"/>
      <c r="F398" s="132"/>
      <c r="G398" s="132"/>
      <c r="H398" s="372"/>
      <c r="I398" s="372"/>
      <c r="J398" s="372"/>
      <c r="K398" s="2"/>
      <c r="L398" s="132"/>
      <c r="M398" s="132"/>
      <c r="N398" s="132"/>
      <c r="O398" s="132"/>
      <c r="P398" s="132"/>
      <c r="Q398" s="132"/>
      <c r="R398" s="132"/>
      <c r="S398" s="132"/>
      <c r="T398" s="132"/>
      <c r="U398" s="132"/>
      <c r="V398" s="132"/>
      <c r="W398" s="132"/>
      <c r="X398" s="132"/>
      <c r="Y398" s="132"/>
      <c r="Z398" s="132"/>
      <c r="AA398" s="132"/>
      <c r="AB398" s="132"/>
      <c r="AC398" s="132"/>
    </row>
    <row r="399">
      <c r="A399" s="132"/>
      <c r="B399" s="132"/>
      <c r="C399" s="132"/>
      <c r="D399" s="132"/>
      <c r="E399" s="132"/>
      <c r="F399" s="132"/>
      <c r="G399" s="132"/>
      <c r="H399" s="372"/>
      <c r="I399" s="372"/>
      <c r="J399" s="372"/>
      <c r="K399" s="2"/>
      <c r="L399" s="132"/>
      <c r="M399" s="132"/>
      <c r="N399" s="132"/>
      <c r="O399" s="132"/>
      <c r="P399" s="132"/>
      <c r="Q399" s="132"/>
      <c r="R399" s="132"/>
      <c r="S399" s="132"/>
      <c r="T399" s="132"/>
      <c r="U399" s="132"/>
      <c r="V399" s="132"/>
      <c r="W399" s="132"/>
      <c r="X399" s="132"/>
      <c r="Y399" s="132"/>
      <c r="Z399" s="132"/>
      <c r="AA399" s="132"/>
      <c r="AB399" s="132"/>
      <c r="AC399" s="132"/>
    </row>
    <row r="400">
      <c r="A400" s="132"/>
      <c r="B400" s="132"/>
      <c r="C400" s="132"/>
      <c r="D400" s="132"/>
      <c r="E400" s="132"/>
      <c r="F400" s="132"/>
      <c r="G400" s="132"/>
      <c r="H400" s="372"/>
      <c r="I400" s="372"/>
      <c r="J400" s="372"/>
      <c r="K400" s="2"/>
      <c r="L400" s="132"/>
      <c r="M400" s="132"/>
      <c r="N400" s="132"/>
      <c r="O400" s="132"/>
      <c r="P400" s="132"/>
      <c r="Q400" s="132"/>
      <c r="R400" s="132"/>
      <c r="S400" s="132"/>
      <c r="T400" s="132"/>
      <c r="U400" s="132"/>
      <c r="V400" s="132"/>
      <c r="W400" s="132"/>
      <c r="X400" s="132"/>
      <c r="Y400" s="132"/>
      <c r="Z400" s="132"/>
      <c r="AA400" s="132"/>
      <c r="AB400" s="132"/>
      <c r="AC400" s="132"/>
    </row>
    <row r="401">
      <c r="A401" s="132"/>
      <c r="B401" s="132"/>
      <c r="C401" s="132"/>
      <c r="D401" s="132"/>
      <c r="E401" s="132"/>
      <c r="F401" s="132"/>
      <c r="G401" s="132"/>
      <c r="H401" s="372"/>
      <c r="I401" s="372"/>
      <c r="J401" s="372"/>
      <c r="K401" s="2"/>
      <c r="L401" s="132"/>
      <c r="M401" s="132"/>
      <c r="N401" s="132"/>
      <c r="O401" s="132"/>
      <c r="P401" s="132"/>
      <c r="Q401" s="132"/>
      <c r="R401" s="132"/>
      <c r="S401" s="132"/>
      <c r="T401" s="132"/>
      <c r="U401" s="132"/>
      <c r="V401" s="132"/>
      <c r="W401" s="132"/>
      <c r="X401" s="132"/>
      <c r="Y401" s="132"/>
      <c r="Z401" s="132"/>
      <c r="AA401" s="132"/>
      <c r="AB401" s="132"/>
      <c r="AC401" s="132"/>
    </row>
    <row r="402">
      <c r="A402" s="132"/>
      <c r="B402" s="132"/>
      <c r="C402" s="132"/>
      <c r="D402" s="132"/>
      <c r="E402" s="132"/>
      <c r="F402" s="132"/>
      <c r="G402" s="132"/>
      <c r="H402" s="372"/>
      <c r="I402" s="372"/>
      <c r="J402" s="372"/>
      <c r="K402" s="2"/>
      <c r="L402" s="132"/>
      <c r="M402" s="132"/>
      <c r="N402" s="132"/>
      <c r="O402" s="132"/>
      <c r="P402" s="132"/>
      <c r="Q402" s="132"/>
      <c r="R402" s="132"/>
      <c r="S402" s="132"/>
      <c r="T402" s="132"/>
      <c r="U402" s="132"/>
      <c r="V402" s="132"/>
      <c r="W402" s="132"/>
      <c r="X402" s="132"/>
      <c r="Y402" s="132"/>
      <c r="Z402" s="132"/>
      <c r="AA402" s="132"/>
      <c r="AB402" s="132"/>
      <c r="AC402" s="132"/>
    </row>
    <row r="403">
      <c r="A403" s="132"/>
      <c r="B403" s="132"/>
      <c r="C403" s="132"/>
      <c r="D403" s="132"/>
      <c r="E403" s="132"/>
      <c r="F403" s="132"/>
      <c r="G403" s="132"/>
      <c r="H403" s="372"/>
      <c r="I403" s="372"/>
      <c r="J403" s="372"/>
      <c r="K403" s="2"/>
      <c r="L403" s="132"/>
      <c r="M403" s="132"/>
      <c r="N403" s="132"/>
      <c r="O403" s="132"/>
      <c r="P403" s="132"/>
      <c r="Q403" s="132"/>
      <c r="R403" s="132"/>
      <c r="S403" s="132"/>
      <c r="T403" s="132"/>
      <c r="U403" s="132"/>
      <c r="V403" s="132"/>
      <c r="W403" s="132"/>
      <c r="X403" s="132"/>
      <c r="Y403" s="132"/>
      <c r="Z403" s="132"/>
      <c r="AA403" s="132"/>
      <c r="AB403" s="132"/>
      <c r="AC403" s="132"/>
    </row>
    <row r="404">
      <c r="A404" s="132"/>
      <c r="B404" s="132"/>
      <c r="C404" s="132"/>
      <c r="D404" s="132"/>
      <c r="E404" s="132"/>
      <c r="F404" s="132"/>
      <c r="G404" s="132"/>
      <c r="H404" s="372"/>
      <c r="I404" s="372"/>
      <c r="J404" s="372"/>
      <c r="K404" s="2"/>
      <c r="L404" s="132"/>
      <c r="M404" s="132"/>
      <c r="N404" s="132"/>
      <c r="O404" s="132"/>
      <c r="P404" s="132"/>
      <c r="Q404" s="132"/>
      <c r="R404" s="132"/>
      <c r="S404" s="132"/>
      <c r="T404" s="132"/>
      <c r="U404" s="132"/>
      <c r="V404" s="132"/>
      <c r="W404" s="132"/>
      <c r="X404" s="132"/>
      <c r="Y404" s="132"/>
      <c r="Z404" s="132"/>
      <c r="AA404" s="132"/>
      <c r="AB404" s="132"/>
      <c r="AC404" s="132"/>
    </row>
    <row r="405">
      <c r="A405" s="132"/>
      <c r="B405" s="132"/>
      <c r="C405" s="132"/>
      <c r="D405" s="132"/>
      <c r="E405" s="132"/>
      <c r="F405" s="132"/>
      <c r="G405" s="132"/>
      <c r="H405" s="372"/>
      <c r="I405" s="372"/>
      <c r="J405" s="372"/>
      <c r="K405" s="2"/>
      <c r="L405" s="132"/>
      <c r="M405" s="132"/>
      <c r="N405" s="132"/>
      <c r="O405" s="132"/>
      <c r="P405" s="132"/>
      <c r="Q405" s="132"/>
      <c r="R405" s="132"/>
      <c r="S405" s="132"/>
      <c r="T405" s="132"/>
      <c r="U405" s="132"/>
      <c r="V405" s="132"/>
      <c r="W405" s="132"/>
      <c r="X405" s="132"/>
      <c r="Y405" s="132"/>
      <c r="Z405" s="132"/>
      <c r="AA405" s="132"/>
      <c r="AB405" s="132"/>
      <c r="AC405" s="132"/>
    </row>
    <row r="406">
      <c r="A406" s="132"/>
      <c r="B406" s="132"/>
      <c r="C406" s="132"/>
      <c r="D406" s="132"/>
      <c r="E406" s="132"/>
      <c r="F406" s="132"/>
      <c r="G406" s="132"/>
      <c r="H406" s="372"/>
      <c r="I406" s="372"/>
      <c r="J406" s="372"/>
      <c r="K406" s="2"/>
      <c r="L406" s="132"/>
      <c r="M406" s="132"/>
      <c r="N406" s="132"/>
      <c r="O406" s="132"/>
      <c r="P406" s="132"/>
      <c r="Q406" s="132"/>
      <c r="R406" s="132"/>
      <c r="S406" s="132"/>
      <c r="T406" s="132"/>
      <c r="U406" s="132"/>
      <c r="V406" s="132"/>
      <c r="W406" s="132"/>
      <c r="X406" s="132"/>
      <c r="Y406" s="132"/>
      <c r="Z406" s="132"/>
      <c r="AA406" s="132"/>
      <c r="AB406" s="132"/>
      <c r="AC406" s="132"/>
    </row>
    <row r="407">
      <c r="A407" s="132"/>
      <c r="B407" s="132"/>
      <c r="C407" s="132"/>
      <c r="D407" s="132"/>
      <c r="E407" s="132"/>
      <c r="F407" s="132"/>
      <c r="G407" s="132"/>
      <c r="H407" s="372"/>
      <c r="I407" s="372"/>
      <c r="J407" s="372"/>
      <c r="K407" s="2"/>
      <c r="L407" s="132"/>
      <c r="M407" s="132"/>
      <c r="N407" s="132"/>
      <c r="O407" s="132"/>
      <c r="P407" s="132"/>
      <c r="Q407" s="132"/>
      <c r="R407" s="132"/>
      <c r="S407" s="132"/>
      <c r="T407" s="132"/>
      <c r="U407" s="132"/>
      <c r="V407" s="132"/>
      <c r="W407" s="132"/>
      <c r="X407" s="132"/>
      <c r="Y407" s="132"/>
      <c r="Z407" s="132"/>
      <c r="AA407" s="132"/>
      <c r="AB407" s="132"/>
      <c r="AC407" s="132"/>
    </row>
    <row r="408">
      <c r="A408" s="132"/>
      <c r="B408" s="132"/>
      <c r="C408" s="132"/>
      <c r="D408" s="132"/>
      <c r="E408" s="132"/>
      <c r="F408" s="132"/>
      <c r="G408" s="132"/>
      <c r="H408" s="372"/>
      <c r="I408" s="372"/>
      <c r="J408" s="372"/>
      <c r="K408" s="2"/>
      <c r="L408" s="132"/>
      <c r="M408" s="132"/>
      <c r="N408" s="132"/>
      <c r="O408" s="132"/>
      <c r="P408" s="132"/>
      <c r="Q408" s="132"/>
      <c r="R408" s="132"/>
      <c r="S408" s="132"/>
      <c r="T408" s="132"/>
      <c r="U408" s="132"/>
      <c r="V408" s="132"/>
      <c r="W408" s="132"/>
      <c r="X408" s="132"/>
      <c r="Y408" s="132"/>
      <c r="Z408" s="132"/>
      <c r="AA408" s="132"/>
      <c r="AB408" s="132"/>
      <c r="AC408" s="132"/>
    </row>
    <row r="409">
      <c r="A409" s="132"/>
      <c r="B409" s="132"/>
      <c r="C409" s="132"/>
      <c r="D409" s="132"/>
      <c r="E409" s="132"/>
      <c r="F409" s="132"/>
      <c r="G409" s="132"/>
      <c r="H409" s="372"/>
      <c r="I409" s="372"/>
      <c r="J409" s="372"/>
      <c r="K409" s="2"/>
      <c r="L409" s="132"/>
      <c r="M409" s="132"/>
      <c r="N409" s="132"/>
      <c r="O409" s="132"/>
      <c r="P409" s="132"/>
      <c r="Q409" s="132"/>
      <c r="R409" s="132"/>
      <c r="S409" s="132"/>
      <c r="T409" s="132"/>
      <c r="U409" s="132"/>
      <c r="V409" s="132"/>
      <c r="W409" s="132"/>
      <c r="X409" s="132"/>
      <c r="Y409" s="132"/>
      <c r="Z409" s="132"/>
      <c r="AA409" s="132"/>
      <c r="AB409" s="132"/>
      <c r="AC409" s="132"/>
    </row>
    <row r="410">
      <c r="A410" s="132"/>
      <c r="B410" s="132"/>
      <c r="C410" s="132"/>
      <c r="D410" s="132"/>
      <c r="E410" s="132"/>
      <c r="F410" s="132"/>
      <c r="G410" s="132"/>
      <c r="H410" s="372"/>
      <c r="I410" s="372"/>
      <c r="J410" s="372"/>
      <c r="K410" s="2"/>
      <c r="L410" s="132"/>
      <c r="M410" s="132"/>
      <c r="N410" s="132"/>
      <c r="O410" s="132"/>
      <c r="P410" s="132"/>
      <c r="Q410" s="132"/>
      <c r="R410" s="132"/>
      <c r="S410" s="132"/>
      <c r="T410" s="132"/>
      <c r="U410" s="132"/>
      <c r="V410" s="132"/>
      <c r="W410" s="132"/>
      <c r="X410" s="132"/>
      <c r="Y410" s="132"/>
      <c r="Z410" s="132"/>
      <c r="AA410" s="132"/>
      <c r="AB410" s="132"/>
      <c r="AC410" s="132"/>
    </row>
    <row r="411">
      <c r="A411" s="132"/>
      <c r="B411" s="132"/>
      <c r="C411" s="132"/>
      <c r="D411" s="132"/>
      <c r="E411" s="132"/>
      <c r="F411" s="132"/>
      <c r="G411" s="132"/>
      <c r="H411" s="372"/>
      <c r="I411" s="372"/>
      <c r="J411" s="372"/>
      <c r="K411" s="2"/>
      <c r="L411" s="132"/>
      <c r="M411" s="132"/>
      <c r="N411" s="132"/>
      <c r="O411" s="132"/>
      <c r="P411" s="132"/>
      <c r="Q411" s="132"/>
      <c r="R411" s="132"/>
      <c r="S411" s="132"/>
      <c r="T411" s="132"/>
      <c r="U411" s="132"/>
      <c r="V411" s="132"/>
      <c r="W411" s="132"/>
      <c r="X411" s="132"/>
      <c r="Y411" s="132"/>
      <c r="Z411" s="132"/>
      <c r="AA411" s="132"/>
      <c r="AB411" s="132"/>
      <c r="AC411" s="132"/>
    </row>
    <row r="412">
      <c r="A412" s="132"/>
      <c r="B412" s="132"/>
      <c r="C412" s="132"/>
      <c r="D412" s="132"/>
      <c r="E412" s="132"/>
      <c r="F412" s="132"/>
      <c r="G412" s="132"/>
      <c r="H412" s="372"/>
      <c r="I412" s="372"/>
      <c r="J412" s="372"/>
      <c r="K412" s="2"/>
      <c r="L412" s="132"/>
      <c r="M412" s="132"/>
      <c r="N412" s="132"/>
      <c r="O412" s="132"/>
      <c r="P412" s="132"/>
      <c r="Q412" s="132"/>
      <c r="R412" s="132"/>
      <c r="S412" s="132"/>
      <c r="T412" s="132"/>
      <c r="U412" s="132"/>
      <c r="V412" s="132"/>
      <c r="W412" s="132"/>
      <c r="X412" s="132"/>
      <c r="Y412" s="132"/>
      <c r="Z412" s="132"/>
      <c r="AA412" s="132"/>
      <c r="AB412" s="132"/>
      <c r="AC412" s="132"/>
    </row>
    <row r="413">
      <c r="A413" s="132"/>
      <c r="B413" s="132"/>
      <c r="C413" s="132"/>
      <c r="D413" s="132"/>
      <c r="E413" s="132"/>
      <c r="F413" s="132"/>
      <c r="G413" s="132"/>
      <c r="H413" s="372"/>
      <c r="I413" s="372"/>
      <c r="J413" s="372"/>
      <c r="K413" s="2"/>
      <c r="L413" s="132"/>
      <c r="M413" s="132"/>
      <c r="N413" s="132"/>
      <c r="O413" s="132"/>
      <c r="P413" s="132"/>
      <c r="Q413" s="132"/>
      <c r="R413" s="132"/>
      <c r="S413" s="132"/>
      <c r="T413" s="132"/>
      <c r="U413" s="132"/>
      <c r="V413" s="132"/>
      <c r="W413" s="132"/>
      <c r="X413" s="132"/>
      <c r="Y413" s="132"/>
      <c r="Z413" s="132"/>
      <c r="AA413" s="132"/>
      <c r="AB413" s="132"/>
      <c r="AC413" s="132"/>
    </row>
    <row r="414">
      <c r="A414" s="132"/>
      <c r="B414" s="132"/>
      <c r="C414" s="132"/>
      <c r="D414" s="132"/>
      <c r="E414" s="132"/>
      <c r="F414" s="132"/>
      <c r="G414" s="132"/>
      <c r="H414" s="372"/>
      <c r="I414" s="372"/>
      <c r="J414" s="372"/>
      <c r="K414" s="2"/>
      <c r="L414" s="132"/>
      <c r="M414" s="132"/>
      <c r="N414" s="132"/>
      <c r="O414" s="132"/>
      <c r="P414" s="132"/>
      <c r="Q414" s="132"/>
      <c r="R414" s="132"/>
      <c r="S414" s="132"/>
      <c r="T414" s="132"/>
      <c r="U414" s="132"/>
      <c r="V414" s="132"/>
      <c r="W414" s="132"/>
      <c r="X414" s="132"/>
      <c r="Y414" s="132"/>
      <c r="Z414" s="132"/>
      <c r="AA414" s="132"/>
      <c r="AB414" s="132"/>
      <c r="AC414" s="132"/>
    </row>
    <row r="415">
      <c r="A415" s="132"/>
      <c r="B415" s="132"/>
      <c r="C415" s="132"/>
      <c r="D415" s="132"/>
      <c r="E415" s="132"/>
      <c r="F415" s="132"/>
      <c r="G415" s="132"/>
      <c r="H415" s="372"/>
      <c r="I415" s="372"/>
      <c r="J415" s="372"/>
      <c r="K415" s="2"/>
      <c r="L415" s="132"/>
      <c r="M415" s="132"/>
      <c r="N415" s="132"/>
      <c r="O415" s="132"/>
      <c r="P415" s="132"/>
      <c r="Q415" s="132"/>
      <c r="R415" s="132"/>
      <c r="S415" s="132"/>
      <c r="T415" s="132"/>
      <c r="U415" s="132"/>
      <c r="V415" s="132"/>
      <c r="W415" s="132"/>
      <c r="X415" s="132"/>
      <c r="Y415" s="132"/>
      <c r="Z415" s="132"/>
      <c r="AA415" s="132"/>
      <c r="AB415" s="132"/>
      <c r="AC415" s="132"/>
    </row>
    <row r="416">
      <c r="A416" s="132"/>
      <c r="B416" s="132"/>
      <c r="C416" s="132"/>
      <c r="D416" s="132"/>
      <c r="E416" s="132"/>
      <c r="F416" s="132"/>
      <c r="G416" s="132"/>
      <c r="H416" s="372"/>
      <c r="I416" s="372"/>
      <c r="J416" s="372"/>
      <c r="K416" s="2"/>
      <c r="L416" s="132"/>
      <c r="M416" s="132"/>
      <c r="N416" s="132"/>
      <c r="O416" s="132"/>
      <c r="P416" s="132"/>
      <c r="Q416" s="132"/>
      <c r="R416" s="132"/>
      <c r="S416" s="132"/>
      <c r="T416" s="132"/>
      <c r="U416" s="132"/>
      <c r="V416" s="132"/>
      <c r="W416" s="132"/>
      <c r="X416" s="132"/>
      <c r="Y416" s="132"/>
      <c r="Z416" s="132"/>
      <c r="AA416" s="132"/>
      <c r="AB416" s="132"/>
      <c r="AC416" s="132"/>
    </row>
    <row r="417">
      <c r="A417" s="132"/>
      <c r="B417" s="132"/>
      <c r="C417" s="132"/>
      <c r="D417" s="132"/>
      <c r="E417" s="132"/>
      <c r="F417" s="132"/>
      <c r="G417" s="132"/>
      <c r="H417" s="372"/>
      <c r="I417" s="372"/>
      <c r="J417" s="372"/>
      <c r="K417" s="2"/>
      <c r="L417" s="132"/>
      <c r="M417" s="132"/>
      <c r="N417" s="132"/>
      <c r="O417" s="132"/>
      <c r="P417" s="132"/>
      <c r="Q417" s="132"/>
      <c r="R417" s="132"/>
      <c r="S417" s="132"/>
      <c r="T417" s="132"/>
      <c r="U417" s="132"/>
      <c r="V417" s="132"/>
      <c r="W417" s="132"/>
      <c r="X417" s="132"/>
      <c r="Y417" s="132"/>
      <c r="Z417" s="132"/>
      <c r="AA417" s="132"/>
      <c r="AB417" s="132"/>
      <c r="AC417" s="132"/>
    </row>
    <row r="418">
      <c r="A418" s="132"/>
      <c r="B418" s="132"/>
      <c r="C418" s="132"/>
      <c r="D418" s="132"/>
      <c r="E418" s="132"/>
      <c r="F418" s="132"/>
      <c r="G418" s="132"/>
      <c r="H418" s="372"/>
      <c r="I418" s="372"/>
      <c r="J418" s="372"/>
      <c r="K418" s="2"/>
      <c r="L418" s="132"/>
      <c r="M418" s="132"/>
      <c r="N418" s="132"/>
      <c r="O418" s="132"/>
      <c r="P418" s="132"/>
      <c r="Q418" s="132"/>
      <c r="R418" s="132"/>
      <c r="S418" s="132"/>
      <c r="T418" s="132"/>
      <c r="U418" s="132"/>
      <c r="V418" s="132"/>
      <c r="W418" s="132"/>
      <c r="X418" s="132"/>
      <c r="Y418" s="132"/>
      <c r="Z418" s="132"/>
      <c r="AA418" s="132"/>
      <c r="AB418" s="132"/>
      <c r="AC418" s="132"/>
    </row>
    <row r="419">
      <c r="A419" s="132"/>
      <c r="B419" s="132"/>
      <c r="C419" s="132"/>
      <c r="D419" s="132"/>
      <c r="E419" s="132"/>
      <c r="F419" s="132"/>
      <c r="G419" s="132"/>
      <c r="H419" s="372"/>
      <c r="I419" s="372"/>
      <c r="J419" s="372"/>
      <c r="K419" s="2"/>
      <c r="L419" s="132"/>
      <c r="M419" s="132"/>
      <c r="N419" s="132"/>
      <c r="O419" s="132"/>
      <c r="P419" s="132"/>
      <c r="Q419" s="132"/>
      <c r="R419" s="132"/>
      <c r="S419" s="132"/>
      <c r="T419" s="132"/>
      <c r="U419" s="132"/>
      <c r="V419" s="132"/>
      <c r="W419" s="132"/>
      <c r="X419" s="132"/>
      <c r="Y419" s="132"/>
      <c r="Z419" s="132"/>
      <c r="AA419" s="132"/>
      <c r="AB419" s="132"/>
      <c r="AC419" s="132"/>
    </row>
    <row r="420">
      <c r="A420" s="132"/>
      <c r="B420" s="132"/>
      <c r="C420" s="132"/>
      <c r="D420" s="132"/>
      <c r="E420" s="132"/>
      <c r="F420" s="132"/>
      <c r="G420" s="132"/>
      <c r="H420" s="372"/>
      <c r="I420" s="372"/>
      <c r="J420" s="372"/>
      <c r="K420" s="2"/>
      <c r="L420" s="132"/>
      <c r="M420" s="132"/>
      <c r="N420" s="132"/>
      <c r="O420" s="132"/>
      <c r="P420" s="132"/>
      <c r="Q420" s="132"/>
      <c r="R420" s="132"/>
      <c r="S420" s="132"/>
      <c r="T420" s="132"/>
      <c r="U420" s="132"/>
      <c r="V420" s="132"/>
      <c r="W420" s="132"/>
      <c r="X420" s="132"/>
      <c r="Y420" s="132"/>
      <c r="Z420" s="132"/>
      <c r="AA420" s="132"/>
      <c r="AB420" s="132"/>
      <c r="AC420" s="132"/>
    </row>
    <row r="421">
      <c r="A421" s="132"/>
      <c r="B421" s="132"/>
      <c r="C421" s="132"/>
      <c r="D421" s="132"/>
      <c r="E421" s="132"/>
      <c r="F421" s="132"/>
      <c r="G421" s="132"/>
      <c r="H421" s="372"/>
      <c r="I421" s="372"/>
      <c r="J421" s="372"/>
      <c r="K421" s="2"/>
      <c r="L421" s="132"/>
      <c r="M421" s="132"/>
      <c r="N421" s="132"/>
      <c r="O421" s="132"/>
      <c r="P421" s="132"/>
      <c r="Q421" s="132"/>
      <c r="R421" s="132"/>
      <c r="S421" s="132"/>
      <c r="T421" s="132"/>
      <c r="U421" s="132"/>
      <c r="V421" s="132"/>
      <c r="W421" s="132"/>
      <c r="X421" s="132"/>
      <c r="Y421" s="132"/>
      <c r="Z421" s="132"/>
      <c r="AA421" s="132"/>
      <c r="AB421" s="132"/>
      <c r="AC421" s="132"/>
    </row>
    <row r="422">
      <c r="A422" s="132"/>
      <c r="B422" s="132"/>
      <c r="C422" s="132"/>
      <c r="D422" s="132"/>
      <c r="E422" s="132"/>
      <c r="F422" s="132"/>
      <c r="G422" s="132"/>
      <c r="H422" s="372"/>
      <c r="I422" s="372"/>
      <c r="J422" s="372"/>
      <c r="K422" s="2"/>
      <c r="L422" s="132"/>
      <c r="M422" s="132"/>
      <c r="N422" s="132"/>
      <c r="O422" s="132"/>
      <c r="P422" s="132"/>
      <c r="Q422" s="132"/>
      <c r="R422" s="132"/>
      <c r="S422" s="132"/>
      <c r="T422" s="132"/>
      <c r="U422" s="132"/>
      <c r="V422" s="132"/>
      <c r="W422" s="132"/>
      <c r="X422" s="132"/>
      <c r="Y422" s="132"/>
      <c r="Z422" s="132"/>
      <c r="AA422" s="132"/>
      <c r="AB422" s="132"/>
      <c r="AC422" s="132"/>
    </row>
    <row r="423">
      <c r="A423" s="132"/>
      <c r="B423" s="132"/>
      <c r="C423" s="132"/>
      <c r="D423" s="132"/>
      <c r="E423" s="132"/>
      <c r="F423" s="132"/>
      <c r="G423" s="132"/>
      <c r="H423" s="372"/>
      <c r="I423" s="372"/>
      <c r="J423" s="372"/>
      <c r="K423" s="2"/>
      <c r="L423" s="132"/>
      <c r="M423" s="132"/>
      <c r="N423" s="132"/>
      <c r="O423" s="132"/>
      <c r="P423" s="132"/>
      <c r="Q423" s="132"/>
      <c r="R423" s="132"/>
      <c r="S423" s="132"/>
      <c r="T423" s="132"/>
      <c r="U423" s="132"/>
      <c r="V423" s="132"/>
      <c r="W423" s="132"/>
      <c r="X423" s="132"/>
      <c r="Y423" s="132"/>
      <c r="Z423" s="132"/>
      <c r="AA423" s="132"/>
      <c r="AB423" s="132"/>
      <c r="AC423" s="132"/>
    </row>
    <row r="424">
      <c r="A424" s="132"/>
      <c r="B424" s="132"/>
      <c r="C424" s="132"/>
      <c r="D424" s="132"/>
      <c r="E424" s="132"/>
      <c r="F424" s="132"/>
      <c r="G424" s="132"/>
      <c r="H424" s="372"/>
      <c r="I424" s="372"/>
      <c r="J424" s="372"/>
      <c r="K424" s="2"/>
      <c r="L424" s="132"/>
      <c r="M424" s="132"/>
      <c r="N424" s="132"/>
      <c r="O424" s="132"/>
      <c r="P424" s="132"/>
      <c r="Q424" s="132"/>
      <c r="R424" s="132"/>
      <c r="S424" s="132"/>
      <c r="T424" s="132"/>
      <c r="U424" s="132"/>
      <c r="V424" s="132"/>
      <c r="W424" s="132"/>
      <c r="X424" s="132"/>
      <c r="Y424" s="132"/>
      <c r="Z424" s="132"/>
      <c r="AA424" s="132"/>
      <c r="AB424" s="132"/>
      <c r="AC424" s="132"/>
    </row>
    <row r="425">
      <c r="A425" s="132"/>
      <c r="B425" s="132"/>
      <c r="C425" s="132"/>
      <c r="D425" s="132"/>
      <c r="E425" s="132"/>
      <c r="F425" s="132"/>
      <c r="G425" s="132"/>
      <c r="H425" s="372"/>
      <c r="I425" s="372"/>
      <c r="J425" s="372"/>
      <c r="K425" s="2"/>
      <c r="L425" s="132"/>
      <c r="M425" s="132"/>
      <c r="N425" s="132"/>
      <c r="O425" s="132"/>
      <c r="P425" s="132"/>
      <c r="Q425" s="132"/>
      <c r="R425" s="132"/>
      <c r="S425" s="132"/>
      <c r="T425" s="132"/>
      <c r="U425" s="132"/>
      <c r="V425" s="132"/>
      <c r="W425" s="132"/>
      <c r="X425" s="132"/>
      <c r="Y425" s="132"/>
      <c r="Z425" s="132"/>
      <c r="AA425" s="132"/>
      <c r="AB425" s="132"/>
      <c r="AC425" s="132"/>
    </row>
    <row r="426">
      <c r="A426" s="132"/>
      <c r="B426" s="132"/>
      <c r="C426" s="132"/>
      <c r="D426" s="132"/>
      <c r="E426" s="132"/>
      <c r="F426" s="132"/>
      <c r="G426" s="132"/>
      <c r="H426" s="372"/>
      <c r="I426" s="372"/>
      <c r="J426" s="372"/>
      <c r="K426" s="2"/>
      <c r="L426" s="132"/>
      <c r="M426" s="132"/>
      <c r="N426" s="132"/>
      <c r="O426" s="132"/>
      <c r="P426" s="132"/>
      <c r="Q426" s="132"/>
      <c r="R426" s="132"/>
      <c r="S426" s="132"/>
      <c r="T426" s="132"/>
      <c r="U426" s="132"/>
      <c r="V426" s="132"/>
      <c r="W426" s="132"/>
      <c r="X426" s="132"/>
      <c r="Y426" s="132"/>
      <c r="Z426" s="132"/>
      <c r="AA426" s="132"/>
      <c r="AB426" s="132"/>
      <c r="AC426" s="132"/>
    </row>
    <row r="427">
      <c r="A427" s="132"/>
      <c r="B427" s="132"/>
      <c r="C427" s="132"/>
      <c r="D427" s="132"/>
      <c r="E427" s="132"/>
      <c r="F427" s="132"/>
      <c r="G427" s="132"/>
      <c r="H427" s="372"/>
      <c r="I427" s="372"/>
      <c r="J427" s="372"/>
      <c r="K427" s="2"/>
      <c r="L427" s="132"/>
      <c r="M427" s="132"/>
      <c r="N427" s="132"/>
      <c r="O427" s="132"/>
      <c r="P427" s="132"/>
      <c r="Q427" s="132"/>
      <c r="R427" s="132"/>
      <c r="S427" s="132"/>
      <c r="T427" s="132"/>
      <c r="U427" s="132"/>
      <c r="V427" s="132"/>
      <c r="W427" s="132"/>
      <c r="X427" s="132"/>
      <c r="Y427" s="132"/>
      <c r="Z427" s="132"/>
      <c r="AA427" s="132"/>
      <c r="AB427" s="132"/>
      <c r="AC427" s="132"/>
    </row>
    <row r="428">
      <c r="A428" s="132"/>
      <c r="B428" s="132"/>
      <c r="C428" s="132"/>
      <c r="D428" s="132"/>
      <c r="E428" s="132"/>
      <c r="F428" s="132"/>
      <c r="G428" s="132"/>
      <c r="H428" s="372"/>
      <c r="I428" s="372"/>
      <c r="J428" s="372"/>
      <c r="K428" s="2"/>
      <c r="L428" s="132"/>
      <c r="M428" s="132"/>
      <c r="N428" s="132"/>
      <c r="O428" s="132"/>
      <c r="P428" s="132"/>
      <c r="Q428" s="132"/>
      <c r="R428" s="132"/>
      <c r="S428" s="132"/>
      <c r="T428" s="132"/>
      <c r="U428" s="132"/>
      <c r="V428" s="132"/>
      <c r="W428" s="132"/>
      <c r="X428" s="132"/>
      <c r="Y428" s="132"/>
      <c r="Z428" s="132"/>
      <c r="AA428" s="132"/>
      <c r="AB428" s="132"/>
      <c r="AC428" s="132"/>
    </row>
    <row r="429">
      <c r="A429" s="132"/>
      <c r="B429" s="132"/>
      <c r="C429" s="132"/>
      <c r="D429" s="132"/>
      <c r="E429" s="132"/>
      <c r="F429" s="132"/>
      <c r="G429" s="132"/>
      <c r="H429" s="372"/>
      <c r="I429" s="372"/>
      <c r="J429" s="372"/>
      <c r="K429" s="2"/>
      <c r="L429" s="132"/>
      <c r="M429" s="132"/>
      <c r="N429" s="132"/>
      <c r="O429" s="132"/>
      <c r="P429" s="132"/>
      <c r="Q429" s="132"/>
      <c r="R429" s="132"/>
      <c r="S429" s="132"/>
      <c r="T429" s="132"/>
      <c r="U429" s="132"/>
      <c r="V429" s="132"/>
      <c r="W429" s="132"/>
      <c r="X429" s="132"/>
      <c r="Y429" s="132"/>
      <c r="Z429" s="132"/>
      <c r="AA429" s="132"/>
      <c r="AB429" s="132"/>
      <c r="AC429" s="132"/>
    </row>
    <row r="430">
      <c r="A430" s="132"/>
      <c r="B430" s="132"/>
      <c r="C430" s="132"/>
      <c r="D430" s="132"/>
      <c r="E430" s="132"/>
      <c r="F430" s="132"/>
      <c r="G430" s="132"/>
      <c r="H430" s="372"/>
      <c r="I430" s="372"/>
      <c r="J430" s="372"/>
      <c r="K430" s="2"/>
      <c r="L430" s="132"/>
      <c r="M430" s="132"/>
      <c r="N430" s="132"/>
      <c r="O430" s="132"/>
      <c r="P430" s="132"/>
      <c r="Q430" s="132"/>
      <c r="R430" s="132"/>
      <c r="S430" s="132"/>
      <c r="T430" s="132"/>
      <c r="U430" s="132"/>
      <c r="V430" s="132"/>
      <c r="W430" s="132"/>
      <c r="X430" s="132"/>
      <c r="Y430" s="132"/>
      <c r="Z430" s="132"/>
      <c r="AA430" s="132"/>
      <c r="AB430" s="132"/>
      <c r="AC430" s="132"/>
    </row>
    <row r="431">
      <c r="A431" s="132"/>
      <c r="B431" s="132"/>
      <c r="C431" s="132"/>
      <c r="D431" s="132"/>
      <c r="E431" s="132"/>
      <c r="F431" s="132"/>
      <c r="G431" s="132"/>
      <c r="H431" s="372"/>
      <c r="I431" s="372"/>
      <c r="J431" s="372"/>
      <c r="K431" s="2"/>
      <c r="L431" s="132"/>
      <c r="M431" s="132"/>
      <c r="N431" s="132"/>
      <c r="O431" s="132"/>
      <c r="P431" s="132"/>
      <c r="Q431" s="132"/>
      <c r="R431" s="132"/>
      <c r="S431" s="132"/>
      <c r="T431" s="132"/>
      <c r="U431" s="132"/>
      <c r="V431" s="132"/>
      <c r="W431" s="132"/>
      <c r="X431" s="132"/>
      <c r="Y431" s="132"/>
      <c r="Z431" s="132"/>
      <c r="AA431" s="132"/>
      <c r="AB431" s="132"/>
      <c r="AC431" s="132"/>
    </row>
    <row r="432">
      <c r="A432" s="132"/>
      <c r="B432" s="132"/>
      <c r="C432" s="132"/>
      <c r="D432" s="132"/>
      <c r="E432" s="132"/>
      <c r="F432" s="132"/>
      <c r="G432" s="132"/>
      <c r="H432" s="372"/>
      <c r="I432" s="372"/>
      <c r="J432" s="372"/>
      <c r="K432" s="2"/>
      <c r="L432" s="132"/>
      <c r="M432" s="132"/>
      <c r="N432" s="132"/>
      <c r="O432" s="132"/>
      <c r="P432" s="132"/>
      <c r="Q432" s="132"/>
      <c r="R432" s="132"/>
      <c r="S432" s="132"/>
      <c r="T432" s="132"/>
      <c r="U432" s="132"/>
      <c r="V432" s="132"/>
      <c r="W432" s="132"/>
      <c r="X432" s="132"/>
      <c r="Y432" s="132"/>
      <c r="Z432" s="132"/>
      <c r="AA432" s="132"/>
      <c r="AB432" s="132"/>
      <c r="AC432" s="132"/>
    </row>
    <row r="433">
      <c r="A433" s="132"/>
      <c r="B433" s="132"/>
      <c r="C433" s="132"/>
      <c r="D433" s="132"/>
      <c r="E433" s="132"/>
      <c r="F433" s="132"/>
      <c r="G433" s="132"/>
      <c r="H433" s="372"/>
      <c r="I433" s="372"/>
      <c r="J433" s="372"/>
      <c r="K433" s="2"/>
      <c r="L433" s="132"/>
      <c r="M433" s="132"/>
      <c r="N433" s="132"/>
      <c r="O433" s="132"/>
      <c r="P433" s="132"/>
      <c r="Q433" s="132"/>
      <c r="R433" s="132"/>
      <c r="S433" s="132"/>
      <c r="T433" s="132"/>
      <c r="U433" s="132"/>
      <c r="V433" s="132"/>
      <c r="W433" s="132"/>
      <c r="X433" s="132"/>
      <c r="Y433" s="132"/>
      <c r="Z433" s="132"/>
      <c r="AA433" s="132"/>
      <c r="AB433" s="132"/>
      <c r="AC433" s="132"/>
    </row>
    <row r="434">
      <c r="A434" s="132"/>
      <c r="B434" s="132"/>
      <c r="C434" s="132"/>
      <c r="D434" s="132"/>
      <c r="E434" s="132"/>
      <c r="F434" s="132"/>
      <c r="G434" s="132"/>
      <c r="H434" s="372"/>
      <c r="I434" s="372"/>
      <c r="J434" s="372"/>
      <c r="K434" s="2"/>
      <c r="L434" s="132"/>
      <c r="M434" s="132"/>
      <c r="N434" s="132"/>
      <c r="O434" s="132"/>
      <c r="P434" s="132"/>
      <c r="Q434" s="132"/>
      <c r="R434" s="132"/>
      <c r="S434" s="132"/>
      <c r="T434" s="132"/>
      <c r="U434" s="132"/>
      <c r="V434" s="132"/>
      <c r="W434" s="132"/>
      <c r="X434" s="132"/>
      <c r="Y434" s="132"/>
      <c r="Z434" s="132"/>
      <c r="AA434" s="132"/>
      <c r="AB434" s="132"/>
      <c r="AC434" s="132"/>
    </row>
    <row r="435">
      <c r="A435" s="132"/>
      <c r="B435" s="132"/>
      <c r="C435" s="132"/>
      <c r="D435" s="132"/>
      <c r="E435" s="132"/>
      <c r="F435" s="132"/>
      <c r="G435" s="132"/>
      <c r="H435" s="372"/>
      <c r="I435" s="372"/>
      <c r="J435" s="372"/>
      <c r="K435" s="2"/>
      <c r="L435" s="132"/>
      <c r="M435" s="132"/>
      <c r="N435" s="132"/>
      <c r="O435" s="132"/>
      <c r="P435" s="132"/>
      <c r="Q435" s="132"/>
      <c r="R435" s="132"/>
      <c r="S435" s="132"/>
      <c r="T435" s="132"/>
      <c r="U435" s="132"/>
      <c r="V435" s="132"/>
      <c r="W435" s="132"/>
      <c r="X435" s="132"/>
      <c r="Y435" s="132"/>
      <c r="Z435" s="132"/>
      <c r="AA435" s="132"/>
      <c r="AB435" s="132"/>
      <c r="AC435" s="132"/>
    </row>
    <row r="436">
      <c r="A436" s="132"/>
      <c r="B436" s="132"/>
      <c r="C436" s="132"/>
      <c r="D436" s="132"/>
      <c r="E436" s="132"/>
      <c r="F436" s="132"/>
      <c r="G436" s="132"/>
      <c r="H436" s="372"/>
      <c r="I436" s="372"/>
      <c r="J436" s="372"/>
      <c r="K436" s="2"/>
      <c r="L436" s="132"/>
      <c r="M436" s="132"/>
      <c r="N436" s="132"/>
      <c r="O436" s="132"/>
      <c r="P436" s="132"/>
      <c r="Q436" s="132"/>
      <c r="R436" s="132"/>
      <c r="S436" s="132"/>
      <c r="T436" s="132"/>
      <c r="U436" s="132"/>
      <c r="V436" s="132"/>
      <c r="W436" s="132"/>
      <c r="X436" s="132"/>
      <c r="Y436" s="132"/>
      <c r="Z436" s="132"/>
      <c r="AA436" s="132"/>
      <c r="AB436" s="132"/>
      <c r="AC436" s="132"/>
    </row>
    <row r="437">
      <c r="A437" s="132"/>
      <c r="B437" s="132"/>
      <c r="C437" s="132"/>
      <c r="D437" s="132"/>
      <c r="E437" s="132"/>
      <c r="F437" s="132"/>
      <c r="G437" s="132"/>
      <c r="H437" s="372"/>
      <c r="I437" s="372"/>
      <c r="J437" s="372"/>
      <c r="K437" s="2"/>
      <c r="L437" s="132"/>
      <c r="M437" s="132"/>
      <c r="N437" s="132"/>
      <c r="O437" s="132"/>
      <c r="P437" s="132"/>
      <c r="Q437" s="132"/>
      <c r="R437" s="132"/>
      <c r="S437" s="132"/>
      <c r="T437" s="132"/>
      <c r="U437" s="132"/>
      <c r="V437" s="132"/>
      <c r="W437" s="132"/>
      <c r="X437" s="132"/>
      <c r="Y437" s="132"/>
      <c r="Z437" s="132"/>
      <c r="AA437" s="132"/>
      <c r="AB437" s="132"/>
      <c r="AC437" s="132"/>
    </row>
    <row r="438">
      <c r="A438" s="132"/>
      <c r="B438" s="132"/>
      <c r="C438" s="132"/>
      <c r="D438" s="132"/>
      <c r="E438" s="132"/>
      <c r="F438" s="132"/>
      <c r="G438" s="132"/>
      <c r="H438" s="372"/>
      <c r="I438" s="372"/>
      <c r="J438" s="372"/>
      <c r="K438" s="2"/>
      <c r="L438" s="132"/>
      <c r="M438" s="132"/>
      <c r="N438" s="132"/>
      <c r="O438" s="132"/>
      <c r="P438" s="132"/>
      <c r="Q438" s="132"/>
      <c r="R438" s="132"/>
      <c r="S438" s="132"/>
      <c r="T438" s="132"/>
      <c r="U438" s="132"/>
      <c r="V438" s="132"/>
      <c r="W438" s="132"/>
      <c r="X438" s="132"/>
      <c r="Y438" s="132"/>
      <c r="Z438" s="132"/>
      <c r="AA438" s="132"/>
      <c r="AB438" s="132"/>
      <c r="AC438" s="132"/>
    </row>
    <row r="439">
      <c r="A439" s="132"/>
      <c r="B439" s="132"/>
      <c r="C439" s="132"/>
      <c r="D439" s="132"/>
      <c r="E439" s="132"/>
      <c r="F439" s="132"/>
      <c r="G439" s="132"/>
      <c r="H439" s="372"/>
      <c r="I439" s="372"/>
      <c r="J439" s="372"/>
      <c r="K439" s="2"/>
      <c r="L439" s="132"/>
      <c r="M439" s="132"/>
      <c r="N439" s="132"/>
      <c r="O439" s="132"/>
      <c r="P439" s="132"/>
      <c r="Q439" s="132"/>
      <c r="R439" s="132"/>
      <c r="S439" s="132"/>
      <c r="T439" s="132"/>
      <c r="U439" s="132"/>
      <c r="V439" s="132"/>
      <c r="W439" s="132"/>
      <c r="X439" s="132"/>
      <c r="Y439" s="132"/>
      <c r="Z439" s="132"/>
      <c r="AA439" s="132"/>
      <c r="AB439" s="132"/>
      <c r="AC439" s="132"/>
    </row>
    <row r="440">
      <c r="A440" s="132"/>
      <c r="B440" s="132"/>
      <c r="C440" s="132"/>
      <c r="D440" s="132"/>
      <c r="E440" s="132"/>
      <c r="F440" s="132"/>
      <c r="G440" s="132"/>
      <c r="H440" s="372"/>
      <c r="I440" s="372"/>
      <c r="J440" s="372"/>
      <c r="K440" s="2"/>
      <c r="L440" s="132"/>
      <c r="M440" s="132"/>
      <c r="N440" s="132"/>
      <c r="O440" s="132"/>
      <c r="P440" s="132"/>
      <c r="Q440" s="132"/>
      <c r="R440" s="132"/>
      <c r="S440" s="132"/>
      <c r="T440" s="132"/>
      <c r="U440" s="132"/>
      <c r="V440" s="132"/>
      <c r="W440" s="132"/>
      <c r="X440" s="132"/>
      <c r="Y440" s="132"/>
      <c r="Z440" s="132"/>
      <c r="AA440" s="132"/>
      <c r="AB440" s="132"/>
      <c r="AC440" s="132"/>
    </row>
    <row r="441">
      <c r="A441" s="132"/>
      <c r="B441" s="132"/>
      <c r="C441" s="132"/>
      <c r="D441" s="132"/>
      <c r="E441" s="132"/>
      <c r="F441" s="132"/>
      <c r="G441" s="132"/>
      <c r="H441" s="372"/>
      <c r="I441" s="372"/>
      <c r="J441" s="372"/>
      <c r="K441" s="2"/>
      <c r="L441" s="132"/>
      <c r="M441" s="132"/>
      <c r="N441" s="132"/>
      <c r="O441" s="132"/>
      <c r="P441" s="132"/>
      <c r="Q441" s="132"/>
      <c r="R441" s="132"/>
      <c r="S441" s="132"/>
      <c r="T441" s="132"/>
      <c r="U441" s="132"/>
      <c r="V441" s="132"/>
      <c r="W441" s="132"/>
      <c r="X441" s="132"/>
      <c r="Y441" s="132"/>
      <c r="Z441" s="132"/>
      <c r="AA441" s="132"/>
      <c r="AB441" s="132"/>
      <c r="AC441" s="132"/>
    </row>
    <row r="442">
      <c r="A442" s="132"/>
      <c r="B442" s="132"/>
      <c r="C442" s="132"/>
      <c r="D442" s="132"/>
      <c r="E442" s="132"/>
      <c r="F442" s="132"/>
      <c r="G442" s="132"/>
      <c r="H442" s="372"/>
      <c r="I442" s="372"/>
      <c r="J442" s="372"/>
      <c r="K442" s="2"/>
      <c r="L442" s="132"/>
      <c r="M442" s="132"/>
      <c r="N442" s="132"/>
      <c r="O442" s="132"/>
      <c r="P442" s="132"/>
      <c r="Q442" s="132"/>
      <c r="R442" s="132"/>
      <c r="S442" s="132"/>
      <c r="T442" s="132"/>
      <c r="U442" s="132"/>
      <c r="V442" s="132"/>
      <c r="W442" s="132"/>
      <c r="X442" s="132"/>
      <c r="Y442" s="132"/>
      <c r="Z442" s="132"/>
      <c r="AA442" s="132"/>
      <c r="AB442" s="132"/>
      <c r="AC442" s="132"/>
    </row>
    <row r="443">
      <c r="A443" s="132"/>
      <c r="B443" s="132"/>
      <c r="C443" s="132"/>
      <c r="D443" s="132"/>
      <c r="E443" s="132"/>
      <c r="F443" s="132"/>
      <c r="G443" s="132"/>
      <c r="H443" s="372"/>
      <c r="I443" s="372"/>
      <c r="J443" s="372"/>
      <c r="K443" s="2"/>
      <c r="L443" s="132"/>
      <c r="M443" s="132"/>
      <c r="N443" s="132"/>
      <c r="O443" s="132"/>
      <c r="P443" s="132"/>
      <c r="Q443" s="132"/>
      <c r="R443" s="132"/>
      <c r="S443" s="132"/>
      <c r="T443" s="132"/>
      <c r="U443" s="132"/>
      <c r="V443" s="132"/>
      <c r="W443" s="132"/>
      <c r="X443" s="132"/>
      <c r="Y443" s="132"/>
      <c r="Z443" s="132"/>
      <c r="AA443" s="132"/>
      <c r="AB443" s="132"/>
      <c r="AC443" s="132"/>
    </row>
    <row r="444">
      <c r="A444" s="132"/>
      <c r="B444" s="132"/>
      <c r="C444" s="132"/>
      <c r="D444" s="132"/>
      <c r="E444" s="132"/>
      <c r="F444" s="132"/>
      <c r="G444" s="132"/>
      <c r="H444" s="372"/>
      <c r="I444" s="372"/>
      <c r="J444" s="372"/>
      <c r="K444" s="2"/>
      <c r="L444" s="132"/>
      <c r="M444" s="132"/>
      <c r="N444" s="132"/>
      <c r="O444" s="132"/>
      <c r="P444" s="132"/>
      <c r="Q444" s="132"/>
      <c r="R444" s="132"/>
      <c r="S444" s="132"/>
      <c r="T444" s="132"/>
      <c r="U444" s="132"/>
      <c r="V444" s="132"/>
      <c r="W444" s="132"/>
      <c r="X444" s="132"/>
      <c r="Y444" s="132"/>
      <c r="Z444" s="132"/>
      <c r="AA444" s="132"/>
      <c r="AB444" s="132"/>
      <c r="AC444" s="132"/>
    </row>
    <row r="445">
      <c r="A445" s="132"/>
      <c r="B445" s="132"/>
      <c r="C445" s="132"/>
      <c r="D445" s="132"/>
      <c r="E445" s="132"/>
      <c r="F445" s="132"/>
      <c r="G445" s="132"/>
      <c r="H445" s="372"/>
      <c r="I445" s="372"/>
      <c r="J445" s="372"/>
      <c r="K445" s="2"/>
      <c r="L445" s="132"/>
      <c r="M445" s="132"/>
      <c r="N445" s="132"/>
      <c r="O445" s="132"/>
      <c r="P445" s="132"/>
      <c r="Q445" s="132"/>
      <c r="R445" s="132"/>
      <c r="S445" s="132"/>
      <c r="T445" s="132"/>
      <c r="U445" s="132"/>
      <c r="V445" s="132"/>
      <c r="W445" s="132"/>
      <c r="X445" s="132"/>
      <c r="Y445" s="132"/>
      <c r="Z445" s="132"/>
      <c r="AA445" s="132"/>
      <c r="AB445" s="132"/>
      <c r="AC445" s="132"/>
    </row>
    <row r="446">
      <c r="A446" s="132"/>
      <c r="B446" s="132"/>
      <c r="C446" s="132"/>
      <c r="D446" s="132"/>
      <c r="E446" s="132"/>
      <c r="F446" s="132"/>
      <c r="G446" s="132"/>
      <c r="H446" s="372"/>
      <c r="I446" s="372"/>
      <c r="J446" s="372"/>
      <c r="K446" s="2"/>
      <c r="L446" s="132"/>
      <c r="M446" s="132"/>
      <c r="N446" s="132"/>
      <c r="O446" s="132"/>
      <c r="P446" s="132"/>
      <c r="Q446" s="132"/>
      <c r="R446" s="132"/>
      <c r="S446" s="132"/>
      <c r="T446" s="132"/>
      <c r="U446" s="132"/>
      <c r="V446" s="132"/>
      <c r="W446" s="132"/>
      <c r="X446" s="132"/>
      <c r="Y446" s="132"/>
      <c r="Z446" s="132"/>
      <c r="AA446" s="132"/>
      <c r="AB446" s="132"/>
      <c r="AC446" s="132"/>
    </row>
    <row r="447">
      <c r="A447" s="132"/>
      <c r="B447" s="132"/>
      <c r="C447" s="132"/>
      <c r="D447" s="132"/>
      <c r="E447" s="132"/>
      <c r="F447" s="132"/>
      <c r="G447" s="132"/>
      <c r="H447" s="372"/>
      <c r="I447" s="372"/>
      <c r="J447" s="372"/>
      <c r="K447" s="2"/>
      <c r="L447" s="132"/>
      <c r="M447" s="132"/>
      <c r="N447" s="132"/>
      <c r="O447" s="132"/>
      <c r="P447" s="132"/>
      <c r="Q447" s="132"/>
      <c r="R447" s="132"/>
      <c r="S447" s="132"/>
      <c r="T447" s="132"/>
      <c r="U447" s="132"/>
      <c r="V447" s="132"/>
      <c r="W447" s="132"/>
      <c r="X447" s="132"/>
      <c r="Y447" s="132"/>
      <c r="Z447" s="132"/>
      <c r="AA447" s="132"/>
      <c r="AB447" s="132"/>
      <c r="AC447" s="132"/>
    </row>
    <row r="448">
      <c r="A448" s="132"/>
      <c r="B448" s="132"/>
      <c r="C448" s="132"/>
      <c r="D448" s="132"/>
      <c r="E448" s="132"/>
      <c r="F448" s="132"/>
      <c r="G448" s="132"/>
      <c r="H448" s="372"/>
      <c r="I448" s="372"/>
      <c r="J448" s="372"/>
      <c r="K448" s="2"/>
      <c r="L448" s="132"/>
      <c r="M448" s="132"/>
      <c r="N448" s="132"/>
      <c r="O448" s="132"/>
      <c r="P448" s="132"/>
      <c r="Q448" s="132"/>
      <c r="R448" s="132"/>
      <c r="S448" s="132"/>
      <c r="T448" s="132"/>
      <c r="U448" s="132"/>
      <c r="V448" s="132"/>
      <c r="W448" s="132"/>
      <c r="X448" s="132"/>
      <c r="Y448" s="132"/>
      <c r="Z448" s="132"/>
      <c r="AA448" s="132"/>
      <c r="AB448" s="132"/>
      <c r="AC448" s="132"/>
    </row>
    <row r="449">
      <c r="A449" s="132"/>
      <c r="B449" s="132"/>
      <c r="C449" s="132"/>
      <c r="D449" s="132"/>
      <c r="E449" s="132"/>
      <c r="F449" s="132"/>
      <c r="G449" s="132"/>
      <c r="H449" s="372"/>
      <c r="I449" s="372"/>
      <c r="J449" s="372"/>
      <c r="K449" s="2"/>
      <c r="L449" s="132"/>
      <c r="M449" s="132"/>
      <c r="N449" s="132"/>
      <c r="O449" s="132"/>
      <c r="P449" s="132"/>
      <c r="Q449" s="132"/>
      <c r="R449" s="132"/>
      <c r="S449" s="132"/>
      <c r="T449" s="132"/>
      <c r="U449" s="132"/>
      <c r="V449" s="132"/>
      <c r="W449" s="132"/>
      <c r="X449" s="132"/>
      <c r="Y449" s="132"/>
      <c r="Z449" s="132"/>
      <c r="AA449" s="132"/>
      <c r="AB449" s="132"/>
      <c r="AC449" s="132"/>
    </row>
    <row r="450">
      <c r="A450" s="132"/>
      <c r="B450" s="132"/>
      <c r="C450" s="132"/>
      <c r="D450" s="132"/>
      <c r="E450" s="132"/>
      <c r="F450" s="132"/>
      <c r="G450" s="132"/>
      <c r="H450" s="372"/>
      <c r="I450" s="372"/>
      <c r="J450" s="372"/>
      <c r="K450" s="2"/>
      <c r="L450" s="132"/>
      <c r="M450" s="132"/>
      <c r="N450" s="132"/>
      <c r="O450" s="132"/>
      <c r="P450" s="132"/>
      <c r="Q450" s="132"/>
      <c r="R450" s="132"/>
      <c r="S450" s="132"/>
      <c r="T450" s="132"/>
      <c r="U450" s="132"/>
      <c r="V450" s="132"/>
      <c r="W450" s="132"/>
      <c r="X450" s="132"/>
      <c r="Y450" s="132"/>
      <c r="Z450" s="132"/>
      <c r="AA450" s="132"/>
      <c r="AB450" s="132"/>
      <c r="AC450" s="132"/>
    </row>
    <row r="451">
      <c r="A451" s="132"/>
      <c r="B451" s="132"/>
      <c r="C451" s="132"/>
      <c r="D451" s="132"/>
      <c r="E451" s="132"/>
      <c r="F451" s="132"/>
      <c r="G451" s="132"/>
      <c r="H451" s="372"/>
      <c r="I451" s="372"/>
      <c r="J451" s="372"/>
      <c r="K451" s="2"/>
      <c r="L451" s="132"/>
      <c r="M451" s="132"/>
      <c r="N451" s="132"/>
      <c r="O451" s="132"/>
      <c r="P451" s="132"/>
      <c r="Q451" s="132"/>
      <c r="R451" s="132"/>
      <c r="S451" s="132"/>
      <c r="T451" s="132"/>
      <c r="U451" s="132"/>
      <c r="V451" s="132"/>
      <c r="W451" s="132"/>
      <c r="X451" s="132"/>
      <c r="Y451" s="132"/>
      <c r="Z451" s="132"/>
      <c r="AA451" s="132"/>
      <c r="AB451" s="132"/>
      <c r="AC451" s="132"/>
    </row>
    <row r="452">
      <c r="A452" s="132"/>
      <c r="B452" s="132"/>
      <c r="C452" s="132"/>
      <c r="D452" s="132"/>
      <c r="E452" s="132"/>
      <c r="F452" s="132"/>
      <c r="G452" s="132"/>
      <c r="H452" s="372"/>
      <c r="I452" s="372"/>
      <c r="J452" s="372"/>
      <c r="K452" s="2"/>
      <c r="L452" s="132"/>
      <c r="M452" s="132"/>
      <c r="N452" s="132"/>
      <c r="O452" s="132"/>
      <c r="P452" s="132"/>
      <c r="Q452" s="132"/>
      <c r="R452" s="132"/>
      <c r="S452" s="132"/>
      <c r="T452" s="132"/>
      <c r="U452" s="132"/>
      <c r="V452" s="132"/>
      <c r="W452" s="132"/>
      <c r="X452" s="132"/>
      <c r="Y452" s="132"/>
      <c r="Z452" s="132"/>
      <c r="AA452" s="132"/>
      <c r="AB452" s="132"/>
      <c r="AC452" s="132"/>
    </row>
    <row r="453">
      <c r="A453" s="132"/>
      <c r="B453" s="132"/>
      <c r="C453" s="132"/>
      <c r="D453" s="132"/>
      <c r="E453" s="132"/>
      <c r="F453" s="132"/>
      <c r="G453" s="132"/>
      <c r="H453" s="372"/>
      <c r="I453" s="372"/>
      <c r="J453" s="372"/>
      <c r="K453" s="2"/>
      <c r="L453" s="132"/>
      <c r="M453" s="132"/>
      <c r="N453" s="132"/>
      <c r="O453" s="132"/>
      <c r="P453" s="132"/>
      <c r="Q453" s="132"/>
      <c r="R453" s="132"/>
      <c r="S453" s="132"/>
      <c r="T453" s="132"/>
      <c r="U453" s="132"/>
      <c r="V453" s="132"/>
      <c r="W453" s="132"/>
      <c r="X453" s="132"/>
      <c r="Y453" s="132"/>
      <c r="Z453" s="132"/>
      <c r="AA453" s="132"/>
      <c r="AB453" s="132"/>
      <c r="AC453" s="132"/>
    </row>
    <row r="454">
      <c r="A454" s="132"/>
      <c r="B454" s="132"/>
      <c r="C454" s="132"/>
      <c r="D454" s="132"/>
      <c r="E454" s="132"/>
      <c r="F454" s="132"/>
      <c r="G454" s="132"/>
      <c r="H454" s="372"/>
      <c r="I454" s="372"/>
      <c r="J454" s="372"/>
      <c r="K454" s="2"/>
      <c r="L454" s="132"/>
      <c r="M454" s="132"/>
      <c r="N454" s="132"/>
      <c r="O454" s="132"/>
      <c r="P454" s="132"/>
      <c r="Q454" s="132"/>
      <c r="R454" s="132"/>
      <c r="S454" s="132"/>
      <c r="T454" s="132"/>
      <c r="U454" s="132"/>
      <c r="V454" s="132"/>
      <c r="W454" s="132"/>
      <c r="X454" s="132"/>
      <c r="Y454" s="132"/>
      <c r="Z454" s="132"/>
      <c r="AA454" s="132"/>
      <c r="AB454" s="132"/>
      <c r="AC454" s="132"/>
    </row>
    <row r="455">
      <c r="A455" s="132"/>
      <c r="B455" s="132"/>
      <c r="C455" s="132"/>
      <c r="D455" s="132"/>
      <c r="E455" s="132"/>
      <c r="F455" s="132"/>
      <c r="G455" s="132"/>
      <c r="H455" s="372"/>
      <c r="I455" s="372"/>
      <c r="J455" s="372"/>
      <c r="K455" s="2"/>
      <c r="L455" s="132"/>
      <c r="M455" s="132"/>
      <c r="N455" s="132"/>
      <c r="O455" s="132"/>
      <c r="P455" s="132"/>
      <c r="Q455" s="132"/>
      <c r="R455" s="132"/>
      <c r="S455" s="132"/>
      <c r="T455" s="132"/>
      <c r="U455" s="132"/>
      <c r="V455" s="132"/>
      <c r="W455" s="132"/>
      <c r="X455" s="132"/>
      <c r="Y455" s="132"/>
      <c r="Z455" s="132"/>
      <c r="AA455" s="132"/>
      <c r="AB455" s="132"/>
      <c r="AC455" s="132"/>
    </row>
    <row r="456">
      <c r="A456" s="132"/>
      <c r="B456" s="132"/>
      <c r="C456" s="132"/>
      <c r="D456" s="132"/>
      <c r="E456" s="132"/>
      <c r="F456" s="132"/>
      <c r="G456" s="132"/>
      <c r="H456" s="372"/>
      <c r="I456" s="372"/>
      <c r="J456" s="372"/>
      <c r="K456" s="2"/>
      <c r="L456" s="132"/>
      <c r="M456" s="132"/>
      <c r="N456" s="132"/>
      <c r="O456" s="132"/>
      <c r="P456" s="132"/>
      <c r="Q456" s="132"/>
      <c r="R456" s="132"/>
      <c r="S456" s="132"/>
      <c r="T456" s="132"/>
      <c r="U456" s="132"/>
      <c r="V456" s="132"/>
      <c r="W456" s="132"/>
      <c r="X456" s="132"/>
      <c r="Y456" s="132"/>
      <c r="Z456" s="132"/>
      <c r="AA456" s="132"/>
      <c r="AB456" s="132"/>
      <c r="AC456" s="132"/>
    </row>
    <row r="457">
      <c r="A457" s="132"/>
      <c r="B457" s="132"/>
      <c r="C457" s="132"/>
      <c r="D457" s="132"/>
      <c r="E457" s="132"/>
      <c r="F457" s="132"/>
      <c r="G457" s="132"/>
      <c r="H457" s="372"/>
      <c r="I457" s="372"/>
      <c r="J457" s="372"/>
      <c r="K457" s="2"/>
      <c r="L457" s="132"/>
      <c r="M457" s="132"/>
      <c r="N457" s="132"/>
      <c r="O457" s="132"/>
      <c r="P457" s="132"/>
      <c r="Q457" s="132"/>
      <c r="R457" s="132"/>
      <c r="S457" s="132"/>
      <c r="T457" s="132"/>
      <c r="U457" s="132"/>
      <c r="V457" s="132"/>
      <c r="W457" s="132"/>
      <c r="X457" s="132"/>
      <c r="Y457" s="132"/>
      <c r="Z457" s="132"/>
      <c r="AA457" s="132"/>
      <c r="AB457" s="132"/>
      <c r="AC457" s="132"/>
    </row>
    <row r="458">
      <c r="A458" s="132"/>
      <c r="B458" s="132"/>
      <c r="C458" s="132"/>
      <c r="D458" s="132"/>
      <c r="E458" s="132"/>
      <c r="F458" s="132"/>
      <c r="G458" s="132"/>
      <c r="H458" s="372"/>
      <c r="I458" s="372"/>
      <c r="J458" s="372"/>
      <c r="K458" s="2"/>
      <c r="L458" s="132"/>
      <c r="M458" s="132"/>
      <c r="N458" s="132"/>
      <c r="O458" s="132"/>
      <c r="P458" s="132"/>
      <c r="Q458" s="132"/>
      <c r="R458" s="132"/>
      <c r="S458" s="132"/>
      <c r="T458" s="132"/>
      <c r="U458" s="132"/>
      <c r="V458" s="132"/>
      <c r="W458" s="132"/>
      <c r="X458" s="132"/>
      <c r="Y458" s="132"/>
      <c r="Z458" s="132"/>
      <c r="AA458" s="132"/>
      <c r="AB458" s="132"/>
      <c r="AC458" s="132"/>
    </row>
    <row r="459">
      <c r="A459" s="132"/>
      <c r="B459" s="132"/>
      <c r="C459" s="132"/>
      <c r="D459" s="132"/>
      <c r="E459" s="132"/>
      <c r="F459" s="132"/>
      <c r="G459" s="132"/>
      <c r="H459" s="372"/>
      <c r="I459" s="372"/>
      <c r="J459" s="372"/>
      <c r="K459" s="2"/>
      <c r="L459" s="132"/>
      <c r="M459" s="132"/>
      <c r="N459" s="132"/>
      <c r="O459" s="132"/>
      <c r="P459" s="132"/>
      <c r="Q459" s="132"/>
      <c r="R459" s="132"/>
      <c r="S459" s="132"/>
      <c r="T459" s="132"/>
      <c r="U459" s="132"/>
      <c r="V459" s="132"/>
      <c r="W459" s="132"/>
      <c r="X459" s="132"/>
      <c r="Y459" s="132"/>
      <c r="Z459" s="132"/>
      <c r="AA459" s="132"/>
      <c r="AB459" s="132"/>
      <c r="AC459" s="132"/>
    </row>
    <row r="460">
      <c r="A460" s="132"/>
      <c r="B460" s="132"/>
      <c r="C460" s="132"/>
      <c r="D460" s="132"/>
      <c r="E460" s="132"/>
      <c r="F460" s="132"/>
      <c r="G460" s="132"/>
      <c r="H460" s="372"/>
      <c r="I460" s="372"/>
      <c r="J460" s="372"/>
      <c r="K460" s="2"/>
      <c r="L460" s="132"/>
      <c r="M460" s="132"/>
      <c r="N460" s="132"/>
      <c r="O460" s="132"/>
      <c r="P460" s="132"/>
      <c r="Q460" s="132"/>
      <c r="R460" s="132"/>
      <c r="S460" s="132"/>
      <c r="T460" s="132"/>
      <c r="U460" s="132"/>
      <c r="V460" s="132"/>
      <c r="W460" s="132"/>
      <c r="X460" s="132"/>
      <c r="Y460" s="132"/>
      <c r="Z460" s="132"/>
      <c r="AA460" s="132"/>
      <c r="AB460" s="132"/>
      <c r="AC460" s="132"/>
    </row>
    <row r="461">
      <c r="A461" s="132"/>
      <c r="B461" s="132"/>
      <c r="C461" s="132"/>
      <c r="D461" s="132"/>
      <c r="E461" s="132"/>
      <c r="F461" s="132"/>
      <c r="G461" s="132"/>
      <c r="H461" s="372"/>
      <c r="I461" s="372"/>
      <c r="J461" s="372"/>
      <c r="K461" s="2"/>
      <c r="L461" s="132"/>
      <c r="M461" s="132"/>
      <c r="N461" s="132"/>
      <c r="O461" s="132"/>
      <c r="P461" s="132"/>
      <c r="Q461" s="132"/>
      <c r="R461" s="132"/>
      <c r="S461" s="132"/>
      <c r="T461" s="132"/>
      <c r="U461" s="132"/>
      <c r="V461" s="132"/>
      <c r="W461" s="132"/>
      <c r="X461" s="132"/>
      <c r="Y461" s="132"/>
      <c r="Z461" s="132"/>
      <c r="AA461" s="132"/>
      <c r="AB461" s="132"/>
      <c r="AC461" s="132"/>
    </row>
    <row r="462">
      <c r="A462" s="132"/>
      <c r="B462" s="132"/>
      <c r="C462" s="132"/>
      <c r="D462" s="132"/>
      <c r="E462" s="132"/>
      <c r="F462" s="132"/>
      <c r="G462" s="132"/>
      <c r="H462" s="372"/>
      <c r="I462" s="372"/>
      <c r="J462" s="372"/>
      <c r="K462" s="2"/>
      <c r="L462" s="132"/>
      <c r="M462" s="132"/>
      <c r="N462" s="132"/>
      <c r="O462" s="132"/>
      <c r="P462" s="132"/>
      <c r="Q462" s="132"/>
      <c r="R462" s="132"/>
      <c r="S462" s="132"/>
      <c r="T462" s="132"/>
      <c r="U462" s="132"/>
      <c r="V462" s="132"/>
      <c r="W462" s="132"/>
      <c r="X462" s="132"/>
      <c r="Y462" s="132"/>
      <c r="Z462" s="132"/>
      <c r="AA462" s="132"/>
      <c r="AB462" s="132"/>
      <c r="AC462" s="132"/>
    </row>
    <row r="463">
      <c r="A463" s="132"/>
      <c r="B463" s="132"/>
      <c r="C463" s="132"/>
      <c r="D463" s="132"/>
      <c r="E463" s="132"/>
      <c r="F463" s="132"/>
      <c r="G463" s="132"/>
      <c r="H463" s="372"/>
      <c r="I463" s="372"/>
      <c r="J463" s="372"/>
      <c r="K463" s="2"/>
      <c r="L463" s="132"/>
      <c r="M463" s="132"/>
      <c r="N463" s="132"/>
      <c r="O463" s="132"/>
      <c r="P463" s="132"/>
      <c r="Q463" s="132"/>
      <c r="R463" s="132"/>
      <c r="S463" s="132"/>
      <c r="T463" s="132"/>
      <c r="U463" s="132"/>
      <c r="V463" s="132"/>
      <c r="W463" s="132"/>
      <c r="X463" s="132"/>
      <c r="Y463" s="132"/>
      <c r="Z463" s="132"/>
      <c r="AA463" s="132"/>
      <c r="AB463" s="132"/>
      <c r="AC463" s="132"/>
    </row>
    <row r="464">
      <c r="A464" s="132"/>
      <c r="B464" s="132"/>
      <c r="C464" s="132"/>
      <c r="D464" s="132"/>
      <c r="E464" s="132"/>
      <c r="F464" s="132"/>
      <c r="G464" s="132"/>
      <c r="H464" s="372"/>
      <c r="I464" s="372"/>
      <c r="J464" s="372"/>
      <c r="K464" s="2"/>
      <c r="L464" s="132"/>
      <c r="M464" s="132"/>
      <c r="N464" s="132"/>
      <c r="O464" s="132"/>
      <c r="P464" s="132"/>
      <c r="Q464" s="132"/>
      <c r="R464" s="132"/>
      <c r="S464" s="132"/>
      <c r="T464" s="132"/>
      <c r="U464" s="132"/>
      <c r="V464" s="132"/>
      <c r="W464" s="132"/>
      <c r="X464" s="132"/>
      <c r="Y464" s="132"/>
      <c r="Z464" s="132"/>
      <c r="AA464" s="132"/>
      <c r="AB464" s="132"/>
      <c r="AC464" s="132"/>
    </row>
    <row r="465">
      <c r="A465" s="132"/>
      <c r="B465" s="132"/>
      <c r="C465" s="132"/>
      <c r="D465" s="132"/>
      <c r="E465" s="132"/>
      <c r="F465" s="132"/>
      <c r="G465" s="132"/>
      <c r="H465" s="372"/>
      <c r="I465" s="372"/>
      <c r="J465" s="372"/>
      <c r="K465" s="2"/>
      <c r="L465" s="132"/>
      <c r="M465" s="132"/>
      <c r="N465" s="132"/>
      <c r="O465" s="132"/>
      <c r="P465" s="132"/>
      <c r="Q465" s="132"/>
      <c r="R465" s="132"/>
      <c r="S465" s="132"/>
      <c r="T465" s="132"/>
      <c r="U465" s="132"/>
      <c r="V465" s="132"/>
      <c r="W465" s="132"/>
      <c r="X465" s="132"/>
      <c r="Y465" s="132"/>
      <c r="Z465" s="132"/>
      <c r="AA465" s="132"/>
      <c r="AB465" s="132"/>
      <c r="AC465" s="132"/>
    </row>
    <row r="466">
      <c r="A466" s="132"/>
      <c r="B466" s="132"/>
      <c r="C466" s="132"/>
      <c r="D466" s="132"/>
      <c r="E466" s="132"/>
      <c r="F466" s="132"/>
      <c r="G466" s="132"/>
      <c r="H466" s="372"/>
      <c r="I466" s="372"/>
      <c r="J466" s="372"/>
      <c r="K466" s="2"/>
      <c r="L466" s="132"/>
      <c r="M466" s="132"/>
      <c r="N466" s="132"/>
      <c r="O466" s="132"/>
      <c r="P466" s="132"/>
      <c r="Q466" s="132"/>
      <c r="R466" s="132"/>
      <c r="S466" s="132"/>
      <c r="T466" s="132"/>
      <c r="U466" s="132"/>
      <c r="V466" s="132"/>
      <c r="W466" s="132"/>
      <c r="X466" s="132"/>
      <c r="Y466" s="132"/>
      <c r="Z466" s="132"/>
      <c r="AA466" s="132"/>
      <c r="AB466" s="132"/>
      <c r="AC466" s="132"/>
    </row>
    <row r="467">
      <c r="A467" s="132"/>
      <c r="B467" s="132"/>
      <c r="C467" s="132"/>
      <c r="D467" s="132"/>
      <c r="E467" s="132"/>
      <c r="F467" s="132"/>
      <c r="G467" s="132"/>
      <c r="H467" s="372"/>
      <c r="I467" s="372"/>
      <c r="J467" s="372"/>
      <c r="K467" s="2"/>
      <c r="L467" s="132"/>
      <c r="M467" s="132"/>
      <c r="N467" s="132"/>
      <c r="O467" s="132"/>
      <c r="P467" s="132"/>
      <c r="Q467" s="132"/>
      <c r="R467" s="132"/>
      <c r="S467" s="132"/>
      <c r="T467" s="132"/>
      <c r="U467" s="132"/>
      <c r="V467" s="132"/>
      <c r="W467" s="132"/>
      <c r="X467" s="132"/>
      <c r="Y467" s="132"/>
      <c r="Z467" s="132"/>
      <c r="AA467" s="132"/>
      <c r="AB467" s="132"/>
      <c r="AC467" s="132"/>
    </row>
    <row r="468">
      <c r="A468" s="132"/>
      <c r="B468" s="132"/>
      <c r="C468" s="132"/>
      <c r="D468" s="132"/>
      <c r="E468" s="132"/>
      <c r="F468" s="132"/>
      <c r="G468" s="132"/>
      <c r="H468" s="372"/>
      <c r="I468" s="372"/>
      <c r="J468" s="372"/>
      <c r="K468" s="2"/>
      <c r="L468" s="132"/>
      <c r="M468" s="132"/>
      <c r="N468" s="132"/>
      <c r="O468" s="132"/>
      <c r="P468" s="132"/>
      <c r="Q468" s="132"/>
      <c r="R468" s="132"/>
      <c r="S468" s="132"/>
      <c r="T468" s="132"/>
      <c r="U468" s="132"/>
      <c r="V468" s="132"/>
      <c r="W468" s="132"/>
      <c r="X468" s="132"/>
      <c r="Y468" s="132"/>
      <c r="Z468" s="132"/>
      <c r="AA468" s="132"/>
      <c r="AB468" s="132"/>
      <c r="AC468" s="132"/>
    </row>
    <row r="469">
      <c r="A469" s="132"/>
      <c r="B469" s="132"/>
      <c r="C469" s="132"/>
      <c r="D469" s="132"/>
      <c r="E469" s="132"/>
      <c r="F469" s="132"/>
      <c r="G469" s="132"/>
      <c r="H469" s="372"/>
      <c r="I469" s="372"/>
      <c r="J469" s="372"/>
      <c r="K469" s="2"/>
      <c r="L469" s="132"/>
      <c r="M469" s="132"/>
      <c r="N469" s="132"/>
      <c r="O469" s="132"/>
      <c r="P469" s="132"/>
      <c r="Q469" s="132"/>
      <c r="R469" s="132"/>
      <c r="S469" s="132"/>
      <c r="T469" s="132"/>
      <c r="U469" s="132"/>
      <c r="V469" s="132"/>
      <c r="W469" s="132"/>
      <c r="X469" s="132"/>
      <c r="Y469" s="132"/>
      <c r="Z469" s="132"/>
      <c r="AA469" s="132"/>
      <c r="AB469" s="132"/>
      <c r="AC469" s="132"/>
    </row>
    <row r="470">
      <c r="A470" s="132"/>
      <c r="B470" s="132"/>
      <c r="C470" s="132"/>
      <c r="D470" s="132"/>
      <c r="E470" s="132"/>
      <c r="F470" s="132"/>
      <c r="G470" s="132"/>
      <c r="H470" s="372"/>
      <c r="I470" s="372"/>
      <c r="J470" s="372"/>
      <c r="K470" s="2"/>
      <c r="L470" s="132"/>
      <c r="M470" s="132"/>
      <c r="N470" s="132"/>
      <c r="O470" s="132"/>
      <c r="P470" s="132"/>
      <c r="Q470" s="132"/>
      <c r="R470" s="132"/>
      <c r="S470" s="132"/>
      <c r="T470" s="132"/>
      <c r="U470" s="132"/>
      <c r="V470" s="132"/>
      <c r="W470" s="132"/>
      <c r="X470" s="132"/>
      <c r="Y470" s="132"/>
      <c r="Z470" s="132"/>
      <c r="AA470" s="132"/>
      <c r="AB470" s="132"/>
      <c r="AC470" s="132"/>
    </row>
    <row r="471">
      <c r="A471" s="132"/>
      <c r="B471" s="132"/>
      <c r="C471" s="132"/>
      <c r="D471" s="132"/>
      <c r="E471" s="132"/>
      <c r="F471" s="132"/>
      <c r="G471" s="132"/>
      <c r="H471" s="372"/>
      <c r="I471" s="372"/>
      <c r="J471" s="372"/>
      <c r="K471" s="2"/>
      <c r="L471" s="132"/>
      <c r="M471" s="132"/>
      <c r="N471" s="132"/>
      <c r="O471" s="132"/>
      <c r="P471" s="132"/>
      <c r="Q471" s="132"/>
      <c r="R471" s="132"/>
      <c r="S471" s="132"/>
      <c r="T471" s="132"/>
      <c r="U471" s="132"/>
      <c r="V471" s="132"/>
      <c r="W471" s="132"/>
      <c r="X471" s="132"/>
      <c r="Y471" s="132"/>
      <c r="Z471" s="132"/>
      <c r="AA471" s="132"/>
      <c r="AB471" s="132"/>
      <c r="AC471" s="132"/>
    </row>
    <row r="472">
      <c r="A472" s="132"/>
      <c r="B472" s="132"/>
      <c r="C472" s="132"/>
      <c r="D472" s="132"/>
      <c r="E472" s="132"/>
      <c r="F472" s="132"/>
      <c r="G472" s="132"/>
      <c r="H472" s="372"/>
      <c r="I472" s="372"/>
      <c r="J472" s="372"/>
      <c r="K472" s="2"/>
      <c r="L472" s="132"/>
      <c r="M472" s="132"/>
      <c r="N472" s="132"/>
      <c r="O472" s="132"/>
      <c r="P472" s="132"/>
      <c r="Q472" s="132"/>
      <c r="R472" s="132"/>
      <c r="S472" s="132"/>
      <c r="T472" s="132"/>
      <c r="U472" s="132"/>
      <c r="V472" s="132"/>
      <c r="W472" s="132"/>
      <c r="X472" s="132"/>
      <c r="Y472" s="132"/>
      <c r="Z472" s="132"/>
      <c r="AA472" s="132"/>
      <c r="AB472" s="132"/>
      <c r="AC472" s="132"/>
    </row>
    <row r="473">
      <c r="A473" s="132"/>
      <c r="B473" s="132"/>
      <c r="C473" s="132"/>
      <c r="D473" s="132"/>
      <c r="E473" s="132"/>
      <c r="F473" s="132"/>
      <c r="G473" s="132"/>
      <c r="H473" s="372"/>
      <c r="I473" s="372"/>
      <c r="J473" s="372"/>
      <c r="K473" s="2"/>
      <c r="L473" s="132"/>
      <c r="M473" s="132"/>
      <c r="N473" s="132"/>
      <c r="O473" s="132"/>
      <c r="P473" s="132"/>
      <c r="Q473" s="132"/>
      <c r="R473" s="132"/>
      <c r="S473" s="132"/>
      <c r="T473" s="132"/>
      <c r="U473" s="132"/>
      <c r="V473" s="132"/>
      <c r="W473" s="132"/>
      <c r="X473" s="132"/>
      <c r="Y473" s="132"/>
      <c r="Z473" s="132"/>
      <c r="AA473" s="132"/>
      <c r="AB473" s="132"/>
      <c r="AC473" s="132"/>
    </row>
    <row r="474">
      <c r="A474" s="132"/>
      <c r="B474" s="132"/>
      <c r="C474" s="132"/>
      <c r="D474" s="132"/>
      <c r="E474" s="132"/>
      <c r="F474" s="132"/>
      <c r="G474" s="132"/>
      <c r="H474" s="372"/>
      <c r="I474" s="372"/>
      <c r="J474" s="372"/>
      <c r="K474" s="2"/>
      <c r="L474" s="132"/>
      <c r="M474" s="132"/>
      <c r="N474" s="132"/>
      <c r="O474" s="132"/>
      <c r="P474" s="132"/>
      <c r="Q474" s="132"/>
      <c r="R474" s="132"/>
      <c r="S474" s="132"/>
      <c r="T474" s="132"/>
      <c r="U474" s="132"/>
      <c r="V474" s="132"/>
      <c r="W474" s="132"/>
      <c r="X474" s="132"/>
      <c r="Y474" s="132"/>
      <c r="Z474" s="132"/>
      <c r="AA474" s="132"/>
      <c r="AB474" s="132"/>
      <c r="AC474" s="132"/>
    </row>
    <row r="475">
      <c r="A475" s="132"/>
      <c r="B475" s="132"/>
      <c r="C475" s="132"/>
      <c r="D475" s="132"/>
      <c r="E475" s="132"/>
      <c r="F475" s="132"/>
      <c r="G475" s="132"/>
      <c r="H475" s="372"/>
      <c r="I475" s="372"/>
      <c r="J475" s="372"/>
      <c r="K475" s="2"/>
      <c r="L475" s="132"/>
      <c r="M475" s="132"/>
      <c r="N475" s="132"/>
      <c r="O475" s="132"/>
      <c r="P475" s="132"/>
      <c r="Q475" s="132"/>
      <c r="R475" s="132"/>
      <c r="S475" s="132"/>
      <c r="T475" s="132"/>
      <c r="U475" s="132"/>
      <c r="V475" s="132"/>
      <c r="W475" s="132"/>
      <c r="X475" s="132"/>
      <c r="Y475" s="132"/>
      <c r="Z475" s="132"/>
      <c r="AA475" s="132"/>
      <c r="AB475" s="132"/>
      <c r="AC475" s="132"/>
    </row>
    <row r="476">
      <c r="A476" s="132"/>
      <c r="B476" s="132"/>
      <c r="C476" s="132"/>
      <c r="D476" s="132"/>
      <c r="E476" s="132"/>
      <c r="F476" s="132"/>
      <c r="G476" s="132"/>
      <c r="H476" s="372"/>
      <c r="I476" s="372"/>
      <c r="J476" s="372"/>
      <c r="K476" s="2"/>
      <c r="L476" s="132"/>
      <c r="M476" s="132"/>
      <c r="N476" s="132"/>
      <c r="O476" s="132"/>
      <c r="P476" s="132"/>
      <c r="Q476" s="132"/>
      <c r="R476" s="132"/>
      <c r="S476" s="132"/>
      <c r="T476" s="132"/>
      <c r="U476" s="132"/>
      <c r="V476" s="132"/>
      <c r="W476" s="132"/>
      <c r="X476" s="132"/>
      <c r="Y476" s="132"/>
      <c r="Z476" s="132"/>
      <c r="AA476" s="132"/>
      <c r="AB476" s="132"/>
      <c r="AC476" s="132"/>
    </row>
    <row r="477">
      <c r="A477" s="132"/>
      <c r="B477" s="132"/>
      <c r="C477" s="132"/>
      <c r="D477" s="132"/>
      <c r="E477" s="132"/>
      <c r="F477" s="132"/>
      <c r="G477" s="132"/>
      <c r="H477" s="372"/>
      <c r="I477" s="372"/>
      <c r="J477" s="372"/>
      <c r="K477" s="2"/>
      <c r="L477" s="132"/>
      <c r="M477" s="132"/>
      <c r="N477" s="132"/>
      <c r="O477" s="132"/>
      <c r="P477" s="132"/>
      <c r="Q477" s="132"/>
      <c r="R477" s="132"/>
      <c r="S477" s="132"/>
      <c r="T477" s="132"/>
      <c r="U477" s="132"/>
      <c r="V477" s="132"/>
      <c r="W477" s="132"/>
      <c r="X477" s="132"/>
      <c r="Y477" s="132"/>
      <c r="Z477" s="132"/>
      <c r="AA477" s="132"/>
      <c r="AB477" s="132"/>
      <c r="AC477" s="132"/>
    </row>
    <row r="478">
      <c r="A478" s="132"/>
      <c r="B478" s="132"/>
      <c r="C478" s="132"/>
      <c r="D478" s="132"/>
      <c r="E478" s="132"/>
      <c r="F478" s="132"/>
      <c r="G478" s="132"/>
      <c r="H478" s="372"/>
      <c r="I478" s="372"/>
      <c r="J478" s="372"/>
      <c r="K478" s="2"/>
      <c r="L478" s="132"/>
      <c r="M478" s="132"/>
      <c r="N478" s="132"/>
      <c r="O478" s="132"/>
      <c r="P478" s="132"/>
      <c r="Q478" s="132"/>
      <c r="R478" s="132"/>
      <c r="S478" s="132"/>
      <c r="T478" s="132"/>
      <c r="U478" s="132"/>
      <c r="V478" s="132"/>
      <c r="W478" s="132"/>
      <c r="X478" s="132"/>
      <c r="Y478" s="132"/>
      <c r="Z478" s="132"/>
      <c r="AA478" s="132"/>
      <c r="AB478" s="132"/>
      <c r="AC478" s="132"/>
    </row>
    <row r="479">
      <c r="A479" s="132"/>
      <c r="B479" s="132"/>
      <c r="C479" s="132"/>
      <c r="D479" s="132"/>
      <c r="E479" s="132"/>
      <c r="F479" s="132"/>
      <c r="G479" s="132"/>
      <c r="H479" s="372"/>
      <c r="I479" s="372"/>
      <c r="J479" s="372"/>
      <c r="K479" s="2"/>
      <c r="L479" s="132"/>
      <c r="M479" s="132"/>
      <c r="N479" s="132"/>
      <c r="O479" s="132"/>
      <c r="P479" s="132"/>
      <c r="Q479" s="132"/>
      <c r="R479" s="132"/>
      <c r="S479" s="132"/>
      <c r="T479" s="132"/>
      <c r="U479" s="132"/>
      <c r="V479" s="132"/>
      <c r="W479" s="132"/>
      <c r="X479" s="132"/>
      <c r="Y479" s="132"/>
      <c r="Z479" s="132"/>
      <c r="AA479" s="132"/>
      <c r="AB479" s="132"/>
      <c r="AC479" s="132"/>
    </row>
    <row r="480">
      <c r="A480" s="132"/>
      <c r="B480" s="132"/>
      <c r="C480" s="132"/>
      <c r="D480" s="132"/>
      <c r="E480" s="132"/>
      <c r="F480" s="132"/>
      <c r="G480" s="132"/>
      <c r="H480" s="372"/>
      <c r="I480" s="372"/>
      <c r="J480" s="372"/>
      <c r="K480" s="2"/>
      <c r="L480" s="132"/>
      <c r="M480" s="132"/>
      <c r="N480" s="132"/>
      <c r="O480" s="132"/>
      <c r="P480" s="132"/>
      <c r="Q480" s="132"/>
      <c r="R480" s="132"/>
      <c r="S480" s="132"/>
      <c r="T480" s="132"/>
      <c r="U480" s="132"/>
      <c r="V480" s="132"/>
      <c r="W480" s="132"/>
      <c r="X480" s="132"/>
      <c r="Y480" s="132"/>
      <c r="Z480" s="132"/>
      <c r="AA480" s="132"/>
      <c r="AB480" s="132"/>
      <c r="AC480" s="132"/>
    </row>
    <row r="481">
      <c r="A481" s="132"/>
      <c r="B481" s="132"/>
      <c r="C481" s="132"/>
      <c r="D481" s="132"/>
      <c r="E481" s="132"/>
      <c r="F481" s="132"/>
      <c r="G481" s="132"/>
      <c r="H481" s="372"/>
      <c r="I481" s="372"/>
      <c r="J481" s="372"/>
      <c r="K481" s="2"/>
      <c r="L481" s="132"/>
      <c r="M481" s="132"/>
      <c r="N481" s="132"/>
      <c r="O481" s="132"/>
      <c r="P481" s="132"/>
      <c r="Q481" s="132"/>
      <c r="R481" s="132"/>
      <c r="S481" s="132"/>
      <c r="T481" s="132"/>
      <c r="U481" s="132"/>
      <c r="V481" s="132"/>
      <c r="W481" s="132"/>
      <c r="X481" s="132"/>
      <c r="Y481" s="132"/>
      <c r="Z481" s="132"/>
      <c r="AA481" s="132"/>
      <c r="AB481" s="132"/>
      <c r="AC481" s="132"/>
    </row>
    <row r="482">
      <c r="A482" s="132"/>
      <c r="B482" s="132"/>
      <c r="C482" s="132"/>
      <c r="D482" s="132"/>
      <c r="E482" s="132"/>
      <c r="F482" s="132"/>
      <c r="G482" s="132"/>
      <c r="H482" s="372"/>
      <c r="I482" s="372"/>
      <c r="J482" s="372"/>
      <c r="K482" s="2"/>
      <c r="L482" s="132"/>
      <c r="M482" s="132"/>
      <c r="N482" s="132"/>
      <c r="O482" s="132"/>
      <c r="P482" s="132"/>
      <c r="Q482" s="132"/>
      <c r="R482" s="132"/>
      <c r="S482" s="132"/>
      <c r="T482" s="132"/>
      <c r="U482" s="132"/>
      <c r="V482" s="132"/>
      <c r="W482" s="132"/>
      <c r="X482" s="132"/>
      <c r="Y482" s="132"/>
      <c r="Z482" s="132"/>
      <c r="AA482" s="132"/>
      <c r="AB482" s="132"/>
      <c r="AC482" s="132"/>
    </row>
    <row r="483">
      <c r="A483" s="132"/>
      <c r="B483" s="132"/>
      <c r="C483" s="132"/>
      <c r="D483" s="132"/>
      <c r="E483" s="132"/>
      <c r="F483" s="132"/>
      <c r="G483" s="132"/>
      <c r="H483" s="372"/>
      <c r="I483" s="372"/>
      <c r="J483" s="372"/>
      <c r="K483" s="2"/>
      <c r="L483" s="132"/>
      <c r="M483" s="132"/>
      <c r="N483" s="132"/>
      <c r="O483" s="132"/>
      <c r="P483" s="132"/>
      <c r="Q483" s="132"/>
      <c r="R483" s="132"/>
      <c r="S483" s="132"/>
      <c r="T483" s="132"/>
      <c r="U483" s="132"/>
      <c r="V483" s="132"/>
      <c r="W483" s="132"/>
      <c r="X483" s="132"/>
      <c r="Y483" s="132"/>
      <c r="Z483" s="132"/>
      <c r="AA483" s="132"/>
      <c r="AB483" s="132"/>
      <c r="AC483" s="132"/>
    </row>
    <row r="484">
      <c r="A484" s="132"/>
      <c r="B484" s="132"/>
      <c r="C484" s="132"/>
      <c r="D484" s="132"/>
      <c r="E484" s="132"/>
      <c r="F484" s="132"/>
      <c r="G484" s="132"/>
      <c r="H484" s="372"/>
      <c r="I484" s="372"/>
      <c r="J484" s="372"/>
      <c r="K484" s="2"/>
      <c r="L484" s="132"/>
      <c r="M484" s="132"/>
      <c r="N484" s="132"/>
      <c r="O484" s="132"/>
      <c r="P484" s="132"/>
      <c r="Q484" s="132"/>
      <c r="R484" s="132"/>
      <c r="S484" s="132"/>
      <c r="T484" s="132"/>
      <c r="U484" s="132"/>
      <c r="V484" s="132"/>
      <c r="W484" s="132"/>
      <c r="X484" s="132"/>
      <c r="Y484" s="132"/>
      <c r="Z484" s="132"/>
      <c r="AA484" s="132"/>
      <c r="AB484" s="132"/>
      <c r="AC484" s="132"/>
    </row>
    <row r="485">
      <c r="A485" s="132"/>
      <c r="B485" s="132"/>
      <c r="C485" s="132"/>
      <c r="D485" s="132"/>
      <c r="E485" s="132"/>
      <c r="F485" s="132"/>
      <c r="G485" s="132"/>
      <c r="H485" s="372"/>
      <c r="I485" s="372"/>
      <c r="J485" s="372"/>
      <c r="K485" s="2"/>
      <c r="L485" s="132"/>
      <c r="M485" s="132"/>
      <c r="N485" s="132"/>
      <c r="O485" s="132"/>
      <c r="P485" s="132"/>
      <c r="Q485" s="132"/>
      <c r="R485" s="132"/>
      <c r="S485" s="132"/>
      <c r="T485" s="132"/>
      <c r="U485" s="132"/>
      <c r="V485" s="132"/>
      <c r="W485" s="132"/>
      <c r="X485" s="132"/>
      <c r="Y485" s="132"/>
      <c r="Z485" s="132"/>
      <c r="AA485" s="132"/>
      <c r="AB485" s="132"/>
      <c r="AC485" s="132"/>
    </row>
    <row r="486">
      <c r="A486" s="132"/>
      <c r="B486" s="132"/>
      <c r="C486" s="132"/>
      <c r="D486" s="132"/>
      <c r="E486" s="132"/>
      <c r="F486" s="132"/>
      <c r="G486" s="132"/>
      <c r="H486" s="372"/>
      <c r="I486" s="372"/>
      <c r="J486" s="372"/>
      <c r="K486" s="2"/>
      <c r="L486" s="132"/>
      <c r="M486" s="132"/>
      <c r="N486" s="132"/>
      <c r="O486" s="132"/>
      <c r="P486" s="132"/>
      <c r="Q486" s="132"/>
      <c r="R486" s="132"/>
      <c r="S486" s="132"/>
      <c r="T486" s="132"/>
      <c r="U486" s="132"/>
      <c r="V486" s="132"/>
      <c r="W486" s="132"/>
      <c r="X486" s="132"/>
      <c r="Y486" s="132"/>
      <c r="Z486" s="132"/>
      <c r="AA486" s="132"/>
      <c r="AB486" s="132"/>
      <c r="AC486" s="132"/>
    </row>
    <row r="487">
      <c r="A487" s="132"/>
      <c r="B487" s="132"/>
      <c r="C487" s="132"/>
      <c r="D487" s="132"/>
      <c r="E487" s="132"/>
      <c r="F487" s="132"/>
      <c r="G487" s="132"/>
      <c r="H487" s="372"/>
      <c r="I487" s="372"/>
      <c r="J487" s="372"/>
      <c r="K487" s="2"/>
      <c r="L487" s="132"/>
      <c r="M487" s="132"/>
      <c r="N487" s="132"/>
      <c r="O487" s="132"/>
      <c r="P487" s="132"/>
      <c r="Q487" s="132"/>
      <c r="R487" s="132"/>
      <c r="S487" s="132"/>
      <c r="T487" s="132"/>
      <c r="U487" s="132"/>
      <c r="V487" s="132"/>
      <c r="W487" s="132"/>
      <c r="X487" s="132"/>
      <c r="Y487" s="132"/>
      <c r="Z487" s="132"/>
      <c r="AA487" s="132"/>
      <c r="AB487" s="132"/>
      <c r="AC487" s="132"/>
    </row>
    <row r="488">
      <c r="A488" s="132"/>
      <c r="B488" s="132"/>
      <c r="C488" s="132"/>
      <c r="D488" s="132"/>
      <c r="E488" s="132"/>
      <c r="F488" s="132"/>
      <c r="G488" s="132"/>
      <c r="H488" s="372"/>
      <c r="I488" s="372"/>
      <c r="J488" s="372"/>
      <c r="K488" s="2"/>
      <c r="L488" s="132"/>
      <c r="M488" s="132"/>
      <c r="N488" s="132"/>
      <c r="O488" s="132"/>
      <c r="P488" s="132"/>
      <c r="Q488" s="132"/>
      <c r="R488" s="132"/>
      <c r="S488" s="132"/>
      <c r="T488" s="132"/>
      <c r="U488" s="132"/>
      <c r="V488" s="132"/>
      <c r="W488" s="132"/>
      <c r="X488" s="132"/>
      <c r="Y488" s="132"/>
      <c r="Z488" s="132"/>
      <c r="AA488" s="132"/>
      <c r="AB488" s="132"/>
      <c r="AC488" s="132"/>
    </row>
    <row r="489">
      <c r="A489" s="132"/>
      <c r="B489" s="132"/>
      <c r="C489" s="132"/>
      <c r="D489" s="132"/>
      <c r="E489" s="132"/>
      <c r="F489" s="132"/>
      <c r="G489" s="132"/>
      <c r="H489" s="372"/>
      <c r="I489" s="372"/>
      <c r="J489" s="372"/>
      <c r="K489" s="2"/>
      <c r="L489" s="132"/>
      <c r="M489" s="132"/>
      <c r="N489" s="132"/>
      <c r="O489" s="132"/>
      <c r="P489" s="132"/>
      <c r="Q489" s="132"/>
      <c r="R489" s="132"/>
      <c r="S489" s="132"/>
      <c r="T489" s="132"/>
      <c r="U489" s="132"/>
      <c r="V489" s="132"/>
      <c r="W489" s="132"/>
      <c r="X489" s="132"/>
      <c r="Y489" s="132"/>
      <c r="Z489" s="132"/>
      <c r="AA489" s="132"/>
      <c r="AB489" s="132"/>
      <c r="AC489" s="132"/>
    </row>
    <row r="490">
      <c r="A490" s="132"/>
      <c r="B490" s="132"/>
      <c r="C490" s="132"/>
      <c r="D490" s="132"/>
      <c r="E490" s="132"/>
      <c r="F490" s="132"/>
      <c r="G490" s="132"/>
      <c r="H490" s="372"/>
      <c r="I490" s="372"/>
      <c r="J490" s="372"/>
      <c r="K490" s="2"/>
      <c r="L490" s="132"/>
      <c r="M490" s="132"/>
      <c r="N490" s="132"/>
      <c r="O490" s="132"/>
      <c r="P490" s="132"/>
      <c r="Q490" s="132"/>
      <c r="R490" s="132"/>
      <c r="S490" s="132"/>
      <c r="T490" s="132"/>
      <c r="U490" s="132"/>
      <c r="V490" s="132"/>
      <c r="W490" s="132"/>
      <c r="X490" s="132"/>
      <c r="Y490" s="132"/>
      <c r="Z490" s="132"/>
      <c r="AA490" s="132"/>
      <c r="AB490" s="132"/>
      <c r="AC490" s="132"/>
    </row>
    <row r="491">
      <c r="A491" s="132"/>
      <c r="B491" s="132"/>
      <c r="C491" s="132"/>
      <c r="D491" s="132"/>
      <c r="E491" s="132"/>
      <c r="F491" s="132"/>
      <c r="G491" s="132"/>
      <c r="H491" s="372"/>
      <c r="I491" s="372"/>
      <c r="J491" s="372"/>
      <c r="K491" s="2"/>
      <c r="L491" s="132"/>
      <c r="M491" s="132"/>
      <c r="N491" s="132"/>
      <c r="O491" s="132"/>
      <c r="P491" s="132"/>
      <c r="Q491" s="132"/>
      <c r="R491" s="132"/>
      <c r="S491" s="132"/>
      <c r="T491" s="132"/>
      <c r="U491" s="132"/>
      <c r="V491" s="132"/>
      <c r="W491" s="132"/>
      <c r="X491" s="132"/>
      <c r="Y491" s="132"/>
      <c r="Z491" s="132"/>
      <c r="AA491" s="132"/>
      <c r="AB491" s="132"/>
      <c r="AC491" s="132"/>
    </row>
    <row r="492">
      <c r="A492" s="132"/>
      <c r="B492" s="132"/>
      <c r="C492" s="132"/>
      <c r="D492" s="132"/>
      <c r="E492" s="132"/>
      <c r="F492" s="132"/>
      <c r="G492" s="132"/>
      <c r="H492" s="372"/>
      <c r="I492" s="372"/>
      <c r="J492" s="372"/>
      <c r="K492" s="2"/>
      <c r="L492" s="132"/>
      <c r="M492" s="132"/>
      <c r="N492" s="132"/>
      <c r="O492" s="132"/>
      <c r="P492" s="132"/>
      <c r="Q492" s="132"/>
      <c r="R492" s="132"/>
      <c r="S492" s="132"/>
      <c r="T492" s="132"/>
      <c r="U492" s="132"/>
      <c r="V492" s="132"/>
      <c r="W492" s="132"/>
      <c r="X492" s="132"/>
      <c r="Y492" s="132"/>
      <c r="Z492" s="132"/>
      <c r="AA492" s="132"/>
      <c r="AB492" s="132"/>
      <c r="AC492" s="132"/>
    </row>
    <row r="493">
      <c r="A493" s="132"/>
      <c r="B493" s="132"/>
      <c r="C493" s="132"/>
      <c r="D493" s="132"/>
      <c r="E493" s="132"/>
      <c r="F493" s="132"/>
      <c r="G493" s="132"/>
      <c r="H493" s="372"/>
      <c r="I493" s="372"/>
      <c r="J493" s="372"/>
      <c r="K493" s="2"/>
      <c r="L493" s="132"/>
      <c r="M493" s="132"/>
      <c r="N493" s="132"/>
      <c r="O493" s="132"/>
      <c r="P493" s="132"/>
      <c r="Q493" s="132"/>
      <c r="R493" s="132"/>
      <c r="S493" s="132"/>
      <c r="T493" s="132"/>
      <c r="U493" s="132"/>
      <c r="V493" s="132"/>
      <c r="W493" s="132"/>
      <c r="X493" s="132"/>
      <c r="Y493" s="132"/>
      <c r="Z493" s="132"/>
      <c r="AA493" s="132"/>
      <c r="AB493" s="132"/>
      <c r="AC493" s="132"/>
    </row>
    <row r="494">
      <c r="A494" s="132"/>
      <c r="B494" s="132"/>
      <c r="C494" s="132"/>
      <c r="D494" s="132"/>
      <c r="E494" s="132"/>
      <c r="F494" s="132"/>
      <c r="G494" s="132"/>
      <c r="H494" s="372"/>
      <c r="I494" s="372"/>
      <c r="J494" s="372"/>
      <c r="K494" s="2"/>
      <c r="L494" s="132"/>
      <c r="M494" s="132"/>
      <c r="N494" s="132"/>
      <c r="O494" s="132"/>
      <c r="P494" s="132"/>
      <c r="Q494" s="132"/>
      <c r="R494" s="132"/>
      <c r="S494" s="132"/>
      <c r="T494" s="132"/>
      <c r="U494" s="132"/>
      <c r="V494" s="132"/>
      <c r="W494" s="132"/>
      <c r="X494" s="132"/>
      <c r="Y494" s="132"/>
      <c r="Z494" s="132"/>
      <c r="AA494" s="132"/>
      <c r="AB494" s="132"/>
      <c r="AC494" s="132"/>
    </row>
    <row r="495">
      <c r="A495" s="132"/>
      <c r="B495" s="132"/>
      <c r="C495" s="132"/>
      <c r="D495" s="132"/>
      <c r="E495" s="132"/>
      <c r="F495" s="132"/>
      <c r="G495" s="132"/>
      <c r="H495" s="372"/>
      <c r="I495" s="372"/>
      <c r="J495" s="372"/>
      <c r="K495" s="2"/>
      <c r="L495" s="132"/>
      <c r="M495" s="132"/>
      <c r="N495" s="132"/>
      <c r="O495" s="132"/>
      <c r="P495" s="132"/>
      <c r="Q495" s="132"/>
      <c r="R495" s="132"/>
      <c r="S495" s="132"/>
      <c r="T495" s="132"/>
      <c r="U495" s="132"/>
      <c r="V495" s="132"/>
      <c r="W495" s="132"/>
      <c r="X495" s="132"/>
      <c r="Y495" s="132"/>
      <c r="Z495" s="132"/>
      <c r="AA495" s="132"/>
      <c r="AB495" s="132"/>
      <c r="AC495" s="132"/>
    </row>
    <row r="496">
      <c r="A496" s="132"/>
      <c r="B496" s="132"/>
      <c r="C496" s="132"/>
      <c r="D496" s="132"/>
      <c r="E496" s="132"/>
      <c r="F496" s="132"/>
      <c r="G496" s="132"/>
      <c r="H496" s="372"/>
      <c r="I496" s="372"/>
      <c r="J496" s="372"/>
      <c r="K496" s="2"/>
      <c r="L496" s="132"/>
      <c r="M496" s="132"/>
      <c r="N496" s="132"/>
      <c r="O496" s="132"/>
      <c r="P496" s="132"/>
      <c r="Q496" s="132"/>
      <c r="R496" s="132"/>
      <c r="S496" s="132"/>
      <c r="T496" s="132"/>
      <c r="U496" s="132"/>
      <c r="V496" s="132"/>
      <c r="W496" s="132"/>
      <c r="X496" s="132"/>
      <c r="Y496" s="132"/>
      <c r="Z496" s="132"/>
      <c r="AA496" s="132"/>
      <c r="AB496" s="132"/>
      <c r="AC496" s="132"/>
    </row>
    <row r="497">
      <c r="A497" s="132"/>
      <c r="B497" s="132"/>
      <c r="C497" s="132"/>
      <c r="D497" s="132"/>
      <c r="E497" s="132"/>
      <c r="F497" s="132"/>
      <c r="G497" s="132"/>
      <c r="H497" s="372"/>
      <c r="I497" s="372"/>
      <c r="J497" s="372"/>
      <c r="K497" s="2"/>
      <c r="L497" s="132"/>
      <c r="M497" s="132"/>
      <c r="N497" s="132"/>
      <c r="O497" s="132"/>
      <c r="P497" s="132"/>
      <c r="Q497" s="132"/>
      <c r="R497" s="132"/>
      <c r="S497" s="132"/>
      <c r="T497" s="132"/>
      <c r="U497" s="132"/>
      <c r="V497" s="132"/>
      <c r="W497" s="132"/>
      <c r="X497" s="132"/>
      <c r="Y497" s="132"/>
      <c r="Z497" s="132"/>
      <c r="AA497" s="132"/>
      <c r="AB497" s="132"/>
      <c r="AC497" s="132"/>
    </row>
    <row r="498">
      <c r="A498" s="132"/>
      <c r="B498" s="132"/>
      <c r="C498" s="132"/>
      <c r="D498" s="132"/>
      <c r="E498" s="132"/>
      <c r="F498" s="132"/>
      <c r="G498" s="132"/>
      <c r="H498" s="372"/>
      <c r="I498" s="372"/>
      <c r="J498" s="372"/>
      <c r="K498" s="2"/>
      <c r="L498" s="132"/>
      <c r="M498" s="132"/>
      <c r="N498" s="132"/>
      <c r="O498" s="132"/>
      <c r="P498" s="132"/>
      <c r="Q498" s="132"/>
      <c r="R498" s="132"/>
      <c r="S498" s="132"/>
      <c r="T498" s="132"/>
      <c r="U498" s="132"/>
      <c r="V498" s="132"/>
      <c r="W498" s="132"/>
      <c r="X498" s="132"/>
      <c r="Y498" s="132"/>
      <c r="Z498" s="132"/>
      <c r="AA498" s="132"/>
      <c r="AB498" s="132"/>
      <c r="AC498" s="132"/>
    </row>
    <row r="499">
      <c r="A499" s="132"/>
      <c r="B499" s="132"/>
      <c r="C499" s="132"/>
      <c r="D499" s="132"/>
      <c r="E499" s="132"/>
      <c r="F499" s="132"/>
      <c r="G499" s="132"/>
      <c r="H499" s="372"/>
      <c r="I499" s="372"/>
      <c r="J499" s="372"/>
      <c r="K499" s="2"/>
      <c r="L499" s="132"/>
      <c r="M499" s="132"/>
      <c r="N499" s="132"/>
      <c r="O499" s="132"/>
      <c r="P499" s="132"/>
      <c r="Q499" s="132"/>
      <c r="R499" s="132"/>
      <c r="S499" s="132"/>
      <c r="T499" s="132"/>
      <c r="U499" s="132"/>
      <c r="V499" s="132"/>
      <c r="W499" s="132"/>
      <c r="X499" s="132"/>
      <c r="Y499" s="132"/>
      <c r="Z499" s="132"/>
      <c r="AA499" s="132"/>
      <c r="AB499" s="132"/>
      <c r="AC499" s="132"/>
    </row>
    <row r="500">
      <c r="A500" s="132"/>
      <c r="B500" s="132"/>
      <c r="C500" s="132"/>
      <c r="D500" s="132"/>
      <c r="E500" s="132"/>
      <c r="F500" s="132"/>
      <c r="G500" s="132"/>
      <c r="H500" s="372"/>
      <c r="I500" s="372"/>
      <c r="J500" s="372"/>
      <c r="K500" s="2"/>
      <c r="L500" s="132"/>
      <c r="M500" s="132"/>
      <c r="N500" s="132"/>
      <c r="O500" s="132"/>
      <c r="P500" s="132"/>
      <c r="Q500" s="132"/>
      <c r="R500" s="132"/>
      <c r="S500" s="132"/>
      <c r="T500" s="132"/>
      <c r="U500" s="132"/>
      <c r="V500" s="132"/>
      <c r="W500" s="132"/>
      <c r="X500" s="132"/>
      <c r="Y500" s="132"/>
      <c r="Z500" s="132"/>
      <c r="AA500" s="132"/>
      <c r="AB500" s="132"/>
      <c r="AC500" s="132"/>
    </row>
    <row r="501">
      <c r="A501" s="132"/>
      <c r="B501" s="132"/>
      <c r="C501" s="132"/>
      <c r="D501" s="132"/>
      <c r="E501" s="132"/>
      <c r="F501" s="132"/>
      <c r="G501" s="132"/>
      <c r="H501" s="372"/>
      <c r="I501" s="372"/>
      <c r="J501" s="372"/>
      <c r="K501" s="2"/>
      <c r="L501" s="132"/>
      <c r="M501" s="132"/>
      <c r="N501" s="132"/>
      <c r="O501" s="132"/>
      <c r="P501" s="132"/>
      <c r="Q501" s="132"/>
      <c r="R501" s="132"/>
      <c r="S501" s="132"/>
      <c r="T501" s="132"/>
      <c r="U501" s="132"/>
      <c r="V501" s="132"/>
      <c r="W501" s="132"/>
      <c r="X501" s="132"/>
      <c r="Y501" s="132"/>
      <c r="Z501" s="132"/>
      <c r="AA501" s="132"/>
      <c r="AB501" s="132"/>
      <c r="AC501" s="132"/>
    </row>
    <row r="502">
      <c r="A502" s="132"/>
      <c r="B502" s="132"/>
      <c r="C502" s="132"/>
      <c r="D502" s="132"/>
      <c r="E502" s="132"/>
      <c r="F502" s="132"/>
      <c r="G502" s="132"/>
      <c r="H502" s="372"/>
      <c r="I502" s="372"/>
      <c r="J502" s="372"/>
      <c r="K502" s="2"/>
      <c r="L502" s="132"/>
      <c r="M502" s="132"/>
      <c r="N502" s="132"/>
      <c r="O502" s="132"/>
      <c r="P502" s="132"/>
      <c r="Q502" s="132"/>
      <c r="R502" s="132"/>
      <c r="S502" s="132"/>
      <c r="T502" s="132"/>
      <c r="U502" s="132"/>
      <c r="V502" s="132"/>
      <c r="W502" s="132"/>
      <c r="X502" s="132"/>
      <c r="Y502" s="132"/>
      <c r="Z502" s="132"/>
      <c r="AA502" s="132"/>
      <c r="AB502" s="132"/>
      <c r="AC502" s="132"/>
    </row>
    <row r="503">
      <c r="A503" s="132"/>
      <c r="B503" s="132"/>
      <c r="C503" s="132"/>
      <c r="D503" s="132"/>
      <c r="E503" s="132"/>
      <c r="F503" s="132"/>
      <c r="G503" s="132"/>
      <c r="H503" s="372"/>
      <c r="I503" s="372"/>
      <c r="J503" s="372"/>
      <c r="K503" s="2"/>
      <c r="L503" s="132"/>
      <c r="M503" s="132"/>
      <c r="N503" s="132"/>
      <c r="O503" s="132"/>
      <c r="P503" s="132"/>
      <c r="Q503" s="132"/>
      <c r="R503" s="132"/>
      <c r="S503" s="132"/>
      <c r="T503" s="132"/>
      <c r="U503" s="132"/>
      <c r="V503" s="132"/>
      <c r="W503" s="132"/>
      <c r="X503" s="132"/>
      <c r="Y503" s="132"/>
      <c r="Z503" s="132"/>
      <c r="AA503" s="132"/>
      <c r="AB503" s="132"/>
      <c r="AC503" s="132"/>
    </row>
    <row r="504">
      <c r="A504" s="132"/>
      <c r="B504" s="132"/>
      <c r="C504" s="132"/>
      <c r="D504" s="132"/>
      <c r="E504" s="132"/>
      <c r="F504" s="132"/>
      <c r="G504" s="132"/>
      <c r="H504" s="372"/>
      <c r="I504" s="372"/>
      <c r="J504" s="372"/>
      <c r="K504" s="2"/>
      <c r="L504" s="132"/>
      <c r="M504" s="132"/>
      <c r="N504" s="132"/>
      <c r="O504" s="132"/>
      <c r="P504" s="132"/>
      <c r="Q504" s="132"/>
      <c r="R504" s="132"/>
      <c r="S504" s="132"/>
      <c r="T504" s="132"/>
      <c r="U504" s="132"/>
      <c r="V504" s="132"/>
      <c r="W504" s="132"/>
      <c r="X504" s="132"/>
      <c r="Y504" s="132"/>
      <c r="Z504" s="132"/>
      <c r="AA504" s="132"/>
      <c r="AB504" s="132"/>
      <c r="AC504" s="132"/>
    </row>
    <row r="505">
      <c r="A505" s="132"/>
      <c r="B505" s="132"/>
      <c r="C505" s="132"/>
      <c r="D505" s="132"/>
      <c r="E505" s="132"/>
      <c r="F505" s="132"/>
      <c r="G505" s="132"/>
      <c r="H505" s="372"/>
      <c r="I505" s="372"/>
      <c r="J505" s="372"/>
      <c r="K505" s="2"/>
      <c r="L505" s="132"/>
      <c r="M505" s="132"/>
      <c r="N505" s="132"/>
      <c r="O505" s="132"/>
      <c r="P505" s="132"/>
      <c r="Q505" s="132"/>
      <c r="R505" s="132"/>
      <c r="S505" s="132"/>
      <c r="T505" s="132"/>
      <c r="U505" s="132"/>
      <c r="V505" s="132"/>
      <c r="W505" s="132"/>
      <c r="X505" s="132"/>
      <c r="Y505" s="132"/>
      <c r="Z505" s="132"/>
      <c r="AA505" s="132"/>
      <c r="AB505" s="132"/>
      <c r="AC505" s="132"/>
    </row>
    <row r="506">
      <c r="A506" s="132"/>
      <c r="B506" s="132"/>
      <c r="C506" s="132"/>
      <c r="D506" s="132"/>
      <c r="E506" s="132"/>
      <c r="F506" s="132"/>
      <c r="G506" s="132"/>
      <c r="H506" s="372"/>
      <c r="I506" s="372"/>
      <c r="J506" s="372"/>
      <c r="K506" s="2"/>
      <c r="L506" s="132"/>
      <c r="M506" s="132"/>
      <c r="N506" s="132"/>
      <c r="O506" s="132"/>
      <c r="P506" s="132"/>
      <c r="Q506" s="132"/>
      <c r="R506" s="132"/>
      <c r="S506" s="132"/>
      <c r="T506" s="132"/>
      <c r="U506" s="132"/>
      <c r="V506" s="132"/>
      <c r="W506" s="132"/>
      <c r="X506" s="132"/>
      <c r="Y506" s="132"/>
      <c r="Z506" s="132"/>
      <c r="AA506" s="132"/>
      <c r="AB506" s="132"/>
      <c r="AC506" s="132"/>
    </row>
    <row r="507">
      <c r="A507" s="132"/>
      <c r="B507" s="132"/>
      <c r="C507" s="132"/>
      <c r="D507" s="132"/>
      <c r="E507" s="132"/>
      <c r="F507" s="132"/>
      <c r="G507" s="132"/>
      <c r="H507" s="372"/>
      <c r="I507" s="372"/>
      <c r="J507" s="372"/>
      <c r="K507" s="2"/>
      <c r="L507" s="132"/>
      <c r="M507" s="132"/>
      <c r="N507" s="132"/>
      <c r="O507" s="132"/>
      <c r="P507" s="132"/>
      <c r="Q507" s="132"/>
      <c r="R507" s="132"/>
      <c r="S507" s="132"/>
      <c r="T507" s="132"/>
      <c r="U507" s="132"/>
      <c r="V507" s="132"/>
      <c r="W507" s="132"/>
      <c r="X507" s="132"/>
      <c r="Y507" s="132"/>
      <c r="Z507" s="132"/>
      <c r="AA507" s="132"/>
      <c r="AB507" s="132"/>
      <c r="AC507" s="132"/>
    </row>
    <row r="508">
      <c r="A508" s="132"/>
      <c r="B508" s="132"/>
      <c r="C508" s="132"/>
      <c r="D508" s="132"/>
      <c r="E508" s="132"/>
      <c r="F508" s="132"/>
      <c r="G508" s="132"/>
      <c r="H508" s="372"/>
      <c r="I508" s="372"/>
      <c r="J508" s="372"/>
      <c r="K508" s="2"/>
      <c r="L508" s="132"/>
      <c r="M508" s="132"/>
      <c r="N508" s="132"/>
      <c r="O508" s="132"/>
      <c r="P508" s="132"/>
      <c r="Q508" s="132"/>
      <c r="R508" s="132"/>
      <c r="S508" s="132"/>
      <c r="T508" s="132"/>
      <c r="U508" s="132"/>
      <c r="V508" s="132"/>
      <c r="W508" s="132"/>
      <c r="X508" s="132"/>
      <c r="Y508" s="132"/>
      <c r="Z508" s="132"/>
      <c r="AA508" s="132"/>
      <c r="AB508" s="132"/>
      <c r="AC508" s="132"/>
    </row>
    <row r="509">
      <c r="A509" s="132"/>
      <c r="B509" s="132"/>
      <c r="C509" s="132"/>
      <c r="D509" s="132"/>
      <c r="E509" s="132"/>
      <c r="F509" s="132"/>
      <c r="G509" s="132"/>
      <c r="H509" s="372"/>
      <c r="I509" s="372"/>
      <c r="J509" s="372"/>
      <c r="K509" s="2"/>
      <c r="L509" s="132"/>
      <c r="M509" s="132"/>
      <c r="N509" s="132"/>
      <c r="O509" s="132"/>
      <c r="P509" s="132"/>
      <c r="Q509" s="132"/>
      <c r="R509" s="132"/>
      <c r="S509" s="132"/>
      <c r="T509" s="132"/>
      <c r="U509" s="132"/>
      <c r="V509" s="132"/>
      <c r="W509" s="132"/>
      <c r="X509" s="132"/>
      <c r="Y509" s="132"/>
      <c r="Z509" s="132"/>
      <c r="AA509" s="132"/>
      <c r="AB509" s="132"/>
      <c r="AC509" s="132"/>
    </row>
    <row r="510">
      <c r="A510" s="132"/>
      <c r="B510" s="132"/>
      <c r="C510" s="132"/>
      <c r="D510" s="132"/>
      <c r="E510" s="132"/>
      <c r="F510" s="132"/>
      <c r="G510" s="132"/>
      <c r="H510" s="372"/>
      <c r="I510" s="372"/>
      <c r="J510" s="372"/>
      <c r="K510" s="2"/>
      <c r="L510" s="132"/>
      <c r="M510" s="132"/>
      <c r="N510" s="132"/>
      <c r="O510" s="132"/>
      <c r="P510" s="132"/>
      <c r="Q510" s="132"/>
      <c r="R510" s="132"/>
      <c r="S510" s="132"/>
      <c r="T510" s="132"/>
      <c r="U510" s="132"/>
      <c r="V510" s="132"/>
      <c r="W510" s="132"/>
      <c r="X510" s="132"/>
      <c r="Y510" s="132"/>
      <c r="Z510" s="132"/>
      <c r="AA510" s="132"/>
      <c r="AB510" s="132"/>
      <c r="AC510" s="132"/>
    </row>
    <row r="511">
      <c r="A511" s="132"/>
      <c r="B511" s="132"/>
      <c r="C511" s="132"/>
      <c r="D511" s="132"/>
      <c r="E511" s="132"/>
      <c r="F511" s="132"/>
      <c r="G511" s="132"/>
      <c r="H511" s="372"/>
      <c r="I511" s="372"/>
      <c r="J511" s="372"/>
      <c r="K511" s="2"/>
      <c r="L511" s="132"/>
      <c r="M511" s="132"/>
      <c r="N511" s="132"/>
      <c r="O511" s="132"/>
      <c r="P511" s="132"/>
      <c r="Q511" s="132"/>
      <c r="R511" s="132"/>
      <c r="S511" s="132"/>
      <c r="T511" s="132"/>
      <c r="U511" s="132"/>
      <c r="V511" s="132"/>
      <c r="W511" s="132"/>
      <c r="X511" s="132"/>
      <c r="Y511" s="132"/>
      <c r="Z511" s="132"/>
      <c r="AA511" s="132"/>
      <c r="AB511" s="132"/>
      <c r="AC511" s="132"/>
    </row>
    <row r="512">
      <c r="A512" s="132"/>
      <c r="B512" s="132"/>
      <c r="C512" s="132"/>
      <c r="D512" s="132"/>
      <c r="E512" s="132"/>
      <c r="F512" s="132"/>
      <c r="G512" s="132"/>
      <c r="H512" s="372"/>
      <c r="I512" s="372"/>
      <c r="J512" s="372"/>
      <c r="K512" s="2"/>
      <c r="L512" s="132"/>
      <c r="M512" s="132"/>
      <c r="N512" s="132"/>
      <c r="O512" s="132"/>
      <c r="P512" s="132"/>
      <c r="Q512" s="132"/>
      <c r="R512" s="132"/>
      <c r="S512" s="132"/>
      <c r="T512" s="132"/>
      <c r="U512" s="132"/>
      <c r="V512" s="132"/>
      <c r="W512" s="132"/>
      <c r="X512" s="132"/>
      <c r="Y512" s="132"/>
      <c r="Z512" s="132"/>
      <c r="AA512" s="132"/>
      <c r="AB512" s="132"/>
      <c r="AC512" s="132"/>
    </row>
    <row r="513">
      <c r="A513" s="132"/>
      <c r="B513" s="132"/>
      <c r="C513" s="132"/>
      <c r="D513" s="132"/>
      <c r="E513" s="132"/>
      <c r="F513" s="132"/>
      <c r="G513" s="132"/>
      <c r="H513" s="372"/>
      <c r="I513" s="372"/>
      <c r="J513" s="372"/>
      <c r="K513" s="2"/>
      <c r="L513" s="132"/>
      <c r="M513" s="132"/>
      <c r="N513" s="132"/>
      <c r="O513" s="132"/>
      <c r="P513" s="132"/>
      <c r="Q513" s="132"/>
      <c r="R513" s="132"/>
      <c r="S513" s="132"/>
      <c r="T513" s="132"/>
      <c r="U513" s="132"/>
      <c r="V513" s="132"/>
      <c r="W513" s="132"/>
      <c r="X513" s="132"/>
      <c r="Y513" s="132"/>
      <c r="Z513" s="132"/>
      <c r="AA513" s="132"/>
      <c r="AB513" s="132"/>
      <c r="AC513" s="132"/>
    </row>
    <row r="514">
      <c r="A514" s="132"/>
      <c r="B514" s="132"/>
      <c r="C514" s="132"/>
      <c r="D514" s="132"/>
      <c r="E514" s="132"/>
      <c r="F514" s="132"/>
      <c r="G514" s="132"/>
      <c r="H514" s="372"/>
      <c r="I514" s="372"/>
      <c r="J514" s="372"/>
      <c r="K514" s="2"/>
      <c r="L514" s="132"/>
      <c r="M514" s="132"/>
      <c r="N514" s="132"/>
      <c r="O514" s="132"/>
      <c r="P514" s="132"/>
      <c r="Q514" s="132"/>
      <c r="R514" s="132"/>
      <c r="S514" s="132"/>
      <c r="T514" s="132"/>
      <c r="U514" s="132"/>
      <c r="V514" s="132"/>
      <c r="W514" s="132"/>
      <c r="X514" s="132"/>
      <c r="Y514" s="132"/>
      <c r="Z514" s="132"/>
      <c r="AA514" s="132"/>
      <c r="AB514" s="132"/>
      <c r="AC514" s="132"/>
    </row>
    <row r="515">
      <c r="A515" s="132"/>
      <c r="B515" s="132"/>
      <c r="C515" s="132"/>
      <c r="D515" s="132"/>
      <c r="E515" s="132"/>
      <c r="F515" s="132"/>
      <c r="G515" s="132"/>
      <c r="H515" s="372"/>
      <c r="I515" s="372"/>
      <c r="J515" s="372"/>
      <c r="K515" s="2"/>
      <c r="L515" s="132"/>
      <c r="M515" s="132"/>
      <c r="N515" s="132"/>
      <c r="O515" s="132"/>
      <c r="P515" s="132"/>
      <c r="Q515" s="132"/>
      <c r="R515" s="132"/>
      <c r="S515" s="132"/>
      <c r="T515" s="132"/>
      <c r="U515" s="132"/>
      <c r="V515" s="132"/>
      <c r="W515" s="132"/>
      <c r="X515" s="132"/>
      <c r="Y515" s="132"/>
      <c r="Z515" s="132"/>
      <c r="AA515" s="132"/>
      <c r="AB515" s="132"/>
      <c r="AC515" s="132"/>
    </row>
    <row r="516">
      <c r="A516" s="132"/>
      <c r="B516" s="132"/>
      <c r="C516" s="132"/>
      <c r="D516" s="132"/>
      <c r="E516" s="132"/>
      <c r="F516" s="132"/>
      <c r="G516" s="132"/>
      <c r="H516" s="372"/>
      <c r="I516" s="372"/>
      <c r="J516" s="372"/>
      <c r="K516" s="2"/>
      <c r="L516" s="132"/>
      <c r="M516" s="132"/>
      <c r="N516" s="132"/>
      <c r="O516" s="132"/>
      <c r="P516" s="132"/>
      <c r="Q516" s="132"/>
      <c r="R516" s="132"/>
      <c r="S516" s="132"/>
      <c r="T516" s="132"/>
      <c r="U516" s="132"/>
      <c r="V516" s="132"/>
      <c r="W516" s="132"/>
      <c r="X516" s="132"/>
      <c r="Y516" s="132"/>
      <c r="Z516" s="132"/>
      <c r="AA516" s="132"/>
      <c r="AB516" s="132"/>
      <c r="AC516" s="132"/>
    </row>
    <row r="517">
      <c r="A517" s="132"/>
      <c r="B517" s="132"/>
      <c r="C517" s="132"/>
      <c r="D517" s="132"/>
      <c r="E517" s="132"/>
      <c r="F517" s="132"/>
      <c r="G517" s="132"/>
      <c r="H517" s="372"/>
      <c r="I517" s="372"/>
      <c r="J517" s="372"/>
      <c r="K517" s="2"/>
      <c r="L517" s="132"/>
      <c r="M517" s="132"/>
      <c r="N517" s="132"/>
      <c r="O517" s="132"/>
      <c r="P517" s="132"/>
      <c r="Q517" s="132"/>
      <c r="R517" s="132"/>
      <c r="S517" s="132"/>
      <c r="T517" s="132"/>
      <c r="U517" s="132"/>
      <c r="V517" s="132"/>
      <c r="W517" s="132"/>
      <c r="X517" s="132"/>
      <c r="Y517" s="132"/>
      <c r="Z517" s="132"/>
      <c r="AA517" s="132"/>
      <c r="AB517" s="132"/>
      <c r="AC517" s="132"/>
    </row>
    <row r="518">
      <c r="A518" s="132"/>
      <c r="B518" s="132"/>
      <c r="C518" s="132"/>
      <c r="D518" s="132"/>
      <c r="E518" s="132"/>
      <c r="F518" s="132"/>
      <c r="G518" s="132"/>
      <c r="H518" s="372"/>
      <c r="I518" s="372"/>
      <c r="J518" s="372"/>
      <c r="K518" s="2"/>
      <c r="L518" s="132"/>
      <c r="M518" s="132"/>
      <c r="N518" s="132"/>
      <c r="O518" s="132"/>
      <c r="P518" s="132"/>
      <c r="Q518" s="132"/>
      <c r="R518" s="132"/>
      <c r="S518" s="132"/>
      <c r="T518" s="132"/>
      <c r="U518" s="132"/>
      <c r="V518" s="132"/>
      <c r="W518" s="132"/>
      <c r="X518" s="132"/>
      <c r="Y518" s="132"/>
      <c r="Z518" s="132"/>
      <c r="AA518" s="132"/>
      <c r="AB518" s="132"/>
      <c r="AC518" s="132"/>
    </row>
    <row r="519">
      <c r="A519" s="132"/>
      <c r="B519" s="132"/>
      <c r="C519" s="132"/>
      <c r="D519" s="132"/>
      <c r="E519" s="132"/>
      <c r="F519" s="132"/>
      <c r="G519" s="132"/>
      <c r="H519" s="372"/>
      <c r="I519" s="372"/>
      <c r="J519" s="372"/>
      <c r="K519" s="2"/>
      <c r="L519" s="132"/>
      <c r="M519" s="132"/>
      <c r="N519" s="132"/>
      <c r="O519" s="132"/>
      <c r="P519" s="132"/>
      <c r="Q519" s="132"/>
      <c r="R519" s="132"/>
      <c r="S519" s="132"/>
      <c r="T519" s="132"/>
      <c r="U519" s="132"/>
      <c r="V519" s="132"/>
      <c r="W519" s="132"/>
      <c r="X519" s="132"/>
      <c r="Y519" s="132"/>
      <c r="Z519" s="132"/>
      <c r="AA519" s="132"/>
      <c r="AB519" s="132"/>
      <c r="AC519" s="132"/>
    </row>
    <row r="520">
      <c r="A520" s="132"/>
      <c r="B520" s="132"/>
      <c r="C520" s="132"/>
      <c r="D520" s="132"/>
      <c r="E520" s="132"/>
      <c r="F520" s="132"/>
      <c r="G520" s="132"/>
      <c r="H520" s="372"/>
      <c r="I520" s="372"/>
      <c r="J520" s="372"/>
      <c r="K520" s="2"/>
      <c r="L520" s="132"/>
      <c r="M520" s="132"/>
      <c r="N520" s="132"/>
      <c r="O520" s="132"/>
      <c r="P520" s="132"/>
      <c r="Q520" s="132"/>
      <c r="R520" s="132"/>
      <c r="S520" s="132"/>
      <c r="T520" s="132"/>
      <c r="U520" s="132"/>
      <c r="V520" s="132"/>
      <c r="W520" s="132"/>
      <c r="X520" s="132"/>
      <c r="Y520" s="132"/>
      <c r="Z520" s="132"/>
      <c r="AA520" s="132"/>
      <c r="AB520" s="132"/>
      <c r="AC520" s="132"/>
    </row>
    <row r="521">
      <c r="A521" s="132"/>
      <c r="B521" s="132"/>
      <c r="C521" s="132"/>
      <c r="D521" s="132"/>
      <c r="E521" s="132"/>
      <c r="F521" s="132"/>
      <c r="G521" s="132"/>
      <c r="H521" s="372"/>
      <c r="I521" s="372"/>
      <c r="J521" s="372"/>
      <c r="K521" s="2"/>
      <c r="L521" s="132"/>
      <c r="M521" s="132"/>
      <c r="N521" s="132"/>
      <c r="O521" s="132"/>
      <c r="P521" s="132"/>
      <c r="Q521" s="132"/>
      <c r="R521" s="132"/>
      <c r="S521" s="132"/>
      <c r="T521" s="132"/>
      <c r="U521" s="132"/>
      <c r="V521" s="132"/>
      <c r="W521" s="132"/>
      <c r="X521" s="132"/>
      <c r="Y521" s="132"/>
      <c r="Z521" s="132"/>
      <c r="AA521" s="132"/>
      <c r="AB521" s="132"/>
      <c r="AC521" s="132"/>
    </row>
    <row r="522">
      <c r="A522" s="132"/>
      <c r="B522" s="132"/>
      <c r="C522" s="132"/>
      <c r="D522" s="132"/>
      <c r="E522" s="132"/>
      <c r="F522" s="132"/>
      <c r="G522" s="132"/>
      <c r="H522" s="372"/>
      <c r="I522" s="372"/>
      <c r="J522" s="372"/>
      <c r="K522" s="2"/>
      <c r="L522" s="132"/>
      <c r="M522" s="132"/>
      <c r="N522" s="132"/>
      <c r="O522" s="132"/>
      <c r="P522" s="132"/>
      <c r="Q522" s="132"/>
      <c r="R522" s="132"/>
      <c r="S522" s="132"/>
      <c r="T522" s="132"/>
      <c r="U522" s="132"/>
      <c r="V522" s="132"/>
      <c r="W522" s="132"/>
      <c r="X522" s="132"/>
      <c r="Y522" s="132"/>
      <c r="Z522" s="132"/>
      <c r="AA522" s="132"/>
      <c r="AB522" s="132"/>
      <c r="AC522" s="132"/>
    </row>
    <row r="523">
      <c r="A523" s="132"/>
      <c r="B523" s="132"/>
      <c r="C523" s="132"/>
      <c r="D523" s="132"/>
      <c r="E523" s="132"/>
      <c r="F523" s="132"/>
      <c r="G523" s="132"/>
      <c r="H523" s="372"/>
      <c r="I523" s="372"/>
      <c r="J523" s="372"/>
      <c r="K523" s="2"/>
      <c r="L523" s="132"/>
      <c r="M523" s="132"/>
      <c r="N523" s="132"/>
      <c r="O523" s="132"/>
      <c r="P523" s="132"/>
      <c r="Q523" s="132"/>
      <c r="R523" s="132"/>
      <c r="S523" s="132"/>
      <c r="T523" s="132"/>
      <c r="U523" s="132"/>
      <c r="V523" s="132"/>
      <c r="W523" s="132"/>
      <c r="X523" s="132"/>
      <c r="Y523" s="132"/>
      <c r="Z523" s="132"/>
      <c r="AA523" s="132"/>
      <c r="AB523" s="132"/>
      <c r="AC523" s="132"/>
    </row>
    <row r="524">
      <c r="A524" s="132"/>
      <c r="B524" s="132"/>
      <c r="C524" s="132"/>
      <c r="D524" s="132"/>
      <c r="E524" s="132"/>
      <c r="F524" s="132"/>
      <c r="G524" s="132"/>
      <c r="H524" s="372"/>
      <c r="I524" s="372"/>
      <c r="J524" s="372"/>
      <c r="K524" s="2"/>
      <c r="L524" s="132"/>
      <c r="M524" s="132"/>
      <c r="N524" s="132"/>
      <c r="O524" s="132"/>
      <c r="P524" s="132"/>
      <c r="Q524" s="132"/>
      <c r="R524" s="132"/>
      <c r="S524" s="132"/>
      <c r="T524" s="132"/>
      <c r="U524" s="132"/>
      <c r="V524" s="132"/>
      <c r="W524" s="132"/>
      <c r="X524" s="132"/>
      <c r="Y524" s="132"/>
      <c r="Z524" s="132"/>
      <c r="AA524" s="132"/>
      <c r="AB524" s="132"/>
      <c r="AC524" s="132"/>
    </row>
    <row r="525">
      <c r="A525" s="132"/>
      <c r="B525" s="132"/>
      <c r="C525" s="132"/>
      <c r="D525" s="132"/>
      <c r="E525" s="132"/>
      <c r="F525" s="132"/>
      <c r="G525" s="132"/>
      <c r="H525" s="372"/>
      <c r="I525" s="372"/>
      <c r="J525" s="372"/>
      <c r="K525" s="2"/>
      <c r="L525" s="132"/>
      <c r="M525" s="132"/>
      <c r="N525" s="132"/>
      <c r="O525" s="132"/>
      <c r="P525" s="132"/>
      <c r="Q525" s="132"/>
      <c r="R525" s="132"/>
      <c r="S525" s="132"/>
      <c r="T525" s="132"/>
      <c r="U525" s="132"/>
      <c r="V525" s="132"/>
      <c r="W525" s="132"/>
      <c r="X525" s="132"/>
      <c r="Y525" s="132"/>
      <c r="Z525" s="132"/>
      <c r="AA525" s="132"/>
      <c r="AB525" s="132"/>
      <c r="AC525" s="132"/>
    </row>
    <row r="526">
      <c r="A526" s="132"/>
      <c r="B526" s="132"/>
      <c r="C526" s="132"/>
      <c r="D526" s="132"/>
      <c r="E526" s="132"/>
      <c r="F526" s="132"/>
      <c r="G526" s="132"/>
      <c r="H526" s="372"/>
      <c r="I526" s="372"/>
      <c r="J526" s="372"/>
      <c r="K526" s="2"/>
      <c r="L526" s="132"/>
      <c r="M526" s="132"/>
      <c r="N526" s="132"/>
      <c r="O526" s="132"/>
      <c r="P526" s="132"/>
      <c r="Q526" s="132"/>
      <c r="R526" s="132"/>
      <c r="S526" s="132"/>
      <c r="T526" s="132"/>
      <c r="U526" s="132"/>
      <c r="V526" s="132"/>
      <c r="W526" s="132"/>
      <c r="X526" s="132"/>
      <c r="Y526" s="132"/>
      <c r="Z526" s="132"/>
      <c r="AA526" s="132"/>
      <c r="AB526" s="132"/>
      <c r="AC526" s="132"/>
    </row>
    <row r="527">
      <c r="A527" s="132"/>
      <c r="B527" s="132"/>
      <c r="C527" s="132"/>
      <c r="D527" s="132"/>
      <c r="E527" s="132"/>
      <c r="F527" s="132"/>
      <c r="G527" s="132"/>
      <c r="H527" s="372"/>
      <c r="I527" s="372"/>
      <c r="J527" s="372"/>
      <c r="K527" s="2"/>
      <c r="L527" s="132"/>
      <c r="M527" s="132"/>
      <c r="N527" s="132"/>
      <c r="O527" s="132"/>
      <c r="P527" s="132"/>
      <c r="Q527" s="132"/>
      <c r="R527" s="132"/>
      <c r="S527" s="132"/>
      <c r="T527" s="132"/>
      <c r="U527" s="132"/>
      <c r="V527" s="132"/>
      <c r="W527" s="132"/>
      <c r="X527" s="132"/>
      <c r="Y527" s="132"/>
      <c r="Z527" s="132"/>
      <c r="AA527" s="132"/>
      <c r="AB527" s="132"/>
      <c r="AC527" s="132"/>
    </row>
    <row r="528">
      <c r="A528" s="132"/>
      <c r="B528" s="132"/>
      <c r="C528" s="132"/>
      <c r="D528" s="132"/>
      <c r="E528" s="132"/>
      <c r="F528" s="132"/>
      <c r="G528" s="132"/>
      <c r="H528" s="372"/>
      <c r="I528" s="372"/>
      <c r="J528" s="372"/>
      <c r="K528" s="2"/>
      <c r="L528" s="132"/>
      <c r="M528" s="132"/>
      <c r="N528" s="132"/>
      <c r="O528" s="132"/>
      <c r="P528" s="132"/>
      <c r="Q528" s="132"/>
      <c r="R528" s="132"/>
      <c r="S528" s="132"/>
      <c r="T528" s="132"/>
      <c r="U528" s="132"/>
      <c r="V528" s="132"/>
      <c r="W528" s="132"/>
      <c r="X528" s="132"/>
      <c r="Y528" s="132"/>
      <c r="Z528" s="132"/>
      <c r="AA528" s="132"/>
      <c r="AB528" s="132"/>
      <c r="AC528" s="132"/>
    </row>
    <row r="529">
      <c r="A529" s="132"/>
      <c r="B529" s="132"/>
      <c r="C529" s="132"/>
      <c r="D529" s="132"/>
      <c r="E529" s="132"/>
      <c r="F529" s="132"/>
      <c r="G529" s="132"/>
      <c r="H529" s="372"/>
      <c r="I529" s="372"/>
      <c r="J529" s="372"/>
      <c r="K529" s="2"/>
      <c r="L529" s="132"/>
      <c r="M529" s="132"/>
      <c r="N529" s="132"/>
      <c r="O529" s="132"/>
      <c r="P529" s="132"/>
      <c r="Q529" s="132"/>
      <c r="R529" s="132"/>
      <c r="S529" s="132"/>
      <c r="T529" s="132"/>
      <c r="U529" s="132"/>
      <c r="V529" s="132"/>
      <c r="W529" s="132"/>
      <c r="X529" s="132"/>
      <c r="Y529" s="132"/>
      <c r="Z529" s="132"/>
      <c r="AA529" s="132"/>
      <c r="AB529" s="132"/>
      <c r="AC529" s="132"/>
    </row>
    <row r="530">
      <c r="A530" s="132"/>
      <c r="B530" s="132"/>
      <c r="C530" s="132"/>
      <c r="D530" s="132"/>
      <c r="E530" s="132"/>
      <c r="F530" s="132"/>
      <c r="G530" s="132"/>
      <c r="H530" s="372"/>
      <c r="I530" s="372"/>
      <c r="J530" s="372"/>
      <c r="K530" s="2"/>
      <c r="L530" s="132"/>
      <c r="M530" s="132"/>
      <c r="N530" s="132"/>
      <c r="O530" s="132"/>
      <c r="P530" s="132"/>
      <c r="Q530" s="132"/>
      <c r="R530" s="132"/>
      <c r="S530" s="132"/>
      <c r="T530" s="132"/>
      <c r="U530" s="132"/>
      <c r="V530" s="132"/>
      <c r="W530" s="132"/>
      <c r="X530" s="132"/>
      <c r="Y530" s="132"/>
      <c r="Z530" s="132"/>
      <c r="AA530" s="132"/>
      <c r="AB530" s="132"/>
      <c r="AC530" s="132"/>
    </row>
    <row r="531">
      <c r="A531" s="132"/>
      <c r="B531" s="132"/>
      <c r="C531" s="132"/>
      <c r="D531" s="132"/>
      <c r="E531" s="132"/>
      <c r="F531" s="132"/>
      <c r="G531" s="132"/>
      <c r="H531" s="372"/>
      <c r="I531" s="372"/>
      <c r="J531" s="372"/>
      <c r="K531" s="2"/>
      <c r="L531" s="132"/>
      <c r="M531" s="132"/>
      <c r="N531" s="132"/>
      <c r="O531" s="132"/>
      <c r="P531" s="132"/>
      <c r="Q531" s="132"/>
      <c r="R531" s="132"/>
      <c r="S531" s="132"/>
      <c r="T531" s="132"/>
      <c r="U531" s="132"/>
      <c r="V531" s="132"/>
      <c r="W531" s="132"/>
      <c r="X531" s="132"/>
      <c r="Y531" s="132"/>
      <c r="Z531" s="132"/>
      <c r="AA531" s="132"/>
      <c r="AB531" s="132"/>
      <c r="AC531" s="132"/>
    </row>
    <row r="532">
      <c r="A532" s="132"/>
      <c r="B532" s="132"/>
      <c r="C532" s="132"/>
      <c r="D532" s="132"/>
      <c r="E532" s="132"/>
      <c r="F532" s="132"/>
      <c r="G532" s="132"/>
      <c r="H532" s="372"/>
      <c r="I532" s="372"/>
      <c r="J532" s="372"/>
      <c r="K532" s="2"/>
      <c r="L532" s="132"/>
      <c r="M532" s="132"/>
      <c r="N532" s="132"/>
      <c r="O532" s="132"/>
      <c r="P532" s="132"/>
      <c r="Q532" s="132"/>
      <c r="R532" s="132"/>
      <c r="S532" s="132"/>
      <c r="T532" s="132"/>
      <c r="U532" s="132"/>
      <c r="V532" s="132"/>
      <c r="W532" s="132"/>
      <c r="X532" s="132"/>
      <c r="Y532" s="132"/>
      <c r="Z532" s="132"/>
      <c r="AA532" s="132"/>
      <c r="AB532" s="132"/>
      <c r="AC532" s="132"/>
    </row>
    <row r="533">
      <c r="A533" s="132"/>
      <c r="B533" s="132"/>
      <c r="C533" s="132"/>
      <c r="D533" s="132"/>
      <c r="E533" s="132"/>
      <c r="F533" s="132"/>
      <c r="G533" s="132"/>
      <c r="H533" s="372"/>
      <c r="I533" s="372"/>
      <c r="J533" s="372"/>
      <c r="K533" s="2"/>
      <c r="L533" s="132"/>
      <c r="M533" s="132"/>
      <c r="N533" s="132"/>
      <c r="O533" s="132"/>
      <c r="P533" s="132"/>
      <c r="Q533" s="132"/>
      <c r="R533" s="132"/>
      <c r="S533" s="132"/>
      <c r="T533" s="132"/>
      <c r="U533" s="132"/>
      <c r="V533" s="132"/>
      <c r="W533" s="132"/>
      <c r="X533" s="132"/>
      <c r="Y533" s="132"/>
      <c r="Z533" s="132"/>
      <c r="AA533" s="132"/>
      <c r="AB533" s="132"/>
      <c r="AC533" s="132"/>
    </row>
    <row r="534">
      <c r="A534" s="132"/>
      <c r="B534" s="132"/>
      <c r="C534" s="132"/>
      <c r="D534" s="132"/>
      <c r="E534" s="132"/>
      <c r="F534" s="132"/>
      <c r="G534" s="132"/>
      <c r="H534" s="372"/>
      <c r="I534" s="372"/>
      <c r="J534" s="372"/>
      <c r="K534" s="2"/>
      <c r="L534" s="132"/>
      <c r="M534" s="132"/>
      <c r="N534" s="132"/>
      <c r="O534" s="132"/>
      <c r="P534" s="132"/>
      <c r="Q534" s="132"/>
      <c r="R534" s="132"/>
      <c r="S534" s="132"/>
      <c r="T534" s="132"/>
      <c r="U534" s="132"/>
      <c r="V534" s="132"/>
      <c r="W534" s="132"/>
      <c r="X534" s="132"/>
      <c r="Y534" s="132"/>
      <c r="Z534" s="132"/>
      <c r="AA534" s="132"/>
      <c r="AB534" s="132"/>
      <c r="AC534" s="132"/>
    </row>
    <row r="535">
      <c r="A535" s="132"/>
      <c r="B535" s="132"/>
      <c r="C535" s="132"/>
      <c r="D535" s="132"/>
      <c r="E535" s="132"/>
      <c r="F535" s="132"/>
      <c r="G535" s="132"/>
      <c r="H535" s="372"/>
      <c r="I535" s="372"/>
      <c r="J535" s="372"/>
      <c r="K535" s="2"/>
      <c r="L535" s="132"/>
      <c r="M535" s="132"/>
      <c r="N535" s="132"/>
      <c r="O535" s="132"/>
      <c r="P535" s="132"/>
      <c r="Q535" s="132"/>
      <c r="R535" s="132"/>
      <c r="S535" s="132"/>
      <c r="T535" s="132"/>
      <c r="U535" s="132"/>
      <c r="V535" s="132"/>
      <c r="W535" s="132"/>
      <c r="X535" s="132"/>
      <c r="Y535" s="132"/>
      <c r="Z535" s="132"/>
      <c r="AA535" s="132"/>
      <c r="AB535" s="132"/>
      <c r="AC535" s="132"/>
    </row>
    <row r="536">
      <c r="A536" s="132"/>
      <c r="B536" s="132"/>
      <c r="C536" s="132"/>
      <c r="D536" s="132"/>
      <c r="E536" s="132"/>
      <c r="F536" s="132"/>
      <c r="G536" s="132"/>
      <c r="H536" s="372"/>
      <c r="I536" s="372"/>
      <c r="J536" s="372"/>
      <c r="K536" s="2"/>
      <c r="L536" s="132"/>
      <c r="M536" s="132"/>
      <c r="N536" s="132"/>
      <c r="O536" s="132"/>
      <c r="P536" s="132"/>
      <c r="Q536" s="132"/>
      <c r="R536" s="132"/>
      <c r="S536" s="132"/>
      <c r="T536" s="132"/>
      <c r="U536" s="132"/>
      <c r="V536" s="132"/>
      <c r="W536" s="132"/>
      <c r="X536" s="132"/>
      <c r="Y536" s="132"/>
      <c r="Z536" s="132"/>
      <c r="AA536" s="132"/>
      <c r="AB536" s="132"/>
      <c r="AC536" s="132"/>
    </row>
    <row r="537">
      <c r="A537" s="132"/>
      <c r="B537" s="132"/>
      <c r="C537" s="132"/>
      <c r="D537" s="132"/>
      <c r="E537" s="132"/>
      <c r="F537" s="132"/>
      <c r="G537" s="132"/>
      <c r="H537" s="372"/>
      <c r="I537" s="372"/>
      <c r="J537" s="372"/>
      <c r="K537" s="2"/>
      <c r="L537" s="132"/>
      <c r="M537" s="132"/>
      <c r="N537" s="132"/>
      <c r="O537" s="132"/>
      <c r="P537" s="132"/>
      <c r="Q537" s="132"/>
      <c r="R537" s="132"/>
      <c r="S537" s="132"/>
      <c r="T537" s="132"/>
      <c r="U537" s="132"/>
      <c r="V537" s="132"/>
      <c r="W537" s="132"/>
      <c r="X537" s="132"/>
      <c r="Y537" s="132"/>
      <c r="Z537" s="132"/>
      <c r="AA537" s="132"/>
      <c r="AB537" s="132"/>
      <c r="AC537" s="132"/>
    </row>
    <row r="538">
      <c r="A538" s="132"/>
      <c r="B538" s="132"/>
      <c r="C538" s="132"/>
      <c r="D538" s="132"/>
      <c r="E538" s="132"/>
      <c r="F538" s="132"/>
      <c r="G538" s="132"/>
      <c r="H538" s="372"/>
      <c r="I538" s="372"/>
      <c r="J538" s="372"/>
      <c r="K538" s="2"/>
      <c r="L538" s="132"/>
      <c r="M538" s="132"/>
      <c r="N538" s="132"/>
      <c r="O538" s="132"/>
      <c r="P538" s="132"/>
      <c r="Q538" s="132"/>
      <c r="R538" s="132"/>
      <c r="S538" s="132"/>
      <c r="T538" s="132"/>
      <c r="U538" s="132"/>
      <c r="V538" s="132"/>
      <c r="W538" s="132"/>
      <c r="X538" s="132"/>
      <c r="Y538" s="132"/>
      <c r="Z538" s="132"/>
      <c r="AA538" s="132"/>
      <c r="AB538" s="132"/>
      <c r="AC538" s="132"/>
    </row>
    <row r="539">
      <c r="A539" s="132"/>
      <c r="B539" s="132"/>
      <c r="C539" s="132"/>
      <c r="D539" s="132"/>
      <c r="E539" s="132"/>
      <c r="F539" s="132"/>
      <c r="G539" s="132"/>
      <c r="H539" s="372"/>
      <c r="I539" s="372"/>
      <c r="J539" s="372"/>
      <c r="K539" s="2"/>
      <c r="L539" s="132"/>
      <c r="M539" s="132"/>
      <c r="N539" s="132"/>
      <c r="O539" s="132"/>
      <c r="P539" s="132"/>
      <c r="Q539" s="132"/>
      <c r="R539" s="132"/>
      <c r="S539" s="132"/>
      <c r="T539" s="132"/>
      <c r="U539" s="132"/>
      <c r="V539" s="132"/>
      <c r="W539" s="132"/>
      <c r="X539" s="132"/>
      <c r="Y539" s="132"/>
      <c r="Z539" s="132"/>
      <c r="AA539" s="132"/>
      <c r="AB539" s="132"/>
      <c r="AC539" s="132"/>
    </row>
    <row r="540">
      <c r="A540" s="132"/>
      <c r="B540" s="132"/>
      <c r="C540" s="132"/>
      <c r="D540" s="132"/>
      <c r="E540" s="132"/>
      <c r="F540" s="132"/>
      <c r="G540" s="132"/>
      <c r="H540" s="372"/>
      <c r="I540" s="372"/>
      <c r="J540" s="372"/>
      <c r="K540" s="2"/>
      <c r="L540" s="132"/>
      <c r="M540" s="132"/>
      <c r="N540" s="132"/>
      <c r="O540" s="132"/>
      <c r="P540" s="132"/>
      <c r="Q540" s="132"/>
      <c r="R540" s="132"/>
      <c r="S540" s="132"/>
      <c r="T540" s="132"/>
      <c r="U540" s="132"/>
      <c r="V540" s="132"/>
      <c r="W540" s="132"/>
      <c r="X540" s="132"/>
      <c r="Y540" s="132"/>
      <c r="Z540" s="132"/>
      <c r="AA540" s="132"/>
      <c r="AB540" s="132"/>
      <c r="AC540" s="132"/>
    </row>
    <row r="541">
      <c r="A541" s="132"/>
      <c r="B541" s="132"/>
      <c r="C541" s="132"/>
      <c r="D541" s="132"/>
      <c r="E541" s="132"/>
      <c r="F541" s="132"/>
      <c r="G541" s="132"/>
      <c r="H541" s="372"/>
      <c r="I541" s="372"/>
      <c r="J541" s="372"/>
      <c r="K541" s="2"/>
      <c r="L541" s="132"/>
      <c r="M541" s="132"/>
      <c r="N541" s="132"/>
      <c r="O541" s="132"/>
      <c r="P541" s="132"/>
      <c r="Q541" s="132"/>
      <c r="R541" s="132"/>
      <c r="S541" s="132"/>
      <c r="T541" s="132"/>
      <c r="U541" s="132"/>
      <c r="V541" s="132"/>
      <c r="W541" s="132"/>
      <c r="X541" s="132"/>
      <c r="Y541" s="132"/>
      <c r="Z541" s="132"/>
      <c r="AA541" s="132"/>
      <c r="AB541" s="132"/>
      <c r="AC541" s="132"/>
    </row>
    <row r="542">
      <c r="A542" s="132"/>
      <c r="B542" s="132"/>
      <c r="C542" s="132"/>
      <c r="D542" s="132"/>
      <c r="E542" s="132"/>
      <c r="F542" s="132"/>
      <c r="G542" s="132"/>
      <c r="H542" s="372"/>
      <c r="I542" s="372"/>
      <c r="J542" s="372"/>
      <c r="K542" s="2"/>
      <c r="L542" s="132"/>
      <c r="M542" s="132"/>
      <c r="N542" s="132"/>
      <c r="O542" s="132"/>
      <c r="P542" s="132"/>
      <c r="Q542" s="132"/>
      <c r="R542" s="132"/>
      <c r="S542" s="132"/>
      <c r="T542" s="132"/>
      <c r="U542" s="132"/>
      <c r="V542" s="132"/>
      <c r="W542" s="132"/>
      <c r="X542" s="132"/>
      <c r="Y542" s="132"/>
      <c r="Z542" s="132"/>
      <c r="AA542" s="132"/>
      <c r="AB542" s="132"/>
      <c r="AC542" s="132"/>
    </row>
    <row r="543">
      <c r="A543" s="132"/>
      <c r="B543" s="132"/>
      <c r="C543" s="132"/>
      <c r="D543" s="132"/>
      <c r="E543" s="132"/>
      <c r="F543" s="132"/>
      <c r="G543" s="132"/>
      <c r="H543" s="372"/>
      <c r="I543" s="372"/>
      <c r="J543" s="372"/>
      <c r="K543" s="2"/>
      <c r="L543" s="132"/>
      <c r="M543" s="132"/>
      <c r="N543" s="132"/>
      <c r="O543" s="132"/>
      <c r="P543" s="132"/>
      <c r="Q543" s="132"/>
      <c r="R543" s="132"/>
      <c r="S543" s="132"/>
      <c r="T543" s="132"/>
      <c r="U543" s="132"/>
      <c r="V543" s="132"/>
      <c r="W543" s="132"/>
      <c r="X543" s="132"/>
      <c r="Y543" s="132"/>
      <c r="Z543" s="132"/>
      <c r="AA543" s="132"/>
      <c r="AB543" s="132"/>
      <c r="AC543" s="132"/>
    </row>
    <row r="544">
      <c r="A544" s="132"/>
      <c r="B544" s="132"/>
      <c r="C544" s="132"/>
      <c r="D544" s="132"/>
      <c r="E544" s="132"/>
      <c r="F544" s="132"/>
      <c r="G544" s="132"/>
      <c r="H544" s="372"/>
      <c r="I544" s="372"/>
      <c r="J544" s="372"/>
      <c r="K544" s="2"/>
      <c r="L544" s="132"/>
      <c r="M544" s="132"/>
      <c r="N544" s="132"/>
      <c r="O544" s="132"/>
      <c r="P544" s="132"/>
      <c r="Q544" s="132"/>
      <c r="R544" s="132"/>
      <c r="S544" s="132"/>
      <c r="T544" s="132"/>
      <c r="U544" s="132"/>
      <c r="V544" s="132"/>
      <c r="W544" s="132"/>
      <c r="X544" s="132"/>
      <c r="Y544" s="132"/>
      <c r="Z544" s="132"/>
      <c r="AA544" s="132"/>
      <c r="AB544" s="132"/>
      <c r="AC544" s="132"/>
    </row>
    <row r="545">
      <c r="A545" s="132"/>
      <c r="B545" s="132"/>
      <c r="C545" s="132"/>
      <c r="D545" s="132"/>
      <c r="E545" s="132"/>
      <c r="F545" s="132"/>
      <c r="G545" s="132"/>
      <c r="H545" s="372"/>
      <c r="I545" s="372"/>
      <c r="J545" s="372"/>
      <c r="K545" s="2"/>
      <c r="L545" s="132"/>
      <c r="M545" s="132"/>
      <c r="N545" s="132"/>
      <c r="O545" s="132"/>
      <c r="P545" s="132"/>
      <c r="Q545" s="132"/>
      <c r="R545" s="132"/>
      <c r="S545" s="132"/>
      <c r="T545" s="132"/>
      <c r="U545" s="132"/>
      <c r="V545" s="132"/>
      <c r="W545" s="132"/>
      <c r="X545" s="132"/>
      <c r="Y545" s="132"/>
      <c r="Z545" s="132"/>
      <c r="AA545" s="132"/>
      <c r="AB545" s="132"/>
      <c r="AC545" s="132"/>
    </row>
    <row r="546">
      <c r="A546" s="132"/>
      <c r="B546" s="132"/>
      <c r="C546" s="132"/>
      <c r="D546" s="132"/>
      <c r="E546" s="132"/>
      <c r="F546" s="132"/>
      <c r="G546" s="132"/>
      <c r="H546" s="372"/>
      <c r="I546" s="372"/>
      <c r="J546" s="372"/>
      <c r="K546" s="2"/>
      <c r="L546" s="132"/>
      <c r="M546" s="132"/>
      <c r="N546" s="132"/>
      <c r="O546" s="132"/>
      <c r="P546" s="132"/>
      <c r="Q546" s="132"/>
      <c r="R546" s="132"/>
      <c r="S546" s="132"/>
      <c r="T546" s="132"/>
      <c r="U546" s="132"/>
      <c r="V546" s="132"/>
      <c r="W546" s="132"/>
      <c r="X546" s="132"/>
      <c r="Y546" s="132"/>
      <c r="Z546" s="132"/>
      <c r="AA546" s="132"/>
      <c r="AB546" s="132"/>
      <c r="AC546" s="132"/>
    </row>
    <row r="547">
      <c r="A547" s="132"/>
      <c r="B547" s="132"/>
      <c r="C547" s="132"/>
      <c r="D547" s="132"/>
      <c r="E547" s="132"/>
      <c r="F547" s="132"/>
      <c r="G547" s="132"/>
      <c r="H547" s="372"/>
      <c r="I547" s="372"/>
      <c r="J547" s="372"/>
      <c r="K547" s="2"/>
      <c r="L547" s="132"/>
      <c r="M547" s="132"/>
      <c r="N547" s="132"/>
      <c r="O547" s="132"/>
      <c r="P547" s="132"/>
      <c r="Q547" s="132"/>
      <c r="R547" s="132"/>
      <c r="S547" s="132"/>
      <c r="T547" s="132"/>
      <c r="U547" s="132"/>
      <c r="V547" s="132"/>
      <c r="W547" s="132"/>
      <c r="X547" s="132"/>
      <c r="Y547" s="132"/>
      <c r="Z547" s="132"/>
      <c r="AA547" s="132"/>
      <c r="AB547" s="132"/>
      <c r="AC547" s="132"/>
    </row>
    <row r="548">
      <c r="A548" s="132"/>
      <c r="B548" s="132"/>
      <c r="C548" s="132"/>
      <c r="D548" s="132"/>
      <c r="E548" s="132"/>
      <c r="F548" s="132"/>
      <c r="G548" s="132"/>
      <c r="H548" s="372"/>
      <c r="I548" s="372"/>
      <c r="J548" s="372"/>
      <c r="K548" s="2"/>
      <c r="L548" s="132"/>
      <c r="M548" s="132"/>
      <c r="N548" s="132"/>
      <c r="O548" s="132"/>
      <c r="P548" s="132"/>
      <c r="Q548" s="132"/>
      <c r="R548" s="132"/>
      <c r="S548" s="132"/>
      <c r="T548" s="132"/>
      <c r="U548" s="132"/>
      <c r="V548" s="132"/>
      <c r="W548" s="132"/>
      <c r="X548" s="132"/>
      <c r="Y548" s="132"/>
      <c r="Z548" s="132"/>
      <c r="AA548" s="132"/>
      <c r="AB548" s="132"/>
      <c r="AC548" s="132"/>
    </row>
    <row r="549">
      <c r="A549" s="132"/>
      <c r="B549" s="132"/>
      <c r="C549" s="132"/>
      <c r="D549" s="132"/>
      <c r="E549" s="132"/>
      <c r="F549" s="132"/>
      <c r="G549" s="132"/>
      <c r="H549" s="372"/>
      <c r="I549" s="372"/>
      <c r="J549" s="372"/>
      <c r="K549" s="2"/>
      <c r="L549" s="132"/>
      <c r="M549" s="132"/>
      <c r="N549" s="132"/>
      <c r="O549" s="132"/>
      <c r="P549" s="132"/>
      <c r="Q549" s="132"/>
      <c r="R549" s="132"/>
      <c r="S549" s="132"/>
      <c r="T549" s="132"/>
      <c r="U549" s="132"/>
      <c r="V549" s="132"/>
      <c r="W549" s="132"/>
      <c r="X549" s="132"/>
      <c r="Y549" s="132"/>
      <c r="Z549" s="132"/>
      <c r="AA549" s="132"/>
      <c r="AB549" s="132"/>
      <c r="AC549" s="132"/>
    </row>
    <row r="550">
      <c r="A550" s="132"/>
      <c r="B550" s="132"/>
      <c r="C550" s="132"/>
      <c r="D550" s="132"/>
      <c r="E550" s="132"/>
      <c r="F550" s="132"/>
      <c r="G550" s="132"/>
      <c r="H550" s="372"/>
      <c r="I550" s="372"/>
      <c r="J550" s="372"/>
      <c r="K550" s="2"/>
      <c r="L550" s="132"/>
      <c r="M550" s="132"/>
      <c r="N550" s="132"/>
      <c r="O550" s="132"/>
      <c r="P550" s="132"/>
      <c r="Q550" s="132"/>
      <c r="R550" s="132"/>
      <c r="S550" s="132"/>
      <c r="T550" s="132"/>
      <c r="U550" s="132"/>
      <c r="V550" s="132"/>
      <c r="W550" s="132"/>
      <c r="X550" s="132"/>
      <c r="Y550" s="132"/>
      <c r="Z550" s="132"/>
      <c r="AA550" s="132"/>
      <c r="AB550" s="132"/>
      <c r="AC550" s="132"/>
    </row>
    <row r="551">
      <c r="A551" s="132"/>
      <c r="B551" s="132"/>
      <c r="C551" s="132"/>
      <c r="D551" s="132"/>
      <c r="E551" s="132"/>
      <c r="F551" s="132"/>
      <c r="G551" s="132"/>
      <c r="H551" s="372"/>
      <c r="I551" s="372"/>
      <c r="J551" s="372"/>
      <c r="K551" s="2"/>
      <c r="L551" s="132"/>
      <c r="M551" s="132"/>
      <c r="N551" s="132"/>
      <c r="O551" s="132"/>
      <c r="P551" s="132"/>
      <c r="Q551" s="132"/>
      <c r="R551" s="132"/>
      <c r="S551" s="132"/>
      <c r="T551" s="132"/>
      <c r="U551" s="132"/>
      <c r="V551" s="132"/>
      <c r="W551" s="132"/>
      <c r="X551" s="132"/>
      <c r="Y551" s="132"/>
      <c r="Z551" s="132"/>
      <c r="AA551" s="132"/>
      <c r="AB551" s="132"/>
      <c r="AC551" s="132"/>
    </row>
    <row r="552">
      <c r="A552" s="132"/>
      <c r="B552" s="132"/>
      <c r="C552" s="132"/>
      <c r="D552" s="132"/>
      <c r="E552" s="132"/>
      <c r="F552" s="132"/>
      <c r="G552" s="132"/>
      <c r="H552" s="372"/>
      <c r="I552" s="372"/>
      <c r="J552" s="372"/>
      <c r="K552" s="2"/>
      <c r="L552" s="132"/>
      <c r="M552" s="132"/>
      <c r="N552" s="132"/>
      <c r="O552" s="132"/>
      <c r="P552" s="132"/>
      <c r="Q552" s="132"/>
      <c r="R552" s="132"/>
      <c r="S552" s="132"/>
      <c r="T552" s="132"/>
      <c r="U552" s="132"/>
      <c r="V552" s="132"/>
      <c r="W552" s="132"/>
      <c r="X552" s="132"/>
      <c r="Y552" s="132"/>
      <c r="Z552" s="132"/>
      <c r="AA552" s="132"/>
      <c r="AB552" s="132"/>
      <c r="AC552" s="132"/>
    </row>
    <row r="553">
      <c r="A553" s="132"/>
      <c r="B553" s="132"/>
      <c r="C553" s="132"/>
      <c r="D553" s="132"/>
      <c r="E553" s="132"/>
      <c r="F553" s="132"/>
      <c r="G553" s="132"/>
      <c r="H553" s="372"/>
      <c r="I553" s="372"/>
      <c r="J553" s="372"/>
      <c r="K553" s="2"/>
      <c r="L553" s="132"/>
      <c r="M553" s="132"/>
      <c r="N553" s="132"/>
      <c r="O553" s="132"/>
      <c r="P553" s="132"/>
      <c r="Q553" s="132"/>
      <c r="R553" s="132"/>
      <c r="S553" s="132"/>
      <c r="T553" s="132"/>
      <c r="U553" s="132"/>
      <c r="V553" s="132"/>
      <c r="W553" s="132"/>
      <c r="X553" s="132"/>
      <c r="Y553" s="132"/>
      <c r="Z553" s="132"/>
      <c r="AA553" s="132"/>
      <c r="AB553" s="132"/>
      <c r="AC553" s="132"/>
    </row>
    <row r="554">
      <c r="A554" s="132"/>
      <c r="B554" s="132"/>
      <c r="C554" s="132"/>
      <c r="D554" s="132"/>
      <c r="E554" s="132"/>
      <c r="F554" s="132"/>
      <c r="G554" s="132"/>
      <c r="H554" s="372"/>
      <c r="I554" s="372"/>
      <c r="J554" s="372"/>
      <c r="K554" s="2"/>
      <c r="L554" s="132"/>
      <c r="M554" s="132"/>
      <c r="N554" s="132"/>
      <c r="O554" s="132"/>
      <c r="P554" s="132"/>
      <c r="Q554" s="132"/>
      <c r="R554" s="132"/>
      <c r="S554" s="132"/>
      <c r="T554" s="132"/>
      <c r="U554" s="132"/>
      <c r="V554" s="132"/>
      <c r="W554" s="132"/>
      <c r="X554" s="132"/>
      <c r="Y554" s="132"/>
      <c r="Z554" s="132"/>
      <c r="AA554" s="132"/>
      <c r="AB554" s="132"/>
      <c r="AC554" s="132"/>
    </row>
    <row r="555">
      <c r="A555" s="132"/>
      <c r="B555" s="132"/>
      <c r="C555" s="132"/>
      <c r="D555" s="132"/>
      <c r="E555" s="132"/>
      <c r="F555" s="132"/>
      <c r="G555" s="132"/>
      <c r="H555" s="372"/>
      <c r="I555" s="372"/>
      <c r="J555" s="372"/>
      <c r="K555" s="2"/>
      <c r="L555" s="132"/>
      <c r="M555" s="132"/>
      <c r="N555" s="132"/>
      <c r="O555" s="132"/>
      <c r="P555" s="132"/>
      <c r="Q555" s="132"/>
      <c r="R555" s="132"/>
      <c r="S555" s="132"/>
      <c r="T555" s="132"/>
      <c r="U555" s="132"/>
      <c r="V555" s="132"/>
      <c r="W555" s="132"/>
      <c r="X555" s="132"/>
      <c r="Y555" s="132"/>
      <c r="Z555" s="132"/>
      <c r="AA555" s="132"/>
      <c r="AB555" s="132"/>
      <c r="AC555" s="132"/>
    </row>
    <row r="556">
      <c r="A556" s="132"/>
      <c r="B556" s="132"/>
      <c r="C556" s="132"/>
      <c r="D556" s="132"/>
      <c r="E556" s="132"/>
      <c r="F556" s="132"/>
      <c r="G556" s="132"/>
      <c r="H556" s="372"/>
      <c r="I556" s="372"/>
      <c r="J556" s="372"/>
      <c r="K556" s="2"/>
      <c r="L556" s="132"/>
      <c r="M556" s="132"/>
      <c r="N556" s="132"/>
      <c r="O556" s="132"/>
      <c r="P556" s="132"/>
      <c r="Q556" s="132"/>
      <c r="R556" s="132"/>
      <c r="S556" s="132"/>
      <c r="T556" s="132"/>
      <c r="U556" s="132"/>
      <c r="V556" s="132"/>
      <c r="W556" s="132"/>
      <c r="X556" s="132"/>
      <c r="Y556" s="132"/>
      <c r="Z556" s="132"/>
      <c r="AA556" s="132"/>
      <c r="AB556" s="132"/>
      <c r="AC556" s="132"/>
    </row>
    <row r="557">
      <c r="A557" s="132"/>
      <c r="B557" s="132"/>
      <c r="C557" s="132"/>
      <c r="D557" s="132"/>
      <c r="E557" s="132"/>
      <c r="F557" s="132"/>
      <c r="G557" s="132"/>
      <c r="H557" s="372"/>
      <c r="I557" s="372"/>
      <c r="J557" s="372"/>
      <c r="K557" s="2"/>
      <c r="L557" s="132"/>
      <c r="M557" s="132"/>
      <c r="N557" s="132"/>
      <c r="O557" s="132"/>
      <c r="P557" s="132"/>
      <c r="Q557" s="132"/>
      <c r="R557" s="132"/>
      <c r="S557" s="132"/>
      <c r="T557" s="132"/>
      <c r="U557" s="132"/>
      <c r="V557" s="132"/>
      <c r="W557" s="132"/>
      <c r="X557" s="132"/>
      <c r="Y557" s="132"/>
      <c r="Z557" s="132"/>
      <c r="AA557" s="132"/>
      <c r="AB557" s="132"/>
      <c r="AC557" s="132"/>
    </row>
    <row r="558">
      <c r="A558" s="132"/>
      <c r="B558" s="132"/>
      <c r="C558" s="132"/>
      <c r="D558" s="132"/>
      <c r="E558" s="132"/>
      <c r="F558" s="132"/>
      <c r="G558" s="132"/>
      <c r="H558" s="372"/>
      <c r="I558" s="372"/>
      <c r="J558" s="372"/>
      <c r="K558" s="2"/>
      <c r="L558" s="132"/>
      <c r="M558" s="132"/>
      <c r="N558" s="132"/>
      <c r="O558" s="132"/>
      <c r="P558" s="132"/>
      <c r="Q558" s="132"/>
      <c r="R558" s="132"/>
      <c r="S558" s="132"/>
      <c r="T558" s="132"/>
      <c r="U558" s="132"/>
      <c r="V558" s="132"/>
      <c r="W558" s="132"/>
      <c r="X558" s="132"/>
      <c r="Y558" s="132"/>
      <c r="Z558" s="132"/>
      <c r="AA558" s="132"/>
      <c r="AB558" s="132"/>
      <c r="AC558" s="132"/>
    </row>
    <row r="559">
      <c r="A559" s="132"/>
      <c r="B559" s="132"/>
      <c r="C559" s="132"/>
      <c r="D559" s="132"/>
      <c r="E559" s="132"/>
      <c r="F559" s="132"/>
      <c r="G559" s="132"/>
      <c r="H559" s="372"/>
      <c r="I559" s="372"/>
      <c r="J559" s="372"/>
      <c r="K559" s="2"/>
      <c r="L559" s="132"/>
      <c r="M559" s="132"/>
      <c r="N559" s="132"/>
      <c r="O559" s="132"/>
      <c r="P559" s="132"/>
      <c r="Q559" s="132"/>
      <c r="R559" s="132"/>
      <c r="S559" s="132"/>
      <c r="T559" s="132"/>
      <c r="U559" s="132"/>
      <c r="V559" s="132"/>
      <c r="W559" s="132"/>
      <c r="X559" s="132"/>
      <c r="Y559" s="132"/>
      <c r="Z559" s="132"/>
      <c r="AA559" s="132"/>
      <c r="AB559" s="132"/>
      <c r="AC559" s="132"/>
    </row>
    <row r="560">
      <c r="A560" s="132"/>
      <c r="B560" s="132"/>
      <c r="C560" s="132"/>
      <c r="D560" s="132"/>
      <c r="E560" s="132"/>
      <c r="F560" s="132"/>
      <c r="G560" s="132"/>
      <c r="H560" s="372"/>
      <c r="I560" s="372"/>
      <c r="J560" s="372"/>
      <c r="K560" s="2"/>
      <c r="L560" s="132"/>
      <c r="M560" s="132"/>
      <c r="N560" s="132"/>
      <c r="O560" s="132"/>
      <c r="P560" s="132"/>
      <c r="Q560" s="132"/>
      <c r="R560" s="132"/>
      <c r="S560" s="132"/>
      <c r="T560" s="132"/>
      <c r="U560" s="132"/>
      <c r="V560" s="132"/>
      <c r="W560" s="132"/>
      <c r="X560" s="132"/>
      <c r="Y560" s="132"/>
      <c r="Z560" s="132"/>
      <c r="AA560" s="132"/>
      <c r="AB560" s="132"/>
      <c r="AC560" s="132"/>
    </row>
    <row r="561">
      <c r="A561" s="132"/>
      <c r="B561" s="132"/>
      <c r="C561" s="132"/>
      <c r="D561" s="132"/>
      <c r="E561" s="132"/>
      <c r="F561" s="132"/>
      <c r="G561" s="132"/>
      <c r="H561" s="372"/>
      <c r="I561" s="372"/>
      <c r="J561" s="372"/>
      <c r="K561" s="2"/>
      <c r="L561" s="132"/>
      <c r="M561" s="132"/>
      <c r="N561" s="132"/>
      <c r="O561" s="132"/>
      <c r="P561" s="132"/>
      <c r="Q561" s="132"/>
      <c r="R561" s="132"/>
      <c r="S561" s="132"/>
      <c r="T561" s="132"/>
      <c r="U561" s="132"/>
      <c r="V561" s="132"/>
      <c r="W561" s="132"/>
      <c r="X561" s="132"/>
      <c r="Y561" s="132"/>
      <c r="Z561" s="132"/>
      <c r="AA561" s="132"/>
      <c r="AB561" s="132"/>
      <c r="AC561" s="132"/>
    </row>
    <row r="562">
      <c r="A562" s="132"/>
      <c r="B562" s="132"/>
      <c r="C562" s="132"/>
      <c r="D562" s="132"/>
      <c r="E562" s="132"/>
      <c r="F562" s="132"/>
      <c r="G562" s="132"/>
      <c r="H562" s="372"/>
      <c r="I562" s="372"/>
      <c r="J562" s="372"/>
      <c r="K562" s="2"/>
      <c r="L562" s="132"/>
      <c r="M562" s="132"/>
      <c r="N562" s="132"/>
      <c r="O562" s="132"/>
      <c r="P562" s="132"/>
      <c r="Q562" s="132"/>
      <c r="R562" s="132"/>
      <c r="S562" s="132"/>
      <c r="T562" s="132"/>
      <c r="U562" s="132"/>
      <c r="V562" s="132"/>
      <c r="W562" s="132"/>
      <c r="X562" s="132"/>
      <c r="Y562" s="132"/>
      <c r="Z562" s="132"/>
      <c r="AA562" s="132"/>
      <c r="AB562" s="132"/>
      <c r="AC562" s="132"/>
    </row>
    <row r="563">
      <c r="A563" s="132"/>
      <c r="B563" s="132"/>
      <c r="C563" s="132"/>
      <c r="D563" s="132"/>
      <c r="E563" s="132"/>
      <c r="F563" s="132"/>
      <c r="G563" s="132"/>
      <c r="H563" s="372"/>
      <c r="I563" s="372"/>
      <c r="J563" s="372"/>
      <c r="K563" s="2"/>
      <c r="L563" s="132"/>
      <c r="M563" s="132"/>
      <c r="N563" s="132"/>
      <c r="O563" s="132"/>
      <c r="P563" s="132"/>
      <c r="Q563" s="132"/>
      <c r="R563" s="132"/>
      <c r="S563" s="132"/>
      <c r="T563" s="132"/>
      <c r="U563" s="132"/>
      <c r="V563" s="132"/>
      <c r="W563" s="132"/>
      <c r="X563" s="132"/>
      <c r="Y563" s="132"/>
      <c r="Z563" s="132"/>
      <c r="AA563" s="132"/>
      <c r="AB563" s="132"/>
      <c r="AC563" s="132"/>
    </row>
    <row r="564">
      <c r="A564" s="132"/>
      <c r="B564" s="132"/>
      <c r="C564" s="132"/>
      <c r="D564" s="132"/>
      <c r="E564" s="132"/>
      <c r="F564" s="132"/>
      <c r="G564" s="132"/>
      <c r="H564" s="372"/>
      <c r="I564" s="372"/>
      <c r="J564" s="372"/>
      <c r="K564" s="2"/>
      <c r="L564" s="132"/>
      <c r="M564" s="132"/>
      <c r="N564" s="132"/>
      <c r="O564" s="132"/>
      <c r="P564" s="132"/>
      <c r="Q564" s="132"/>
      <c r="R564" s="132"/>
      <c r="S564" s="132"/>
      <c r="T564" s="132"/>
      <c r="U564" s="132"/>
      <c r="V564" s="132"/>
      <c r="W564" s="132"/>
      <c r="X564" s="132"/>
      <c r="Y564" s="132"/>
      <c r="Z564" s="132"/>
      <c r="AA564" s="132"/>
      <c r="AB564" s="132"/>
      <c r="AC564" s="132"/>
    </row>
    <row r="565">
      <c r="A565" s="132"/>
      <c r="B565" s="132"/>
      <c r="C565" s="132"/>
      <c r="D565" s="132"/>
      <c r="E565" s="132"/>
      <c r="F565" s="132"/>
      <c r="G565" s="132"/>
      <c r="H565" s="372"/>
      <c r="I565" s="372"/>
      <c r="J565" s="372"/>
      <c r="K565" s="2"/>
      <c r="L565" s="132"/>
      <c r="M565" s="132"/>
      <c r="N565" s="132"/>
      <c r="O565" s="132"/>
      <c r="P565" s="132"/>
      <c r="Q565" s="132"/>
      <c r="R565" s="132"/>
      <c r="S565" s="132"/>
      <c r="T565" s="132"/>
      <c r="U565" s="132"/>
      <c r="V565" s="132"/>
      <c r="W565" s="132"/>
      <c r="X565" s="132"/>
      <c r="Y565" s="132"/>
      <c r="Z565" s="132"/>
      <c r="AA565" s="132"/>
      <c r="AB565" s="132"/>
      <c r="AC565" s="132"/>
    </row>
    <row r="566">
      <c r="A566" s="132"/>
      <c r="B566" s="132"/>
      <c r="C566" s="132"/>
      <c r="D566" s="132"/>
      <c r="E566" s="132"/>
      <c r="F566" s="132"/>
      <c r="G566" s="132"/>
      <c r="H566" s="372"/>
      <c r="I566" s="372"/>
      <c r="J566" s="372"/>
      <c r="K566" s="2"/>
      <c r="L566" s="132"/>
      <c r="M566" s="132"/>
      <c r="N566" s="132"/>
      <c r="O566" s="132"/>
      <c r="P566" s="132"/>
      <c r="Q566" s="132"/>
      <c r="R566" s="132"/>
      <c r="S566" s="132"/>
      <c r="T566" s="132"/>
      <c r="U566" s="132"/>
      <c r="V566" s="132"/>
      <c r="W566" s="132"/>
      <c r="X566" s="132"/>
      <c r="Y566" s="132"/>
      <c r="Z566" s="132"/>
      <c r="AA566" s="132"/>
      <c r="AB566" s="132"/>
      <c r="AC566" s="132"/>
    </row>
    <row r="567">
      <c r="A567" s="132"/>
      <c r="B567" s="132"/>
      <c r="C567" s="132"/>
      <c r="D567" s="132"/>
      <c r="E567" s="132"/>
      <c r="F567" s="132"/>
      <c r="G567" s="132"/>
      <c r="H567" s="372"/>
      <c r="I567" s="372"/>
      <c r="J567" s="372"/>
      <c r="K567" s="2"/>
      <c r="L567" s="132"/>
      <c r="M567" s="132"/>
      <c r="N567" s="132"/>
      <c r="O567" s="132"/>
      <c r="P567" s="132"/>
      <c r="Q567" s="132"/>
      <c r="R567" s="132"/>
      <c r="S567" s="132"/>
      <c r="T567" s="132"/>
      <c r="U567" s="132"/>
      <c r="V567" s="132"/>
      <c r="W567" s="132"/>
      <c r="X567" s="132"/>
      <c r="Y567" s="132"/>
      <c r="Z567" s="132"/>
      <c r="AA567" s="132"/>
      <c r="AB567" s="132"/>
      <c r="AC567" s="132"/>
    </row>
    <row r="568">
      <c r="A568" s="132"/>
      <c r="B568" s="132"/>
      <c r="C568" s="132"/>
      <c r="D568" s="132"/>
      <c r="E568" s="132"/>
      <c r="F568" s="132"/>
      <c r="G568" s="132"/>
      <c r="H568" s="372"/>
      <c r="I568" s="372"/>
      <c r="J568" s="372"/>
      <c r="K568" s="2"/>
      <c r="L568" s="132"/>
      <c r="M568" s="132"/>
      <c r="N568" s="132"/>
      <c r="O568" s="132"/>
      <c r="P568" s="132"/>
      <c r="Q568" s="132"/>
      <c r="R568" s="132"/>
      <c r="S568" s="132"/>
      <c r="T568" s="132"/>
      <c r="U568" s="132"/>
      <c r="V568" s="132"/>
      <c r="W568" s="132"/>
      <c r="X568" s="132"/>
      <c r="Y568" s="132"/>
      <c r="Z568" s="132"/>
      <c r="AA568" s="132"/>
      <c r="AB568" s="132"/>
      <c r="AC568" s="132"/>
    </row>
    <row r="569">
      <c r="A569" s="132"/>
      <c r="B569" s="132"/>
      <c r="C569" s="132"/>
      <c r="D569" s="132"/>
      <c r="E569" s="132"/>
      <c r="F569" s="132"/>
      <c r="G569" s="132"/>
      <c r="H569" s="372"/>
      <c r="I569" s="372"/>
      <c r="J569" s="372"/>
      <c r="K569" s="2"/>
      <c r="L569" s="132"/>
      <c r="M569" s="132"/>
      <c r="N569" s="132"/>
      <c r="O569" s="132"/>
      <c r="P569" s="132"/>
      <c r="Q569" s="132"/>
      <c r="R569" s="132"/>
      <c r="S569" s="132"/>
      <c r="T569" s="132"/>
      <c r="U569" s="132"/>
      <c r="V569" s="132"/>
      <c r="W569" s="132"/>
      <c r="X569" s="132"/>
      <c r="Y569" s="132"/>
      <c r="Z569" s="132"/>
      <c r="AA569" s="132"/>
      <c r="AB569" s="132"/>
      <c r="AC569" s="132"/>
    </row>
    <row r="570">
      <c r="A570" s="132"/>
      <c r="B570" s="132"/>
      <c r="C570" s="132"/>
      <c r="D570" s="132"/>
      <c r="E570" s="132"/>
      <c r="F570" s="132"/>
      <c r="G570" s="132"/>
      <c r="H570" s="372"/>
      <c r="I570" s="372"/>
      <c r="J570" s="372"/>
      <c r="K570" s="2"/>
      <c r="L570" s="132"/>
      <c r="M570" s="132"/>
      <c r="N570" s="132"/>
      <c r="O570" s="132"/>
      <c r="P570" s="132"/>
      <c r="Q570" s="132"/>
      <c r="R570" s="132"/>
      <c r="S570" s="132"/>
      <c r="T570" s="132"/>
      <c r="U570" s="132"/>
      <c r="V570" s="132"/>
      <c r="W570" s="132"/>
      <c r="X570" s="132"/>
      <c r="Y570" s="132"/>
      <c r="Z570" s="132"/>
      <c r="AA570" s="132"/>
      <c r="AB570" s="132"/>
      <c r="AC570" s="132"/>
    </row>
    <row r="571">
      <c r="A571" s="132"/>
      <c r="B571" s="132"/>
      <c r="C571" s="132"/>
      <c r="D571" s="132"/>
      <c r="E571" s="132"/>
      <c r="F571" s="132"/>
      <c r="G571" s="132"/>
      <c r="H571" s="372"/>
      <c r="I571" s="372"/>
      <c r="J571" s="372"/>
      <c r="K571" s="2"/>
      <c r="L571" s="132"/>
      <c r="M571" s="132"/>
      <c r="N571" s="132"/>
      <c r="O571" s="132"/>
      <c r="P571" s="132"/>
      <c r="Q571" s="132"/>
      <c r="R571" s="132"/>
      <c r="S571" s="132"/>
      <c r="T571" s="132"/>
      <c r="U571" s="132"/>
      <c r="V571" s="132"/>
      <c r="W571" s="132"/>
      <c r="X571" s="132"/>
      <c r="Y571" s="132"/>
      <c r="Z571" s="132"/>
      <c r="AA571" s="132"/>
      <c r="AB571" s="132"/>
      <c r="AC571" s="132"/>
    </row>
    <row r="572">
      <c r="A572" s="132"/>
      <c r="B572" s="132"/>
      <c r="C572" s="132"/>
      <c r="D572" s="132"/>
      <c r="E572" s="132"/>
      <c r="F572" s="132"/>
      <c r="G572" s="132"/>
      <c r="H572" s="372"/>
      <c r="I572" s="372"/>
      <c r="J572" s="372"/>
      <c r="K572" s="2"/>
      <c r="L572" s="132"/>
      <c r="M572" s="132"/>
      <c r="N572" s="132"/>
      <c r="O572" s="132"/>
      <c r="P572" s="132"/>
      <c r="Q572" s="132"/>
      <c r="R572" s="132"/>
      <c r="S572" s="132"/>
      <c r="T572" s="132"/>
      <c r="U572" s="132"/>
      <c r="V572" s="132"/>
      <c r="W572" s="132"/>
      <c r="X572" s="132"/>
      <c r="Y572" s="132"/>
      <c r="Z572" s="132"/>
      <c r="AA572" s="132"/>
      <c r="AB572" s="132"/>
      <c r="AC572" s="132"/>
    </row>
    <row r="573">
      <c r="A573" s="132"/>
      <c r="B573" s="132"/>
      <c r="C573" s="132"/>
      <c r="D573" s="132"/>
      <c r="E573" s="132"/>
      <c r="F573" s="132"/>
      <c r="G573" s="132"/>
      <c r="H573" s="372"/>
      <c r="I573" s="372"/>
      <c r="J573" s="372"/>
      <c r="K573" s="2"/>
      <c r="L573" s="132"/>
      <c r="M573" s="132"/>
      <c r="N573" s="132"/>
      <c r="O573" s="132"/>
      <c r="P573" s="132"/>
      <c r="Q573" s="132"/>
      <c r="R573" s="132"/>
      <c r="S573" s="132"/>
      <c r="T573" s="132"/>
      <c r="U573" s="132"/>
      <c r="V573" s="132"/>
      <c r="W573" s="132"/>
      <c r="X573" s="132"/>
      <c r="Y573" s="132"/>
      <c r="Z573" s="132"/>
      <c r="AA573" s="132"/>
      <c r="AB573" s="132"/>
      <c r="AC573" s="132"/>
    </row>
    <row r="574">
      <c r="A574" s="132"/>
      <c r="B574" s="132"/>
      <c r="C574" s="132"/>
      <c r="D574" s="132"/>
      <c r="E574" s="132"/>
      <c r="F574" s="132"/>
      <c r="G574" s="132"/>
      <c r="H574" s="372"/>
      <c r="I574" s="372"/>
      <c r="J574" s="372"/>
      <c r="K574" s="2"/>
      <c r="L574" s="132"/>
      <c r="M574" s="132"/>
      <c r="N574" s="132"/>
      <c r="O574" s="132"/>
      <c r="P574" s="132"/>
      <c r="Q574" s="132"/>
      <c r="R574" s="132"/>
      <c r="S574" s="132"/>
      <c r="T574" s="132"/>
      <c r="U574" s="132"/>
      <c r="V574" s="132"/>
      <c r="W574" s="132"/>
      <c r="X574" s="132"/>
      <c r="Y574" s="132"/>
      <c r="Z574" s="132"/>
      <c r="AA574" s="132"/>
      <c r="AB574" s="132"/>
      <c r="AC574" s="132"/>
    </row>
    <row r="575">
      <c r="A575" s="132"/>
      <c r="B575" s="132"/>
      <c r="C575" s="132"/>
      <c r="D575" s="132"/>
      <c r="E575" s="132"/>
      <c r="F575" s="132"/>
      <c r="G575" s="132"/>
      <c r="H575" s="372"/>
      <c r="I575" s="372"/>
      <c r="J575" s="372"/>
      <c r="K575" s="2"/>
      <c r="L575" s="132"/>
      <c r="M575" s="132"/>
      <c r="N575" s="132"/>
      <c r="O575" s="132"/>
      <c r="P575" s="132"/>
      <c r="Q575" s="132"/>
      <c r="R575" s="132"/>
      <c r="S575" s="132"/>
      <c r="T575" s="132"/>
      <c r="U575" s="132"/>
      <c r="V575" s="132"/>
      <c r="W575" s="132"/>
      <c r="X575" s="132"/>
      <c r="Y575" s="132"/>
      <c r="Z575" s="132"/>
      <c r="AA575" s="132"/>
      <c r="AB575" s="132"/>
      <c r="AC575" s="132"/>
    </row>
    <row r="576">
      <c r="A576" s="132"/>
      <c r="B576" s="132"/>
      <c r="C576" s="132"/>
      <c r="D576" s="132"/>
      <c r="E576" s="132"/>
      <c r="F576" s="132"/>
      <c r="G576" s="132"/>
      <c r="H576" s="372"/>
      <c r="I576" s="372"/>
      <c r="J576" s="372"/>
      <c r="K576" s="2"/>
      <c r="L576" s="132"/>
      <c r="M576" s="132"/>
      <c r="N576" s="132"/>
      <c r="O576" s="132"/>
      <c r="P576" s="132"/>
      <c r="Q576" s="132"/>
      <c r="R576" s="132"/>
      <c r="S576" s="132"/>
      <c r="T576" s="132"/>
      <c r="U576" s="132"/>
      <c r="V576" s="132"/>
      <c r="W576" s="132"/>
      <c r="X576" s="132"/>
      <c r="Y576" s="132"/>
      <c r="Z576" s="132"/>
      <c r="AA576" s="132"/>
      <c r="AB576" s="132"/>
      <c r="AC576" s="132"/>
    </row>
    <row r="577">
      <c r="A577" s="132"/>
      <c r="B577" s="132"/>
      <c r="C577" s="132"/>
      <c r="D577" s="132"/>
      <c r="E577" s="132"/>
      <c r="F577" s="132"/>
      <c r="G577" s="132"/>
      <c r="H577" s="372"/>
      <c r="I577" s="372"/>
      <c r="J577" s="372"/>
      <c r="K577" s="2"/>
      <c r="L577" s="132"/>
      <c r="M577" s="132"/>
      <c r="N577" s="132"/>
      <c r="O577" s="132"/>
      <c r="P577" s="132"/>
      <c r="Q577" s="132"/>
      <c r="R577" s="132"/>
      <c r="S577" s="132"/>
      <c r="T577" s="132"/>
      <c r="U577" s="132"/>
      <c r="V577" s="132"/>
      <c r="W577" s="132"/>
      <c r="X577" s="132"/>
      <c r="Y577" s="132"/>
      <c r="Z577" s="132"/>
      <c r="AA577" s="132"/>
      <c r="AB577" s="132"/>
      <c r="AC577" s="132"/>
    </row>
    <row r="578">
      <c r="A578" s="132"/>
      <c r="B578" s="132"/>
      <c r="C578" s="132"/>
      <c r="D578" s="132"/>
      <c r="E578" s="132"/>
      <c r="F578" s="132"/>
      <c r="G578" s="132"/>
      <c r="H578" s="372"/>
      <c r="I578" s="372"/>
      <c r="J578" s="372"/>
      <c r="K578" s="2"/>
      <c r="L578" s="132"/>
      <c r="M578" s="132"/>
      <c r="N578" s="132"/>
      <c r="O578" s="132"/>
      <c r="P578" s="132"/>
      <c r="Q578" s="132"/>
      <c r="R578" s="132"/>
      <c r="S578" s="132"/>
      <c r="T578" s="132"/>
      <c r="U578" s="132"/>
      <c r="V578" s="132"/>
      <c r="W578" s="132"/>
      <c r="X578" s="132"/>
      <c r="Y578" s="132"/>
      <c r="Z578" s="132"/>
      <c r="AA578" s="132"/>
      <c r="AB578" s="132"/>
      <c r="AC578" s="132"/>
    </row>
    <row r="579">
      <c r="A579" s="132"/>
      <c r="B579" s="132"/>
      <c r="C579" s="132"/>
      <c r="D579" s="132"/>
      <c r="E579" s="132"/>
      <c r="F579" s="132"/>
      <c r="G579" s="132"/>
      <c r="H579" s="372"/>
      <c r="I579" s="372"/>
      <c r="J579" s="372"/>
      <c r="K579" s="2"/>
      <c r="L579" s="132"/>
      <c r="M579" s="132"/>
      <c r="N579" s="132"/>
      <c r="O579" s="132"/>
      <c r="P579" s="132"/>
      <c r="Q579" s="132"/>
      <c r="R579" s="132"/>
      <c r="S579" s="132"/>
      <c r="T579" s="132"/>
      <c r="U579" s="132"/>
      <c r="V579" s="132"/>
      <c r="W579" s="132"/>
      <c r="X579" s="132"/>
      <c r="Y579" s="132"/>
      <c r="Z579" s="132"/>
      <c r="AA579" s="132"/>
      <c r="AB579" s="132"/>
      <c r="AC579" s="132"/>
    </row>
    <row r="580">
      <c r="A580" s="132"/>
      <c r="B580" s="132"/>
      <c r="C580" s="132"/>
      <c r="D580" s="132"/>
      <c r="E580" s="132"/>
      <c r="F580" s="132"/>
      <c r="G580" s="132"/>
      <c r="H580" s="372"/>
      <c r="I580" s="372"/>
      <c r="J580" s="372"/>
      <c r="K580" s="2"/>
      <c r="L580" s="132"/>
      <c r="M580" s="132"/>
      <c r="N580" s="132"/>
      <c r="O580" s="132"/>
      <c r="P580" s="132"/>
      <c r="Q580" s="132"/>
      <c r="R580" s="132"/>
      <c r="S580" s="132"/>
      <c r="T580" s="132"/>
      <c r="U580" s="132"/>
      <c r="V580" s="132"/>
      <c r="W580" s="132"/>
      <c r="X580" s="132"/>
      <c r="Y580" s="132"/>
      <c r="Z580" s="132"/>
      <c r="AA580" s="132"/>
      <c r="AB580" s="132"/>
      <c r="AC580" s="132"/>
    </row>
    <row r="581">
      <c r="A581" s="132"/>
      <c r="B581" s="132"/>
      <c r="C581" s="132"/>
      <c r="D581" s="132"/>
      <c r="E581" s="132"/>
      <c r="F581" s="132"/>
      <c r="G581" s="132"/>
      <c r="H581" s="372"/>
      <c r="I581" s="372"/>
      <c r="J581" s="372"/>
      <c r="K581" s="2"/>
      <c r="L581" s="132"/>
      <c r="M581" s="132"/>
      <c r="N581" s="132"/>
      <c r="O581" s="132"/>
      <c r="P581" s="132"/>
      <c r="Q581" s="132"/>
      <c r="R581" s="132"/>
      <c r="S581" s="132"/>
      <c r="T581" s="132"/>
      <c r="U581" s="132"/>
      <c r="V581" s="132"/>
      <c r="W581" s="132"/>
      <c r="X581" s="132"/>
      <c r="Y581" s="132"/>
      <c r="Z581" s="132"/>
      <c r="AA581" s="132"/>
      <c r="AB581" s="132"/>
      <c r="AC581" s="132"/>
    </row>
    <row r="582">
      <c r="A582" s="132"/>
      <c r="B582" s="132"/>
      <c r="C582" s="132"/>
      <c r="D582" s="132"/>
      <c r="E582" s="132"/>
      <c r="F582" s="132"/>
      <c r="G582" s="132"/>
      <c r="H582" s="372"/>
      <c r="I582" s="372"/>
      <c r="J582" s="372"/>
      <c r="K582" s="2"/>
      <c r="L582" s="132"/>
      <c r="M582" s="132"/>
      <c r="N582" s="132"/>
      <c r="O582" s="132"/>
      <c r="P582" s="132"/>
      <c r="Q582" s="132"/>
      <c r="R582" s="132"/>
      <c r="S582" s="132"/>
      <c r="T582" s="132"/>
      <c r="U582" s="132"/>
      <c r="V582" s="132"/>
      <c r="W582" s="132"/>
      <c r="X582" s="132"/>
      <c r="Y582" s="132"/>
      <c r="Z582" s="132"/>
      <c r="AA582" s="132"/>
      <c r="AB582" s="132"/>
      <c r="AC582" s="132"/>
    </row>
    <row r="583">
      <c r="A583" s="132"/>
      <c r="B583" s="132"/>
      <c r="C583" s="132"/>
      <c r="D583" s="132"/>
      <c r="E583" s="132"/>
      <c r="F583" s="132"/>
      <c r="G583" s="132"/>
      <c r="H583" s="372"/>
      <c r="I583" s="372"/>
      <c r="J583" s="372"/>
      <c r="K583" s="2"/>
      <c r="L583" s="132"/>
      <c r="M583" s="132"/>
      <c r="N583" s="132"/>
      <c r="O583" s="132"/>
      <c r="P583" s="132"/>
      <c r="Q583" s="132"/>
      <c r="R583" s="132"/>
      <c r="S583" s="132"/>
      <c r="T583" s="132"/>
      <c r="U583" s="132"/>
      <c r="V583" s="132"/>
      <c r="W583" s="132"/>
      <c r="X583" s="132"/>
      <c r="Y583" s="132"/>
      <c r="Z583" s="132"/>
      <c r="AA583" s="132"/>
      <c r="AB583" s="132"/>
      <c r="AC583" s="132"/>
    </row>
    <row r="584">
      <c r="A584" s="132"/>
      <c r="B584" s="132"/>
      <c r="C584" s="132"/>
      <c r="D584" s="132"/>
      <c r="E584" s="132"/>
      <c r="F584" s="132"/>
      <c r="G584" s="132"/>
      <c r="H584" s="372"/>
      <c r="I584" s="372"/>
      <c r="J584" s="372"/>
      <c r="K584" s="2"/>
      <c r="L584" s="132"/>
      <c r="M584" s="132"/>
      <c r="N584" s="132"/>
      <c r="O584" s="132"/>
      <c r="P584" s="132"/>
      <c r="Q584" s="132"/>
      <c r="R584" s="132"/>
      <c r="S584" s="132"/>
      <c r="T584" s="132"/>
      <c r="U584" s="132"/>
      <c r="V584" s="132"/>
      <c r="W584" s="132"/>
      <c r="X584" s="132"/>
      <c r="Y584" s="132"/>
      <c r="Z584" s="132"/>
      <c r="AA584" s="132"/>
      <c r="AB584" s="132"/>
      <c r="AC584" s="132"/>
    </row>
    <row r="585">
      <c r="A585" s="132"/>
      <c r="B585" s="132"/>
      <c r="C585" s="132"/>
      <c r="D585" s="132"/>
      <c r="E585" s="132"/>
      <c r="F585" s="132"/>
      <c r="G585" s="132"/>
      <c r="H585" s="372"/>
      <c r="I585" s="372"/>
      <c r="J585" s="372"/>
      <c r="K585" s="2"/>
      <c r="L585" s="132"/>
      <c r="M585" s="132"/>
      <c r="N585" s="132"/>
      <c r="O585" s="132"/>
      <c r="P585" s="132"/>
      <c r="Q585" s="132"/>
      <c r="R585" s="132"/>
      <c r="S585" s="132"/>
      <c r="T585" s="132"/>
      <c r="U585" s="132"/>
      <c r="V585" s="132"/>
      <c r="W585" s="132"/>
      <c r="X585" s="132"/>
      <c r="Y585" s="132"/>
      <c r="Z585" s="132"/>
      <c r="AA585" s="132"/>
      <c r="AB585" s="132"/>
      <c r="AC585" s="132"/>
    </row>
    <row r="586">
      <c r="A586" s="132"/>
      <c r="B586" s="132"/>
      <c r="C586" s="132"/>
      <c r="D586" s="132"/>
      <c r="E586" s="132"/>
      <c r="F586" s="132"/>
      <c r="G586" s="132"/>
      <c r="H586" s="372"/>
      <c r="I586" s="372"/>
      <c r="J586" s="372"/>
      <c r="K586" s="2"/>
      <c r="L586" s="132"/>
      <c r="M586" s="132"/>
      <c r="N586" s="132"/>
      <c r="O586" s="132"/>
      <c r="P586" s="132"/>
      <c r="Q586" s="132"/>
      <c r="R586" s="132"/>
      <c r="S586" s="132"/>
      <c r="T586" s="132"/>
      <c r="U586" s="132"/>
      <c r="V586" s="132"/>
      <c r="W586" s="132"/>
      <c r="X586" s="132"/>
      <c r="Y586" s="132"/>
      <c r="Z586" s="132"/>
      <c r="AA586" s="132"/>
      <c r="AB586" s="132"/>
      <c r="AC586" s="132"/>
    </row>
    <row r="587">
      <c r="A587" s="132"/>
      <c r="B587" s="132"/>
      <c r="C587" s="132"/>
      <c r="D587" s="132"/>
      <c r="E587" s="132"/>
      <c r="F587" s="132"/>
      <c r="G587" s="132"/>
      <c r="H587" s="372"/>
      <c r="I587" s="372"/>
      <c r="J587" s="372"/>
      <c r="K587" s="2"/>
      <c r="L587" s="132"/>
      <c r="M587" s="132"/>
      <c r="N587" s="132"/>
      <c r="O587" s="132"/>
      <c r="P587" s="132"/>
      <c r="Q587" s="132"/>
      <c r="R587" s="132"/>
      <c r="S587" s="132"/>
      <c r="T587" s="132"/>
      <c r="U587" s="132"/>
      <c r="V587" s="132"/>
      <c r="W587" s="132"/>
      <c r="X587" s="132"/>
      <c r="Y587" s="132"/>
      <c r="Z587" s="132"/>
      <c r="AA587" s="132"/>
      <c r="AB587" s="132"/>
      <c r="AC587" s="132"/>
    </row>
    <row r="588">
      <c r="A588" s="132"/>
      <c r="B588" s="132"/>
      <c r="C588" s="132"/>
      <c r="D588" s="132"/>
      <c r="E588" s="132"/>
      <c r="F588" s="132"/>
      <c r="G588" s="132"/>
      <c r="H588" s="372"/>
      <c r="I588" s="372"/>
      <c r="J588" s="372"/>
      <c r="K588" s="2"/>
      <c r="L588" s="132"/>
      <c r="M588" s="132"/>
      <c r="N588" s="132"/>
      <c r="O588" s="132"/>
      <c r="P588" s="132"/>
      <c r="Q588" s="132"/>
      <c r="R588" s="132"/>
      <c r="S588" s="132"/>
      <c r="T588" s="132"/>
      <c r="U588" s="132"/>
      <c r="V588" s="132"/>
      <c r="W588" s="132"/>
      <c r="X588" s="132"/>
      <c r="Y588" s="132"/>
      <c r="Z588" s="132"/>
      <c r="AA588" s="132"/>
      <c r="AB588" s="132"/>
      <c r="AC588" s="132"/>
    </row>
    <row r="589">
      <c r="A589" s="132"/>
      <c r="B589" s="132"/>
      <c r="C589" s="132"/>
      <c r="D589" s="132"/>
      <c r="E589" s="132"/>
      <c r="F589" s="132"/>
      <c r="G589" s="132"/>
      <c r="H589" s="372"/>
      <c r="I589" s="372"/>
      <c r="J589" s="372"/>
      <c r="K589" s="2"/>
      <c r="L589" s="132"/>
      <c r="M589" s="132"/>
      <c r="N589" s="132"/>
      <c r="O589" s="132"/>
      <c r="P589" s="132"/>
      <c r="Q589" s="132"/>
      <c r="R589" s="132"/>
      <c r="S589" s="132"/>
      <c r="T589" s="132"/>
      <c r="U589" s="132"/>
      <c r="V589" s="132"/>
      <c r="W589" s="132"/>
      <c r="X589" s="132"/>
      <c r="Y589" s="132"/>
      <c r="Z589" s="132"/>
      <c r="AA589" s="132"/>
      <c r="AB589" s="132"/>
      <c r="AC589" s="132"/>
    </row>
    <row r="590">
      <c r="A590" s="132"/>
      <c r="B590" s="132"/>
      <c r="C590" s="132"/>
      <c r="D590" s="132"/>
      <c r="E590" s="132"/>
      <c r="F590" s="132"/>
      <c r="G590" s="132"/>
      <c r="H590" s="372"/>
      <c r="I590" s="372"/>
      <c r="J590" s="372"/>
      <c r="K590" s="2"/>
      <c r="L590" s="132"/>
      <c r="M590" s="132"/>
      <c r="N590" s="132"/>
      <c r="O590" s="132"/>
      <c r="P590" s="132"/>
      <c r="Q590" s="132"/>
      <c r="R590" s="132"/>
      <c r="S590" s="132"/>
      <c r="T590" s="132"/>
      <c r="U590" s="132"/>
      <c r="V590" s="132"/>
      <c r="W590" s="132"/>
      <c r="X590" s="132"/>
      <c r="Y590" s="132"/>
      <c r="Z590" s="132"/>
      <c r="AA590" s="132"/>
      <c r="AB590" s="132"/>
      <c r="AC590" s="132"/>
    </row>
    <row r="591">
      <c r="A591" s="132"/>
      <c r="B591" s="132"/>
      <c r="C591" s="132"/>
      <c r="D591" s="132"/>
      <c r="E591" s="132"/>
      <c r="F591" s="132"/>
      <c r="G591" s="132"/>
      <c r="H591" s="372"/>
      <c r="I591" s="372"/>
      <c r="J591" s="372"/>
      <c r="K591" s="2"/>
      <c r="L591" s="132"/>
      <c r="M591" s="132"/>
      <c r="N591" s="132"/>
      <c r="O591" s="132"/>
      <c r="P591" s="132"/>
      <c r="Q591" s="132"/>
      <c r="R591" s="132"/>
      <c r="S591" s="132"/>
      <c r="T591" s="132"/>
      <c r="U591" s="132"/>
      <c r="V591" s="132"/>
      <c r="W591" s="132"/>
      <c r="X591" s="132"/>
      <c r="Y591" s="132"/>
      <c r="Z591" s="132"/>
      <c r="AA591" s="132"/>
      <c r="AB591" s="132"/>
      <c r="AC591" s="132"/>
    </row>
    <row r="592">
      <c r="A592" s="132"/>
      <c r="B592" s="132"/>
      <c r="C592" s="132"/>
      <c r="D592" s="132"/>
      <c r="E592" s="132"/>
      <c r="F592" s="132"/>
      <c r="G592" s="132"/>
      <c r="H592" s="372"/>
      <c r="I592" s="372"/>
      <c r="J592" s="372"/>
      <c r="K592" s="2"/>
      <c r="L592" s="132"/>
      <c r="M592" s="132"/>
      <c r="N592" s="132"/>
      <c r="O592" s="132"/>
      <c r="P592" s="132"/>
      <c r="Q592" s="132"/>
      <c r="R592" s="132"/>
      <c r="S592" s="132"/>
      <c r="T592" s="132"/>
      <c r="U592" s="132"/>
      <c r="V592" s="132"/>
      <c r="W592" s="132"/>
      <c r="X592" s="132"/>
      <c r="Y592" s="132"/>
      <c r="Z592" s="132"/>
      <c r="AA592" s="132"/>
      <c r="AB592" s="132"/>
      <c r="AC592" s="132"/>
    </row>
    <row r="593">
      <c r="A593" s="132"/>
      <c r="B593" s="132"/>
      <c r="C593" s="132"/>
      <c r="D593" s="132"/>
      <c r="E593" s="132"/>
      <c r="F593" s="132"/>
      <c r="G593" s="132"/>
      <c r="H593" s="372"/>
      <c r="I593" s="372"/>
      <c r="J593" s="372"/>
      <c r="K593" s="2"/>
      <c r="L593" s="132"/>
      <c r="M593" s="132"/>
      <c r="N593" s="132"/>
      <c r="O593" s="132"/>
      <c r="P593" s="132"/>
      <c r="Q593" s="132"/>
      <c r="R593" s="132"/>
      <c r="S593" s="132"/>
      <c r="T593" s="132"/>
      <c r="U593" s="132"/>
      <c r="V593" s="132"/>
      <c r="W593" s="132"/>
      <c r="X593" s="132"/>
      <c r="Y593" s="132"/>
      <c r="Z593" s="132"/>
      <c r="AA593" s="132"/>
      <c r="AB593" s="132"/>
      <c r="AC593" s="132"/>
    </row>
    <row r="594">
      <c r="A594" s="132"/>
      <c r="B594" s="132"/>
      <c r="C594" s="132"/>
      <c r="D594" s="132"/>
      <c r="E594" s="132"/>
      <c r="F594" s="132"/>
      <c r="G594" s="132"/>
      <c r="H594" s="372"/>
      <c r="I594" s="372"/>
      <c r="J594" s="372"/>
      <c r="K594" s="2"/>
      <c r="L594" s="132"/>
      <c r="M594" s="132"/>
      <c r="N594" s="132"/>
      <c r="O594" s="132"/>
      <c r="P594" s="132"/>
      <c r="Q594" s="132"/>
      <c r="R594" s="132"/>
      <c r="S594" s="132"/>
      <c r="T594" s="132"/>
      <c r="U594" s="132"/>
      <c r="V594" s="132"/>
      <c r="W594" s="132"/>
      <c r="X594" s="132"/>
      <c r="Y594" s="132"/>
      <c r="Z594" s="132"/>
      <c r="AA594" s="132"/>
      <c r="AB594" s="132"/>
      <c r="AC594" s="132"/>
    </row>
    <row r="595">
      <c r="A595" s="132"/>
      <c r="B595" s="132"/>
      <c r="C595" s="132"/>
      <c r="D595" s="132"/>
      <c r="E595" s="132"/>
      <c r="F595" s="132"/>
      <c r="G595" s="132"/>
      <c r="H595" s="372"/>
      <c r="I595" s="372"/>
      <c r="J595" s="372"/>
      <c r="K595" s="2"/>
      <c r="L595" s="132"/>
      <c r="M595" s="132"/>
      <c r="N595" s="132"/>
      <c r="O595" s="132"/>
      <c r="P595" s="132"/>
      <c r="Q595" s="132"/>
      <c r="R595" s="132"/>
      <c r="S595" s="132"/>
      <c r="T595" s="132"/>
      <c r="U595" s="132"/>
      <c r="V595" s="132"/>
      <c r="W595" s="132"/>
      <c r="X595" s="132"/>
      <c r="Y595" s="132"/>
      <c r="Z595" s="132"/>
      <c r="AA595" s="132"/>
      <c r="AB595" s="132"/>
      <c r="AC595" s="132"/>
    </row>
    <row r="596">
      <c r="A596" s="132"/>
      <c r="B596" s="132"/>
      <c r="C596" s="132"/>
      <c r="D596" s="132"/>
      <c r="E596" s="132"/>
      <c r="F596" s="132"/>
      <c r="G596" s="132"/>
      <c r="H596" s="372"/>
      <c r="I596" s="372"/>
      <c r="J596" s="372"/>
      <c r="K596" s="2"/>
      <c r="L596" s="132"/>
      <c r="M596" s="132"/>
      <c r="N596" s="132"/>
      <c r="O596" s="132"/>
      <c r="P596" s="132"/>
      <c r="Q596" s="132"/>
      <c r="R596" s="132"/>
      <c r="S596" s="132"/>
      <c r="T596" s="132"/>
      <c r="U596" s="132"/>
      <c r="V596" s="132"/>
      <c r="W596" s="132"/>
      <c r="X596" s="132"/>
      <c r="Y596" s="132"/>
      <c r="Z596" s="132"/>
      <c r="AA596" s="132"/>
      <c r="AB596" s="132"/>
      <c r="AC596" s="132"/>
    </row>
    <row r="597">
      <c r="A597" s="132"/>
      <c r="B597" s="132"/>
      <c r="C597" s="132"/>
      <c r="D597" s="132"/>
      <c r="E597" s="132"/>
      <c r="F597" s="132"/>
      <c r="G597" s="132"/>
      <c r="H597" s="372"/>
      <c r="I597" s="372"/>
      <c r="J597" s="372"/>
      <c r="K597" s="2"/>
      <c r="L597" s="132"/>
      <c r="M597" s="132"/>
      <c r="N597" s="132"/>
      <c r="O597" s="132"/>
      <c r="P597" s="132"/>
      <c r="Q597" s="132"/>
      <c r="R597" s="132"/>
      <c r="S597" s="132"/>
      <c r="T597" s="132"/>
      <c r="U597" s="132"/>
      <c r="V597" s="132"/>
      <c r="W597" s="132"/>
      <c r="X597" s="132"/>
      <c r="Y597" s="132"/>
      <c r="Z597" s="132"/>
      <c r="AA597" s="132"/>
      <c r="AB597" s="132"/>
      <c r="AC597" s="132"/>
    </row>
    <row r="598">
      <c r="A598" s="132"/>
      <c r="B598" s="132"/>
      <c r="C598" s="132"/>
      <c r="D598" s="132"/>
      <c r="E598" s="132"/>
      <c r="F598" s="132"/>
      <c r="G598" s="132"/>
      <c r="H598" s="372"/>
      <c r="I598" s="372"/>
      <c r="J598" s="372"/>
      <c r="K598" s="2"/>
      <c r="L598" s="132"/>
      <c r="M598" s="132"/>
      <c r="N598" s="132"/>
      <c r="O598" s="132"/>
      <c r="P598" s="132"/>
      <c r="Q598" s="132"/>
      <c r="R598" s="132"/>
      <c r="S598" s="132"/>
      <c r="T598" s="132"/>
      <c r="U598" s="132"/>
      <c r="V598" s="132"/>
      <c r="W598" s="132"/>
      <c r="X598" s="132"/>
      <c r="Y598" s="132"/>
      <c r="Z598" s="132"/>
      <c r="AA598" s="132"/>
      <c r="AB598" s="132"/>
      <c r="AC598" s="132"/>
    </row>
    <row r="599">
      <c r="A599" s="132"/>
      <c r="B599" s="132"/>
      <c r="C599" s="132"/>
      <c r="D599" s="132"/>
      <c r="E599" s="132"/>
      <c r="F599" s="132"/>
      <c r="G599" s="132"/>
      <c r="H599" s="372"/>
      <c r="I599" s="372"/>
      <c r="J599" s="372"/>
      <c r="K599" s="2"/>
      <c r="L599" s="132"/>
      <c r="M599" s="132"/>
      <c r="N599" s="132"/>
      <c r="O599" s="132"/>
      <c r="P599" s="132"/>
      <c r="Q599" s="132"/>
      <c r="R599" s="132"/>
      <c r="S599" s="132"/>
      <c r="T599" s="132"/>
      <c r="U599" s="132"/>
      <c r="V599" s="132"/>
      <c r="W599" s="132"/>
      <c r="X599" s="132"/>
      <c r="Y599" s="132"/>
      <c r="Z599" s="132"/>
      <c r="AA599" s="132"/>
      <c r="AB599" s="132"/>
      <c r="AC599" s="132"/>
    </row>
    <row r="600">
      <c r="A600" s="132"/>
      <c r="B600" s="132"/>
      <c r="C600" s="132"/>
      <c r="D600" s="132"/>
      <c r="E600" s="132"/>
      <c r="F600" s="132"/>
      <c r="G600" s="132"/>
      <c r="H600" s="372"/>
      <c r="I600" s="372"/>
      <c r="J600" s="372"/>
      <c r="K600" s="2"/>
      <c r="L600" s="132"/>
      <c r="M600" s="132"/>
      <c r="N600" s="132"/>
      <c r="O600" s="132"/>
      <c r="P600" s="132"/>
      <c r="Q600" s="132"/>
      <c r="R600" s="132"/>
      <c r="S600" s="132"/>
      <c r="T600" s="132"/>
      <c r="U600" s="132"/>
      <c r="V600" s="132"/>
      <c r="W600" s="132"/>
      <c r="X600" s="132"/>
      <c r="Y600" s="132"/>
      <c r="Z600" s="132"/>
      <c r="AA600" s="132"/>
      <c r="AB600" s="132"/>
      <c r="AC600" s="132"/>
    </row>
    <row r="601">
      <c r="A601" s="132"/>
      <c r="B601" s="132"/>
      <c r="C601" s="132"/>
      <c r="D601" s="132"/>
      <c r="E601" s="132"/>
      <c r="F601" s="132"/>
      <c r="G601" s="132"/>
      <c r="H601" s="372"/>
      <c r="I601" s="372"/>
      <c r="J601" s="372"/>
      <c r="K601" s="2"/>
      <c r="L601" s="132"/>
      <c r="M601" s="132"/>
      <c r="N601" s="132"/>
      <c r="O601" s="132"/>
      <c r="P601" s="132"/>
      <c r="Q601" s="132"/>
      <c r="R601" s="132"/>
      <c r="S601" s="132"/>
      <c r="T601" s="132"/>
      <c r="U601" s="132"/>
      <c r="V601" s="132"/>
      <c r="W601" s="132"/>
      <c r="X601" s="132"/>
      <c r="Y601" s="132"/>
      <c r="Z601" s="132"/>
      <c r="AA601" s="132"/>
      <c r="AB601" s="132"/>
      <c r="AC601" s="132"/>
    </row>
    <row r="602">
      <c r="A602" s="132"/>
      <c r="B602" s="132"/>
      <c r="C602" s="132"/>
      <c r="D602" s="132"/>
      <c r="E602" s="132"/>
      <c r="F602" s="132"/>
      <c r="G602" s="132"/>
      <c r="H602" s="372"/>
      <c r="I602" s="372"/>
      <c r="J602" s="372"/>
      <c r="K602" s="2"/>
      <c r="L602" s="132"/>
      <c r="M602" s="132"/>
      <c r="N602" s="132"/>
      <c r="O602" s="132"/>
      <c r="P602" s="132"/>
      <c r="Q602" s="132"/>
      <c r="R602" s="132"/>
      <c r="S602" s="132"/>
      <c r="T602" s="132"/>
      <c r="U602" s="132"/>
      <c r="V602" s="132"/>
      <c r="W602" s="132"/>
      <c r="X602" s="132"/>
      <c r="Y602" s="132"/>
      <c r="Z602" s="132"/>
      <c r="AA602" s="132"/>
      <c r="AB602" s="132"/>
      <c r="AC602" s="132"/>
    </row>
    <row r="603">
      <c r="A603" s="132"/>
      <c r="B603" s="132"/>
      <c r="C603" s="132"/>
      <c r="D603" s="132"/>
      <c r="E603" s="132"/>
      <c r="F603" s="132"/>
      <c r="G603" s="132"/>
      <c r="H603" s="372"/>
      <c r="I603" s="372"/>
      <c r="J603" s="372"/>
      <c r="K603" s="2"/>
      <c r="L603" s="132"/>
      <c r="M603" s="132"/>
      <c r="N603" s="132"/>
      <c r="O603" s="132"/>
      <c r="P603" s="132"/>
      <c r="Q603" s="132"/>
      <c r="R603" s="132"/>
      <c r="S603" s="132"/>
      <c r="T603" s="132"/>
      <c r="U603" s="132"/>
      <c r="V603" s="132"/>
      <c r="W603" s="132"/>
      <c r="X603" s="132"/>
      <c r="Y603" s="132"/>
      <c r="Z603" s="132"/>
      <c r="AA603" s="132"/>
      <c r="AB603" s="132"/>
      <c r="AC603" s="132"/>
    </row>
    <row r="604">
      <c r="A604" s="132"/>
      <c r="B604" s="132"/>
      <c r="C604" s="132"/>
      <c r="D604" s="132"/>
      <c r="E604" s="132"/>
      <c r="F604" s="132"/>
      <c r="G604" s="132"/>
      <c r="H604" s="372"/>
      <c r="I604" s="372"/>
      <c r="J604" s="372"/>
      <c r="K604" s="2"/>
      <c r="L604" s="132"/>
      <c r="M604" s="132"/>
      <c r="N604" s="132"/>
      <c r="O604" s="132"/>
      <c r="P604" s="132"/>
      <c r="Q604" s="132"/>
      <c r="R604" s="132"/>
      <c r="S604" s="132"/>
      <c r="T604" s="132"/>
      <c r="U604" s="132"/>
      <c r="V604" s="132"/>
      <c r="W604" s="132"/>
      <c r="X604" s="132"/>
      <c r="Y604" s="132"/>
      <c r="Z604" s="132"/>
      <c r="AA604" s="132"/>
      <c r="AB604" s="132"/>
      <c r="AC604" s="132"/>
    </row>
    <row r="605">
      <c r="A605" s="132"/>
      <c r="B605" s="132"/>
      <c r="C605" s="132"/>
      <c r="D605" s="132"/>
      <c r="E605" s="132"/>
      <c r="F605" s="132"/>
      <c r="G605" s="132"/>
      <c r="H605" s="372"/>
      <c r="I605" s="372"/>
      <c r="J605" s="372"/>
      <c r="K605" s="2"/>
      <c r="L605" s="132"/>
      <c r="M605" s="132"/>
      <c r="N605" s="132"/>
      <c r="O605" s="132"/>
      <c r="P605" s="132"/>
      <c r="Q605" s="132"/>
      <c r="R605" s="132"/>
      <c r="S605" s="132"/>
      <c r="T605" s="132"/>
      <c r="U605" s="132"/>
      <c r="V605" s="132"/>
      <c r="W605" s="132"/>
      <c r="X605" s="132"/>
      <c r="Y605" s="132"/>
      <c r="Z605" s="132"/>
      <c r="AA605" s="132"/>
      <c r="AB605" s="132"/>
      <c r="AC605" s="132"/>
    </row>
    <row r="606">
      <c r="A606" s="132"/>
      <c r="B606" s="132"/>
      <c r="C606" s="132"/>
      <c r="D606" s="132"/>
      <c r="E606" s="132"/>
      <c r="F606" s="132"/>
      <c r="G606" s="132"/>
      <c r="H606" s="372"/>
      <c r="I606" s="372"/>
      <c r="J606" s="372"/>
      <c r="K606" s="2"/>
      <c r="L606" s="132"/>
      <c r="M606" s="132"/>
      <c r="N606" s="132"/>
      <c r="O606" s="132"/>
      <c r="P606" s="132"/>
      <c r="Q606" s="132"/>
      <c r="R606" s="132"/>
      <c r="S606" s="132"/>
      <c r="T606" s="132"/>
      <c r="U606" s="132"/>
      <c r="V606" s="132"/>
      <c r="W606" s="132"/>
      <c r="X606" s="132"/>
      <c r="Y606" s="132"/>
      <c r="Z606" s="132"/>
      <c r="AA606" s="132"/>
      <c r="AB606" s="132"/>
      <c r="AC606" s="132"/>
    </row>
    <row r="607">
      <c r="A607" s="132"/>
      <c r="B607" s="132"/>
      <c r="C607" s="132"/>
      <c r="D607" s="132"/>
      <c r="E607" s="132"/>
      <c r="F607" s="132"/>
      <c r="G607" s="132"/>
      <c r="H607" s="372"/>
      <c r="I607" s="372"/>
      <c r="J607" s="372"/>
      <c r="K607" s="2"/>
      <c r="L607" s="132"/>
      <c r="M607" s="132"/>
      <c r="N607" s="132"/>
      <c r="O607" s="132"/>
      <c r="P607" s="132"/>
      <c r="Q607" s="132"/>
      <c r="R607" s="132"/>
      <c r="S607" s="132"/>
      <c r="T607" s="132"/>
      <c r="U607" s="132"/>
      <c r="V607" s="132"/>
      <c r="W607" s="132"/>
      <c r="X607" s="132"/>
      <c r="Y607" s="132"/>
      <c r="Z607" s="132"/>
      <c r="AA607" s="132"/>
      <c r="AB607" s="132"/>
      <c r="AC607" s="132"/>
    </row>
    <row r="608">
      <c r="A608" s="132"/>
      <c r="B608" s="132"/>
      <c r="C608" s="132"/>
      <c r="D608" s="132"/>
      <c r="E608" s="132"/>
      <c r="F608" s="132"/>
      <c r="G608" s="132"/>
      <c r="H608" s="372"/>
      <c r="I608" s="372"/>
      <c r="J608" s="372"/>
      <c r="K608" s="2"/>
      <c r="L608" s="132"/>
      <c r="M608" s="132"/>
      <c r="N608" s="132"/>
      <c r="O608" s="132"/>
      <c r="P608" s="132"/>
      <c r="Q608" s="132"/>
      <c r="R608" s="132"/>
      <c r="S608" s="132"/>
      <c r="T608" s="132"/>
      <c r="U608" s="132"/>
      <c r="V608" s="132"/>
      <c r="W608" s="132"/>
      <c r="X608" s="132"/>
      <c r="Y608" s="132"/>
      <c r="Z608" s="132"/>
      <c r="AA608" s="132"/>
      <c r="AB608" s="132"/>
      <c r="AC608" s="132"/>
    </row>
    <row r="609">
      <c r="A609" s="132"/>
      <c r="B609" s="132"/>
      <c r="C609" s="132"/>
      <c r="D609" s="132"/>
      <c r="E609" s="132"/>
      <c r="F609" s="132"/>
      <c r="G609" s="132"/>
      <c r="H609" s="372"/>
      <c r="I609" s="372"/>
      <c r="J609" s="372"/>
      <c r="K609" s="2"/>
      <c r="L609" s="132"/>
      <c r="M609" s="132"/>
      <c r="N609" s="132"/>
      <c r="O609" s="132"/>
      <c r="P609" s="132"/>
      <c r="Q609" s="132"/>
      <c r="R609" s="132"/>
      <c r="S609" s="132"/>
      <c r="T609" s="132"/>
      <c r="U609" s="132"/>
      <c r="V609" s="132"/>
      <c r="W609" s="132"/>
      <c r="X609" s="132"/>
      <c r="Y609" s="132"/>
      <c r="Z609" s="132"/>
      <c r="AA609" s="132"/>
      <c r="AB609" s="132"/>
      <c r="AC609" s="132"/>
    </row>
    <row r="610">
      <c r="A610" s="132"/>
      <c r="B610" s="132"/>
      <c r="C610" s="132"/>
      <c r="D610" s="132"/>
      <c r="E610" s="132"/>
      <c r="F610" s="132"/>
      <c r="G610" s="132"/>
      <c r="H610" s="372"/>
      <c r="I610" s="372"/>
      <c r="J610" s="372"/>
      <c r="K610" s="2"/>
      <c r="L610" s="132"/>
      <c r="M610" s="132"/>
      <c r="N610" s="132"/>
      <c r="O610" s="132"/>
      <c r="P610" s="132"/>
      <c r="Q610" s="132"/>
      <c r="R610" s="132"/>
      <c r="S610" s="132"/>
      <c r="T610" s="132"/>
      <c r="U610" s="132"/>
      <c r="V610" s="132"/>
      <c r="W610" s="132"/>
      <c r="X610" s="132"/>
      <c r="Y610" s="132"/>
      <c r="Z610" s="132"/>
      <c r="AA610" s="132"/>
      <c r="AB610" s="132"/>
      <c r="AC610" s="132"/>
    </row>
    <row r="611">
      <c r="A611" s="132"/>
      <c r="B611" s="132"/>
      <c r="C611" s="132"/>
      <c r="D611" s="132"/>
      <c r="E611" s="132"/>
      <c r="F611" s="132"/>
      <c r="G611" s="132"/>
      <c r="H611" s="372"/>
      <c r="I611" s="372"/>
      <c r="J611" s="372"/>
      <c r="K611" s="2"/>
      <c r="L611" s="132"/>
      <c r="M611" s="132"/>
      <c r="N611" s="132"/>
      <c r="O611" s="132"/>
      <c r="P611" s="132"/>
      <c r="Q611" s="132"/>
      <c r="R611" s="132"/>
      <c r="S611" s="132"/>
      <c r="T611" s="132"/>
      <c r="U611" s="132"/>
      <c r="V611" s="132"/>
      <c r="W611" s="132"/>
      <c r="X611" s="132"/>
      <c r="Y611" s="132"/>
      <c r="Z611" s="132"/>
      <c r="AA611" s="132"/>
      <c r="AB611" s="132"/>
      <c r="AC611" s="132"/>
    </row>
    <row r="612">
      <c r="A612" s="132"/>
      <c r="B612" s="132"/>
      <c r="C612" s="132"/>
      <c r="D612" s="132"/>
      <c r="E612" s="132"/>
      <c r="F612" s="132"/>
      <c r="G612" s="132"/>
      <c r="H612" s="372"/>
      <c r="I612" s="372"/>
      <c r="J612" s="372"/>
      <c r="K612" s="2"/>
      <c r="L612" s="132"/>
      <c r="M612" s="132"/>
      <c r="N612" s="132"/>
      <c r="O612" s="132"/>
      <c r="P612" s="132"/>
      <c r="Q612" s="132"/>
      <c r="R612" s="132"/>
      <c r="S612" s="132"/>
      <c r="T612" s="132"/>
      <c r="U612" s="132"/>
      <c r="V612" s="132"/>
      <c r="W612" s="132"/>
      <c r="X612" s="132"/>
      <c r="Y612" s="132"/>
      <c r="Z612" s="132"/>
      <c r="AA612" s="132"/>
      <c r="AB612" s="132"/>
      <c r="AC612" s="132"/>
    </row>
    <row r="613">
      <c r="A613" s="132"/>
      <c r="B613" s="132"/>
      <c r="C613" s="132"/>
      <c r="D613" s="132"/>
      <c r="E613" s="132"/>
      <c r="F613" s="132"/>
      <c r="G613" s="132"/>
      <c r="H613" s="372"/>
      <c r="I613" s="372"/>
      <c r="J613" s="372"/>
      <c r="K613" s="2"/>
      <c r="L613" s="132"/>
      <c r="M613" s="132"/>
      <c r="N613" s="132"/>
      <c r="O613" s="132"/>
      <c r="P613" s="132"/>
      <c r="Q613" s="132"/>
      <c r="R613" s="132"/>
      <c r="S613" s="132"/>
      <c r="T613" s="132"/>
      <c r="U613" s="132"/>
      <c r="V613" s="132"/>
      <c r="W613" s="132"/>
      <c r="X613" s="132"/>
      <c r="Y613" s="132"/>
      <c r="Z613" s="132"/>
      <c r="AA613" s="132"/>
      <c r="AB613" s="132"/>
      <c r="AC613" s="132"/>
    </row>
    <row r="614">
      <c r="A614" s="132"/>
      <c r="B614" s="132"/>
      <c r="C614" s="132"/>
      <c r="D614" s="132"/>
      <c r="E614" s="132"/>
      <c r="F614" s="132"/>
      <c r="G614" s="132"/>
      <c r="H614" s="372"/>
      <c r="I614" s="372"/>
      <c r="J614" s="372"/>
      <c r="K614" s="2"/>
      <c r="L614" s="132"/>
      <c r="M614" s="132"/>
      <c r="N614" s="132"/>
      <c r="O614" s="132"/>
      <c r="P614" s="132"/>
      <c r="Q614" s="132"/>
      <c r="R614" s="132"/>
      <c r="S614" s="132"/>
      <c r="T614" s="132"/>
      <c r="U614" s="132"/>
      <c r="V614" s="132"/>
      <c r="W614" s="132"/>
      <c r="X614" s="132"/>
      <c r="Y614" s="132"/>
      <c r="Z614" s="132"/>
      <c r="AA614" s="132"/>
      <c r="AB614" s="132"/>
      <c r="AC614" s="132"/>
    </row>
    <row r="615">
      <c r="A615" s="132"/>
      <c r="B615" s="132"/>
      <c r="C615" s="132"/>
      <c r="D615" s="132"/>
      <c r="E615" s="132"/>
      <c r="F615" s="132"/>
      <c r="G615" s="132"/>
      <c r="H615" s="372"/>
      <c r="I615" s="372"/>
      <c r="J615" s="372"/>
      <c r="K615" s="2"/>
      <c r="L615" s="132"/>
      <c r="M615" s="132"/>
      <c r="N615" s="132"/>
      <c r="O615" s="132"/>
      <c r="P615" s="132"/>
      <c r="Q615" s="132"/>
      <c r="R615" s="132"/>
      <c r="S615" s="132"/>
      <c r="T615" s="132"/>
      <c r="U615" s="132"/>
      <c r="V615" s="132"/>
      <c r="W615" s="132"/>
      <c r="X615" s="132"/>
      <c r="Y615" s="132"/>
      <c r="Z615" s="132"/>
      <c r="AA615" s="132"/>
      <c r="AB615" s="132"/>
      <c r="AC615" s="132"/>
    </row>
    <row r="616">
      <c r="A616" s="132"/>
      <c r="B616" s="132"/>
      <c r="C616" s="132"/>
      <c r="D616" s="132"/>
      <c r="E616" s="132"/>
      <c r="F616" s="132"/>
      <c r="G616" s="132"/>
      <c r="H616" s="372"/>
      <c r="I616" s="372"/>
      <c r="J616" s="372"/>
      <c r="K616" s="2"/>
      <c r="L616" s="132"/>
      <c r="M616" s="132"/>
      <c r="N616" s="132"/>
      <c r="O616" s="132"/>
      <c r="P616" s="132"/>
      <c r="Q616" s="132"/>
      <c r="R616" s="132"/>
      <c r="S616" s="132"/>
      <c r="T616" s="132"/>
      <c r="U616" s="132"/>
      <c r="V616" s="132"/>
      <c r="W616" s="132"/>
      <c r="X616" s="132"/>
      <c r="Y616" s="132"/>
      <c r="Z616" s="132"/>
      <c r="AA616" s="132"/>
      <c r="AB616" s="132"/>
      <c r="AC616" s="132"/>
    </row>
    <row r="617">
      <c r="A617" s="132"/>
      <c r="B617" s="132"/>
      <c r="C617" s="132"/>
      <c r="D617" s="132"/>
      <c r="E617" s="132"/>
      <c r="F617" s="132"/>
      <c r="G617" s="132"/>
      <c r="H617" s="372"/>
      <c r="I617" s="372"/>
      <c r="J617" s="372"/>
      <c r="K617" s="2"/>
      <c r="L617" s="132"/>
      <c r="M617" s="132"/>
      <c r="N617" s="132"/>
      <c r="O617" s="132"/>
      <c r="P617" s="132"/>
      <c r="Q617" s="132"/>
      <c r="R617" s="132"/>
      <c r="S617" s="132"/>
      <c r="T617" s="132"/>
      <c r="U617" s="132"/>
      <c r="V617" s="132"/>
      <c r="W617" s="132"/>
      <c r="X617" s="132"/>
      <c r="Y617" s="132"/>
      <c r="Z617" s="132"/>
      <c r="AA617" s="132"/>
      <c r="AB617" s="132"/>
      <c r="AC617" s="132"/>
    </row>
    <row r="618">
      <c r="A618" s="132"/>
      <c r="B618" s="132"/>
      <c r="C618" s="132"/>
      <c r="D618" s="132"/>
      <c r="E618" s="132"/>
      <c r="F618" s="132"/>
      <c r="G618" s="132"/>
      <c r="H618" s="372"/>
      <c r="I618" s="372"/>
      <c r="J618" s="372"/>
      <c r="K618" s="2"/>
      <c r="L618" s="132"/>
      <c r="M618" s="132"/>
      <c r="N618" s="132"/>
      <c r="O618" s="132"/>
      <c r="P618" s="132"/>
      <c r="Q618" s="132"/>
      <c r="R618" s="132"/>
      <c r="S618" s="132"/>
      <c r="T618" s="132"/>
      <c r="U618" s="132"/>
      <c r="V618" s="132"/>
      <c r="W618" s="132"/>
      <c r="X618" s="132"/>
      <c r="Y618" s="132"/>
      <c r="Z618" s="132"/>
      <c r="AA618" s="132"/>
      <c r="AB618" s="132"/>
      <c r="AC618" s="132"/>
    </row>
    <row r="619">
      <c r="A619" s="132"/>
      <c r="B619" s="132"/>
      <c r="C619" s="132"/>
      <c r="D619" s="132"/>
      <c r="E619" s="132"/>
      <c r="F619" s="132"/>
      <c r="G619" s="132"/>
      <c r="H619" s="372"/>
      <c r="I619" s="372"/>
      <c r="J619" s="372"/>
      <c r="K619" s="2"/>
      <c r="L619" s="132"/>
      <c r="M619" s="132"/>
      <c r="N619" s="132"/>
      <c r="O619" s="132"/>
      <c r="P619" s="132"/>
      <c r="Q619" s="132"/>
      <c r="R619" s="132"/>
      <c r="S619" s="132"/>
      <c r="T619" s="132"/>
      <c r="U619" s="132"/>
      <c r="V619" s="132"/>
      <c r="W619" s="132"/>
      <c r="X619" s="132"/>
      <c r="Y619" s="132"/>
      <c r="Z619" s="132"/>
      <c r="AA619" s="132"/>
      <c r="AB619" s="132"/>
      <c r="AC619" s="132"/>
    </row>
    <row r="620">
      <c r="A620" s="132"/>
      <c r="B620" s="132"/>
      <c r="C620" s="132"/>
      <c r="D620" s="132"/>
      <c r="E620" s="132"/>
      <c r="F620" s="132"/>
      <c r="G620" s="132"/>
      <c r="H620" s="372"/>
      <c r="I620" s="372"/>
      <c r="J620" s="372"/>
      <c r="K620" s="2"/>
      <c r="L620" s="132"/>
      <c r="M620" s="132"/>
      <c r="N620" s="132"/>
      <c r="O620" s="132"/>
      <c r="P620" s="132"/>
      <c r="Q620" s="132"/>
      <c r="R620" s="132"/>
      <c r="S620" s="132"/>
      <c r="T620" s="132"/>
      <c r="U620" s="132"/>
      <c r="V620" s="132"/>
      <c r="W620" s="132"/>
      <c r="X620" s="132"/>
      <c r="Y620" s="132"/>
      <c r="Z620" s="132"/>
      <c r="AA620" s="132"/>
      <c r="AB620" s="132"/>
      <c r="AC620" s="132"/>
    </row>
    <row r="621">
      <c r="A621" s="132"/>
      <c r="B621" s="132"/>
      <c r="C621" s="132"/>
      <c r="D621" s="132"/>
      <c r="E621" s="132"/>
      <c r="F621" s="132"/>
      <c r="G621" s="132"/>
      <c r="H621" s="372"/>
      <c r="I621" s="372"/>
      <c r="J621" s="372"/>
      <c r="K621" s="2"/>
      <c r="L621" s="132"/>
      <c r="M621" s="132"/>
      <c r="N621" s="132"/>
      <c r="O621" s="132"/>
      <c r="P621" s="132"/>
      <c r="Q621" s="132"/>
      <c r="R621" s="132"/>
      <c r="S621" s="132"/>
      <c r="T621" s="132"/>
      <c r="U621" s="132"/>
      <c r="V621" s="132"/>
      <c r="W621" s="132"/>
      <c r="X621" s="132"/>
      <c r="Y621" s="132"/>
      <c r="Z621" s="132"/>
      <c r="AA621" s="132"/>
      <c r="AB621" s="132"/>
      <c r="AC621" s="132"/>
    </row>
    <row r="622">
      <c r="A622" s="132"/>
      <c r="B622" s="132"/>
      <c r="C622" s="132"/>
      <c r="D622" s="132"/>
      <c r="E622" s="132"/>
      <c r="F622" s="132"/>
      <c r="G622" s="132"/>
      <c r="H622" s="372"/>
      <c r="I622" s="372"/>
      <c r="J622" s="372"/>
      <c r="K622" s="2"/>
      <c r="L622" s="132"/>
      <c r="M622" s="132"/>
      <c r="N622" s="132"/>
      <c r="O622" s="132"/>
      <c r="P622" s="132"/>
      <c r="Q622" s="132"/>
      <c r="R622" s="132"/>
      <c r="S622" s="132"/>
      <c r="T622" s="132"/>
      <c r="U622" s="132"/>
      <c r="V622" s="132"/>
      <c r="W622" s="132"/>
      <c r="X622" s="132"/>
      <c r="Y622" s="132"/>
      <c r="Z622" s="132"/>
      <c r="AA622" s="132"/>
      <c r="AB622" s="132"/>
      <c r="AC622" s="132"/>
    </row>
    <row r="623">
      <c r="A623" s="132"/>
      <c r="B623" s="132"/>
      <c r="C623" s="132"/>
      <c r="D623" s="132"/>
      <c r="E623" s="132"/>
      <c r="F623" s="132"/>
      <c r="G623" s="132"/>
      <c r="H623" s="372"/>
      <c r="I623" s="372"/>
      <c r="J623" s="372"/>
      <c r="K623" s="2"/>
      <c r="L623" s="132"/>
      <c r="M623" s="132"/>
      <c r="N623" s="132"/>
      <c r="O623" s="132"/>
      <c r="P623" s="132"/>
      <c r="Q623" s="132"/>
      <c r="R623" s="132"/>
      <c r="S623" s="132"/>
      <c r="T623" s="132"/>
      <c r="U623" s="132"/>
      <c r="V623" s="132"/>
      <c r="W623" s="132"/>
      <c r="X623" s="132"/>
      <c r="Y623" s="132"/>
      <c r="Z623" s="132"/>
      <c r="AA623" s="132"/>
      <c r="AB623" s="132"/>
      <c r="AC623" s="132"/>
    </row>
    <row r="624">
      <c r="A624" s="132"/>
      <c r="B624" s="132"/>
      <c r="C624" s="132"/>
      <c r="D624" s="132"/>
      <c r="E624" s="132"/>
      <c r="F624" s="132"/>
      <c r="G624" s="132"/>
      <c r="H624" s="372"/>
      <c r="I624" s="372"/>
      <c r="J624" s="372"/>
      <c r="K624" s="2"/>
      <c r="L624" s="132"/>
      <c r="M624" s="132"/>
      <c r="N624" s="132"/>
      <c r="O624" s="132"/>
      <c r="P624" s="132"/>
      <c r="Q624" s="132"/>
      <c r="R624" s="132"/>
      <c r="S624" s="132"/>
      <c r="T624" s="132"/>
      <c r="U624" s="132"/>
      <c r="V624" s="132"/>
      <c r="W624" s="132"/>
      <c r="X624" s="132"/>
      <c r="Y624" s="132"/>
      <c r="Z624" s="132"/>
      <c r="AA624" s="132"/>
      <c r="AB624" s="132"/>
      <c r="AC624" s="132"/>
    </row>
    <row r="625">
      <c r="A625" s="132"/>
      <c r="B625" s="132"/>
      <c r="C625" s="132"/>
      <c r="D625" s="132"/>
      <c r="E625" s="132"/>
      <c r="F625" s="132"/>
      <c r="G625" s="132"/>
      <c r="H625" s="372"/>
      <c r="I625" s="372"/>
      <c r="J625" s="372"/>
      <c r="K625" s="2"/>
      <c r="L625" s="132"/>
      <c r="M625" s="132"/>
      <c r="N625" s="132"/>
      <c r="O625" s="132"/>
      <c r="P625" s="132"/>
      <c r="Q625" s="132"/>
      <c r="R625" s="132"/>
      <c r="S625" s="132"/>
      <c r="T625" s="132"/>
      <c r="U625" s="132"/>
      <c r="V625" s="132"/>
      <c r="W625" s="132"/>
      <c r="X625" s="132"/>
      <c r="Y625" s="132"/>
      <c r="Z625" s="132"/>
      <c r="AA625" s="132"/>
      <c r="AB625" s="132"/>
      <c r="AC625" s="132"/>
    </row>
    <row r="626">
      <c r="A626" s="132"/>
      <c r="B626" s="132"/>
      <c r="C626" s="132"/>
      <c r="D626" s="132"/>
      <c r="E626" s="132"/>
      <c r="F626" s="132"/>
      <c r="G626" s="132"/>
      <c r="H626" s="372"/>
      <c r="I626" s="372"/>
      <c r="J626" s="372"/>
      <c r="K626" s="2"/>
      <c r="L626" s="132"/>
      <c r="M626" s="132"/>
      <c r="N626" s="132"/>
      <c r="O626" s="132"/>
      <c r="P626" s="132"/>
      <c r="Q626" s="132"/>
      <c r="R626" s="132"/>
      <c r="S626" s="132"/>
      <c r="T626" s="132"/>
      <c r="U626" s="132"/>
      <c r="V626" s="132"/>
      <c r="W626" s="132"/>
      <c r="X626" s="132"/>
      <c r="Y626" s="132"/>
      <c r="Z626" s="132"/>
      <c r="AA626" s="132"/>
      <c r="AB626" s="132"/>
      <c r="AC626" s="132"/>
    </row>
    <row r="627">
      <c r="A627" s="132"/>
      <c r="B627" s="132"/>
      <c r="C627" s="132"/>
      <c r="D627" s="132"/>
      <c r="E627" s="132"/>
      <c r="F627" s="132"/>
      <c r="G627" s="132"/>
      <c r="H627" s="372"/>
      <c r="I627" s="372"/>
      <c r="J627" s="372"/>
      <c r="K627" s="2"/>
      <c r="L627" s="132"/>
      <c r="M627" s="132"/>
      <c r="N627" s="132"/>
      <c r="O627" s="132"/>
      <c r="P627" s="132"/>
      <c r="Q627" s="132"/>
      <c r="R627" s="132"/>
      <c r="S627" s="132"/>
      <c r="T627" s="132"/>
      <c r="U627" s="132"/>
      <c r="V627" s="132"/>
      <c r="W627" s="132"/>
      <c r="X627" s="132"/>
      <c r="Y627" s="132"/>
      <c r="Z627" s="132"/>
      <c r="AA627" s="132"/>
      <c r="AB627" s="132"/>
      <c r="AC627" s="132"/>
    </row>
    <row r="628">
      <c r="A628" s="132"/>
      <c r="B628" s="132"/>
      <c r="C628" s="132"/>
      <c r="D628" s="132"/>
      <c r="E628" s="132"/>
      <c r="F628" s="132"/>
      <c r="G628" s="132"/>
      <c r="H628" s="372"/>
      <c r="I628" s="372"/>
      <c r="J628" s="372"/>
      <c r="K628" s="2"/>
      <c r="L628" s="132"/>
      <c r="M628" s="132"/>
      <c r="N628" s="132"/>
      <c r="O628" s="132"/>
      <c r="P628" s="132"/>
      <c r="Q628" s="132"/>
      <c r="R628" s="132"/>
      <c r="S628" s="132"/>
      <c r="T628" s="132"/>
      <c r="U628" s="132"/>
      <c r="V628" s="132"/>
      <c r="W628" s="132"/>
      <c r="X628" s="132"/>
      <c r="Y628" s="132"/>
      <c r="Z628" s="132"/>
      <c r="AA628" s="132"/>
      <c r="AB628" s="132"/>
      <c r="AC628" s="132"/>
    </row>
    <row r="629">
      <c r="A629" s="132"/>
      <c r="B629" s="132"/>
      <c r="C629" s="132"/>
      <c r="D629" s="132"/>
      <c r="E629" s="132"/>
      <c r="F629" s="132"/>
      <c r="G629" s="132"/>
      <c r="H629" s="372"/>
      <c r="I629" s="372"/>
      <c r="J629" s="372"/>
      <c r="K629" s="2"/>
      <c r="L629" s="132"/>
      <c r="M629" s="132"/>
      <c r="N629" s="132"/>
      <c r="O629" s="132"/>
      <c r="P629" s="132"/>
      <c r="Q629" s="132"/>
      <c r="R629" s="132"/>
      <c r="S629" s="132"/>
      <c r="T629" s="132"/>
      <c r="U629" s="132"/>
      <c r="V629" s="132"/>
      <c r="W629" s="132"/>
      <c r="X629" s="132"/>
      <c r="Y629" s="132"/>
      <c r="Z629" s="132"/>
      <c r="AA629" s="132"/>
      <c r="AB629" s="132"/>
      <c r="AC629" s="132"/>
    </row>
    <row r="630">
      <c r="A630" s="132"/>
      <c r="B630" s="132"/>
      <c r="C630" s="132"/>
      <c r="D630" s="132"/>
      <c r="E630" s="132"/>
      <c r="F630" s="132"/>
      <c r="G630" s="132"/>
      <c r="H630" s="372"/>
      <c r="I630" s="372"/>
      <c r="J630" s="372"/>
      <c r="K630" s="2"/>
      <c r="L630" s="132"/>
      <c r="M630" s="132"/>
      <c r="N630" s="132"/>
      <c r="O630" s="132"/>
      <c r="P630" s="132"/>
      <c r="Q630" s="132"/>
      <c r="R630" s="132"/>
      <c r="S630" s="132"/>
      <c r="T630" s="132"/>
      <c r="U630" s="132"/>
      <c r="V630" s="132"/>
      <c r="W630" s="132"/>
      <c r="X630" s="132"/>
      <c r="Y630" s="132"/>
      <c r="Z630" s="132"/>
      <c r="AA630" s="132"/>
      <c r="AB630" s="132"/>
      <c r="AC630" s="132"/>
    </row>
    <row r="631">
      <c r="A631" s="132"/>
      <c r="B631" s="132"/>
      <c r="C631" s="132"/>
      <c r="D631" s="132"/>
      <c r="E631" s="132"/>
      <c r="F631" s="132"/>
      <c r="G631" s="132"/>
      <c r="H631" s="372"/>
      <c r="I631" s="372"/>
      <c r="J631" s="372"/>
      <c r="K631" s="2"/>
      <c r="L631" s="132"/>
      <c r="M631" s="132"/>
      <c r="N631" s="132"/>
      <c r="O631" s="132"/>
      <c r="P631" s="132"/>
      <c r="Q631" s="132"/>
      <c r="R631" s="132"/>
      <c r="S631" s="132"/>
      <c r="T631" s="132"/>
      <c r="U631" s="132"/>
      <c r="V631" s="132"/>
      <c r="W631" s="132"/>
      <c r="X631" s="132"/>
      <c r="Y631" s="132"/>
      <c r="Z631" s="132"/>
      <c r="AA631" s="132"/>
      <c r="AB631" s="132"/>
      <c r="AC631" s="132"/>
    </row>
    <row r="632">
      <c r="A632" s="132"/>
      <c r="B632" s="132"/>
      <c r="C632" s="132"/>
      <c r="D632" s="132"/>
      <c r="E632" s="132"/>
      <c r="F632" s="132"/>
      <c r="G632" s="132"/>
      <c r="H632" s="372"/>
      <c r="I632" s="372"/>
      <c r="J632" s="372"/>
      <c r="K632" s="2"/>
      <c r="L632" s="132"/>
      <c r="M632" s="132"/>
      <c r="N632" s="132"/>
      <c r="O632" s="132"/>
      <c r="P632" s="132"/>
      <c r="Q632" s="132"/>
      <c r="R632" s="132"/>
      <c r="S632" s="132"/>
      <c r="T632" s="132"/>
      <c r="U632" s="132"/>
      <c r="V632" s="132"/>
      <c r="W632" s="132"/>
      <c r="X632" s="132"/>
      <c r="Y632" s="132"/>
      <c r="Z632" s="132"/>
      <c r="AA632" s="132"/>
      <c r="AB632" s="132"/>
      <c r="AC632" s="132"/>
    </row>
    <row r="633">
      <c r="A633" s="132"/>
      <c r="B633" s="132"/>
      <c r="C633" s="132"/>
      <c r="D633" s="132"/>
      <c r="E633" s="132"/>
      <c r="F633" s="132"/>
      <c r="G633" s="132"/>
      <c r="H633" s="372"/>
      <c r="I633" s="372"/>
      <c r="J633" s="372"/>
      <c r="K633" s="2"/>
      <c r="L633" s="132"/>
      <c r="M633" s="132"/>
      <c r="N633" s="132"/>
      <c r="O633" s="132"/>
      <c r="P633" s="132"/>
      <c r="Q633" s="132"/>
      <c r="R633" s="132"/>
      <c r="S633" s="132"/>
      <c r="T633" s="132"/>
      <c r="U633" s="132"/>
      <c r="V633" s="132"/>
      <c r="W633" s="132"/>
      <c r="X633" s="132"/>
      <c r="Y633" s="132"/>
      <c r="Z633" s="132"/>
      <c r="AA633" s="132"/>
      <c r="AB633" s="132"/>
      <c r="AC633" s="132"/>
    </row>
    <row r="634">
      <c r="A634" s="132"/>
      <c r="B634" s="132"/>
      <c r="C634" s="132"/>
      <c r="D634" s="132"/>
      <c r="E634" s="132"/>
      <c r="F634" s="132"/>
      <c r="G634" s="132"/>
      <c r="H634" s="372"/>
      <c r="I634" s="372"/>
      <c r="J634" s="372"/>
      <c r="K634" s="2"/>
      <c r="L634" s="132"/>
      <c r="M634" s="132"/>
      <c r="N634" s="132"/>
      <c r="O634" s="132"/>
      <c r="P634" s="132"/>
      <c r="Q634" s="132"/>
      <c r="R634" s="132"/>
      <c r="S634" s="132"/>
      <c r="T634" s="132"/>
      <c r="U634" s="132"/>
      <c r="V634" s="132"/>
      <c r="W634" s="132"/>
      <c r="X634" s="132"/>
      <c r="Y634" s="132"/>
      <c r="Z634" s="132"/>
      <c r="AA634" s="132"/>
      <c r="AB634" s="132"/>
      <c r="AC634" s="132"/>
    </row>
    <row r="635">
      <c r="A635" s="132"/>
      <c r="B635" s="132"/>
      <c r="C635" s="132"/>
      <c r="D635" s="132"/>
      <c r="E635" s="132"/>
      <c r="F635" s="132"/>
      <c r="G635" s="132"/>
      <c r="H635" s="372"/>
      <c r="I635" s="372"/>
      <c r="J635" s="372"/>
      <c r="K635" s="2"/>
      <c r="L635" s="132"/>
      <c r="M635" s="132"/>
      <c r="N635" s="132"/>
      <c r="O635" s="132"/>
      <c r="P635" s="132"/>
      <c r="Q635" s="132"/>
      <c r="R635" s="132"/>
      <c r="S635" s="132"/>
      <c r="T635" s="132"/>
      <c r="U635" s="132"/>
      <c r="V635" s="132"/>
      <c r="W635" s="132"/>
      <c r="X635" s="132"/>
      <c r="Y635" s="132"/>
      <c r="Z635" s="132"/>
      <c r="AA635" s="132"/>
      <c r="AB635" s="132"/>
      <c r="AC635" s="132"/>
    </row>
    <row r="636">
      <c r="A636" s="132"/>
      <c r="B636" s="132"/>
      <c r="C636" s="132"/>
      <c r="D636" s="132"/>
      <c r="E636" s="132"/>
      <c r="F636" s="132"/>
      <c r="G636" s="132"/>
      <c r="H636" s="372"/>
      <c r="I636" s="372"/>
      <c r="J636" s="372"/>
      <c r="K636" s="2"/>
      <c r="L636" s="132"/>
      <c r="M636" s="132"/>
      <c r="N636" s="132"/>
      <c r="O636" s="132"/>
      <c r="P636" s="132"/>
      <c r="Q636" s="132"/>
      <c r="R636" s="132"/>
      <c r="S636" s="132"/>
      <c r="T636" s="132"/>
      <c r="U636" s="132"/>
      <c r="V636" s="132"/>
      <c r="W636" s="132"/>
      <c r="X636" s="132"/>
      <c r="Y636" s="132"/>
      <c r="Z636" s="132"/>
      <c r="AA636" s="132"/>
      <c r="AB636" s="132"/>
      <c r="AC636" s="132"/>
    </row>
    <row r="637">
      <c r="A637" s="132"/>
      <c r="B637" s="132"/>
      <c r="C637" s="132"/>
      <c r="D637" s="132"/>
      <c r="E637" s="132"/>
      <c r="F637" s="132"/>
      <c r="G637" s="132"/>
      <c r="H637" s="372"/>
      <c r="I637" s="372"/>
      <c r="J637" s="372"/>
      <c r="K637" s="2"/>
      <c r="L637" s="132"/>
      <c r="M637" s="132"/>
      <c r="N637" s="132"/>
      <c r="O637" s="132"/>
      <c r="P637" s="132"/>
      <c r="Q637" s="132"/>
      <c r="R637" s="132"/>
      <c r="S637" s="132"/>
      <c r="T637" s="132"/>
      <c r="U637" s="132"/>
      <c r="V637" s="132"/>
      <c r="W637" s="132"/>
      <c r="X637" s="132"/>
      <c r="Y637" s="132"/>
      <c r="Z637" s="132"/>
      <c r="AA637" s="132"/>
      <c r="AB637" s="132"/>
      <c r="AC637" s="132"/>
    </row>
    <row r="638">
      <c r="A638" s="132"/>
      <c r="B638" s="132"/>
      <c r="C638" s="132"/>
      <c r="D638" s="132"/>
      <c r="E638" s="132"/>
      <c r="F638" s="132"/>
      <c r="G638" s="132"/>
      <c r="H638" s="372"/>
      <c r="I638" s="372"/>
      <c r="J638" s="372"/>
      <c r="K638" s="2"/>
      <c r="L638" s="132"/>
      <c r="M638" s="132"/>
      <c r="N638" s="132"/>
      <c r="O638" s="132"/>
      <c r="P638" s="132"/>
      <c r="Q638" s="132"/>
      <c r="R638" s="132"/>
      <c r="S638" s="132"/>
      <c r="T638" s="132"/>
      <c r="U638" s="132"/>
      <c r="V638" s="132"/>
      <c r="W638" s="132"/>
      <c r="X638" s="132"/>
      <c r="Y638" s="132"/>
      <c r="Z638" s="132"/>
      <c r="AA638" s="132"/>
      <c r="AB638" s="132"/>
      <c r="AC638" s="132"/>
    </row>
    <row r="639">
      <c r="A639" s="132"/>
      <c r="B639" s="132"/>
      <c r="C639" s="132"/>
      <c r="D639" s="132"/>
      <c r="E639" s="132"/>
      <c r="F639" s="132"/>
      <c r="G639" s="132"/>
      <c r="H639" s="372"/>
      <c r="I639" s="372"/>
      <c r="J639" s="372"/>
      <c r="K639" s="2"/>
      <c r="L639" s="132"/>
      <c r="M639" s="132"/>
      <c r="N639" s="132"/>
      <c r="O639" s="132"/>
      <c r="P639" s="132"/>
      <c r="Q639" s="132"/>
      <c r="R639" s="132"/>
      <c r="S639" s="132"/>
      <c r="T639" s="132"/>
      <c r="U639" s="132"/>
      <c r="V639" s="132"/>
      <c r="W639" s="132"/>
      <c r="X639" s="132"/>
      <c r="Y639" s="132"/>
      <c r="Z639" s="132"/>
      <c r="AA639" s="132"/>
      <c r="AB639" s="132"/>
      <c r="AC639" s="132"/>
    </row>
    <row r="640">
      <c r="A640" s="132"/>
      <c r="B640" s="132"/>
      <c r="C640" s="132"/>
      <c r="D640" s="132"/>
      <c r="E640" s="132"/>
      <c r="F640" s="132"/>
      <c r="G640" s="132"/>
      <c r="H640" s="372"/>
      <c r="I640" s="372"/>
      <c r="J640" s="372"/>
      <c r="K640" s="2"/>
      <c r="L640" s="132"/>
      <c r="M640" s="132"/>
      <c r="N640" s="132"/>
      <c r="O640" s="132"/>
      <c r="P640" s="132"/>
      <c r="Q640" s="132"/>
      <c r="R640" s="132"/>
      <c r="S640" s="132"/>
      <c r="T640" s="132"/>
      <c r="U640" s="132"/>
      <c r="V640" s="132"/>
      <c r="W640" s="132"/>
      <c r="X640" s="132"/>
      <c r="Y640" s="132"/>
      <c r="Z640" s="132"/>
      <c r="AA640" s="132"/>
      <c r="AB640" s="132"/>
      <c r="AC640" s="132"/>
    </row>
    <row r="641">
      <c r="A641" s="132"/>
      <c r="B641" s="132"/>
      <c r="C641" s="132"/>
      <c r="D641" s="132"/>
      <c r="E641" s="132"/>
      <c r="F641" s="132"/>
      <c r="G641" s="132"/>
      <c r="H641" s="372"/>
      <c r="I641" s="372"/>
      <c r="J641" s="372"/>
      <c r="K641" s="2"/>
      <c r="L641" s="132"/>
      <c r="M641" s="132"/>
      <c r="N641" s="132"/>
      <c r="O641" s="132"/>
      <c r="P641" s="132"/>
      <c r="Q641" s="132"/>
      <c r="R641" s="132"/>
      <c r="S641" s="132"/>
      <c r="T641" s="132"/>
      <c r="U641" s="132"/>
      <c r="V641" s="132"/>
      <c r="W641" s="132"/>
      <c r="X641" s="132"/>
      <c r="Y641" s="132"/>
      <c r="Z641" s="132"/>
      <c r="AA641" s="132"/>
      <c r="AB641" s="132"/>
      <c r="AC641" s="132"/>
    </row>
    <row r="642">
      <c r="A642" s="132"/>
      <c r="B642" s="132"/>
      <c r="C642" s="132"/>
      <c r="D642" s="132"/>
      <c r="E642" s="132"/>
      <c r="F642" s="132"/>
      <c r="G642" s="132"/>
      <c r="H642" s="372"/>
      <c r="I642" s="372"/>
      <c r="J642" s="372"/>
      <c r="K642" s="2"/>
      <c r="L642" s="132"/>
      <c r="M642" s="132"/>
      <c r="N642" s="132"/>
      <c r="O642" s="132"/>
      <c r="P642" s="132"/>
      <c r="Q642" s="132"/>
      <c r="R642" s="132"/>
      <c r="S642" s="132"/>
      <c r="T642" s="132"/>
      <c r="U642" s="132"/>
      <c r="V642" s="132"/>
      <c r="W642" s="132"/>
      <c r="X642" s="132"/>
      <c r="Y642" s="132"/>
      <c r="Z642" s="132"/>
      <c r="AA642" s="132"/>
      <c r="AB642" s="132"/>
      <c r="AC642" s="132"/>
    </row>
    <row r="643">
      <c r="A643" s="132"/>
      <c r="B643" s="132"/>
      <c r="C643" s="132"/>
      <c r="D643" s="132"/>
      <c r="E643" s="132"/>
      <c r="F643" s="132"/>
      <c r="G643" s="132"/>
      <c r="H643" s="372"/>
      <c r="I643" s="372"/>
      <c r="J643" s="372"/>
      <c r="K643" s="2"/>
      <c r="L643" s="132"/>
      <c r="M643" s="132"/>
      <c r="N643" s="132"/>
      <c r="O643" s="132"/>
      <c r="P643" s="132"/>
      <c r="Q643" s="132"/>
      <c r="R643" s="132"/>
      <c r="S643" s="132"/>
      <c r="T643" s="132"/>
      <c r="U643" s="132"/>
      <c r="V643" s="132"/>
      <c r="W643" s="132"/>
      <c r="X643" s="132"/>
      <c r="Y643" s="132"/>
      <c r="Z643" s="132"/>
      <c r="AA643" s="132"/>
      <c r="AB643" s="132"/>
      <c r="AC643" s="132"/>
    </row>
    <row r="644">
      <c r="A644" s="132"/>
      <c r="B644" s="132"/>
      <c r="C644" s="132"/>
      <c r="D644" s="132"/>
      <c r="E644" s="132"/>
      <c r="F644" s="132"/>
      <c r="G644" s="132"/>
      <c r="H644" s="372"/>
      <c r="I644" s="372"/>
      <c r="J644" s="372"/>
      <c r="K644" s="2"/>
      <c r="L644" s="132"/>
      <c r="M644" s="132"/>
      <c r="N644" s="132"/>
      <c r="O644" s="132"/>
      <c r="P644" s="132"/>
      <c r="Q644" s="132"/>
      <c r="R644" s="132"/>
      <c r="S644" s="132"/>
      <c r="T644" s="132"/>
      <c r="U644" s="132"/>
      <c r="V644" s="132"/>
      <c r="W644" s="132"/>
      <c r="X644" s="132"/>
      <c r="Y644" s="132"/>
      <c r="Z644" s="132"/>
      <c r="AA644" s="132"/>
      <c r="AB644" s="132"/>
      <c r="AC644" s="132"/>
    </row>
    <row r="645">
      <c r="A645" s="132"/>
      <c r="B645" s="132"/>
      <c r="C645" s="132"/>
      <c r="D645" s="132"/>
      <c r="E645" s="132"/>
      <c r="F645" s="132"/>
      <c r="G645" s="132"/>
      <c r="H645" s="372"/>
      <c r="I645" s="372"/>
      <c r="J645" s="372"/>
      <c r="K645" s="2"/>
      <c r="L645" s="132"/>
      <c r="M645" s="132"/>
      <c r="N645" s="132"/>
      <c r="O645" s="132"/>
      <c r="P645" s="132"/>
      <c r="Q645" s="132"/>
      <c r="R645" s="132"/>
      <c r="S645" s="132"/>
      <c r="T645" s="132"/>
      <c r="U645" s="132"/>
      <c r="V645" s="132"/>
      <c r="W645" s="132"/>
      <c r="X645" s="132"/>
      <c r="Y645" s="132"/>
      <c r="Z645" s="132"/>
      <c r="AA645" s="132"/>
      <c r="AB645" s="132"/>
      <c r="AC645" s="132"/>
    </row>
    <row r="646">
      <c r="A646" s="132"/>
      <c r="B646" s="132"/>
      <c r="C646" s="132"/>
      <c r="D646" s="132"/>
      <c r="E646" s="132"/>
      <c r="F646" s="132"/>
      <c r="G646" s="132"/>
      <c r="H646" s="372"/>
      <c r="I646" s="372"/>
      <c r="J646" s="372"/>
      <c r="K646" s="2"/>
      <c r="L646" s="132"/>
      <c r="M646" s="132"/>
      <c r="N646" s="132"/>
      <c r="O646" s="132"/>
      <c r="P646" s="132"/>
      <c r="Q646" s="132"/>
      <c r="R646" s="132"/>
      <c r="S646" s="132"/>
      <c r="T646" s="132"/>
      <c r="U646" s="132"/>
      <c r="V646" s="132"/>
      <c r="W646" s="132"/>
      <c r="X646" s="132"/>
      <c r="Y646" s="132"/>
      <c r="Z646" s="132"/>
      <c r="AA646" s="132"/>
      <c r="AB646" s="132"/>
      <c r="AC646" s="132"/>
    </row>
    <row r="647">
      <c r="A647" s="132"/>
      <c r="B647" s="132"/>
      <c r="C647" s="132"/>
      <c r="D647" s="132"/>
      <c r="E647" s="132"/>
      <c r="F647" s="132"/>
      <c r="G647" s="132"/>
      <c r="H647" s="372"/>
      <c r="I647" s="372"/>
      <c r="J647" s="372"/>
      <c r="K647" s="2"/>
      <c r="L647" s="132"/>
      <c r="M647" s="132"/>
      <c r="N647" s="132"/>
      <c r="O647" s="132"/>
      <c r="P647" s="132"/>
      <c r="Q647" s="132"/>
      <c r="R647" s="132"/>
      <c r="S647" s="132"/>
      <c r="T647" s="132"/>
      <c r="U647" s="132"/>
      <c r="V647" s="132"/>
      <c r="W647" s="132"/>
      <c r="X647" s="132"/>
      <c r="Y647" s="132"/>
      <c r="Z647" s="132"/>
      <c r="AA647" s="132"/>
      <c r="AB647" s="132"/>
      <c r="AC647" s="132"/>
    </row>
    <row r="648">
      <c r="A648" s="132"/>
      <c r="B648" s="132"/>
      <c r="C648" s="132"/>
      <c r="D648" s="132"/>
      <c r="E648" s="132"/>
      <c r="F648" s="132"/>
      <c r="G648" s="132"/>
      <c r="H648" s="372"/>
      <c r="I648" s="372"/>
      <c r="J648" s="372"/>
      <c r="K648" s="2"/>
      <c r="L648" s="132"/>
      <c r="M648" s="132"/>
      <c r="N648" s="132"/>
      <c r="O648" s="132"/>
      <c r="P648" s="132"/>
      <c r="Q648" s="132"/>
      <c r="R648" s="132"/>
      <c r="S648" s="132"/>
      <c r="T648" s="132"/>
      <c r="U648" s="132"/>
      <c r="V648" s="132"/>
      <c r="W648" s="132"/>
      <c r="X648" s="132"/>
      <c r="Y648" s="132"/>
      <c r="Z648" s="132"/>
      <c r="AA648" s="132"/>
      <c r="AB648" s="132"/>
      <c r="AC648" s="132"/>
    </row>
    <row r="649">
      <c r="A649" s="132"/>
      <c r="B649" s="132"/>
      <c r="C649" s="132"/>
      <c r="D649" s="132"/>
      <c r="E649" s="132"/>
      <c r="F649" s="132"/>
      <c r="G649" s="132"/>
      <c r="H649" s="372"/>
      <c r="I649" s="372"/>
      <c r="J649" s="372"/>
      <c r="K649" s="2"/>
      <c r="L649" s="132"/>
      <c r="M649" s="132"/>
      <c r="N649" s="132"/>
      <c r="O649" s="132"/>
      <c r="P649" s="132"/>
      <c r="Q649" s="132"/>
      <c r="R649" s="132"/>
      <c r="S649" s="132"/>
      <c r="T649" s="132"/>
      <c r="U649" s="132"/>
      <c r="V649" s="132"/>
      <c r="W649" s="132"/>
      <c r="X649" s="132"/>
      <c r="Y649" s="132"/>
      <c r="Z649" s="132"/>
      <c r="AA649" s="132"/>
      <c r="AB649" s="132"/>
      <c r="AC649" s="132"/>
    </row>
    <row r="650">
      <c r="A650" s="132"/>
      <c r="B650" s="132"/>
      <c r="C650" s="132"/>
      <c r="D650" s="132"/>
      <c r="E650" s="132"/>
      <c r="F650" s="132"/>
      <c r="G650" s="132"/>
      <c r="H650" s="372"/>
      <c r="I650" s="372"/>
      <c r="J650" s="372"/>
      <c r="K650" s="2"/>
      <c r="L650" s="132"/>
      <c r="M650" s="132"/>
      <c r="N650" s="132"/>
      <c r="O650" s="132"/>
      <c r="P650" s="132"/>
      <c r="Q650" s="132"/>
      <c r="R650" s="132"/>
      <c r="S650" s="132"/>
      <c r="T650" s="132"/>
      <c r="U650" s="132"/>
      <c r="V650" s="132"/>
      <c r="W650" s="132"/>
      <c r="X650" s="132"/>
      <c r="Y650" s="132"/>
      <c r="Z650" s="132"/>
      <c r="AA650" s="132"/>
      <c r="AB650" s="132"/>
      <c r="AC650" s="132"/>
    </row>
    <row r="651">
      <c r="A651" s="132"/>
      <c r="B651" s="132"/>
      <c r="C651" s="132"/>
      <c r="D651" s="132"/>
      <c r="E651" s="132"/>
      <c r="F651" s="132"/>
      <c r="G651" s="132"/>
      <c r="H651" s="372"/>
      <c r="I651" s="372"/>
      <c r="J651" s="372"/>
      <c r="K651" s="2"/>
      <c r="L651" s="132"/>
      <c r="M651" s="132"/>
      <c r="N651" s="132"/>
      <c r="O651" s="132"/>
      <c r="P651" s="132"/>
      <c r="Q651" s="132"/>
      <c r="R651" s="132"/>
      <c r="S651" s="132"/>
      <c r="T651" s="132"/>
      <c r="U651" s="132"/>
      <c r="V651" s="132"/>
      <c r="W651" s="132"/>
      <c r="X651" s="132"/>
      <c r="Y651" s="132"/>
      <c r="Z651" s="132"/>
      <c r="AA651" s="132"/>
      <c r="AB651" s="132"/>
      <c r="AC651" s="132"/>
    </row>
    <row r="652">
      <c r="A652" s="132"/>
      <c r="B652" s="132"/>
      <c r="C652" s="132"/>
      <c r="D652" s="132"/>
      <c r="E652" s="132"/>
      <c r="F652" s="132"/>
      <c r="G652" s="132"/>
      <c r="H652" s="372"/>
      <c r="I652" s="372"/>
      <c r="J652" s="372"/>
      <c r="K652" s="2"/>
      <c r="L652" s="132"/>
      <c r="M652" s="132"/>
      <c r="N652" s="132"/>
      <c r="O652" s="132"/>
      <c r="P652" s="132"/>
      <c r="Q652" s="132"/>
      <c r="R652" s="132"/>
      <c r="S652" s="132"/>
      <c r="T652" s="132"/>
      <c r="U652" s="132"/>
      <c r="V652" s="132"/>
      <c r="W652" s="132"/>
      <c r="X652" s="132"/>
      <c r="Y652" s="132"/>
      <c r="Z652" s="132"/>
      <c r="AA652" s="132"/>
      <c r="AB652" s="132"/>
      <c r="AC652" s="132"/>
    </row>
    <row r="653">
      <c r="A653" s="132"/>
      <c r="B653" s="132"/>
      <c r="C653" s="132"/>
      <c r="D653" s="132"/>
      <c r="E653" s="132"/>
      <c r="F653" s="132"/>
      <c r="G653" s="132"/>
      <c r="H653" s="372"/>
      <c r="I653" s="372"/>
      <c r="J653" s="372"/>
      <c r="K653" s="2"/>
      <c r="L653" s="132"/>
      <c r="M653" s="132"/>
      <c r="N653" s="132"/>
      <c r="O653" s="132"/>
      <c r="P653" s="132"/>
      <c r="Q653" s="132"/>
      <c r="R653" s="132"/>
      <c r="S653" s="132"/>
      <c r="T653" s="132"/>
      <c r="U653" s="132"/>
      <c r="V653" s="132"/>
      <c r="W653" s="132"/>
      <c r="X653" s="132"/>
      <c r="Y653" s="132"/>
      <c r="Z653" s="132"/>
      <c r="AA653" s="132"/>
      <c r="AB653" s="132"/>
      <c r="AC653" s="132"/>
    </row>
    <row r="654">
      <c r="A654" s="132"/>
      <c r="B654" s="132"/>
      <c r="C654" s="132"/>
      <c r="D654" s="132"/>
      <c r="E654" s="132"/>
      <c r="F654" s="132"/>
      <c r="G654" s="132"/>
      <c r="H654" s="372"/>
      <c r="I654" s="372"/>
      <c r="J654" s="372"/>
      <c r="K654" s="2"/>
      <c r="L654" s="132"/>
      <c r="M654" s="132"/>
      <c r="N654" s="132"/>
      <c r="O654" s="132"/>
      <c r="P654" s="132"/>
      <c r="Q654" s="132"/>
      <c r="R654" s="132"/>
      <c r="S654" s="132"/>
      <c r="T654" s="132"/>
      <c r="U654" s="132"/>
      <c r="V654" s="132"/>
      <c r="W654" s="132"/>
      <c r="X654" s="132"/>
      <c r="Y654" s="132"/>
      <c r="Z654" s="132"/>
      <c r="AA654" s="132"/>
      <c r="AB654" s="132"/>
      <c r="AC654" s="132"/>
    </row>
    <row r="655">
      <c r="A655" s="132"/>
      <c r="B655" s="132"/>
      <c r="C655" s="132"/>
      <c r="D655" s="132"/>
      <c r="E655" s="132"/>
      <c r="F655" s="132"/>
      <c r="G655" s="132"/>
      <c r="H655" s="372"/>
      <c r="I655" s="372"/>
      <c r="J655" s="372"/>
      <c r="K655" s="2"/>
      <c r="L655" s="132"/>
      <c r="M655" s="132"/>
      <c r="N655" s="132"/>
      <c r="O655" s="132"/>
      <c r="P655" s="132"/>
      <c r="Q655" s="132"/>
      <c r="R655" s="132"/>
      <c r="S655" s="132"/>
      <c r="T655" s="132"/>
      <c r="U655" s="132"/>
      <c r="V655" s="132"/>
      <c r="W655" s="132"/>
      <c r="X655" s="132"/>
      <c r="Y655" s="132"/>
      <c r="Z655" s="132"/>
      <c r="AA655" s="132"/>
      <c r="AB655" s="132"/>
      <c r="AC655" s="132"/>
    </row>
    <row r="656">
      <c r="A656" s="132"/>
      <c r="B656" s="132"/>
      <c r="C656" s="132"/>
      <c r="D656" s="132"/>
      <c r="E656" s="132"/>
      <c r="F656" s="132"/>
      <c r="G656" s="132"/>
      <c r="H656" s="372"/>
      <c r="I656" s="372"/>
      <c r="J656" s="372"/>
      <c r="K656" s="2"/>
      <c r="L656" s="132"/>
      <c r="M656" s="132"/>
      <c r="N656" s="132"/>
      <c r="O656" s="132"/>
      <c r="P656" s="132"/>
      <c r="Q656" s="132"/>
      <c r="R656" s="132"/>
      <c r="S656" s="132"/>
      <c r="T656" s="132"/>
      <c r="U656" s="132"/>
      <c r="V656" s="132"/>
      <c r="W656" s="132"/>
      <c r="X656" s="132"/>
      <c r="Y656" s="132"/>
      <c r="Z656" s="132"/>
      <c r="AA656" s="132"/>
      <c r="AB656" s="132"/>
      <c r="AC656" s="132"/>
    </row>
    <row r="657">
      <c r="A657" s="132"/>
      <c r="B657" s="132"/>
      <c r="C657" s="132"/>
      <c r="D657" s="132"/>
      <c r="E657" s="132"/>
      <c r="F657" s="132"/>
      <c r="G657" s="132"/>
      <c r="H657" s="372"/>
      <c r="I657" s="372"/>
      <c r="J657" s="372"/>
      <c r="K657" s="2"/>
      <c r="L657" s="132"/>
      <c r="M657" s="132"/>
      <c r="N657" s="132"/>
      <c r="O657" s="132"/>
      <c r="P657" s="132"/>
      <c r="Q657" s="132"/>
      <c r="R657" s="132"/>
      <c r="S657" s="132"/>
      <c r="T657" s="132"/>
      <c r="U657" s="132"/>
      <c r="V657" s="132"/>
      <c r="W657" s="132"/>
      <c r="X657" s="132"/>
      <c r="Y657" s="132"/>
      <c r="Z657" s="132"/>
      <c r="AA657" s="132"/>
      <c r="AB657" s="132"/>
      <c r="AC657" s="132"/>
    </row>
    <row r="658">
      <c r="A658" s="132"/>
      <c r="B658" s="132"/>
      <c r="C658" s="132"/>
      <c r="D658" s="132"/>
      <c r="E658" s="132"/>
      <c r="F658" s="132"/>
      <c r="G658" s="132"/>
      <c r="H658" s="372"/>
      <c r="I658" s="372"/>
      <c r="J658" s="372"/>
      <c r="K658" s="2"/>
      <c r="L658" s="132"/>
      <c r="M658" s="132"/>
      <c r="N658" s="132"/>
      <c r="O658" s="132"/>
      <c r="P658" s="132"/>
      <c r="Q658" s="132"/>
      <c r="R658" s="132"/>
      <c r="S658" s="132"/>
      <c r="T658" s="132"/>
      <c r="U658" s="132"/>
      <c r="V658" s="132"/>
      <c r="W658" s="132"/>
      <c r="X658" s="132"/>
      <c r="Y658" s="132"/>
      <c r="Z658" s="132"/>
      <c r="AA658" s="132"/>
      <c r="AB658" s="132"/>
      <c r="AC658" s="132"/>
    </row>
    <row r="659">
      <c r="A659" s="132"/>
      <c r="B659" s="132"/>
      <c r="C659" s="132"/>
      <c r="D659" s="132"/>
      <c r="E659" s="132"/>
      <c r="F659" s="132"/>
      <c r="G659" s="132"/>
      <c r="H659" s="372"/>
      <c r="I659" s="372"/>
      <c r="J659" s="372"/>
      <c r="K659" s="2"/>
      <c r="L659" s="132"/>
      <c r="M659" s="132"/>
      <c r="N659" s="132"/>
      <c r="O659" s="132"/>
      <c r="P659" s="132"/>
      <c r="Q659" s="132"/>
      <c r="R659" s="132"/>
      <c r="S659" s="132"/>
      <c r="T659" s="132"/>
      <c r="U659" s="132"/>
      <c r="V659" s="132"/>
      <c r="W659" s="132"/>
      <c r="X659" s="132"/>
      <c r="Y659" s="132"/>
      <c r="Z659" s="132"/>
      <c r="AA659" s="132"/>
      <c r="AB659" s="132"/>
      <c r="AC659" s="132"/>
    </row>
    <row r="660">
      <c r="A660" s="132"/>
      <c r="B660" s="132"/>
      <c r="C660" s="132"/>
      <c r="D660" s="132"/>
      <c r="E660" s="132"/>
      <c r="F660" s="132"/>
      <c r="G660" s="132"/>
      <c r="H660" s="372"/>
      <c r="I660" s="372"/>
      <c r="J660" s="372"/>
      <c r="K660" s="2"/>
      <c r="L660" s="132"/>
      <c r="M660" s="132"/>
      <c r="N660" s="132"/>
      <c r="O660" s="132"/>
      <c r="P660" s="132"/>
      <c r="Q660" s="132"/>
      <c r="R660" s="132"/>
      <c r="S660" s="132"/>
      <c r="T660" s="132"/>
      <c r="U660" s="132"/>
      <c r="V660" s="132"/>
      <c r="W660" s="132"/>
      <c r="X660" s="132"/>
      <c r="Y660" s="132"/>
      <c r="Z660" s="132"/>
      <c r="AA660" s="132"/>
      <c r="AB660" s="132"/>
      <c r="AC660" s="132"/>
    </row>
    <row r="661">
      <c r="A661" s="132"/>
      <c r="B661" s="132"/>
      <c r="C661" s="132"/>
      <c r="D661" s="132"/>
      <c r="E661" s="132"/>
      <c r="F661" s="132"/>
      <c r="G661" s="132"/>
      <c r="H661" s="372"/>
      <c r="I661" s="372"/>
      <c r="J661" s="372"/>
      <c r="K661" s="2"/>
      <c r="L661" s="132"/>
      <c r="M661" s="132"/>
      <c r="N661" s="132"/>
      <c r="O661" s="132"/>
      <c r="P661" s="132"/>
      <c r="Q661" s="132"/>
      <c r="R661" s="132"/>
      <c r="S661" s="132"/>
      <c r="T661" s="132"/>
      <c r="U661" s="132"/>
      <c r="V661" s="132"/>
      <c r="W661" s="132"/>
      <c r="X661" s="132"/>
      <c r="Y661" s="132"/>
      <c r="Z661" s="132"/>
      <c r="AA661" s="132"/>
      <c r="AB661" s="132"/>
      <c r="AC661" s="132"/>
    </row>
    <row r="662">
      <c r="A662" s="132"/>
      <c r="B662" s="132"/>
      <c r="C662" s="132"/>
      <c r="D662" s="132"/>
      <c r="E662" s="132"/>
      <c r="F662" s="132"/>
      <c r="G662" s="132"/>
      <c r="H662" s="372"/>
      <c r="I662" s="372"/>
      <c r="J662" s="372"/>
      <c r="K662" s="2"/>
      <c r="L662" s="132"/>
      <c r="M662" s="132"/>
      <c r="N662" s="132"/>
      <c r="O662" s="132"/>
      <c r="P662" s="132"/>
      <c r="Q662" s="132"/>
      <c r="R662" s="132"/>
      <c r="S662" s="132"/>
      <c r="T662" s="132"/>
      <c r="U662" s="132"/>
      <c r="V662" s="132"/>
      <c r="W662" s="132"/>
      <c r="X662" s="132"/>
      <c r="Y662" s="132"/>
      <c r="Z662" s="132"/>
      <c r="AA662" s="132"/>
      <c r="AB662" s="132"/>
      <c r="AC662" s="132"/>
    </row>
    <row r="663">
      <c r="A663" s="132"/>
      <c r="B663" s="132"/>
      <c r="C663" s="132"/>
      <c r="D663" s="132"/>
      <c r="E663" s="132"/>
      <c r="F663" s="132"/>
      <c r="G663" s="132"/>
      <c r="H663" s="372"/>
      <c r="I663" s="372"/>
      <c r="J663" s="372"/>
      <c r="K663" s="2"/>
      <c r="L663" s="132"/>
      <c r="M663" s="132"/>
      <c r="N663" s="132"/>
      <c r="O663" s="132"/>
      <c r="P663" s="132"/>
      <c r="Q663" s="132"/>
      <c r="R663" s="132"/>
      <c r="S663" s="132"/>
      <c r="T663" s="132"/>
      <c r="U663" s="132"/>
      <c r="V663" s="132"/>
      <c r="W663" s="132"/>
      <c r="X663" s="132"/>
      <c r="Y663" s="132"/>
      <c r="Z663" s="132"/>
      <c r="AA663" s="132"/>
      <c r="AB663" s="132"/>
      <c r="AC663" s="132"/>
    </row>
    <row r="664">
      <c r="A664" s="132"/>
      <c r="B664" s="132"/>
      <c r="C664" s="132"/>
      <c r="D664" s="132"/>
      <c r="E664" s="132"/>
      <c r="F664" s="132"/>
      <c r="G664" s="132"/>
      <c r="H664" s="372"/>
      <c r="I664" s="372"/>
      <c r="J664" s="372"/>
      <c r="K664" s="2"/>
      <c r="L664" s="132"/>
      <c r="M664" s="132"/>
      <c r="N664" s="132"/>
      <c r="O664" s="132"/>
      <c r="P664" s="132"/>
      <c r="Q664" s="132"/>
      <c r="R664" s="132"/>
      <c r="S664" s="132"/>
      <c r="T664" s="132"/>
      <c r="U664" s="132"/>
      <c r="V664" s="132"/>
      <c r="W664" s="132"/>
      <c r="X664" s="132"/>
      <c r="Y664" s="132"/>
      <c r="Z664" s="132"/>
      <c r="AA664" s="132"/>
      <c r="AB664" s="132"/>
      <c r="AC664" s="132"/>
    </row>
    <row r="665">
      <c r="A665" s="132"/>
      <c r="B665" s="132"/>
      <c r="C665" s="132"/>
      <c r="D665" s="132"/>
      <c r="E665" s="132"/>
      <c r="F665" s="132"/>
      <c r="G665" s="132"/>
      <c r="H665" s="372"/>
      <c r="I665" s="372"/>
      <c r="J665" s="372"/>
      <c r="K665" s="2"/>
      <c r="L665" s="132"/>
      <c r="M665" s="132"/>
      <c r="N665" s="132"/>
      <c r="O665" s="132"/>
      <c r="P665" s="132"/>
      <c r="Q665" s="132"/>
      <c r="R665" s="132"/>
      <c r="S665" s="132"/>
      <c r="T665" s="132"/>
      <c r="U665" s="132"/>
      <c r="V665" s="132"/>
      <c r="W665" s="132"/>
      <c r="X665" s="132"/>
      <c r="Y665" s="132"/>
      <c r="Z665" s="132"/>
      <c r="AA665" s="132"/>
      <c r="AB665" s="132"/>
      <c r="AC665" s="132"/>
    </row>
    <row r="666">
      <c r="A666" s="132"/>
      <c r="B666" s="132"/>
      <c r="C666" s="132"/>
      <c r="D666" s="132"/>
      <c r="E666" s="132"/>
      <c r="F666" s="132"/>
      <c r="G666" s="132"/>
      <c r="H666" s="372"/>
      <c r="I666" s="372"/>
      <c r="J666" s="372"/>
      <c r="K666" s="2"/>
      <c r="L666" s="132"/>
      <c r="M666" s="132"/>
      <c r="N666" s="132"/>
      <c r="O666" s="132"/>
      <c r="P666" s="132"/>
      <c r="Q666" s="132"/>
      <c r="R666" s="132"/>
      <c r="S666" s="132"/>
      <c r="T666" s="132"/>
      <c r="U666" s="132"/>
      <c r="V666" s="132"/>
      <c r="W666" s="132"/>
      <c r="X666" s="132"/>
      <c r="Y666" s="132"/>
      <c r="Z666" s="132"/>
      <c r="AA666" s="132"/>
      <c r="AB666" s="132"/>
      <c r="AC666" s="132"/>
    </row>
    <row r="667">
      <c r="A667" s="132"/>
      <c r="B667" s="132"/>
      <c r="C667" s="132"/>
      <c r="D667" s="132"/>
      <c r="E667" s="132"/>
      <c r="F667" s="132"/>
      <c r="G667" s="132"/>
      <c r="H667" s="372"/>
      <c r="I667" s="372"/>
      <c r="J667" s="372"/>
      <c r="K667" s="2"/>
      <c r="L667" s="132"/>
      <c r="M667" s="132"/>
      <c r="N667" s="132"/>
      <c r="O667" s="132"/>
      <c r="P667" s="132"/>
      <c r="Q667" s="132"/>
      <c r="R667" s="132"/>
      <c r="S667" s="132"/>
      <c r="T667" s="132"/>
      <c r="U667" s="132"/>
      <c r="V667" s="132"/>
      <c r="W667" s="132"/>
      <c r="X667" s="132"/>
      <c r="Y667" s="132"/>
      <c r="Z667" s="132"/>
      <c r="AA667" s="132"/>
      <c r="AB667" s="132"/>
      <c r="AC667" s="132"/>
    </row>
    <row r="668">
      <c r="A668" s="132"/>
      <c r="B668" s="132"/>
      <c r="C668" s="132"/>
      <c r="D668" s="132"/>
      <c r="E668" s="132"/>
      <c r="F668" s="132"/>
      <c r="G668" s="132"/>
      <c r="H668" s="372"/>
      <c r="I668" s="372"/>
      <c r="J668" s="372"/>
      <c r="K668" s="2"/>
      <c r="L668" s="132"/>
      <c r="M668" s="132"/>
      <c r="N668" s="132"/>
      <c r="O668" s="132"/>
      <c r="P668" s="132"/>
      <c r="Q668" s="132"/>
      <c r="R668" s="132"/>
      <c r="S668" s="132"/>
      <c r="T668" s="132"/>
      <c r="U668" s="132"/>
      <c r="V668" s="132"/>
      <c r="W668" s="132"/>
      <c r="X668" s="132"/>
      <c r="Y668" s="132"/>
      <c r="Z668" s="132"/>
      <c r="AA668" s="132"/>
      <c r="AB668" s="132"/>
      <c r="AC668" s="132"/>
    </row>
    <row r="669">
      <c r="A669" s="132"/>
      <c r="B669" s="132"/>
      <c r="C669" s="132"/>
      <c r="D669" s="132"/>
      <c r="E669" s="132"/>
      <c r="F669" s="132"/>
      <c r="G669" s="132"/>
      <c r="H669" s="372"/>
      <c r="I669" s="372"/>
      <c r="J669" s="372"/>
      <c r="K669" s="2"/>
      <c r="L669" s="132"/>
      <c r="M669" s="132"/>
      <c r="N669" s="132"/>
      <c r="O669" s="132"/>
      <c r="P669" s="132"/>
      <c r="Q669" s="132"/>
      <c r="R669" s="132"/>
      <c r="S669" s="132"/>
      <c r="T669" s="132"/>
      <c r="U669" s="132"/>
      <c r="V669" s="132"/>
      <c r="W669" s="132"/>
      <c r="X669" s="132"/>
      <c r="Y669" s="132"/>
      <c r="Z669" s="132"/>
      <c r="AA669" s="132"/>
      <c r="AB669" s="132"/>
      <c r="AC669" s="132"/>
    </row>
    <row r="670">
      <c r="A670" s="132"/>
      <c r="B670" s="132"/>
      <c r="C670" s="132"/>
      <c r="D670" s="132"/>
      <c r="E670" s="132"/>
      <c r="F670" s="132"/>
      <c r="G670" s="132"/>
      <c r="H670" s="372"/>
      <c r="I670" s="372"/>
      <c r="J670" s="372"/>
      <c r="K670" s="2"/>
      <c r="L670" s="132"/>
      <c r="M670" s="132"/>
      <c r="N670" s="132"/>
      <c r="O670" s="132"/>
      <c r="P670" s="132"/>
      <c r="Q670" s="132"/>
      <c r="R670" s="132"/>
      <c r="S670" s="132"/>
      <c r="T670" s="132"/>
      <c r="U670" s="132"/>
      <c r="V670" s="132"/>
      <c r="W670" s="132"/>
      <c r="X670" s="132"/>
      <c r="Y670" s="132"/>
      <c r="Z670" s="132"/>
      <c r="AA670" s="132"/>
      <c r="AB670" s="132"/>
      <c r="AC670" s="132"/>
    </row>
    <row r="671">
      <c r="A671" s="132"/>
      <c r="B671" s="132"/>
      <c r="C671" s="132"/>
      <c r="D671" s="132"/>
      <c r="E671" s="132"/>
      <c r="F671" s="132"/>
      <c r="G671" s="132"/>
      <c r="H671" s="372"/>
      <c r="I671" s="372"/>
      <c r="J671" s="372"/>
      <c r="K671" s="2"/>
      <c r="L671" s="132"/>
      <c r="M671" s="132"/>
      <c r="N671" s="132"/>
      <c r="O671" s="132"/>
      <c r="P671" s="132"/>
      <c r="Q671" s="132"/>
      <c r="R671" s="132"/>
      <c r="S671" s="132"/>
      <c r="T671" s="132"/>
      <c r="U671" s="132"/>
      <c r="V671" s="132"/>
      <c r="W671" s="132"/>
      <c r="X671" s="132"/>
      <c r="Y671" s="132"/>
      <c r="Z671" s="132"/>
      <c r="AA671" s="132"/>
      <c r="AB671" s="132"/>
      <c r="AC671" s="132"/>
    </row>
    <row r="672">
      <c r="A672" s="132"/>
      <c r="B672" s="132"/>
      <c r="C672" s="132"/>
      <c r="D672" s="132"/>
      <c r="E672" s="132"/>
      <c r="F672" s="132"/>
      <c r="G672" s="132"/>
      <c r="H672" s="372"/>
      <c r="I672" s="372"/>
      <c r="J672" s="372"/>
      <c r="K672" s="2"/>
      <c r="L672" s="132"/>
      <c r="M672" s="132"/>
      <c r="N672" s="132"/>
      <c r="O672" s="132"/>
      <c r="P672" s="132"/>
      <c r="Q672" s="132"/>
      <c r="R672" s="132"/>
      <c r="S672" s="132"/>
      <c r="T672" s="132"/>
      <c r="U672" s="132"/>
      <c r="V672" s="132"/>
      <c r="W672" s="132"/>
      <c r="X672" s="132"/>
      <c r="Y672" s="132"/>
      <c r="Z672" s="132"/>
      <c r="AA672" s="132"/>
      <c r="AB672" s="132"/>
      <c r="AC672" s="132"/>
    </row>
    <row r="673">
      <c r="A673" s="132"/>
      <c r="B673" s="132"/>
      <c r="C673" s="132"/>
      <c r="D673" s="132"/>
      <c r="E673" s="132"/>
      <c r="F673" s="132"/>
      <c r="G673" s="132"/>
      <c r="H673" s="372"/>
      <c r="I673" s="372"/>
      <c r="J673" s="372"/>
      <c r="K673" s="2"/>
      <c r="L673" s="132"/>
      <c r="M673" s="132"/>
      <c r="N673" s="132"/>
      <c r="O673" s="132"/>
      <c r="P673" s="132"/>
      <c r="Q673" s="132"/>
      <c r="R673" s="132"/>
      <c r="S673" s="132"/>
      <c r="T673" s="132"/>
      <c r="U673" s="132"/>
      <c r="V673" s="132"/>
      <c r="W673" s="132"/>
      <c r="X673" s="132"/>
      <c r="Y673" s="132"/>
      <c r="Z673" s="132"/>
      <c r="AA673" s="132"/>
      <c r="AB673" s="132"/>
      <c r="AC673" s="132"/>
    </row>
    <row r="674">
      <c r="A674" s="132"/>
      <c r="B674" s="132"/>
      <c r="C674" s="132"/>
      <c r="D674" s="132"/>
      <c r="E674" s="132"/>
      <c r="F674" s="132"/>
      <c r="G674" s="132"/>
      <c r="H674" s="372"/>
      <c r="I674" s="372"/>
      <c r="J674" s="372"/>
      <c r="K674" s="2"/>
      <c r="L674" s="132"/>
      <c r="M674" s="132"/>
      <c r="N674" s="132"/>
      <c r="O674" s="132"/>
      <c r="P674" s="132"/>
      <c r="Q674" s="132"/>
      <c r="R674" s="132"/>
      <c r="S674" s="132"/>
      <c r="T674" s="132"/>
      <c r="U674" s="132"/>
      <c r="V674" s="132"/>
      <c r="W674" s="132"/>
      <c r="X674" s="132"/>
      <c r="Y674" s="132"/>
      <c r="Z674" s="132"/>
      <c r="AA674" s="132"/>
      <c r="AB674" s="132"/>
      <c r="AC674" s="132"/>
    </row>
    <row r="675">
      <c r="A675" s="132"/>
      <c r="B675" s="132"/>
      <c r="C675" s="132"/>
      <c r="D675" s="132"/>
      <c r="E675" s="132"/>
      <c r="F675" s="132"/>
      <c r="G675" s="132"/>
      <c r="H675" s="372"/>
      <c r="I675" s="372"/>
      <c r="J675" s="372"/>
      <c r="K675" s="2"/>
      <c r="L675" s="132"/>
      <c r="M675" s="132"/>
      <c r="N675" s="132"/>
      <c r="O675" s="132"/>
      <c r="P675" s="132"/>
      <c r="Q675" s="132"/>
      <c r="R675" s="132"/>
      <c r="S675" s="132"/>
      <c r="T675" s="132"/>
      <c r="U675" s="132"/>
      <c r="V675" s="132"/>
      <c r="W675" s="132"/>
      <c r="X675" s="132"/>
      <c r="Y675" s="132"/>
      <c r="Z675" s="132"/>
      <c r="AA675" s="132"/>
      <c r="AB675" s="132"/>
      <c r="AC675" s="132"/>
    </row>
    <row r="676">
      <c r="A676" s="132"/>
      <c r="B676" s="132"/>
      <c r="C676" s="132"/>
      <c r="D676" s="132"/>
      <c r="E676" s="132"/>
      <c r="F676" s="132"/>
      <c r="G676" s="132"/>
      <c r="H676" s="372"/>
      <c r="I676" s="372"/>
      <c r="J676" s="372"/>
      <c r="K676" s="2"/>
      <c r="L676" s="132"/>
      <c r="M676" s="132"/>
      <c r="N676" s="132"/>
      <c r="O676" s="132"/>
      <c r="P676" s="132"/>
      <c r="Q676" s="132"/>
      <c r="R676" s="132"/>
      <c r="S676" s="132"/>
      <c r="T676" s="132"/>
      <c r="U676" s="132"/>
      <c r="V676" s="132"/>
      <c r="W676" s="132"/>
      <c r="X676" s="132"/>
      <c r="Y676" s="132"/>
      <c r="Z676" s="132"/>
      <c r="AA676" s="132"/>
      <c r="AB676" s="132"/>
      <c r="AC676" s="132"/>
    </row>
    <row r="677">
      <c r="A677" s="132"/>
      <c r="B677" s="132"/>
      <c r="C677" s="132"/>
      <c r="D677" s="132"/>
      <c r="E677" s="132"/>
      <c r="F677" s="132"/>
      <c r="G677" s="132"/>
      <c r="H677" s="372"/>
      <c r="I677" s="372"/>
      <c r="J677" s="372"/>
      <c r="K677" s="2"/>
      <c r="L677" s="132"/>
      <c r="M677" s="132"/>
      <c r="N677" s="132"/>
      <c r="O677" s="132"/>
      <c r="P677" s="132"/>
      <c r="Q677" s="132"/>
      <c r="R677" s="132"/>
      <c r="S677" s="132"/>
      <c r="T677" s="132"/>
      <c r="U677" s="132"/>
      <c r="V677" s="132"/>
      <c r="W677" s="132"/>
      <c r="X677" s="132"/>
      <c r="Y677" s="132"/>
      <c r="Z677" s="132"/>
      <c r="AA677" s="132"/>
      <c r="AB677" s="132"/>
      <c r="AC677" s="132"/>
    </row>
    <row r="678">
      <c r="A678" s="132"/>
      <c r="B678" s="132"/>
      <c r="C678" s="132"/>
      <c r="D678" s="132"/>
      <c r="E678" s="132"/>
      <c r="F678" s="132"/>
      <c r="G678" s="132"/>
      <c r="H678" s="372"/>
      <c r="I678" s="372"/>
      <c r="J678" s="372"/>
      <c r="K678" s="2"/>
      <c r="L678" s="132"/>
      <c r="M678" s="132"/>
      <c r="N678" s="132"/>
      <c r="O678" s="132"/>
      <c r="P678" s="132"/>
      <c r="Q678" s="132"/>
      <c r="R678" s="132"/>
      <c r="S678" s="132"/>
      <c r="T678" s="132"/>
      <c r="U678" s="132"/>
      <c r="V678" s="132"/>
      <c r="W678" s="132"/>
      <c r="X678" s="132"/>
      <c r="Y678" s="132"/>
      <c r="Z678" s="132"/>
      <c r="AA678" s="132"/>
      <c r="AB678" s="132"/>
      <c r="AC678" s="132"/>
    </row>
    <row r="679">
      <c r="A679" s="132"/>
      <c r="B679" s="132"/>
      <c r="C679" s="132"/>
      <c r="D679" s="132"/>
      <c r="E679" s="132"/>
      <c r="F679" s="132"/>
      <c r="G679" s="132"/>
      <c r="H679" s="372"/>
      <c r="I679" s="372"/>
      <c r="J679" s="372"/>
      <c r="K679" s="2"/>
      <c r="L679" s="132"/>
      <c r="M679" s="132"/>
      <c r="N679" s="132"/>
      <c r="O679" s="132"/>
      <c r="P679" s="132"/>
      <c r="Q679" s="132"/>
      <c r="R679" s="132"/>
      <c r="S679" s="132"/>
      <c r="T679" s="132"/>
      <c r="U679" s="132"/>
      <c r="V679" s="132"/>
      <c r="W679" s="132"/>
      <c r="X679" s="132"/>
      <c r="Y679" s="132"/>
      <c r="Z679" s="132"/>
      <c r="AA679" s="132"/>
      <c r="AB679" s="132"/>
      <c r="AC679" s="132"/>
    </row>
    <row r="680">
      <c r="A680" s="132"/>
      <c r="B680" s="132"/>
      <c r="C680" s="132"/>
      <c r="D680" s="132"/>
      <c r="E680" s="132"/>
      <c r="F680" s="132"/>
      <c r="G680" s="132"/>
      <c r="H680" s="372"/>
      <c r="I680" s="372"/>
      <c r="J680" s="372"/>
      <c r="K680" s="2"/>
      <c r="L680" s="132"/>
      <c r="M680" s="132"/>
      <c r="N680" s="132"/>
      <c r="O680" s="132"/>
      <c r="P680" s="132"/>
      <c r="Q680" s="132"/>
      <c r="R680" s="132"/>
      <c r="S680" s="132"/>
      <c r="T680" s="132"/>
      <c r="U680" s="132"/>
      <c r="V680" s="132"/>
      <c r="W680" s="132"/>
      <c r="X680" s="132"/>
      <c r="Y680" s="132"/>
      <c r="Z680" s="132"/>
      <c r="AA680" s="132"/>
      <c r="AB680" s="132"/>
      <c r="AC680" s="132"/>
    </row>
    <row r="681">
      <c r="A681" s="132"/>
      <c r="B681" s="132"/>
      <c r="C681" s="132"/>
      <c r="D681" s="132"/>
      <c r="E681" s="132"/>
      <c r="F681" s="132"/>
      <c r="G681" s="132"/>
      <c r="H681" s="372"/>
      <c r="I681" s="372"/>
      <c r="J681" s="372"/>
      <c r="K681" s="2"/>
      <c r="L681" s="132"/>
      <c r="M681" s="132"/>
      <c r="N681" s="132"/>
      <c r="O681" s="132"/>
      <c r="P681" s="132"/>
      <c r="Q681" s="132"/>
      <c r="R681" s="132"/>
      <c r="S681" s="132"/>
      <c r="T681" s="132"/>
      <c r="U681" s="132"/>
      <c r="V681" s="132"/>
      <c r="W681" s="132"/>
      <c r="X681" s="132"/>
      <c r="Y681" s="132"/>
      <c r="Z681" s="132"/>
      <c r="AA681" s="132"/>
      <c r="AB681" s="132"/>
      <c r="AC681" s="132"/>
    </row>
    <row r="682">
      <c r="A682" s="132"/>
      <c r="B682" s="132"/>
      <c r="C682" s="132"/>
      <c r="D682" s="132"/>
      <c r="E682" s="132"/>
      <c r="F682" s="132"/>
      <c r="G682" s="132"/>
      <c r="H682" s="372"/>
      <c r="I682" s="372"/>
      <c r="J682" s="372"/>
      <c r="K682" s="2"/>
      <c r="L682" s="132"/>
      <c r="M682" s="132"/>
      <c r="N682" s="132"/>
      <c r="O682" s="132"/>
      <c r="P682" s="132"/>
      <c r="Q682" s="132"/>
      <c r="R682" s="132"/>
      <c r="S682" s="132"/>
      <c r="T682" s="132"/>
      <c r="U682" s="132"/>
      <c r="V682" s="132"/>
      <c r="W682" s="132"/>
      <c r="X682" s="132"/>
      <c r="Y682" s="132"/>
      <c r="Z682" s="132"/>
      <c r="AA682" s="132"/>
      <c r="AB682" s="132"/>
      <c r="AC682" s="132"/>
    </row>
    <row r="683">
      <c r="A683" s="132"/>
      <c r="B683" s="132"/>
      <c r="C683" s="132"/>
      <c r="D683" s="132"/>
      <c r="E683" s="132"/>
      <c r="F683" s="132"/>
      <c r="G683" s="132"/>
      <c r="H683" s="372"/>
      <c r="I683" s="372"/>
      <c r="J683" s="372"/>
      <c r="K683" s="2"/>
      <c r="L683" s="132"/>
      <c r="M683" s="132"/>
      <c r="N683" s="132"/>
      <c r="O683" s="132"/>
      <c r="P683" s="132"/>
      <c r="Q683" s="132"/>
      <c r="R683" s="132"/>
      <c r="S683" s="132"/>
      <c r="T683" s="132"/>
      <c r="U683" s="132"/>
      <c r="V683" s="132"/>
      <c r="W683" s="132"/>
      <c r="X683" s="132"/>
      <c r="Y683" s="132"/>
      <c r="Z683" s="132"/>
      <c r="AA683" s="132"/>
      <c r="AB683" s="132"/>
      <c r="AC683" s="132"/>
    </row>
    <row r="684">
      <c r="A684" s="132"/>
      <c r="B684" s="132"/>
      <c r="C684" s="132"/>
      <c r="D684" s="132"/>
      <c r="E684" s="132"/>
      <c r="F684" s="132"/>
      <c r="G684" s="132"/>
      <c r="H684" s="372"/>
      <c r="I684" s="372"/>
      <c r="J684" s="372"/>
      <c r="K684" s="2"/>
      <c r="L684" s="132"/>
      <c r="M684" s="132"/>
      <c r="N684" s="132"/>
      <c r="O684" s="132"/>
      <c r="P684" s="132"/>
      <c r="Q684" s="132"/>
      <c r="R684" s="132"/>
      <c r="S684" s="132"/>
      <c r="T684" s="132"/>
      <c r="U684" s="132"/>
      <c r="V684" s="132"/>
      <c r="W684" s="132"/>
      <c r="X684" s="132"/>
      <c r="Y684" s="132"/>
      <c r="Z684" s="132"/>
      <c r="AA684" s="132"/>
      <c r="AB684" s="132"/>
      <c r="AC684" s="132"/>
    </row>
    <row r="685">
      <c r="A685" s="132"/>
      <c r="B685" s="132"/>
      <c r="C685" s="132"/>
      <c r="D685" s="132"/>
      <c r="E685" s="132"/>
      <c r="F685" s="132"/>
      <c r="G685" s="132"/>
      <c r="H685" s="372"/>
      <c r="I685" s="372"/>
      <c r="J685" s="372"/>
      <c r="K685" s="2"/>
      <c r="L685" s="132"/>
      <c r="M685" s="132"/>
      <c r="N685" s="132"/>
      <c r="O685" s="132"/>
      <c r="P685" s="132"/>
      <c r="Q685" s="132"/>
      <c r="R685" s="132"/>
      <c r="S685" s="132"/>
      <c r="T685" s="132"/>
      <c r="U685" s="132"/>
      <c r="V685" s="132"/>
      <c r="W685" s="132"/>
      <c r="X685" s="132"/>
      <c r="Y685" s="132"/>
      <c r="Z685" s="132"/>
      <c r="AA685" s="132"/>
      <c r="AB685" s="132"/>
      <c r="AC685" s="132"/>
    </row>
    <row r="686">
      <c r="A686" s="132"/>
      <c r="B686" s="132"/>
      <c r="C686" s="132"/>
      <c r="D686" s="132"/>
      <c r="E686" s="132"/>
      <c r="F686" s="132"/>
      <c r="G686" s="132"/>
      <c r="H686" s="372"/>
      <c r="I686" s="372"/>
      <c r="J686" s="372"/>
      <c r="K686" s="2"/>
      <c r="L686" s="132"/>
      <c r="M686" s="132"/>
      <c r="N686" s="132"/>
      <c r="O686" s="132"/>
      <c r="P686" s="132"/>
      <c r="Q686" s="132"/>
      <c r="R686" s="132"/>
      <c r="S686" s="132"/>
      <c r="T686" s="132"/>
      <c r="U686" s="132"/>
      <c r="V686" s="132"/>
      <c r="W686" s="132"/>
      <c r="X686" s="132"/>
      <c r="Y686" s="132"/>
      <c r="Z686" s="132"/>
      <c r="AA686" s="132"/>
      <c r="AB686" s="132"/>
      <c r="AC686" s="132"/>
    </row>
    <row r="687">
      <c r="A687" s="132"/>
      <c r="B687" s="132"/>
      <c r="C687" s="132"/>
      <c r="D687" s="132"/>
      <c r="E687" s="132"/>
      <c r="F687" s="132"/>
      <c r="G687" s="132"/>
      <c r="H687" s="372"/>
      <c r="I687" s="372"/>
      <c r="J687" s="372"/>
      <c r="K687" s="2"/>
      <c r="L687" s="132"/>
      <c r="M687" s="132"/>
      <c r="N687" s="132"/>
      <c r="O687" s="132"/>
      <c r="P687" s="132"/>
      <c r="Q687" s="132"/>
      <c r="R687" s="132"/>
      <c r="S687" s="132"/>
      <c r="T687" s="132"/>
      <c r="U687" s="132"/>
      <c r="V687" s="132"/>
      <c r="W687" s="132"/>
      <c r="X687" s="132"/>
      <c r="Y687" s="132"/>
      <c r="Z687" s="132"/>
      <c r="AA687" s="132"/>
      <c r="AB687" s="132"/>
      <c r="AC687" s="132"/>
    </row>
    <row r="688">
      <c r="A688" s="132"/>
      <c r="B688" s="132"/>
      <c r="C688" s="132"/>
      <c r="D688" s="132"/>
      <c r="E688" s="132"/>
      <c r="F688" s="132"/>
      <c r="G688" s="132"/>
      <c r="H688" s="372"/>
      <c r="I688" s="372"/>
      <c r="J688" s="372"/>
      <c r="K688" s="2"/>
      <c r="L688" s="132"/>
      <c r="M688" s="132"/>
      <c r="N688" s="132"/>
      <c r="O688" s="132"/>
      <c r="P688" s="132"/>
      <c r="Q688" s="132"/>
      <c r="R688" s="132"/>
      <c r="S688" s="132"/>
      <c r="T688" s="132"/>
      <c r="U688" s="132"/>
      <c r="V688" s="132"/>
      <c r="W688" s="132"/>
      <c r="X688" s="132"/>
      <c r="Y688" s="132"/>
      <c r="Z688" s="132"/>
      <c r="AA688" s="132"/>
      <c r="AB688" s="132"/>
      <c r="AC688" s="132"/>
    </row>
    <row r="689">
      <c r="A689" s="132"/>
      <c r="B689" s="132"/>
      <c r="C689" s="132"/>
      <c r="D689" s="132"/>
      <c r="E689" s="132"/>
      <c r="F689" s="132"/>
      <c r="G689" s="132"/>
      <c r="H689" s="372"/>
      <c r="I689" s="372"/>
      <c r="J689" s="372"/>
      <c r="K689" s="2"/>
      <c r="L689" s="132"/>
      <c r="M689" s="132"/>
      <c r="N689" s="132"/>
      <c r="O689" s="132"/>
      <c r="P689" s="132"/>
      <c r="Q689" s="132"/>
      <c r="R689" s="132"/>
      <c r="S689" s="132"/>
      <c r="T689" s="132"/>
      <c r="U689" s="132"/>
      <c r="V689" s="132"/>
      <c r="W689" s="132"/>
      <c r="X689" s="132"/>
      <c r="Y689" s="132"/>
      <c r="Z689" s="132"/>
      <c r="AA689" s="132"/>
      <c r="AB689" s="132"/>
      <c r="AC689" s="132"/>
    </row>
    <row r="690">
      <c r="A690" s="132"/>
      <c r="B690" s="132"/>
      <c r="C690" s="132"/>
      <c r="D690" s="132"/>
      <c r="E690" s="132"/>
      <c r="F690" s="132"/>
      <c r="G690" s="132"/>
      <c r="H690" s="372"/>
      <c r="I690" s="372"/>
      <c r="J690" s="372"/>
      <c r="K690" s="2"/>
      <c r="L690" s="132"/>
      <c r="M690" s="132"/>
      <c r="N690" s="132"/>
      <c r="O690" s="132"/>
      <c r="P690" s="132"/>
      <c r="Q690" s="132"/>
      <c r="R690" s="132"/>
      <c r="S690" s="132"/>
      <c r="T690" s="132"/>
      <c r="U690" s="132"/>
      <c r="V690" s="132"/>
      <c r="W690" s="132"/>
      <c r="X690" s="132"/>
      <c r="Y690" s="132"/>
      <c r="Z690" s="132"/>
      <c r="AA690" s="132"/>
      <c r="AB690" s="132"/>
      <c r="AC690" s="132"/>
    </row>
    <row r="691">
      <c r="A691" s="132"/>
      <c r="B691" s="132"/>
      <c r="C691" s="132"/>
      <c r="D691" s="132"/>
      <c r="E691" s="132"/>
      <c r="F691" s="132"/>
      <c r="G691" s="132"/>
      <c r="H691" s="372"/>
      <c r="I691" s="372"/>
      <c r="J691" s="372"/>
      <c r="K691" s="2"/>
      <c r="L691" s="132"/>
      <c r="M691" s="132"/>
      <c r="N691" s="132"/>
      <c r="O691" s="132"/>
      <c r="P691" s="132"/>
      <c r="Q691" s="132"/>
      <c r="R691" s="132"/>
      <c r="S691" s="132"/>
      <c r="T691" s="132"/>
      <c r="U691" s="132"/>
      <c r="V691" s="132"/>
      <c r="W691" s="132"/>
      <c r="X691" s="132"/>
      <c r="Y691" s="132"/>
      <c r="Z691" s="132"/>
      <c r="AA691" s="132"/>
      <c r="AB691" s="132"/>
      <c r="AC691" s="132"/>
    </row>
    <row r="692">
      <c r="A692" s="132"/>
      <c r="B692" s="132"/>
      <c r="C692" s="132"/>
      <c r="D692" s="132"/>
      <c r="E692" s="132"/>
      <c r="F692" s="132"/>
      <c r="G692" s="132"/>
      <c r="H692" s="372"/>
      <c r="I692" s="372"/>
      <c r="J692" s="372"/>
      <c r="K692" s="2"/>
      <c r="L692" s="132"/>
      <c r="M692" s="132"/>
      <c r="N692" s="132"/>
      <c r="O692" s="132"/>
      <c r="P692" s="132"/>
      <c r="Q692" s="132"/>
      <c r="R692" s="132"/>
      <c r="S692" s="132"/>
      <c r="T692" s="132"/>
      <c r="U692" s="132"/>
      <c r="V692" s="132"/>
      <c r="W692" s="132"/>
      <c r="X692" s="132"/>
      <c r="Y692" s="132"/>
      <c r="Z692" s="132"/>
      <c r="AA692" s="132"/>
      <c r="AB692" s="132"/>
      <c r="AC692" s="132"/>
    </row>
    <row r="693">
      <c r="A693" s="132"/>
      <c r="B693" s="132"/>
      <c r="C693" s="132"/>
      <c r="D693" s="132"/>
      <c r="E693" s="132"/>
      <c r="F693" s="132"/>
      <c r="G693" s="132"/>
      <c r="H693" s="372"/>
      <c r="I693" s="372"/>
      <c r="J693" s="372"/>
      <c r="K693" s="2"/>
      <c r="L693" s="132"/>
      <c r="M693" s="132"/>
      <c r="N693" s="132"/>
      <c r="O693" s="132"/>
      <c r="P693" s="132"/>
      <c r="Q693" s="132"/>
      <c r="R693" s="132"/>
      <c r="S693" s="132"/>
      <c r="T693" s="132"/>
      <c r="U693" s="132"/>
      <c r="V693" s="132"/>
      <c r="W693" s="132"/>
      <c r="X693" s="132"/>
      <c r="Y693" s="132"/>
      <c r="Z693" s="132"/>
      <c r="AA693" s="132"/>
      <c r="AB693" s="132"/>
      <c r="AC693" s="132"/>
    </row>
    <row r="694">
      <c r="A694" s="132"/>
      <c r="B694" s="132"/>
      <c r="C694" s="132"/>
      <c r="D694" s="132"/>
      <c r="E694" s="132"/>
      <c r="F694" s="132"/>
      <c r="G694" s="132"/>
      <c r="H694" s="372"/>
      <c r="I694" s="372"/>
      <c r="J694" s="372"/>
      <c r="K694" s="2"/>
      <c r="L694" s="132"/>
      <c r="M694" s="132"/>
      <c r="N694" s="132"/>
      <c r="O694" s="132"/>
      <c r="P694" s="132"/>
      <c r="Q694" s="132"/>
      <c r="R694" s="132"/>
      <c r="S694" s="132"/>
      <c r="T694" s="132"/>
      <c r="U694" s="132"/>
      <c r="V694" s="132"/>
      <c r="W694" s="132"/>
      <c r="X694" s="132"/>
      <c r="Y694" s="132"/>
      <c r="Z694" s="132"/>
      <c r="AA694" s="132"/>
      <c r="AB694" s="132"/>
      <c r="AC694" s="132"/>
    </row>
    <row r="695">
      <c r="A695" s="132"/>
      <c r="B695" s="132"/>
      <c r="C695" s="132"/>
      <c r="D695" s="132"/>
      <c r="E695" s="132"/>
      <c r="F695" s="132"/>
      <c r="G695" s="132"/>
      <c r="H695" s="372"/>
      <c r="I695" s="372"/>
      <c r="J695" s="372"/>
      <c r="K695" s="2"/>
      <c r="L695" s="132"/>
      <c r="M695" s="132"/>
      <c r="N695" s="132"/>
      <c r="O695" s="132"/>
      <c r="P695" s="132"/>
      <c r="Q695" s="132"/>
      <c r="R695" s="132"/>
      <c r="S695" s="132"/>
      <c r="T695" s="132"/>
      <c r="U695" s="132"/>
      <c r="V695" s="132"/>
      <c r="W695" s="132"/>
      <c r="X695" s="132"/>
      <c r="Y695" s="132"/>
      <c r="Z695" s="132"/>
      <c r="AA695" s="132"/>
      <c r="AB695" s="132"/>
      <c r="AC695" s="132"/>
    </row>
    <row r="696">
      <c r="A696" s="132"/>
      <c r="B696" s="132"/>
      <c r="C696" s="132"/>
      <c r="D696" s="132"/>
      <c r="E696" s="132"/>
      <c r="F696" s="132"/>
      <c r="G696" s="132"/>
      <c r="H696" s="372"/>
      <c r="I696" s="372"/>
      <c r="J696" s="372"/>
      <c r="K696" s="2"/>
      <c r="L696" s="132"/>
      <c r="M696" s="132"/>
      <c r="N696" s="132"/>
      <c r="O696" s="132"/>
      <c r="P696" s="132"/>
      <c r="Q696" s="132"/>
      <c r="R696" s="132"/>
      <c r="S696" s="132"/>
      <c r="T696" s="132"/>
      <c r="U696" s="132"/>
      <c r="V696" s="132"/>
      <c r="W696" s="132"/>
      <c r="X696" s="132"/>
      <c r="Y696" s="132"/>
      <c r="Z696" s="132"/>
      <c r="AA696" s="132"/>
      <c r="AB696" s="132"/>
      <c r="AC696" s="132"/>
    </row>
    <row r="697">
      <c r="A697" s="132"/>
      <c r="B697" s="132"/>
      <c r="C697" s="132"/>
      <c r="D697" s="132"/>
      <c r="E697" s="132"/>
      <c r="F697" s="132"/>
      <c r="G697" s="132"/>
      <c r="H697" s="372"/>
      <c r="I697" s="372"/>
      <c r="J697" s="372"/>
      <c r="K697" s="2"/>
      <c r="L697" s="132"/>
      <c r="M697" s="132"/>
      <c r="N697" s="132"/>
      <c r="O697" s="132"/>
      <c r="P697" s="132"/>
      <c r="Q697" s="132"/>
      <c r="R697" s="132"/>
      <c r="S697" s="132"/>
      <c r="T697" s="132"/>
      <c r="U697" s="132"/>
      <c r="V697" s="132"/>
      <c r="W697" s="132"/>
      <c r="X697" s="132"/>
      <c r="Y697" s="132"/>
      <c r="Z697" s="132"/>
      <c r="AA697" s="132"/>
      <c r="AB697" s="132"/>
      <c r="AC697" s="132"/>
    </row>
    <row r="698">
      <c r="A698" s="132"/>
      <c r="B698" s="132"/>
      <c r="C698" s="132"/>
      <c r="D698" s="132"/>
      <c r="E698" s="132"/>
      <c r="F698" s="132"/>
      <c r="G698" s="132"/>
      <c r="H698" s="372"/>
      <c r="I698" s="372"/>
      <c r="J698" s="372"/>
      <c r="K698" s="2"/>
      <c r="L698" s="132"/>
      <c r="M698" s="132"/>
      <c r="N698" s="132"/>
      <c r="O698" s="132"/>
      <c r="P698" s="132"/>
      <c r="Q698" s="132"/>
      <c r="R698" s="132"/>
      <c r="S698" s="132"/>
      <c r="T698" s="132"/>
      <c r="U698" s="132"/>
      <c r="V698" s="132"/>
      <c r="W698" s="132"/>
      <c r="X698" s="132"/>
      <c r="Y698" s="132"/>
      <c r="Z698" s="132"/>
      <c r="AA698" s="132"/>
      <c r="AB698" s="132"/>
      <c r="AC698" s="132"/>
    </row>
    <row r="699">
      <c r="A699" s="132"/>
      <c r="B699" s="132"/>
      <c r="C699" s="132"/>
      <c r="D699" s="132"/>
      <c r="E699" s="132"/>
      <c r="F699" s="132"/>
      <c r="G699" s="132"/>
      <c r="H699" s="372"/>
      <c r="I699" s="372"/>
      <c r="J699" s="372"/>
      <c r="K699" s="2"/>
      <c r="L699" s="132"/>
      <c r="M699" s="132"/>
      <c r="N699" s="132"/>
      <c r="O699" s="132"/>
      <c r="P699" s="132"/>
      <c r="Q699" s="132"/>
      <c r="R699" s="132"/>
      <c r="S699" s="132"/>
      <c r="T699" s="132"/>
      <c r="U699" s="132"/>
      <c r="V699" s="132"/>
      <c r="W699" s="132"/>
      <c r="X699" s="132"/>
      <c r="Y699" s="132"/>
      <c r="Z699" s="132"/>
      <c r="AA699" s="132"/>
      <c r="AB699" s="132"/>
      <c r="AC699" s="132"/>
    </row>
    <row r="700">
      <c r="A700" s="132"/>
      <c r="B700" s="132"/>
      <c r="C700" s="132"/>
      <c r="D700" s="132"/>
      <c r="E700" s="132"/>
      <c r="F700" s="132"/>
      <c r="G700" s="132"/>
      <c r="H700" s="372"/>
      <c r="I700" s="372"/>
      <c r="J700" s="372"/>
      <c r="K700" s="2"/>
      <c r="L700" s="132"/>
      <c r="M700" s="132"/>
      <c r="N700" s="132"/>
      <c r="O700" s="132"/>
      <c r="P700" s="132"/>
      <c r="Q700" s="132"/>
      <c r="R700" s="132"/>
      <c r="S700" s="132"/>
      <c r="T700" s="132"/>
      <c r="U700" s="132"/>
      <c r="V700" s="132"/>
      <c r="W700" s="132"/>
      <c r="X700" s="132"/>
      <c r="Y700" s="132"/>
      <c r="Z700" s="132"/>
      <c r="AA700" s="132"/>
      <c r="AB700" s="132"/>
      <c r="AC700" s="132"/>
    </row>
    <row r="701">
      <c r="A701" s="132"/>
      <c r="B701" s="132"/>
      <c r="C701" s="132"/>
      <c r="D701" s="132"/>
      <c r="E701" s="132"/>
      <c r="F701" s="132"/>
      <c r="G701" s="132"/>
      <c r="H701" s="372"/>
      <c r="I701" s="372"/>
      <c r="J701" s="372"/>
      <c r="K701" s="2"/>
      <c r="L701" s="132"/>
      <c r="M701" s="132"/>
      <c r="N701" s="132"/>
      <c r="O701" s="132"/>
      <c r="P701" s="132"/>
      <c r="Q701" s="132"/>
      <c r="R701" s="132"/>
      <c r="S701" s="132"/>
      <c r="T701" s="132"/>
      <c r="U701" s="132"/>
      <c r="V701" s="132"/>
      <c r="W701" s="132"/>
      <c r="X701" s="132"/>
      <c r="Y701" s="132"/>
      <c r="Z701" s="132"/>
      <c r="AA701" s="132"/>
      <c r="AB701" s="132"/>
      <c r="AC701" s="132"/>
    </row>
    <row r="702">
      <c r="A702" s="132"/>
      <c r="B702" s="132"/>
      <c r="C702" s="132"/>
      <c r="D702" s="132"/>
      <c r="E702" s="132"/>
      <c r="F702" s="132"/>
      <c r="G702" s="132"/>
      <c r="H702" s="372"/>
      <c r="I702" s="372"/>
      <c r="J702" s="372"/>
      <c r="K702" s="2"/>
      <c r="L702" s="132"/>
      <c r="M702" s="132"/>
      <c r="N702" s="132"/>
      <c r="O702" s="132"/>
      <c r="P702" s="132"/>
      <c r="Q702" s="132"/>
      <c r="R702" s="132"/>
      <c r="S702" s="132"/>
      <c r="T702" s="132"/>
      <c r="U702" s="132"/>
      <c r="V702" s="132"/>
      <c r="W702" s="132"/>
      <c r="X702" s="132"/>
      <c r="Y702" s="132"/>
      <c r="Z702" s="132"/>
      <c r="AA702" s="132"/>
      <c r="AB702" s="132"/>
      <c r="AC702" s="132"/>
    </row>
    <row r="703">
      <c r="A703" s="132"/>
      <c r="B703" s="132"/>
      <c r="C703" s="132"/>
      <c r="D703" s="132"/>
      <c r="E703" s="132"/>
      <c r="F703" s="132"/>
      <c r="G703" s="132"/>
      <c r="H703" s="372"/>
      <c r="I703" s="372"/>
      <c r="J703" s="372"/>
      <c r="K703" s="2"/>
      <c r="L703" s="132"/>
      <c r="M703" s="132"/>
      <c r="N703" s="132"/>
      <c r="O703" s="132"/>
      <c r="P703" s="132"/>
      <c r="Q703" s="132"/>
      <c r="R703" s="132"/>
      <c r="S703" s="132"/>
      <c r="T703" s="132"/>
      <c r="U703" s="132"/>
      <c r="V703" s="132"/>
      <c r="W703" s="132"/>
      <c r="X703" s="132"/>
      <c r="Y703" s="132"/>
      <c r="Z703" s="132"/>
      <c r="AA703" s="132"/>
      <c r="AB703" s="132"/>
      <c r="AC703" s="132"/>
    </row>
    <row r="704">
      <c r="A704" s="132"/>
      <c r="B704" s="132"/>
      <c r="C704" s="132"/>
      <c r="D704" s="132"/>
      <c r="E704" s="132"/>
      <c r="F704" s="132"/>
      <c r="G704" s="132"/>
      <c r="H704" s="372"/>
      <c r="I704" s="372"/>
      <c r="J704" s="372"/>
      <c r="K704" s="2"/>
      <c r="L704" s="132"/>
      <c r="M704" s="132"/>
      <c r="N704" s="132"/>
      <c r="O704" s="132"/>
      <c r="P704" s="132"/>
      <c r="Q704" s="132"/>
      <c r="R704" s="132"/>
      <c r="S704" s="132"/>
      <c r="T704" s="132"/>
      <c r="U704" s="132"/>
      <c r="V704" s="132"/>
      <c r="W704" s="132"/>
      <c r="X704" s="132"/>
      <c r="Y704" s="132"/>
      <c r="Z704" s="132"/>
      <c r="AA704" s="132"/>
      <c r="AB704" s="132"/>
      <c r="AC704" s="132"/>
    </row>
    <row r="705">
      <c r="A705" s="132"/>
      <c r="B705" s="132"/>
      <c r="C705" s="132"/>
      <c r="D705" s="132"/>
      <c r="E705" s="132"/>
      <c r="F705" s="132"/>
      <c r="G705" s="132"/>
      <c r="H705" s="372"/>
      <c r="I705" s="372"/>
      <c r="J705" s="372"/>
      <c r="K705" s="2"/>
      <c r="L705" s="132"/>
      <c r="M705" s="132"/>
      <c r="N705" s="132"/>
      <c r="O705" s="132"/>
      <c r="P705" s="132"/>
      <c r="Q705" s="132"/>
      <c r="R705" s="132"/>
      <c r="S705" s="132"/>
      <c r="T705" s="132"/>
      <c r="U705" s="132"/>
      <c r="V705" s="132"/>
      <c r="W705" s="132"/>
      <c r="X705" s="132"/>
      <c r="Y705" s="132"/>
      <c r="Z705" s="132"/>
      <c r="AA705" s="132"/>
      <c r="AB705" s="132"/>
      <c r="AC705" s="132"/>
    </row>
    <row r="706">
      <c r="A706" s="132"/>
      <c r="B706" s="132"/>
      <c r="C706" s="132"/>
      <c r="D706" s="132"/>
      <c r="E706" s="132"/>
      <c r="F706" s="132"/>
      <c r="G706" s="132"/>
      <c r="H706" s="372"/>
      <c r="I706" s="372"/>
      <c r="J706" s="372"/>
      <c r="K706" s="2"/>
      <c r="L706" s="132"/>
      <c r="M706" s="132"/>
      <c r="N706" s="132"/>
      <c r="O706" s="132"/>
      <c r="P706" s="132"/>
      <c r="Q706" s="132"/>
      <c r="R706" s="132"/>
      <c r="S706" s="132"/>
      <c r="T706" s="132"/>
      <c r="U706" s="132"/>
      <c r="V706" s="132"/>
      <c r="W706" s="132"/>
      <c r="X706" s="132"/>
      <c r="Y706" s="132"/>
      <c r="Z706" s="132"/>
      <c r="AA706" s="132"/>
      <c r="AB706" s="132"/>
      <c r="AC706" s="132"/>
    </row>
    <row r="707">
      <c r="A707" s="132"/>
      <c r="B707" s="132"/>
      <c r="C707" s="132"/>
      <c r="D707" s="132"/>
      <c r="E707" s="132"/>
      <c r="F707" s="132"/>
      <c r="G707" s="132"/>
      <c r="H707" s="372"/>
      <c r="I707" s="372"/>
      <c r="J707" s="372"/>
      <c r="K707" s="2"/>
      <c r="L707" s="132"/>
      <c r="M707" s="132"/>
      <c r="N707" s="132"/>
      <c r="O707" s="132"/>
      <c r="P707" s="132"/>
      <c r="Q707" s="132"/>
      <c r="R707" s="132"/>
      <c r="S707" s="132"/>
      <c r="T707" s="132"/>
      <c r="U707" s="132"/>
      <c r="V707" s="132"/>
      <c r="W707" s="132"/>
      <c r="X707" s="132"/>
      <c r="Y707" s="132"/>
      <c r="Z707" s="132"/>
      <c r="AA707" s="132"/>
      <c r="AB707" s="132"/>
      <c r="AC707" s="132"/>
    </row>
    <row r="708">
      <c r="A708" s="132"/>
      <c r="B708" s="132"/>
      <c r="C708" s="132"/>
      <c r="D708" s="132"/>
      <c r="E708" s="132"/>
      <c r="F708" s="132"/>
      <c r="G708" s="132"/>
      <c r="H708" s="372"/>
      <c r="I708" s="372"/>
      <c r="J708" s="372"/>
      <c r="K708" s="2"/>
      <c r="L708" s="132"/>
      <c r="M708" s="132"/>
      <c r="N708" s="132"/>
      <c r="O708" s="132"/>
      <c r="P708" s="132"/>
      <c r="Q708" s="132"/>
      <c r="R708" s="132"/>
      <c r="S708" s="132"/>
      <c r="T708" s="132"/>
      <c r="U708" s="132"/>
      <c r="V708" s="132"/>
      <c r="W708" s="132"/>
      <c r="X708" s="132"/>
      <c r="Y708" s="132"/>
      <c r="Z708" s="132"/>
      <c r="AA708" s="132"/>
      <c r="AB708" s="132"/>
      <c r="AC708" s="132"/>
    </row>
    <row r="709">
      <c r="A709" s="132"/>
      <c r="B709" s="132"/>
      <c r="C709" s="132"/>
      <c r="D709" s="132"/>
      <c r="E709" s="132"/>
      <c r="F709" s="132"/>
      <c r="G709" s="132"/>
      <c r="H709" s="372"/>
      <c r="I709" s="372"/>
      <c r="J709" s="372"/>
      <c r="K709" s="2"/>
      <c r="L709" s="132"/>
      <c r="M709" s="132"/>
      <c r="N709" s="132"/>
      <c r="O709" s="132"/>
      <c r="P709" s="132"/>
      <c r="Q709" s="132"/>
      <c r="R709" s="132"/>
      <c r="S709" s="132"/>
      <c r="T709" s="132"/>
      <c r="U709" s="132"/>
      <c r="V709" s="132"/>
      <c r="W709" s="132"/>
      <c r="X709" s="132"/>
      <c r="Y709" s="132"/>
      <c r="Z709" s="132"/>
      <c r="AA709" s="132"/>
      <c r="AB709" s="132"/>
      <c r="AC709" s="132"/>
    </row>
    <row r="710">
      <c r="A710" s="132"/>
      <c r="B710" s="132"/>
      <c r="C710" s="132"/>
      <c r="D710" s="132"/>
      <c r="E710" s="132"/>
      <c r="F710" s="132"/>
      <c r="G710" s="132"/>
      <c r="H710" s="372"/>
      <c r="I710" s="372"/>
      <c r="J710" s="372"/>
      <c r="K710" s="2"/>
      <c r="L710" s="132"/>
      <c r="M710" s="132"/>
      <c r="N710" s="132"/>
      <c r="O710" s="132"/>
      <c r="P710" s="132"/>
      <c r="Q710" s="132"/>
      <c r="R710" s="132"/>
      <c r="S710" s="132"/>
      <c r="T710" s="132"/>
      <c r="U710" s="132"/>
      <c r="V710" s="132"/>
      <c r="W710" s="132"/>
      <c r="X710" s="132"/>
      <c r="Y710" s="132"/>
      <c r="Z710" s="132"/>
      <c r="AA710" s="132"/>
      <c r="AB710" s="132"/>
      <c r="AC710" s="132"/>
    </row>
    <row r="711">
      <c r="A711" s="132"/>
      <c r="B711" s="132"/>
      <c r="C711" s="132"/>
      <c r="D711" s="132"/>
      <c r="E711" s="132"/>
      <c r="F711" s="132"/>
      <c r="G711" s="132"/>
      <c r="H711" s="372"/>
      <c r="I711" s="372"/>
      <c r="J711" s="372"/>
      <c r="K711" s="2"/>
      <c r="L711" s="132"/>
      <c r="M711" s="132"/>
      <c r="N711" s="132"/>
      <c r="O711" s="132"/>
      <c r="P711" s="132"/>
      <c r="Q711" s="132"/>
      <c r="R711" s="132"/>
      <c r="S711" s="132"/>
      <c r="T711" s="132"/>
      <c r="U711" s="132"/>
      <c r="V711" s="132"/>
      <c r="W711" s="132"/>
      <c r="X711" s="132"/>
      <c r="Y711" s="132"/>
      <c r="Z711" s="132"/>
      <c r="AA711" s="132"/>
      <c r="AB711" s="132"/>
      <c r="AC711" s="132"/>
    </row>
    <row r="712">
      <c r="A712" s="132"/>
      <c r="B712" s="132"/>
      <c r="C712" s="132"/>
      <c r="D712" s="132"/>
      <c r="E712" s="132"/>
      <c r="F712" s="132"/>
      <c r="G712" s="132"/>
      <c r="H712" s="372"/>
      <c r="I712" s="372"/>
      <c r="J712" s="372"/>
      <c r="K712" s="2"/>
      <c r="L712" s="132"/>
      <c r="M712" s="132"/>
      <c r="N712" s="132"/>
      <c r="O712" s="132"/>
      <c r="P712" s="132"/>
      <c r="Q712" s="132"/>
      <c r="R712" s="132"/>
      <c r="S712" s="132"/>
      <c r="T712" s="132"/>
      <c r="U712" s="132"/>
      <c r="V712" s="132"/>
      <c r="W712" s="132"/>
      <c r="X712" s="132"/>
      <c r="Y712" s="132"/>
      <c r="Z712" s="132"/>
      <c r="AA712" s="132"/>
      <c r="AB712" s="132"/>
      <c r="AC712" s="132"/>
    </row>
    <row r="713">
      <c r="A713" s="132"/>
      <c r="B713" s="132"/>
      <c r="C713" s="132"/>
      <c r="D713" s="132"/>
      <c r="E713" s="132"/>
      <c r="F713" s="132"/>
      <c r="G713" s="132"/>
      <c r="H713" s="372"/>
      <c r="I713" s="372"/>
      <c r="J713" s="372"/>
      <c r="K713" s="2"/>
      <c r="L713" s="132"/>
      <c r="M713" s="132"/>
      <c r="N713" s="132"/>
      <c r="O713" s="132"/>
      <c r="P713" s="132"/>
      <c r="Q713" s="132"/>
      <c r="R713" s="132"/>
      <c r="S713" s="132"/>
      <c r="T713" s="132"/>
      <c r="U713" s="132"/>
      <c r="V713" s="132"/>
      <c r="W713" s="132"/>
      <c r="X713" s="132"/>
      <c r="Y713" s="132"/>
      <c r="Z713" s="132"/>
      <c r="AA713" s="132"/>
      <c r="AB713" s="132"/>
      <c r="AC713" s="132"/>
    </row>
    <row r="714">
      <c r="A714" s="132"/>
      <c r="B714" s="132"/>
      <c r="C714" s="132"/>
      <c r="D714" s="132"/>
      <c r="E714" s="132"/>
      <c r="F714" s="132"/>
      <c r="G714" s="132"/>
      <c r="H714" s="372"/>
      <c r="I714" s="372"/>
      <c r="J714" s="372"/>
      <c r="K714" s="2"/>
      <c r="L714" s="132"/>
      <c r="M714" s="132"/>
      <c r="N714" s="132"/>
      <c r="O714" s="132"/>
      <c r="P714" s="132"/>
      <c r="Q714" s="132"/>
      <c r="R714" s="132"/>
      <c r="S714" s="132"/>
      <c r="T714" s="132"/>
      <c r="U714" s="132"/>
      <c r="V714" s="132"/>
      <c r="W714" s="132"/>
      <c r="X714" s="132"/>
      <c r="Y714" s="132"/>
      <c r="Z714" s="132"/>
      <c r="AA714" s="132"/>
      <c r="AB714" s="132"/>
      <c r="AC714" s="132"/>
    </row>
    <row r="715">
      <c r="A715" s="132"/>
      <c r="B715" s="132"/>
      <c r="C715" s="132"/>
      <c r="D715" s="132"/>
      <c r="E715" s="132"/>
      <c r="F715" s="132"/>
      <c r="G715" s="132"/>
      <c r="H715" s="372"/>
      <c r="I715" s="372"/>
      <c r="J715" s="372"/>
      <c r="K715" s="2"/>
      <c r="L715" s="132"/>
      <c r="M715" s="132"/>
      <c r="N715" s="132"/>
      <c r="O715" s="132"/>
      <c r="P715" s="132"/>
      <c r="Q715" s="132"/>
      <c r="R715" s="132"/>
      <c r="S715" s="132"/>
      <c r="T715" s="132"/>
      <c r="U715" s="132"/>
      <c r="V715" s="132"/>
      <c r="W715" s="132"/>
      <c r="X715" s="132"/>
      <c r="Y715" s="132"/>
      <c r="Z715" s="132"/>
      <c r="AA715" s="132"/>
      <c r="AB715" s="132"/>
      <c r="AC715" s="132"/>
    </row>
    <row r="716">
      <c r="A716" s="132"/>
      <c r="B716" s="132"/>
      <c r="C716" s="132"/>
      <c r="D716" s="132"/>
      <c r="E716" s="132"/>
      <c r="F716" s="132"/>
      <c r="G716" s="132"/>
      <c r="H716" s="372"/>
      <c r="I716" s="372"/>
      <c r="J716" s="372"/>
      <c r="K716" s="2"/>
      <c r="L716" s="132"/>
      <c r="M716" s="132"/>
      <c r="N716" s="132"/>
      <c r="O716" s="132"/>
      <c r="P716" s="132"/>
      <c r="Q716" s="132"/>
      <c r="R716" s="132"/>
      <c r="S716" s="132"/>
      <c r="T716" s="132"/>
      <c r="U716" s="132"/>
      <c r="V716" s="132"/>
      <c r="W716" s="132"/>
      <c r="X716" s="132"/>
      <c r="Y716" s="132"/>
      <c r="Z716" s="132"/>
      <c r="AA716" s="132"/>
      <c r="AB716" s="132"/>
      <c r="AC716" s="132"/>
    </row>
    <row r="717">
      <c r="A717" s="132"/>
      <c r="B717" s="132"/>
      <c r="C717" s="132"/>
      <c r="D717" s="132"/>
      <c r="E717" s="132"/>
      <c r="F717" s="132"/>
      <c r="G717" s="132"/>
      <c r="H717" s="372"/>
      <c r="I717" s="372"/>
      <c r="J717" s="372"/>
      <c r="K717" s="2"/>
      <c r="L717" s="132"/>
      <c r="M717" s="132"/>
      <c r="N717" s="132"/>
      <c r="O717" s="132"/>
      <c r="P717" s="132"/>
      <c r="Q717" s="132"/>
      <c r="R717" s="132"/>
      <c r="S717" s="132"/>
      <c r="T717" s="132"/>
      <c r="U717" s="132"/>
      <c r="V717" s="132"/>
      <c r="W717" s="132"/>
      <c r="X717" s="132"/>
      <c r="Y717" s="132"/>
      <c r="Z717" s="132"/>
      <c r="AA717" s="132"/>
      <c r="AB717" s="132"/>
      <c r="AC717" s="132"/>
    </row>
    <row r="718">
      <c r="A718" s="132"/>
      <c r="B718" s="132"/>
      <c r="C718" s="132"/>
      <c r="D718" s="132"/>
      <c r="E718" s="132"/>
      <c r="F718" s="132"/>
      <c r="G718" s="132"/>
      <c r="H718" s="372"/>
      <c r="I718" s="372"/>
      <c r="J718" s="372"/>
      <c r="K718" s="2"/>
      <c r="L718" s="132"/>
      <c r="M718" s="132"/>
      <c r="N718" s="132"/>
      <c r="O718" s="132"/>
      <c r="P718" s="132"/>
      <c r="Q718" s="132"/>
      <c r="R718" s="132"/>
      <c r="S718" s="132"/>
      <c r="T718" s="132"/>
      <c r="U718" s="132"/>
      <c r="V718" s="132"/>
      <c r="W718" s="132"/>
      <c r="X718" s="132"/>
      <c r="Y718" s="132"/>
      <c r="Z718" s="132"/>
      <c r="AA718" s="132"/>
      <c r="AB718" s="132"/>
      <c r="AC718" s="132"/>
    </row>
    <row r="719">
      <c r="A719" s="132"/>
      <c r="B719" s="132"/>
      <c r="C719" s="132"/>
      <c r="D719" s="132"/>
      <c r="E719" s="132"/>
      <c r="F719" s="132"/>
      <c r="G719" s="132"/>
      <c r="H719" s="372"/>
      <c r="I719" s="372"/>
      <c r="J719" s="372"/>
      <c r="K719" s="2"/>
      <c r="L719" s="132"/>
      <c r="M719" s="132"/>
      <c r="N719" s="132"/>
      <c r="O719" s="132"/>
      <c r="P719" s="132"/>
      <c r="Q719" s="132"/>
      <c r="R719" s="132"/>
      <c r="S719" s="132"/>
      <c r="T719" s="132"/>
      <c r="U719" s="132"/>
      <c r="V719" s="132"/>
      <c r="W719" s="132"/>
      <c r="X719" s="132"/>
      <c r="Y719" s="132"/>
      <c r="Z719" s="132"/>
      <c r="AA719" s="132"/>
      <c r="AB719" s="132"/>
      <c r="AC719" s="132"/>
    </row>
    <row r="720">
      <c r="A720" s="132"/>
      <c r="B720" s="132"/>
      <c r="C720" s="132"/>
      <c r="D720" s="132"/>
      <c r="E720" s="132"/>
      <c r="F720" s="132"/>
      <c r="G720" s="132"/>
      <c r="H720" s="372"/>
      <c r="I720" s="372"/>
      <c r="J720" s="372"/>
      <c r="K720" s="2"/>
      <c r="L720" s="132"/>
      <c r="M720" s="132"/>
      <c r="N720" s="132"/>
      <c r="O720" s="132"/>
      <c r="P720" s="132"/>
      <c r="Q720" s="132"/>
      <c r="R720" s="132"/>
      <c r="S720" s="132"/>
      <c r="T720" s="132"/>
      <c r="U720" s="132"/>
      <c r="V720" s="132"/>
      <c r="W720" s="132"/>
      <c r="X720" s="132"/>
      <c r="Y720" s="132"/>
      <c r="Z720" s="132"/>
      <c r="AA720" s="132"/>
      <c r="AB720" s="132"/>
      <c r="AC720" s="132"/>
    </row>
    <row r="721">
      <c r="A721" s="132"/>
      <c r="B721" s="132"/>
      <c r="C721" s="132"/>
      <c r="D721" s="132"/>
      <c r="E721" s="132"/>
      <c r="F721" s="132"/>
      <c r="G721" s="132"/>
      <c r="H721" s="372"/>
      <c r="I721" s="372"/>
      <c r="J721" s="372"/>
      <c r="K721" s="2"/>
      <c r="L721" s="132"/>
      <c r="M721" s="132"/>
      <c r="N721" s="132"/>
      <c r="O721" s="132"/>
      <c r="P721" s="132"/>
      <c r="Q721" s="132"/>
      <c r="R721" s="132"/>
      <c r="S721" s="132"/>
      <c r="T721" s="132"/>
      <c r="U721" s="132"/>
      <c r="V721" s="132"/>
      <c r="W721" s="132"/>
      <c r="X721" s="132"/>
      <c r="Y721" s="132"/>
      <c r="Z721" s="132"/>
      <c r="AA721" s="132"/>
      <c r="AB721" s="132"/>
      <c r="AC721" s="132"/>
    </row>
    <row r="722">
      <c r="A722" s="132"/>
      <c r="B722" s="132"/>
      <c r="C722" s="132"/>
      <c r="D722" s="132"/>
      <c r="E722" s="132"/>
      <c r="F722" s="132"/>
      <c r="G722" s="132"/>
      <c r="H722" s="372"/>
      <c r="I722" s="372"/>
      <c r="J722" s="372"/>
      <c r="K722" s="2"/>
      <c r="L722" s="132"/>
      <c r="M722" s="132"/>
      <c r="N722" s="132"/>
      <c r="O722" s="132"/>
      <c r="P722" s="132"/>
      <c r="Q722" s="132"/>
      <c r="R722" s="132"/>
      <c r="S722" s="132"/>
      <c r="T722" s="132"/>
      <c r="U722" s="132"/>
      <c r="V722" s="132"/>
      <c r="W722" s="132"/>
      <c r="X722" s="132"/>
      <c r="Y722" s="132"/>
      <c r="Z722" s="132"/>
      <c r="AA722" s="132"/>
      <c r="AB722" s="132"/>
      <c r="AC722" s="132"/>
    </row>
    <row r="723">
      <c r="A723" s="132"/>
      <c r="B723" s="132"/>
      <c r="C723" s="132"/>
      <c r="D723" s="132"/>
      <c r="E723" s="132"/>
      <c r="F723" s="132"/>
      <c r="G723" s="132"/>
      <c r="H723" s="372"/>
      <c r="I723" s="372"/>
      <c r="J723" s="372"/>
      <c r="K723" s="2"/>
      <c r="L723" s="132"/>
      <c r="M723" s="132"/>
      <c r="N723" s="132"/>
      <c r="O723" s="132"/>
      <c r="P723" s="132"/>
      <c r="Q723" s="132"/>
      <c r="R723" s="132"/>
      <c r="S723" s="132"/>
      <c r="T723" s="132"/>
      <c r="U723" s="132"/>
      <c r="V723" s="132"/>
      <c r="W723" s="132"/>
      <c r="X723" s="132"/>
      <c r="Y723" s="132"/>
      <c r="Z723" s="132"/>
      <c r="AA723" s="132"/>
      <c r="AB723" s="132"/>
      <c r="AC723" s="132"/>
    </row>
    <row r="724">
      <c r="A724" s="132"/>
      <c r="B724" s="132"/>
      <c r="C724" s="132"/>
      <c r="D724" s="132"/>
      <c r="E724" s="132"/>
      <c r="F724" s="132"/>
      <c r="G724" s="132"/>
      <c r="H724" s="372"/>
      <c r="I724" s="372"/>
      <c r="J724" s="372"/>
      <c r="K724" s="2"/>
      <c r="L724" s="132"/>
      <c r="M724" s="132"/>
      <c r="N724" s="132"/>
      <c r="O724" s="132"/>
      <c r="P724" s="132"/>
      <c r="Q724" s="132"/>
      <c r="R724" s="132"/>
      <c r="S724" s="132"/>
      <c r="T724" s="132"/>
      <c r="U724" s="132"/>
      <c r="V724" s="132"/>
      <c r="W724" s="132"/>
      <c r="X724" s="132"/>
      <c r="Y724" s="132"/>
      <c r="Z724" s="132"/>
      <c r="AA724" s="132"/>
      <c r="AB724" s="132"/>
      <c r="AC724" s="132"/>
    </row>
    <row r="725">
      <c r="A725" s="132"/>
      <c r="B725" s="132"/>
      <c r="C725" s="132"/>
      <c r="D725" s="132"/>
      <c r="E725" s="132"/>
      <c r="F725" s="132"/>
      <c r="G725" s="132"/>
      <c r="H725" s="372"/>
      <c r="I725" s="372"/>
      <c r="J725" s="372"/>
      <c r="K725" s="2"/>
      <c r="L725" s="132"/>
      <c r="M725" s="132"/>
      <c r="N725" s="132"/>
      <c r="O725" s="132"/>
      <c r="P725" s="132"/>
      <c r="Q725" s="132"/>
      <c r="R725" s="132"/>
      <c r="S725" s="132"/>
      <c r="T725" s="132"/>
      <c r="U725" s="132"/>
      <c r="V725" s="132"/>
      <c r="W725" s="132"/>
      <c r="X725" s="132"/>
      <c r="Y725" s="132"/>
      <c r="Z725" s="132"/>
      <c r="AA725" s="132"/>
      <c r="AB725" s="132"/>
      <c r="AC725" s="132"/>
    </row>
    <row r="726">
      <c r="A726" s="132"/>
      <c r="B726" s="132"/>
      <c r="C726" s="132"/>
      <c r="D726" s="132"/>
      <c r="E726" s="132"/>
      <c r="F726" s="132"/>
      <c r="G726" s="132"/>
      <c r="H726" s="372"/>
      <c r="I726" s="372"/>
      <c r="J726" s="372"/>
      <c r="K726" s="2"/>
      <c r="L726" s="132"/>
      <c r="M726" s="132"/>
      <c r="N726" s="132"/>
      <c r="O726" s="132"/>
      <c r="P726" s="132"/>
      <c r="Q726" s="132"/>
      <c r="R726" s="132"/>
      <c r="S726" s="132"/>
      <c r="T726" s="132"/>
      <c r="U726" s="132"/>
      <c r="V726" s="132"/>
      <c r="W726" s="132"/>
      <c r="X726" s="132"/>
      <c r="Y726" s="132"/>
      <c r="Z726" s="132"/>
      <c r="AA726" s="132"/>
      <c r="AB726" s="132"/>
      <c r="AC726" s="132"/>
    </row>
    <row r="727">
      <c r="A727" s="132"/>
      <c r="B727" s="132"/>
      <c r="C727" s="132"/>
      <c r="D727" s="132"/>
      <c r="E727" s="132"/>
      <c r="F727" s="132"/>
      <c r="G727" s="132"/>
      <c r="H727" s="372"/>
      <c r="I727" s="372"/>
      <c r="J727" s="372"/>
      <c r="K727" s="2"/>
      <c r="L727" s="132"/>
      <c r="M727" s="132"/>
      <c r="N727" s="132"/>
      <c r="O727" s="132"/>
      <c r="P727" s="132"/>
      <c r="Q727" s="132"/>
      <c r="R727" s="132"/>
      <c r="S727" s="132"/>
      <c r="T727" s="132"/>
      <c r="U727" s="132"/>
      <c r="V727" s="132"/>
      <c r="W727" s="132"/>
      <c r="X727" s="132"/>
      <c r="Y727" s="132"/>
      <c r="Z727" s="132"/>
      <c r="AA727" s="132"/>
      <c r="AB727" s="132"/>
      <c r="AC727" s="132"/>
    </row>
    <row r="728">
      <c r="A728" s="132"/>
      <c r="B728" s="132"/>
      <c r="C728" s="132"/>
      <c r="D728" s="132"/>
      <c r="E728" s="132"/>
      <c r="F728" s="132"/>
      <c r="G728" s="132"/>
      <c r="H728" s="372"/>
      <c r="I728" s="372"/>
      <c r="J728" s="372"/>
      <c r="K728" s="2"/>
      <c r="L728" s="132"/>
      <c r="M728" s="132"/>
      <c r="N728" s="132"/>
      <c r="O728" s="132"/>
      <c r="P728" s="132"/>
      <c r="Q728" s="132"/>
      <c r="R728" s="132"/>
      <c r="S728" s="132"/>
      <c r="T728" s="132"/>
      <c r="U728" s="132"/>
      <c r="V728" s="132"/>
      <c r="W728" s="132"/>
      <c r="X728" s="132"/>
      <c r="Y728" s="132"/>
      <c r="Z728" s="132"/>
      <c r="AA728" s="132"/>
      <c r="AB728" s="132"/>
      <c r="AC728" s="132"/>
    </row>
    <row r="729">
      <c r="A729" s="132"/>
      <c r="B729" s="132"/>
      <c r="C729" s="132"/>
      <c r="D729" s="132"/>
      <c r="E729" s="132"/>
      <c r="F729" s="132"/>
      <c r="G729" s="132"/>
      <c r="H729" s="372"/>
      <c r="I729" s="372"/>
      <c r="J729" s="372"/>
      <c r="K729" s="2"/>
      <c r="L729" s="132"/>
      <c r="M729" s="132"/>
      <c r="N729" s="132"/>
      <c r="O729" s="132"/>
      <c r="P729" s="132"/>
      <c r="Q729" s="132"/>
      <c r="R729" s="132"/>
      <c r="S729" s="132"/>
      <c r="T729" s="132"/>
      <c r="U729" s="132"/>
      <c r="V729" s="132"/>
      <c r="W729" s="132"/>
      <c r="X729" s="132"/>
      <c r="Y729" s="132"/>
      <c r="Z729" s="132"/>
      <c r="AA729" s="132"/>
      <c r="AB729" s="132"/>
      <c r="AC729" s="132"/>
    </row>
    <row r="730">
      <c r="A730" s="132"/>
      <c r="B730" s="132"/>
      <c r="C730" s="132"/>
      <c r="D730" s="132"/>
      <c r="E730" s="132"/>
      <c r="F730" s="132"/>
      <c r="G730" s="132"/>
      <c r="H730" s="372"/>
      <c r="I730" s="372"/>
      <c r="J730" s="372"/>
      <c r="K730" s="2"/>
      <c r="L730" s="132"/>
      <c r="M730" s="132"/>
      <c r="N730" s="132"/>
      <c r="O730" s="132"/>
      <c r="P730" s="132"/>
      <c r="Q730" s="132"/>
      <c r="R730" s="132"/>
      <c r="S730" s="132"/>
      <c r="T730" s="132"/>
      <c r="U730" s="132"/>
      <c r="V730" s="132"/>
      <c r="W730" s="132"/>
      <c r="X730" s="132"/>
      <c r="Y730" s="132"/>
      <c r="Z730" s="132"/>
      <c r="AA730" s="132"/>
      <c r="AB730" s="132"/>
      <c r="AC730" s="132"/>
    </row>
    <row r="731">
      <c r="A731" s="132"/>
      <c r="B731" s="132"/>
      <c r="C731" s="132"/>
      <c r="D731" s="132"/>
      <c r="E731" s="132"/>
      <c r="F731" s="132"/>
      <c r="G731" s="132"/>
      <c r="H731" s="372"/>
      <c r="I731" s="372"/>
      <c r="J731" s="372"/>
      <c r="K731" s="2"/>
      <c r="L731" s="132"/>
      <c r="M731" s="132"/>
      <c r="N731" s="132"/>
      <c r="O731" s="132"/>
      <c r="P731" s="132"/>
      <c r="Q731" s="132"/>
      <c r="R731" s="132"/>
      <c r="S731" s="132"/>
      <c r="T731" s="132"/>
      <c r="U731" s="132"/>
      <c r="V731" s="132"/>
      <c r="W731" s="132"/>
      <c r="X731" s="132"/>
      <c r="Y731" s="132"/>
      <c r="Z731" s="132"/>
      <c r="AA731" s="132"/>
      <c r="AB731" s="132"/>
      <c r="AC731" s="132"/>
    </row>
    <row r="732">
      <c r="A732" s="132"/>
      <c r="B732" s="132"/>
      <c r="C732" s="132"/>
      <c r="D732" s="132"/>
      <c r="E732" s="132"/>
      <c r="F732" s="132"/>
      <c r="G732" s="132"/>
      <c r="H732" s="372"/>
      <c r="I732" s="372"/>
      <c r="J732" s="372"/>
      <c r="K732" s="2"/>
      <c r="L732" s="132"/>
      <c r="M732" s="132"/>
      <c r="N732" s="132"/>
      <c r="O732" s="132"/>
      <c r="P732" s="132"/>
      <c r="Q732" s="132"/>
      <c r="R732" s="132"/>
      <c r="S732" s="132"/>
      <c r="T732" s="132"/>
      <c r="U732" s="132"/>
      <c r="V732" s="132"/>
      <c r="W732" s="132"/>
      <c r="X732" s="132"/>
      <c r="Y732" s="132"/>
      <c r="Z732" s="132"/>
      <c r="AA732" s="132"/>
      <c r="AB732" s="132"/>
      <c r="AC732" s="132"/>
    </row>
    <row r="733">
      <c r="A733" s="132"/>
      <c r="B733" s="132"/>
      <c r="C733" s="132"/>
      <c r="D733" s="132"/>
      <c r="E733" s="132"/>
      <c r="F733" s="132"/>
      <c r="G733" s="132"/>
      <c r="H733" s="372"/>
      <c r="I733" s="372"/>
      <c r="J733" s="372"/>
      <c r="K733" s="2"/>
      <c r="L733" s="132"/>
      <c r="M733" s="132"/>
      <c r="N733" s="132"/>
      <c r="O733" s="132"/>
      <c r="P733" s="132"/>
      <c r="Q733" s="132"/>
      <c r="R733" s="132"/>
      <c r="S733" s="132"/>
      <c r="T733" s="132"/>
      <c r="U733" s="132"/>
      <c r="V733" s="132"/>
      <c r="W733" s="132"/>
      <c r="X733" s="132"/>
      <c r="Y733" s="132"/>
      <c r="Z733" s="132"/>
      <c r="AA733" s="132"/>
      <c r="AB733" s="132"/>
      <c r="AC733" s="132"/>
    </row>
    <row r="734">
      <c r="A734" s="132"/>
      <c r="B734" s="132"/>
      <c r="C734" s="132"/>
      <c r="D734" s="132"/>
      <c r="E734" s="132"/>
      <c r="F734" s="132"/>
      <c r="G734" s="132"/>
      <c r="H734" s="372"/>
      <c r="I734" s="372"/>
      <c r="J734" s="372"/>
      <c r="K734" s="2"/>
      <c r="L734" s="132"/>
      <c r="M734" s="132"/>
      <c r="N734" s="132"/>
      <c r="O734" s="132"/>
      <c r="P734" s="132"/>
      <c r="Q734" s="132"/>
      <c r="R734" s="132"/>
      <c r="S734" s="132"/>
      <c r="T734" s="132"/>
      <c r="U734" s="132"/>
      <c r="V734" s="132"/>
      <c r="W734" s="132"/>
      <c r="X734" s="132"/>
      <c r="Y734" s="132"/>
      <c r="Z734" s="132"/>
      <c r="AA734" s="132"/>
      <c r="AB734" s="132"/>
      <c r="AC734" s="132"/>
    </row>
    <row r="735">
      <c r="A735" s="132"/>
      <c r="B735" s="132"/>
      <c r="C735" s="132"/>
      <c r="D735" s="132"/>
      <c r="E735" s="132"/>
      <c r="F735" s="132"/>
      <c r="G735" s="132"/>
      <c r="H735" s="372"/>
      <c r="I735" s="372"/>
      <c r="J735" s="372"/>
      <c r="K735" s="2"/>
      <c r="L735" s="132"/>
      <c r="M735" s="132"/>
      <c r="N735" s="132"/>
      <c r="O735" s="132"/>
      <c r="P735" s="132"/>
      <c r="Q735" s="132"/>
      <c r="R735" s="132"/>
      <c r="S735" s="132"/>
      <c r="T735" s="132"/>
      <c r="U735" s="132"/>
      <c r="V735" s="132"/>
      <c r="W735" s="132"/>
      <c r="X735" s="132"/>
      <c r="Y735" s="132"/>
      <c r="Z735" s="132"/>
      <c r="AA735" s="132"/>
      <c r="AB735" s="132"/>
      <c r="AC735" s="132"/>
    </row>
    <row r="736">
      <c r="A736" s="132"/>
      <c r="B736" s="132"/>
      <c r="C736" s="132"/>
      <c r="D736" s="132"/>
      <c r="E736" s="132"/>
      <c r="F736" s="132"/>
      <c r="G736" s="132"/>
      <c r="H736" s="372"/>
      <c r="I736" s="372"/>
      <c r="J736" s="372"/>
      <c r="K736" s="2"/>
      <c r="L736" s="132"/>
      <c r="M736" s="132"/>
      <c r="N736" s="132"/>
      <c r="O736" s="132"/>
      <c r="P736" s="132"/>
      <c r="Q736" s="132"/>
      <c r="R736" s="132"/>
      <c r="S736" s="132"/>
      <c r="T736" s="132"/>
      <c r="U736" s="132"/>
      <c r="V736" s="132"/>
      <c r="W736" s="132"/>
      <c r="X736" s="132"/>
      <c r="Y736" s="132"/>
      <c r="Z736" s="132"/>
      <c r="AA736" s="132"/>
      <c r="AB736" s="132"/>
      <c r="AC736" s="132"/>
    </row>
    <row r="737">
      <c r="A737" s="132"/>
      <c r="B737" s="132"/>
      <c r="C737" s="132"/>
      <c r="D737" s="132"/>
      <c r="E737" s="132"/>
      <c r="F737" s="132"/>
      <c r="G737" s="132"/>
      <c r="H737" s="372"/>
      <c r="I737" s="372"/>
      <c r="J737" s="372"/>
      <c r="K737" s="2"/>
      <c r="L737" s="132"/>
      <c r="M737" s="132"/>
      <c r="N737" s="132"/>
      <c r="O737" s="132"/>
      <c r="P737" s="132"/>
      <c r="Q737" s="132"/>
      <c r="R737" s="132"/>
      <c r="S737" s="132"/>
      <c r="T737" s="132"/>
      <c r="U737" s="132"/>
      <c r="V737" s="132"/>
      <c r="W737" s="132"/>
      <c r="X737" s="132"/>
      <c r="Y737" s="132"/>
      <c r="Z737" s="132"/>
      <c r="AA737" s="132"/>
      <c r="AB737" s="132"/>
      <c r="AC737" s="132"/>
    </row>
    <row r="738">
      <c r="A738" s="132"/>
      <c r="B738" s="132"/>
      <c r="C738" s="132"/>
      <c r="D738" s="132"/>
      <c r="E738" s="132"/>
      <c r="F738" s="132"/>
      <c r="G738" s="132"/>
      <c r="H738" s="372"/>
      <c r="I738" s="372"/>
      <c r="J738" s="372"/>
      <c r="K738" s="2"/>
      <c r="L738" s="132"/>
      <c r="M738" s="132"/>
      <c r="N738" s="132"/>
      <c r="O738" s="132"/>
      <c r="P738" s="132"/>
      <c r="Q738" s="132"/>
      <c r="R738" s="132"/>
      <c r="S738" s="132"/>
      <c r="T738" s="132"/>
      <c r="U738" s="132"/>
      <c r="V738" s="132"/>
      <c r="W738" s="132"/>
      <c r="X738" s="132"/>
      <c r="Y738" s="132"/>
      <c r="Z738" s="132"/>
      <c r="AA738" s="132"/>
      <c r="AB738" s="132"/>
      <c r="AC738" s="132"/>
    </row>
    <row r="739">
      <c r="A739" s="132"/>
      <c r="B739" s="132"/>
      <c r="C739" s="132"/>
      <c r="D739" s="132"/>
      <c r="E739" s="132"/>
      <c r="F739" s="132"/>
      <c r="G739" s="132"/>
      <c r="H739" s="372"/>
      <c r="I739" s="372"/>
      <c r="J739" s="372"/>
      <c r="K739" s="2"/>
      <c r="L739" s="132"/>
      <c r="M739" s="132"/>
      <c r="N739" s="132"/>
      <c r="O739" s="132"/>
      <c r="P739" s="132"/>
      <c r="Q739" s="132"/>
      <c r="R739" s="132"/>
      <c r="S739" s="132"/>
      <c r="T739" s="132"/>
      <c r="U739" s="132"/>
      <c r="V739" s="132"/>
      <c r="W739" s="132"/>
      <c r="X739" s="132"/>
      <c r="Y739" s="132"/>
      <c r="Z739" s="132"/>
      <c r="AA739" s="132"/>
      <c r="AB739" s="132"/>
      <c r="AC739" s="132"/>
    </row>
    <row r="740">
      <c r="A740" s="132"/>
      <c r="B740" s="132"/>
      <c r="C740" s="132"/>
      <c r="D740" s="132"/>
      <c r="E740" s="132"/>
      <c r="F740" s="132"/>
      <c r="G740" s="132"/>
      <c r="H740" s="372"/>
      <c r="I740" s="372"/>
      <c r="J740" s="372"/>
      <c r="K740" s="2"/>
      <c r="L740" s="132"/>
      <c r="M740" s="132"/>
      <c r="N740" s="132"/>
      <c r="O740" s="132"/>
      <c r="P740" s="132"/>
      <c r="Q740" s="132"/>
      <c r="R740" s="132"/>
      <c r="S740" s="132"/>
      <c r="T740" s="132"/>
      <c r="U740" s="132"/>
      <c r="V740" s="132"/>
      <c r="W740" s="132"/>
      <c r="X740" s="132"/>
      <c r="Y740" s="132"/>
      <c r="Z740" s="132"/>
      <c r="AA740" s="132"/>
      <c r="AB740" s="132"/>
      <c r="AC740" s="132"/>
    </row>
    <row r="741">
      <c r="A741" s="132"/>
      <c r="B741" s="132"/>
      <c r="C741" s="132"/>
      <c r="D741" s="132"/>
      <c r="E741" s="132"/>
      <c r="F741" s="132"/>
      <c r="G741" s="132"/>
      <c r="H741" s="372"/>
      <c r="I741" s="372"/>
      <c r="J741" s="372"/>
      <c r="K741" s="2"/>
      <c r="L741" s="132"/>
      <c r="M741" s="132"/>
      <c r="N741" s="132"/>
      <c r="O741" s="132"/>
      <c r="P741" s="132"/>
      <c r="Q741" s="132"/>
      <c r="R741" s="132"/>
      <c r="S741" s="132"/>
      <c r="T741" s="132"/>
      <c r="U741" s="132"/>
      <c r="V741" s="132"/>
      <c r="W741" s="132"/>
      <c r="X741" s="132"/>
      <c r="Y741" s="132"/>
      <c r="Z741" s="132"/>
      <c r="AA741" s="132"/>
      <c r="AB741" s="132"/>
      <c r="AC741" s="132"/>
    </row>
    <row r="742">
      <c r="A742" s="132"/>
      <c r="B742" s="132"/>
      <c r="C742" s="132"/>
      <c r="D742" s="132"/>
      <c r="E742" s="132"/>
      <c r="F742" s="132"/>
      <c r="G742" s="132"/>
      <c r="H742" s="372"/>
      <c r="I742" s="372"/>
      <c r="J742" s="372"/>
      <c r="K742" s="2"/>
      <c r="L742" s="132"/>
      <c r="M742" s="132"/>
      <c r="N742" s="132"/>
      <c r="O742" s="132"/>
      <c r="P742" s="132"/>
      <c r="Q742" s="132"/>
      <c r="R742" s="132"/>
      <c r="S742" s="132"/>
      <c r="T742" s="132"/>
      <c r="U742" s="132"/>
      <c r="V742" s="132"/>
      <c r="W742" s="132"/>
      <c r="X742" s="132"/>
      <c r="Y742" s="132"/>
      <c r="Z742" s="132"/>
      <c r="AA742" s="132"/>
      <c r="AB742" s="132"/>
      <c r="AC742" s="132"/>
    </row>
    <row r="743">
      <c r="A743" s="132"/>
      <c r="B743" s="132"/>
      <c r="C743" s="132"/>
      <c r="D743" s="132"/>
      <c r="E743" s="132"/>
      <c r="F743" s="132"/>
      <c r="G743" s="132"/>
      <c r="H743" s="372"/>
      <c r="I743" s="372"/>
      <c r="J743" s="372"/>
      <c r="K743" s="2"/>
      <c r="L743" s="132"/>
      <c r="M743" s="132"/>
      <c r="N743" s="132"/>
      <c r="O743" s="132"/>
      <c r="P743" s="132"/>
      <c r="Q743" s="132"/>
      <c r="R743" s="132"/>
      <c r="S743" s="132"/>
      <c r="T743" s="132"/>
      <c r="U743" s="132"/>
      <c r="V743" s="132"/>
      <c r="W743" s="132"/>
      <c r="X743" s="132"/>
      <c r="Y743" s="132"/>
      <c r="Z743" s="132"/>
      <c r="AA743" s="132"/>
      <c r="AB743" s="132"/>
      <c r="AC743" s="132"/>
    </row>
    <row r="744">
      <c r="A744" s="132"/>
      <c r="B744" s="132"/>
      <c r="C744" s="132"/>
      <c r="D744" s="132"/>
      <c r="E744" s="132"/>
      <c r="F744" s="132"/>
      <c r="G744" s="132"/>
      <c r="H744" s="372"/>
      <c r="I744" s="372"/>
      <c r="J744" s="372"/>
      <c r="K744" s="2"/>
      <c r="L744" s="132"/>
      <c r="M744" s="132"/>
      <c r="N744" s="132"/>
      <c r="O744" s="132"/>
      <c r="P744" s="132"/>
      <c r="Q744" s="132"/>
      <c r="R744" s="132"/>
      <c r="S744" s="132"/>
      <c r="T744" s="132"/>
      <c r="U744" s="132"/>
      <c r="V744" s="132"/>
      <c r="W744" s="132"/>
      <c r="X744" s="132"/>
      <c r="Y744" s="132"/>
      <c r="Z744" s="132"/>
      <c r="AA744" s="132"/>
      <c r="AB744" s="132"/>
      <c r="AC744" s="132"/>
    </row>
    <row r="745">
      <c r="A745" s="132"/>
      <c r="B745" s="132"/>
      <c r="C745" s="132"/>
      <c r="D745" s="132"/>
      <c r="E745" s="132"/>
      <c r="F745" s="132"/>
      <c r="G745" s="132"/>
      <c r="H745" s="372"/>
      <c r="I745" s="372"/>
      <c r="J745" s="372"/>
      <c r="K745" s="2"/>
      <c r="L745" s="132"/>
      <c r="M745" s="132"/>
      <c r="N745" s="132"/>
      <c r="O745" s="132"/>
      <c r="P745" s="132"/>
      <c r="Q745" s="132"/>
      <c r="R745" s="132"/>
      <c r="S745" s="132"/>
      <c r="T745" s="132"/>
      <c r="U745" s="132"/>
      <c r="V745" s="132"/>
      <c r="W745" s="132"/>
      <c r="X745" s="132"/>
      <c r="Y745" s="132"/>
      <c r="Z745" s="132"/>
      <c r="AA745" s="132"/>
      <c r="AB745" s="132"/>
      <c r="AC745" s="132"/>
    </row>
    <row r="746">
      <c r="A746" s="132"/>
      <c r="B746" s="132"/>
      <c r="C746" s="132"/>
      <c r="D746" s="132"/>
      <c r="E746" s="132"/>
      <c r="F746" s="132"/>
      <c r="G746" s="132"/>
      <c r="H746" s="372"/>
      <c r="I746" s="372"/>
      <c r="J746" s="372"/>
      <c r="K746" s="2"/>
      <c r="L746" s="132"/>
      <c r="M746" s="132"/>
      <c r="N746" s="132"/>
      <c r="O746" s="132"/>
      <c r="P746" s="132"/>
      <c r="Q746" s="132"/>
      <c r="R746" s="132"/>
      <c r="S746" s="132"/>
      <c r="T746" s="132"/>
      <c r="U746" s="132"/>
      <c r="V746" s="132"/>
      <c r="W746" s="132"/>
      <c r="X746" s="132"/>
      <c r="Y746" s="132"/>
      <c r="Z746" s="132"/>
      <c r="AA746" s="132"/>
      <c r="AB746" s="132"/>
      <c r="AC746" s="132"/>
    </row>
    <row r="747">
      <c r="A747" s="132"/>
      <c r="B747" s="132"/>
      <c r="C747" s="132"/>
      <c r="D747" s="132"/>
      <c r="E747" s="132"/>
      <c r="F747" s="132"/>
      <c r="G747" s="132"/>
      <c r="H747" s="372"/>
      <c r="I747" s="372"/>
      <c r="J747" s="372"/>
      <c r="K747" s="2"/>
      <c r="L747" s="132"/>
      <c r="M747" s="132"/>
      <c r="N747" s="132"/>
      <c r="O747" s="132"/>
      <c r="P747" s="132"/>
      <c r="Q747" s="132"/>
      <c r="R747" s="132"/>
      <c r="S747" s="132"/>
      <c r="T747" s="132"/>
      <c r="U747" s="132"/>
      <c r="V747" s="132"/>
      <c r="W747" s="132"/>
      <c r="X747" s="132"/>
      <c r="Y747" s="132"/>
      <c r="Z747" s="132"/>
      <c r="AA747" s="132"/>
      <c r="AB747" s="132"/>
      <c r="AC747" s="132"/>
    </row>
    <row r="748">
      <c r="A748" s="132"/>
      <c r="B748" s="132"/>
      <c r="C748" s="132"/>
      <c r="D748" s="132"/>
      <c r="E748" s="132"/>
      <c r="F748" s="132"/>
      <c r="G748" s="132"/>
      <c r="H748" s="372"/>
      <c r="I748" s="372"/>
      <c r="J748" s="372"/>
      <c r="K748" s="2"/>
      <c r="L748" s="132"/>
      <c r="M748" s="132"/>
      <c r="N748" s="132"/>
      <c r="O748" s="132"/>
      <c r="P748" s="132"/>
      <c r="Q748" s="132"/>
      <c r="R748" s="132"/>
      <c r="S748" s="132"/>
      <c r="T748" s="132"/>
      <c r="U748" s="132"/>
      <c r="V748" s="132"/>
      <c r="W748" s="132"/>
      <c r="X748" s="132"/>
      <c r="Y748" s="132"/>
      <c r="Z748" s="132"/>
      <c r="AA748" s="132"/>
      <c r="AB748" s="132"/>
      <c r="AC748" s="132"/>
    </row>
    <row r="749">
      <c r="A749" s="132"/>
      <c r="B749" s="132"/>
      <c r="C749" s="132"/>
      <c r="D749" s="132"/>
      <c r="E749" s="132"/>
      <c r="F749" s="132"/>
      <c r="G749" s="132"/>
      <c r="H749" s="372"/>
      <c r="I749" s="372"/>
      <c r="J749" s="372"/>
      <c r="K749" s="2"/>
      <c r="L749" s="132"/>
      <c r="M749" s="132"/>
      <c r="N749" s="132"/>
      <c r="O749" s="132"/>
      <c r="P749" s="132"/>
      <c r="Q749" s="132"/>
      <c r="R749" s="132"/>
      <c r="S749" s="132"/>
      <c r="T749" s="132"/>
      <c r="U749" s="132"/>
      <c r="V749" s="132"/>
      <c r="W749" s="132"/>
      <c r="X749" s="132"/>
      <c r="Y749" s="132"/>
      <c r="Z749" s="132"/>
      <c r="AA749" s="132"/>
      <c r="AB749" s="132"/>
      <c r="AC749" s="132"/>
    </row>
    <row r="750">
      <c r="A750" s="132"/>
      <c r="B750" s="132"/>
      <c r="C750" s="132"/>
      <c r="D750" s="132"/>
      <c r="E750" s="132"/>
      <c r="F750" s="132"/>
      <c r="G750" s="132"/>
      <c r="H750" s="372"/>
      <c r="I750" s="372"/>
      <c r="J750" s="372"/>
      <c r="K750" s="2"/>
      <c r="L750" s="132"/>
      <c r="M750" s="132"/>
      <c r="N750" s="132"/>
      <c r="O750" s="132"/>
      <c r="P750" s="132"/>
      <c r="Q750" s="132"/>
      <c r="R750" s="132"/>
      <c r="S750" s="132"/>
      <c r="T750" s="132"/>
      <c r="U750" s="132"/>
      <c r="V750" s="132"/>
      <c r="W750" s="132"/>
      <c r="X750" s="132"/>
      <c r="Y750" s="132"/>
      <c r="Z750" s="132"/>
      <c r="AA750" s="132"/>
      <c r="AB750" s="132"/>
      <c r="AC750" s="132"/>
    </row>
    <row r="751">
      <c r="A751" s="132"/>
      <c r="B751" s="132"/>
      <c r="C751" s="132"/>
      <c r="D751" s="132"/>
      <c r="E751" s="132"/>
      <c r="F751" s="132"/>
      <c r="G751" s="132"/>
      <c r="H751" s="372"/>
      <c r="I751" s="372"/>
      <c r="J751" s="372"/>
      <c r="K751" s="2"/>
      <c r="L751" s="132"/>
      <c r="M751" s="132"/>
      <c r="N751" s="132"/>
      <c r="O751" s="132"/>
      <c r="P751" s="132"/>
      <c r="Q751" s="132"/>
      <c r="R751" s="132"/>
      <c r="S751" s="132"/>
      <c r="T751" s="132"/>
      <c r="U751" s="132"/>
      <c r="V751" s="132"/>
      <c r="W751" s="132"/>
      <c r="X751" s="132"/>
      <c r="Y751" s="132"/>
      <c r="Z751" s="132"/>
      <c r="AA751" s="132"/>
      <c r="AB751" s="132"/>
      <c r="AC751" s="132"/>
    </row>
    <row r="752">
      <c r="A752" s="132"/>
      <c r="B752" s="132"/>
      <c r="C752" s="132"/>
      <c r="D752" s="132"/>
      <c r="E752" s="132"/>
      <c r="F752" s="132"/>
      <c r="G752" s="132"/>
      <c r="H752" s="372"/>
      <c r="I752" s="372"/>
      <c r="J752" s="372"/>
      <c r="K752" s="2"/>
      <c r="L752" s="132"/>
      <c r="M752" s="132"/>
      <c r="N752" s="132"/>
      <c r="O752" s="132"/>
      <c r="P752" s="132"/>
      <c r="Q752" s="132"/>
      <c r="R752" s="132"/>
      <c r="S752" s="132"/>
      <c r="T752" s="132"/>
      <c r="U752" s="132"/>
      <c r="V752" s="132"/>
      <c r="W752" s="132"/>
      <c r="X752" s="132"/>
      <c r="Y752" s="132"/>
      <c r="Z752" s="132"/>
      <c r="AA752" s="132"/>
      <c r="AB752" s="132"/>
      <c r="AC752" s="132"/>
    </row>
    <row r="753">
      <c r="A753" s="132"/>
      <c r="B753" s="132"/>
      <c r="C753" s="132"/>
      <c r="D753" s="132"/>
      <c r="E753" s="132"/>
      <c r="F753" s="132"/>
      <c r="G753" s="132"/>
      <c r="H753" s="372"/>
      <c r="I753" s="372"/>
      <c r="J753" s="372"/>
      <c r="K753" s="2"/>
      <c r="L753" s="132"/>
      <c r="M753" s="132"/>
      <c r="N753" s="132"/>
      <c r="O753" s="132"/>
      <c r="P753" s="132"/>
      <c r="Q753" s="132"/>
      <c r="R753" s="132"/>
      <c r="S753" s="132"/>
      <c r="T753" s="132"/>
      <c r="U753" s="132"/>
      <c r="V753" s="132"/>
      <c r="W753" s="132"/>
      <c r="X753" s="132"/>
      <c r="Y753" s="132"/>
      <c r="Z753" s="132"/>
      <c r="AA753" s="132"/>
      <c r="AB753" s="132"/>
      <c r="AC753" s="132"/>
    </row>
    <row r="754">
      <c r="A754" s="132"/>
      <c r="B754" s="132"/>
      <c r="C754" s="132"/>
      <c r="D754" s="132"/>
      <c r="E754" s="132"/>
      <c r="F754" s="132"/>
      <c r="G754" s="132"/>
      <c r="H754" s="372"/>
      <c r="I754" s="372"/>
      <c r="J754" s="372"/>
      <c r="K754" s="2"/>
      <c r="L754" s="132"/>
      <c r="M754" s="132"/>
      <c r="N754" s="132"/>
      <c r="O754" s="132"/>
      <c r="P754" s="132"/>
      <c r="Q754" s="132"/>
      <c r="R754" s="132"/>
      <c r="S754" s="132"/>
      <c r="T754" s="132"/>
      <c r="U754" s="132"/>
      <c r="V754" s="132"/>
      <c r="W754" s="132"/>
      <c r="X754" s="132"/>
      <c r="Y754" s="132"/>
      <c r="Z754" s="132"/>
      <c r="AA754" s="132"/>
      <c r="AB754" s="132"/>
      <c r="AC754" s="132"/>
    </row>
    <row r="755">
      <c r="A755" s="132"/>
      <c r="B755" s="132"/>
      <c r="C755" s="132"/>
      <c r="D755" s="132"/>
      <c r="E755" s="132"/>
      <c r="F755" s="132"/>
      <c r="G755" s="132"/>
      <c r="H755" s="372"/>
      <c r="I755" s="372"/>
      <c r="J755" s="372"/>
      <c r="K755" s="2"/>
      <c r="L755" s="132"/>
      <c r="M755" s="132"/>
      <c r="N755" s="132"/>
      <c r="O755" s="132"/>
      <c r="P755" s="132"/>
      <c r="Q755" s="132"/>
      <c r="R755" s="132"/>
      <c r="S755" s="132"/>
      <c r="T755" s="132"/>
      <c r="U755" s="132"/>
      <c r="V755" s="132"/>
      <c r="W755" s="132"/>
      <c r="X755" s="132"/>
      <c r="Y755" s="132"/>
      <c r="Z755" s="132"/>
      <c r="AA755" s="132"/>
      <c r="AB755" s="132"/>
      <c r="AC755" s="132"/>
    </row>
    <row r="756">
      <c r="A756" s="132"/>
      <c r="B756" s="132"/>
      <c r="C756" s="132"/>
      <c r="D756" s="132"/>
      <c r="E756" s="132"/>
      <c r="F756" s="132"/>
      <c r="G756" s="132"/>
      <c r="H756" s="372"/>
      <c r="I756" s="372"/>
      <c r="J756" s="372"/>
      <c r="K756" s="2"/>
      <c r="L756" s="132"/>
      <c r="M756" s="132"/>
      <c r="N756" s="132"/>
      <c r="O756" s="132"/>
      <c r="P756" s="132"/>
      <c r="Q756" s="132"/>
      <c r="R756" s="132"/>
      <c r="S756" s="132"/>
      <c r="T756" s="132"/>
      <c r="U756" s="132"/>
      <c r="V756" s="132"/>
      <c r="W756" s="132"/>
      <c r="X756" s="132"/>
      <c r="Y756" s="132"/>
      <c r="Z756" s="132"/>
      <c r="AA756" s="132"/>
      <c r="AB756" s="132"/>
      <c r="AC756" s="132"/>
    </row>
    <row r="757">
      <c r="A757" s="132"/>
      <c r="B757" s="132"/>
      <c r="C757" s="132"/>
      <c r="D757" s="132"/>
      <c r="E757" s="132"/>
      <c r="F757" s="132"/>
      <c r="G757" s="132"/>
      <c r="H757" s="372"/>
      <c r="I757" s="372"/>
      <c r="J757" s="372"/>
      <c r="K757" s="2"/>
      <c r="L757" s="132"/>
      <c r="M757" s="132"/>
      <c r="N757" s="132"/>
      <c r="O757" s="132"/>
      <c r="P757" s="132"/>
      <c r="Q757" s="132"/>
      <c r="R757" s="132"/>
      <c r="S757" s="132"/>
      <c r="T757" s="132"/>
      <c r="U757" s="132"/>
      <c r="V757" s="132"/>
      <c r="W757" s="132"/>
      <c r="X757" s="132"/>
      <c r="Y757" s="132"/>
      <c r="Z757" s="132"/>
      <c r="AA757" s="132"/>
      <c r="AB757" s="132"/>
      <c r="AC757" s="132"/>
    </row>
    <row r="758">
      <c r="A758" s="132"/>
      <c r="B758" s="132"/>
      <c r="C758" s="132"/>
      <c r="D758" s="132"/>
      <c r="E758" s="132"/>
      <c r="F758" s="132"/>
      <c r="G758" s="132"/>
      <c r="H758" s="372"/>
      <c r="I758" s="372"/>
      <c r="J758" s="372"/>
      <c r="K758" s="2"/>
      <c r="L758" s="132"/>
      <c r="M758" s="132"/>
      <c r="N758" s="132"/>
      <c r="O758" s="132"/>
      <c r="P758" s="132"/>
      <c r="Q758" s="132"/>
      <c r="R758" s="132"/>
      <c r="S758" s="132"/>
      <c r="T758" s="132"/>
      <c r="U758" s="132"/>
      <c r="V758" s="132"/>
      <c r="W758" s="132"/>
      <c r="X758" s="132"/>
      <c r="Y758" s="132"/>
      <c r="Z758" s="132"/>
      <c r="AA758" s="132"/>
      <c r="AB758" s="132"/>
      <c r="AC758" s="132"/>
    </row>
    <row r="759">
      <c r="A759" s="132"/>
      <c r="B759" s="132"/>
      <c r="C759" s="132"/>
      <c r="D759" s="132"/>
      <c r="E759" s="132"/>
      <c r="F759" s="132"/>
      <c r="G759" s="132"/>
      <c r="H759" s="372"/>
      <c r="I759" s="372"/>
      <c r="J759" s="372"/>
      <c r="K759" s="2"/>
      <c r="L759" s="132"/>
      <c r="M759" s="132"/>
      <c r="N759" s="132"/>
      <c r="O759" s="132"/>
      <c r="P759" s="132"/>
      <c r="Q759" s="132"/>
      <c r="R759" s="132"/>
      <c r="S759" s="132"/>
      <c r="T759" s="132"/>
      <c r="U759" s="132"/>
      <c r="V759" s="132"/>
      <c r="W759" s="132"/>
      <c r="X759" s="132"/>
      <c r="Y759" s="132"/>
      <c r="Z759" s="132"/>
      <c r="AA759" s="132"/>
      <c r="AB759" s="132"/>
      <c r="AC759" s="132"/>
    </row>
    <row r="760">
      <c r="A760" s="132"/>
      <c r="B760" s="132"/>
      <c r="C760" s="132"/>
      <c r="D760" s="132"/>
      <c r="E760" s="132"/>
      <c r="F760" s="132"/>
      <c r="G760" s="132"/>
      <c r="H760" s="372"/>
      <c r="I760" s="372"/>
      <c r="J760" s="372"/>
      <c r="K760" s="2"/>
      <c r="L760" s="132"/>
      <c r="M760" s="132"/>
      <c r="N760" s="132"/>
      <c r="O760" s="132"/>
      <c r="P760" s="132"/>
      <c r="Q760" s="132"/>
      <c r="R760" s="132"/>
      <c r="S760" s="132"/>
      <c r="T760" s="132"/>
      <c r="U760" s="132"/>
      <c r="V760" s="132"/>
      <c r="W760" s="132"/>
      <c r="X760" s="132"/>
      <c r="Y760" s="132"/>
      <c r="Z760" s="132"/>
      <c r="AA760" s="132"/>
      <c r="AB760" s="132"/>
      <c r="AC760" s="132"/>
    </row>
    <row r="761">
      <c r="A761" s="132"/>
      <c r="B761" s="132"/>
      <c r="C761" s="132"/>
      <c r="D761" s="132"/>
      <c r="E761" s="132"/>
      <c r="F761" s="132"/>
      <c r="G761" s="132"/>
      <c r="H761" s="372"/>
      <c r="I761" s="372"/>
      <c r="J761" s="372"/>
      <c r="K761" s="2"/>
      <c r="L761" s="132"/>
      <c r="M761" s="132"/>
      <c r="N761" s="132"/>
      <c r="O761" s="132"/>
      <c r="P761" s="132"/>
      <c r="Q761" s="132"/>
      <c r="R761" s="132"/>
      <c r="S761" s="132"/>
      <c r="T761" s="132"/>
      <c r="U761" s="132"/>
      <c r="V761" s="132"/>
      <c r="W761" s="132"/>
      <c r="X761" s="132"/>
      <c r="Y761" s="132"/>
      <c r="Z761" s="132"/>
      <c r="AA761" s="132"/>
      <c r="AB761" s="132"/>
      <c r="AC761" s="132"/>
    </row>
    <row r="762">
      <c r="A762" s="132"/>
      <c r="B762" s="132"/>
      <c r="C762" s="132"/>
      <c r="D762" s="132"/>
      <c r="E762" s="132"/>
      <c r="F762" s="132"/>
      <c r="G762" s="132"/>
      <c r="H762" s="372"/>
      <c r="I762" s="372"/>
      <c r="J762" s="372"/>
      <c r="K762" s="2"/>
      <c r="L762" s="132"/>
      <c r="M762" s="132"/>
      <c r="N762" s="132"/>
      <c r="O762" s="132"/>
      <c r="P762" s="132"/>
      <c r="Q762" s="132"/>
      <c r="R762" s="132"/>
      <c r="S762" s="132"/>
      <c r="T762" s="132"/>
      <c r="U762" s="132"/>
      <c r="V762" s="132"/>
      <c r="W762" s="132"/>
      <c r="X762" s="132"/>
      <c r="Y762" s="132"/>
      <c r="Z762" s="132"/>
      <c r="AA762" s="132"/>
      <c r="AB762" s="132"/>
      <c r="AC762" s="132"/>
    </row>
    <row r="763">
      <c r="A763" s="132"/>
      <c r="B763" s="132"/>
      <c r="C763" s="132"/>
      <c r="D763" s="132"/>
      <c r="E763" s="132"/>
      <c r="F763" s="132"/>
      <c r="G763" s="132"/>
      <c r="H763" s="372"/>
      <c r="I763" s="372"/>
      <c r="J763" s="372"/>
      <c r="K763" s="2"/>
      <c r="L763" s="132"/>
      <c r="M763" s="132"/>
      <c r="N763" s="132"/>
      <c r="O763" s="132"/>
      <c r="P763" s="132"/>
      <c r="Q763" s="132"/>
      <c r="R763" s="132"/>
      <c r="S763" s="132"/>
      <c r="T763" s="132"/>
      <c r="U763" s="132"/>
      <c r="V763" s="132"/>
      <c r="W763" s="132"/>
      <c r="X763" s="132"/>
      <c r="Y763" s="132"/>
      <c r="Z763" s="132"/>
      <c r="AA763" s="132"/>
      <c r="AB763" s="132"/>
      <c r="AC763" s="132"/>
    </row>
    <row r="764">
      <c r="A764" s="132"/>
      <c r="B764" s="132"/>
      <c r="C764" s="132"/>
      <c r="D764" s="132"/>
      <c r="E764" s="132"/>
      <c r="F764" s="132"/>
      <c r="G764" s="132"/>
      <c r="H764" s="372"/>
      <c r="I764" s="372"/>
      <c r="J764" s="372"/>
      <c r="K764" s="2"/>
      <c r="L764" s="132"/>
      <c r="M764" s="132"/>
      <c r="N764" s="132"/>
      <c r="O764" s="132"/>
      <c r="P764" s="132"/>
      <c r="Q764" s="132"/>
      <c r="R764" s="132"/>
      <c r="S764" s="132"/>
      <c r="T764" s="132"/>
      <c r="U764" s="132"/>
      <c r="V764" s="132"/>
      <c r="W764" s="132"/>
      <c r="X764" s="132"/>
      <c r="Y764" s="132"/>
      <c r="Z764" s="132"/>
      <c r="AA764" s="132"/>
      <c r="AB764" s="132"/>
      <c r="AC764" s="132"/>
    </row>
    <row r="765">
      <c r="A765" s="132"/>
      <c r="B765" s="132"/>
      <c r="C765" s="132"/>
      <c r="D765" s="132"/>
      <c r="E765" s="132"/>
      <c r="F765" s="132"/>
      <c r="G765" s="132"/>
      <c r="H765" s="372"/>
      <c r="I765" s="372"/>
      <c r="J765" s="372"/>
      <c r="K765" s="2"/>
      <c r="L765" s="132"/>
      <c r="M765" s="132"/>
      <c r="N765" s="132"/>
      <c r="O765" s="132"/>
      <c r="P765" s="132"/>
      <c r="Q765" s="132"/>
      <c r="R765" s="132"/>
      <c r="S765" s="132"/>
      <c r="T765" s="132"/>
      <c r="U765" s="132"/>
      <c r="V765" s="132"/>
      <c r="W765" s="132"/>
      <c r="X765" s="132"/>
      <c r="Y765" s="132"/>
      <c r="Z765" s="132"/>
      <c r="AA765" s="132"/>
      <c r="AB765" s="132"/>
      <c r="AC765" s="132"/>
    </row>
    <row r="766">
      <c r="A766" s="132"/>
      <c r="B766" s="132"/>
      <c r="C766" s="132"/>
      <c r="D766" s="132"/>
      <c r="E766" s="132"/>
      <c r="F766" s="132"/>
      <c r="G766" s="132"/>
      <c r="H766" s="372"/>
      <c r="I766" s="372"/>
      <c r="J766" s="372"/>
      <c r="K766" s="2"/>
      <c r="L766" s="132"/>
      <c r="M766" s="132"/>
      <c r="N766" s="132"/>
      <c r="O766" s="132"/>
      <c r="P766" s="132"/>
      <c r="Q766" s="132"/>
      <c r="R766" s="132"/>
      <c r="S766" s="132"/>
      <c r="T766" s="132"/>
      <c r="U766" s="132"/>
      <c r="V766" s="132"/>
      <c r="W766" s="132"/>
      <c r="X766" s="132"/>
      <c r="Y766" s="132"/>
      <c r="Z766" s="132"/>
      <c r="AA766" s="132"/>
      <c r="AB766" s="132"/>
      <c r="AC766" s="132"/>
    </row>
    <row r="767">
      <c r="A767" s="132"/>
      <c r="B767" s="132"/>
      <c r="C767" s="132"/>
      <c r="D767" s="132"/>
      <c r="E767" s="132"/>
      <c r="F767" s="132"/>
      <c r="G767" s="132"/>
      <c r="H767" s="372"/>
      <c r="I767" s="372"/>
      <c r="J767" s="372"/>
      <c r="K767" s="2"/>
      <c r="L767" s="132"/>
      <c r="M767" s="132"/>
      <c r="N767" s="132"/>
      <c r="O767" s="132"/>
      <c r="P767" s="132"/>
      <c r="Q767" s="132"/>
      <c r="R767" s="132"/>
      <c r="S767" s="132"/>
      <c r="T767" s="132"/>
      <c r="U767" s="132"/>
      <c r="V767" s="132"/>
      <c r="W767" s="132"/>
      <c r="X767" s="132"/>
      <c r="Y767" s="132"/>
      <c r="Z767" s="132"/>
      <c r="AA767" s="132"/>
      <c r="AB767" s="132"/>
      <c r="AC767" s="132"/>
    </row>
    <row r="768">
      <c r="A768" s="132"/>
      <c r="B768" s="132"/>
      <c r="C768" s="132"/>
      <c r="D768" s="132"/>
      <c r="E768" s="132"/>
      <c r="F768" s="132"/>
      <c r="G768" s="132"/>
      <c r="H768" s="372"/>
      <c r="I768" s="372"/>
      <c r="J768" s="372"/>
      <c r="K768" s="2"/>
      <c r="L768" s="132"/>
      <c r="M768" s="132"/>
      <c r="N768" s="132"/>
      <c r="O768" s="132"/>
      <c r="P768" s="132"/>
      <c r="Q768" s="132"/>
      <c r="R768" s="132"/>
      <c r="S768" s="132"/>
      <c r="T768" s="132"/>
      <c r="U768" s="132"/>
      <c r="V768" s="132"/>
      <c r="W768" s="132"/>
      <c r="X768" s="132"/>
      <c r="Y768" s="132"/>
      <c r="Z768" s="132"/>
      <c r="AA768" s="132"/>
      <c r="AB768" s="132"/>
      <c r="AC768" s="132"/>
    </row>
    <row r="769">
      <c r="A769" s="132"/>
      <c r="B769" s="132"/>
      <c r="C769" s="132"/>
      <c r="D769" s="132"/>
      <c r="E769" s="132"/>
      <c r="F769" s="132"/>
      <c r="G769" s="132"/>
      <c r="H769" s="372"/>
      <c r="I769" s="372"/>
      <c r="J769" s="372"/>
      <c r="K769" s="2"/>
      <c r="L769" s="132"/>
      <c r="M769" s="132"/>
      <c r="N769" s="132"/>
      <c r="O769" s="132"/>
      <c r="P769" s="132"/>
      <c r="Q769" s="132"/>
      <c r="R769" s="132"/>
      <c r="S769" s="132"/>
      <c r="T769" s="132"/>
      <c r="U769" s="132"/>
      <c r="V769" s="132"/>
      <c r="W769" s="132"/>
      <c r="X769" s="132"/>
      <c r="Y769" s="132"/>
      <c r="Z769" s="132"/>
      <c r="AA769" s="132"/>
      <c r="AB769" s="132"/>
      <c r="AC769" s="132"/>
    </row>
    <row r="770">
      <c r="A770" s="132"/>
      <c r="B770" s="132"/>
      <c r="C770" s="132"/>
      <c r="D770" s="132"/>
      <c r="E770" s="132"/>
      <c r="F770" s="132"/>
      <c r="G770" s="132"/>
      <c r="H770" s="372"/>
      <c r="I770" s="372"/>
      <c r="J770" s="372"/>
      <c r="K770" s="2"/>
      <c r="L770" s="132"/>
      <c r="M770" s="132"/>
      <c r="N770" s="132"/>
      <c r="O770" s="132"/>
      <c r="P770" s="132"/>
      <c r="Q770" s="132"/>
      <c r="R770" s="132"/>
      <c r="S770" s="132"/>
      <c r="T770" s="132"/>
      <c r="U770" s="132"/>
      <c r="V770" s="132"/>
      <c r="W770" s="132"/>
      <c r="X770" s="132"/>
      <c r="Y770" s="132"/>
      <c r="Z770" s="132"/>
      <c r="AA770" s="132"/>
      <c r="AB770" s="132"/>
      <c r="AC770" s="132"/>
    </row>
    <row r="771">
      <c r="A771" s="132"/>
      <c r="B771" s="132"/>
      <c r="C771" s="132"/>
      <c r="D771" s="132"/>
      <c r="E771" s="132"/>
      <c r="F771" s="132"/>
      <c r="G771" s="132"/>
      <c r="H771" s="372"/>
      <c r="I771" s="372"/>
      <c r="J771" s="372"/>
      <c r="K771" s="2"/>
      <c r="L771" s="132"/>
      <c r="M771" s="132"/>
      <c r="N771" s="132"/>
      <c r="O771" s="132"/>
      <c r="P771" s="132"/>
      <c r="Q771" s="132"/>
      <c r="R771" s="132"/>
      <c r="S771" s="132"/>
      <c r="T771" s="132"/>
      <c r="U771" s="132"/>
      <c r="V771" s="132"/>
      <c r="W771" s="132"/>
      <c r="X771" s="132"/>
      <c r="Y771" s="132"/>
      <c r="Z771" s="132"/>
      <c r="AA771" s="132"/>
      <c r="AB771" s="132"/>
      <c r="AC771" s="132"/>
    </row>
    <row r="772">
      <c r="A772" s="132"/>
      <c r="B772" s="132"/>
      <c r="C772" s="132"/>
      <c r="D772" s="132"/>
      <c r="E772" s="132"/>
      <c r="F772" s="132"/>
      <c r="G772" s="132"/>
      <c r="H772" s="372"/>
      <c r="I772" s="372"/>
      <c r="J772" s="372"/>
      <c r="K772" s="2"/>
      <c r="L772" s="132"/>
      <c r="M772" s="132"/>
      <c r="N772" s="132"/>
      <c r="O772" s="132"/>
      <c r="P772" s="132"/>
      <c r="Q772" s="132"/>
      <c r="R772" s="132"/>
      <c r="S772" s="132"/>
      <c r="T772" s="132"/>
      <c r="U772" s="132"/>
      <c r="V772" s="132"/>
      <c r="W772" s="132"/>
      <c r="X772" s="132"/>
      <c r="Y772" s="132"/>
      <c r="Z772" s="132"/>
      <c r="AA772" s="132"/>
      <c r="AB772" s="132"/>
      <c r="AC772" s="132"/>
    </row>
    <row r="773">
      <c r="A773" s="132"/>
      <c r="B773" s="132"/>
      <c r="C773" s="132"/>
      <c r="D773" s="132"/>
      <c r="E773" s="132"/>
      <c r="F773" s="132"/>
      <c r="G773" s="132"/>
      <c r="H773" s="372"/>
      <c r="I773" s="372"/>
      <c r="J773" s="372"/>
      <c r="K773" s="2"/>
      <c r="L773" s="132"/>
      <c r="M773" s="132"/>
      <c r="N773" s="132"/>
      <c r="O773" s="132"/>
      <c r="P773" s="132"/>
      <c r="Q773" s="132"/>
      <c r="R773" s="132"/>
      <c r="S773" s="132"/>
      <c r="T773" s="132"/>
      <c r="U773" s="132"/>
      <c r="V773" s="132"/>
      <c r="W773" s="132"/>
      <c r="X773" s="132"/>
      <c r="Y773" s="132"/>
      <c r="Z773" s="132"/>
      <c r="AA773" s="132"/>
      <c r="AB773" s="132"/>
      <c r="AC773" s="132"/>
    </row>
    <row r="774">
      <c r="A774" s="132"/>
      <c r="B774" s="132"/>
      <c r="C774" s="132"/>
      <c r="D774" s="132"/>
      <c r="E774" s="132"/>
      <c r="F774" s="132"/>
      <c r="G774" s="132"/>
      <c r="H774" s="372"/>
      <c r="I774" s="372"/>
      <c r="J774" s="372"/>
      <c r="K774" s="2"/>
      <c r="L774" s="132"/>
      <c r="M774" s="132"/>
      <c r="N774" s="132"/>
      <c r="O774" s="132"/>
      <c r="P774" s="132"/>
      <c r="Q774" s="132"/>
      <c r="R774" s="132"/>
      <c r="S774" s="132"/>
      <c r="T774" s="132"/>
      <c r="U774" s="132"/>
      <c r="V774" s="132"/>
      <c r="W774" s="132"/>
      <c r="X774" s="132"/>
      <c r="Y774" s="132"/>
      <c r="Z774" s="132"/>
      <c r="AA774" s="132"/>
      <c r="AB774" s="132"/>
      <c r="AC774" s="132"/>
    </row>
    <row r="775">
      <c r="A775" s="132"/>
      <c r="B775" s="132"/>
      <c r="C775" s="132"/>
      <c r="D775" s="132"/>
      <c r="E775" s="132"/>
      <c r="F775" s="132"/>
      <c r="G775" s="132"/>
      <c r="H775" s="372"/>
      <c r="I775" s="372"/>
      <c r="J775" s="372"/>
      <c r="K775" s="2"/>
      <c r="L775" s="132"/>
      <c r="M775" s="132"/>
      <c r="N775" s="132"/>
      <c r="O775" s="132"/>
      <c r="P775" s="132"/>
      <c r="Q775" s="132"/>
      <c r="R775" s="132"/>
      <c r="S775" s="132"/>
      <c r="T775" s="132"/>
      <c r="U775" s="132"/>
      <c r="V775" s="132"/>
      <c r="W775" s="132"/>
      <c r="X775" s="132"/>
      <c r="Y775" s="132"/>
      <c r="Z775" s="132"/>
      <c r="AA775" s="132"/>
      <c r="AB775" s="132"/>
      <c r="AC775" s="132"/>
    </row>
    <row r="776">
      <c r="A776" s="132"/>
      <c r="B776" s="132"/>
      <c r="C776" s="132"/>
      <c r="D776" s="132"/>
      <c r="E776" s="132"/>
      <c r="F776" s="132"/>
      <c r="G776" s="132"/>
      <c r="H776" s="372"/>
      <c r="I776" s="372"/>
      <c r="J776" s="372"/>
      <c r="K776" s="2"/>
      <c r="L776" s="132"/>
      <c r="M776" s="132"/>
      <c r="N776" s="132"/>
      <c r="O776" s="132"/>
      <c r="P776" s="132"/>
      <c r="Q776" s="132"/>
      <c r="R776" s="132"/>
      <c r="S776" s="132"/>
      <c r="T776" s="132"/>
      <c r="U776" s="132"/>
      <c r="V776" s="132"/>
      <c r="W776" s="132"/>
      <c r="X776" s="132"/>
      <c r="Y776" s="132"/>
      <c r="Z776" s="132"/>
      <c r="AA776" s="132"/>
      <c r="AB776" s="132"/>
      <c r="AC776" s="132"/>
    </row>
    <row r="777">
      <c r="A777" s="132"/>
      <c r="B777" s="132"/>
      <c r="C777" s="132"/>
      <c r="D777" s="132"/>
      <c r="E777" s="132"/>
      <c r="F777" s="132"/>
      <c r="G777" s="132"/>
      <c r="H777" s="372"/>
      <c r="I777" s="372"/>
      <c r="J777" s="372"/>
      <c r="K777" s="2"/>
      <c r="L777" s="132"/>
      <c r="M777" s="132"/>
      <c r="N777" s="132"/>
      <c r="O777" s="132"/>
      <c r="P777" s="132"/>
      <c r="Q777" s="132"/>
      <c r="R777" s="132"/>
      <c r="S777" s="132"/>
      <c r="T777" s="132"/>
      <c r="U777" s="132"/>
      <c r="V777" s="132"/>
      <c r="W777" s="132"/>
      <c r="X777" s="132"/>
      <c r="Y777" s="132"/>
      <c r="Z777" s="132"/>
      <c r="AA777" s="132"/>
      <c r="AB777" s="132"/>
      <c r="AC777" s="132"/>
    </row>
    <row r="778">
      <c r="A778" s="132"/>
      <c r="B778" s="132"/>
      <c r="C778" s="132"/>
      <c r="D778" s="132"/>
      <c r="E778" s="132"/>
      <c r="F778" s="132"/>
      <c r="G778" s="132"/>
      <c r="H778" s="372"/>
      <c r="I778" s="372"/>
      <c r="J778" s="372"/>
      <c r="K778" s="2"/>
      <c r="L778" s="132"/>
      <c r="M778" s="132"/>
      <c r="N778" s="132"/>
      <c r="O778" s="132"/>
      <c r="P778" s="132"/>
      <c r="Q778" s="132"/>
      <c r="R778" s="132"/>
      <c r="S778" s="132"/>
      <c r="T778" s="132"/>
      <c r="U778" s="132"/>
      <c r="V778" s="132"/>
      <c r="W778" s="132"/>
      <c r="X778" s="132"/>
      <c r="Y778" s="132"/>
      <c r="Z778" s="132"/>
      <c r="AA778" s="132"/>
      <c r="AB778" s="132"/>
      <c r="AC778" s="132"/>
    </row>
    <row r="779">
      <c r="A779" s="132"/>
      <c r="B779" s="132"/>
      <c r="C779" s="132"/>
      <c r="D779" s="132"/>
      <c r="E779" s="132"/>
      <c r="F779" s="132"/>
      <c r="G779" s="132"/>
      <c r="H779" s="372"/>
      <c r="I779" s="372"/>
      <c r="J779" s="372"/>
      <c r="K779" s="2"/>
      <c r="L779" s="132"/>
      <c r="M779" s="132"/>
      <c r="N779" s="132"/>
      <c r="O779" s="132"/>
      <c r="P779" s="132"/>
      <c r="Q779" s="132"/>
      <c r="R779" s="132"/>
      <c r="S779" s="132"/>
      <c r="T779" s="132"/>
      <c r="U779" s="132"/>
      <c r="V779" s="132"/>
      <c r="W779" s="132"/>
      <c r="X779" s="132"/>
      <c r="Y779" s="132"/>
      <c r="Z779" s="132"/>
      <c r="AA779" s="132"/>
      <c r="AB779" s="132"/>
      <c r="AC779" s="132"/>
    </row>
    <row r="780">
      <c r="A780" s="132"/>
      <c r="B780" s="132"/>
      <c r="C780" s="132"/>
      <c r="D780" s="132"/>
      <c r="E780" s="132"/>
      <c r="F780" s="132"/>
      <c r="G780" s="132"/>
      <c r="H780" s="372"/>
      <c r="I780" s="372"/>
      <c r="J780" s="372"/>
      <c r="K780" s="2"/>
      <c r="L780" s="132"/>
      <c r="M780" s="132"/>
      <c r="N780" s="132"/>
      <c r="O780" s="132"/>
      <c r="P780" s="132"/>
      <c r="Q780" s="132"/>
      <c r="R780" s="132"/>
      <c r="S780" s="132"/>
      <c r="T780" s="132"/>
      <c r="U780" s="132"/>
      <c r="V780" s="132"/>
      <c r="W780" s="132"/>
      <c r="X780" s="132"/>
      <c r="Y780" s="132"/>
      <c r="Z780" s="132"/>
      <c r="AA780" s="132"/>
      <c r="AB780" s="132"/>
      <c r="AC780" s="132"/>
    </row>
    <row r="781">
      <c r="A781" s="132"/>
      <c r="B781" s="132"/>
      <c r="C781" s="132"/>
      <c r="D781" s="132"/>
      <c r="E781" s="132"/>
      <c r="F781" s="132"/>
      <c r="G781" s="132"/>
      <c r="H781" s="372"/>
      <c r="I781" s="372"/>
      <c r="J781" s="372"/>
      <c r="K781" s="2"/>
      <c r="L781" s="132"/>
      <c r="M781" s="132"/>
      <c r="N781" s="132"/>
      <c r="O781" s="132"/>
      <c r="P781" s="132"/>
      <c r="Q781" s="132"/>
      <c r="R781" s="132"/>
      <c r="S781" s="132"/>
      <c r="T781" s="132"/>
      <c r="U781" s="132"/>
      <c r="V781" s="132"/>
      <c r="W781" s="132"/>
      <c r="X781" s="132"/>
      <c r="Y781" s="132"/>
      <c r="Z781" s="132"/>
      <c r="AA781" s="132"/>
      <c r="AB781" s="132"/>
      <c r="AC781" s="132"/>
    </row>
    <row r="782">
      <c r="A782" s="132"/>
      <c r="B782" s="132"/>
      <c r="C782" s="132"/>
      <c r="D782" s="132"/>
      <c r="E782" s="132"/>
      <c r="F782" s="132"/>
      <c r="G782" s="132"/>
      <c r="H782" s="372"/>
      <c r="I782" s="372"/>
      <c r="J782" s="372"/>
      <c r="K782" s="2"/>
      <c r="L782" s="132"/>
      <c r="M782" s="132"/>
      <c r="N782" s="132"/>
      <c r="O782" s="132"/>
      <c r="P782" s="132"/>
      <c r="Q782" s="132"/>
      <c r="R782" s="132"/>
      <c r="S782" s="132"/>
      <c r="T782" s="132"/>
      <c r="U782" s="132"/>
      <c r="V782" s="132"/>
      <c r="W782" s="132"/>
      <c r="X782" s="132"/>
      <c r="Y782" s="132"/>
      <c r="Z782" s="132"/>
      <c r="AA782" s="132"/>
      <c r="AB782" s="132"/>
      <c r="AC782" s="132"/>
    </row>
    <row r="783">
      <c r="A783" s="132"/>
      <c r="B783" s="132"/>
      <c r="C783" s="132"/>
      <c r="D783" s="132"/>
      <c r="E783" s="132"/>
      <c r="F783" s="132"/>
      <c r="G783" s="132"/>
      <c r="H783" s="372"/>
      <c r="I783" s="372"/>
      <c r="J783" s="372"/>
      <c r="K783" s="2"/>
      <c r="L783" s="132"/>
      <c r="M783" s="132"/>
      <c r="N783" s="132"/>
      <c r="O783" s="132"/>
      <c r="P783" s="132"/>
      <c r="Q783" s="132"/>
      <c r="R783" s="132"/>
      <c r="S783" s="132"/>
      <c r="T783" s="132"/>
      <c r="U783" s="132"/>
      <c r="V783" s="132"/>
      <c r="W783" s="132"/>
      <c r="X783" s="132"/>
      <c r="Y783" s="132"/>
      <c r="Z783" s="132"/>
      <c r="AA783" s="132"/>
      <c r="AB783" s="132"/>
      <c r="AC783" s="132"/>
    </row>
    <row r="784">
      <c r="A784" s="132"/>
      <c r="B784" s="132"/>
      <c r="C784" s="132"/>
      <c r="D784" s="132"/>
      <c r="E784" s="132"/>
      <c r="F784" s="132"/>
      <c r="G784" s="132"/>
      <c r="H784" s="372"/>
      <c r="I784" s="372"/>
      <c r="J784" s="372"/>
      <c r="K784" s="2"/>
      <c r="L784" s="132"/>
      <c r="M784" s="132"/>
      <c r="N784" s="132"/>
      <c r="O784" s="132"/>
      <c r="P784" s="132"/>
      <c r="Q784" s="132"/>
      <c r="R784" s="132"/>
      <c r="S784" s="132"/>
      <c r="T784" s="132"/>
      <c r="U784" s="132"/>
      <c r="V784" s="132"/>
      <c r="W784" s="132"/>
      <c r="X784" s="132"/>
      <c r="Y784" s="132"/>
      <c r="Z784" s="132"/>
      <c r="AA784" s="132"/>
      <c r="AB784" s="132"/>
      <c r="AC784" s="132"/>
    </row>
    <row r="785">
      <c r="A785" s="132"/>
      <c r="B785" s="132"/>
      <c r="C785" s="132"/>
      <c r="D785" s="132"/>
      <c r="E785" s="132"/>
      <c r="F785" s="132"/>
      <c r="G785" s="132"/>
      <c r="H785" s="372"/>
      <c r="I785" s="372"/>
      <c r="J785" s="372"/>
      <c r="K785" s="2"/>
      <c r="L785" s="132"/>
      <c r="M785" s="132"/>
      <c r="N785" s="132"/>
      <c r="O785" s="132"/>
      <c r="P785" s="132"/>
      <c r="Q785" s="132"/>
      <c r="R785" s="132"/>
      <c r="S785" s="132"/>
      <c r="T785" s="132"/>
      <c r="U785" s="132"/>
      <c r="V785" s="132"/>
      <c r="W785" s="132"/>
      <c r="X785" s="132"/>
      <c r="Y785" s="132"/>
      <c r="Z785" s="132"/>
      <c r="AA785" s="132"/>
      <c r="AB785" s="132"/>
      <c r="AC785" s="132"/>
    </row>
    <row r="786">
      <c r="A786" s="132"/>
      <c r="B786" s="132"/>
      <c r="C786" s="132"/>
      <c r="D786" s="132"/>
      <c r="E786" s="132"/>
      <c r="F786" s="132"/>
      <c r="G786" s="132"/>
      <c r="H786" s="372"/>
      <c r="I786" s="372"/>
      <c r="J786" s="372"/>
      <c r="K786" s="2"/>
      <c r="L786" s="132"/>
      <c r="M786" s="132"/>
      <c r="N786" s="132"/>
      <c r="O786" s="132"/>
      <c r="P786" s="132"/>
      <c r="Q786" s="132"/>
      <c r="R786" s="132"/>
      <c r="S786" s="132"/>
      <c r="T786" s="132"/>
      <c r="U786" s="132"/>
      <c r="V786" s="132"/>
      <c r="W786" s="132"/>
      <c r="X786" s="132"/>
      <c r="Y786" s="132"/>
      <c r="Z786" s="132"/>
      <c r="AA786" s="132"/>
      <c r="AB786" s="132"/>
      <c r="AC786" s="132"/>
    </row>
    <row r="787">
      <c r="A787" s="132"/>
      <c r="B787" s="132"/>
      <c r="C787" s="132"/>
      <c r="D787" s="132"/>
      <c r="E787" s="132"/>
      <c r="F787" s="132"/>
      <c r="G787" s="132"/>
      <c r="H787" s="372"/>
      <c r="I787" s="372"/>
      <c r="J787" s="372"/>
      <c r="K787" s="2"/>
      <c r="L787" s="132"/>
      <c r="M787" s="132"/>
      <c r="N787" s="132"/>
      <c r="O787" s="132"/>
      <c r="P787" s="132"/>
      <c r="Q787" s="132"/>
      <c r="R787" s="132"/>
      <c r="S787" s="132"/>
      <c r="T787" s="132"/>
      <c r="U787" s="132"/>
      <c r="V787" s="132"/>
      <c r="W787" s="132"/>
      <c r="X787" s="132"/>
      <c r="Y787" s="132"/>
      <c r="Z787" s="132"/>
      <c r="AA787" s="132"/>
      <c r="AB787" s="132"/>
      <c r="AC787" s="132"/>
    </row>
    <row r="788">
      <c r="A788" s="132"/>
      <c r="B788" s="132"/>
      <c r="C788" s="132"/>
      <c r="D788" s="132"/>
      <c r="E788" s="132"/>
      <c r="F788" s="132"/>
      <c r="G788" s="132"/>
      <c r="H788" s="372"/>
      <c r="I788" s="372"/>
      <c r="J788" s="372"/>
      <c r="K788" s="2"/>
      <c r="L788" s="132"/>
      <c r="M788" s="132"/>
      <c r="N788" s="132"/>
      <c r="O788" s="132"/>
      <c r="P788" s="132"/>
      <c r="Q788" s="132"/>
      <c r="R788" s="132"/>
      <c r="S788" s="132"/>
      <c r="T788" s="132"/>
      <c r="U788" s="132"/>
      <c r="V788" s="132"/>
      <c r="W788" s="132"/>
      <c r="X788" s="132"/>
      <c r="Y788" s="132"/>
      <c r="Z788" s="132"/>
      <c r="AA788" s="132"/>
      <c r="AB788" s="132"/>
      <c r="AC788" s="132"/>
    </row>
    <row r="789">
      <c r="A789" s="132"/>
      <c r="B789" s="132"/>
      <c r="C789" s="132"/>
      <c r="D789" s="132"/>
      <c r="E789" s="132"/>
      <c r="F789" s="132"/>
      <c r="G789" s="132"/>
      <c r="H789" s="372"/>
      <c r="I789" s="372"/>
      <c r="J789" s="372"/>
      <c r="K789" s="2"/>
      <c r="L789" s="132"/>
      <c r="M789" s="132"/>
      <c r="N789" s="132"/>
      <c r="O789" s="132"/>
      <c r="P789" s="132"/>
      <c r="Q789" s="132"/>
      <c r="R789" s="132"/>
      <c r="S789" s="132"/>
      <c r="T789" s="132"/>
      <c r="U789" s="132"/>
      <c r="V789" s="132"/>
      <c r="W789" s="132"/>
      <c r="X789" s="132"/>
      <c r="Y789" s="132"/>
      <c r="Z789" s="132"/>
      <c r="AA789" s="132"/>
      <c r="AB789" s="132"/>
      <c r="AC789" s="132"/>
    </row>
    <row r="790">
      <c r="A790" s="132"/>
      <c r="B790" s="132"/>
      <c r="C790" s="132"/>
      <c r="D790" s="132"/>
      <c r="E790" s="132"/>
      <c r="F790" s="132"/>
      <c r="G790" s="132"/>
      <c r="H790" s="372"/>
      <c r="I790" s="372"/>
      <c r="J790" s="372"/>
      <c r="K790" s="2"/>
      <c r="L790" s="132"/>
      <c r="M790" s="132"/>
      <c r="N790" s="132"/>
      <c r="O790" s="132"/>
      <c r="P790" s="132"/>
      <c r="Q790" s="132"/>
      <c r="R790" s="132"/>
      <c r="S790" s="132"/>
      <c r="T790" s="132"/>
      <c r="U790" s="132"/>
      <c r="V790" s="132"/>
      <c r="W790" s="132"/>
      <c r="X790" s="132"/>
      <c r="Y790" s="132"/>
      <c r="Z790" s="132"/>
      <c r="AA790" s="132"/>
      <c r="AB790" s="132"/>
      <c r="AC790" s="132"/>
    </row>
    <row r="791">
      <c r="A791" s="132"/>
      <c r="B791" s="132"/>
      <c r="C791" s="132"/>
      <c r="D791" s="132"/>
      <c r="E791" s="132"/>
      <c r="F791" s="132"/>
      <c r="G791" s="132"/>
      <c r="H791" s="372"/>
      <c r="I791" s="372"/>
      <c r="J791" s="372"/>
      <c r="K791" s="2"/>
      <c r="L791" s="132"/>
      <c r="M791" s="132"/>
      <c r="N791" s="132"/>
      <c r="O791" s="132"/>
      <c r="P791" s="132"/>
      <c r="Q791" s="132"/>
      <c r="R791" s="132"/>
      <c r="S791" s="132"/>
      <c r="T791" s="132"/>
      <c r="U791" s="132"/>
      <c r="V791" s="132"/>
      <c r="W791" s="132"/>
      <c r="X791" s="132"/>
      <c r="Y791" s="132"/>
      <c r="Z791" s="132"/>
      <c r="AA791" s="132"/>
      <c r="AB791" s="132"/>
      <c r="AC791" s="132"/>
    </row>
    <row r="792">
      <c r="A792" s="132"/>
      <c r="B792" s="132"/>
      <c r="C792" s="132"/>
      <c r="D792" s="132"/>
      <c r="E792" s="132"/>
      <c r="F792" s="132"/>
      <c r="G792" s="132"/>
      <c r="H792" s="372"/>
      <c r="I792" s="372"/>
      <c r="J792" s="372"/>
      <c r="K792" s="2"/>
      <c r="L792" s="132"/>
      <c r="M792" s="132"/>
      <c r="N792" s="132"/>
      <c r="O792" s="132"/>
      <c r="P792" s="132"/>
      <c r="Q792" s="132"/>
      <c r="R792" s="132"/>
      <c r="S792" s="132"/>
      <c r="T792" s="132"/>
      <c r="U792" s="132"/>
      <c r="V792" s="132"/>
      <c r="W792" s="132"/>
      <c r="X792" s="132"/>
      <c r="Y792" s="132"/>
      <c r="Z792" s="132"/>
      <c r="AA792" s="132"/>
      <c r="AB792" s="132"/>
      <c r="AC792" s="132"/>
    </row>
    <row r="793">
      <c r="A793" s="132"/>
      <c r="B793" s="132"/>
      <c r="C793" s="132"/>
      <c r="D793" s="132"/>
      <c r="E793" s="132"/>
      <c r="F793" s="132"/>
      <c r="G793" s="132"/>
      <c r="H793" s="372"/>
      <c r="I793" s="372"/>
      <c r="J793" s="372"/>
      <c r="K793" s="2"/>
      <c r="L793" s="132"/>
      <c r="M793" s="132"/>
      <c r="N793" s="132"/>
      <c r="O793" s="132"/>
      <c r="P793" s="132"/>
      <c r="Q793" s="132"/>
      <c r="R793" s="132"/>
      <c r="S793" s="132"/>
      <c r="T793" s="132"/>
      <c r="U793" s="132"/>
      <c r="V793" s="132"/>
      <c r="W793" s="132"/>
      <c r="X793" s="132"/>
      <c r="Y793" s="132"/>
      <c r="Z793" s="132"/>
      <c r="AA793" s="132"/>
      <c r="AB793" s="132"/>
      <c r="AC793" s="132"/>
    </row>
    <row r="794">
      <c r="A794" s="132"/>
      <c r="B794" s="132"/>
      <c r="C794" s="132"/>
      <c r="D794" s="132"/>
      <c r="E794" s="132"/>
      <c r="F794" s="132"/>
      <c r="G794" s="132"/>
      <c r="H794" s="372"/>
      <c r="I794" s="372"/>
      <c r="J794" s="372"/>
      <c r="K794" s="2"/>
      <c r="L794" s="132"/>
      <c r="M794" s="132"/>
      <c r="N794" s="132"/>
      <c r="O794" s="132"/>
      <c r="P794" s="132"/>
      <c r="Q794" s="132"/>
      <c r="R794" s="132"/>
      <c r="S794" s="132"/>
      <c r="T794" s="132"/>
      <c r="U794" s="132"/>
      <c r="V794" s="132"/>
      <c r="W794" s="132"/>
      <c r="X794" s="132"/>
      <c r="Y794" s="132"/>
      <c r="Z794" s="132"/>
      <c r="AA794" s="132"/>
      <c r="AB794" s="132"/>
      <c r="AC794" s="132"/>
    </row>
    <row r="795">
      <c r="A795" s="132"/>
      <c r="B795" s="132"/>
      <c r="C795" s="132"/>
      <c r="D795" s="132"/>
      <c r="E795" s="132"/>
      <c r="F795" s="132"/>
      <c r="G795" s="132"/>
      <c r="H795" s="372"/>
      <c r="I795" s="372"/>
      <c r="J795" s="372"/>
      <c r="K795" s="2"/>
      <c r="L795" s="132"/>
      <c r="M795" s="132"/>
      <c r="N795" s="132"/>
      <c r="O795" s="132"/>
      <c r="P795" s="132"/>
      <c r="Q795" s="132"/>
      <c r="R795" s="132"/>
      <c r="S795" s="132"/>
      <c r="T795" s="132"/>
      <c r="U795" s="132"/>
      <c r="V795" s="132"/>
      <c r="W795" s="132"/>
      <c r="X795" s="132"/>
      <c r="Y795" s="132"/>
      <c r="Z795" s="132"/>
      <c r="AA795" s="132"/>
      <c r="AB795" s="132"/>
      <c r="AC795" s="132"/>
    </row>
    <row r="796">
      <c r="A796" s="132"/>
      <c r="B796" s="132"/>
      <c r="C796" s="132"/>
      <c r="D796" s="132"/>
      <c r="E796" s="132"/>
      <c r="F796" s="132"/>
      <c r="G796" s="132"/>
      <c r="H796" s="372"/>
      <c r="I796" s="372"/>
      <c r="J796" s="372"/>
      <c r="K796" s="2"/>
      <c r="L796" s="132"/>
      <c r="M796" s="132"/>
      <c r="N796" s="132"/>
      <c r="O796" s="132"/>
      <c r="P796" s="132"/>
      <c r="Q796" s="132"/>
      <c r="R796" s="132"/>
      <c r="S796" s="132"/>
      <c r="T796" s="132"/>
      <c r="U796" s="132"/>
      <c r="V796" s="132"/>
      <c r="W796" s="132"/>
      <c r="X796" s="132"/>
      <c r="Y796" s="132"/>
      <c r="Z796" s="132"/>
      <c r="AA796" s="132"/>
      <c r="AB796" s="132"/>
      <c r="AC796" s="132"/>
    </row>
    <row r="797">
      <c r="A797" s="132"/>
      <c r="B797" s="132"/>
      <c r="C797" s="132"/>
      <c r="D797" s="132"/>
      <c r="E797" s="132"/>
      <c r="F797" s="132"/>
      <c r="G797" s="132"/>
      <c r="H797" s="372"/>
      <c r="I797" s="372"/>
      <c r="J797" s="372"/>
      <c r="K797" s="2"/>
      <c r="L797" s="132"/>
      <c r="M797" s="132"/>
      <c r="N797" s="132"/>
      <c r="O797" s="132"/>
      <c r="P797" s="132"/>
      <c r="Q797" s="132"/>
      <c r="R797" s="132"/>
      <c r="S797" s="132"/>
      <c r="T797" s="132"/>
      <c r="U797" s="132"/>
      <c r="V797" s="132"/>
      <c r="W797" s="132"/>
      <c r="X797" s="132"/>
      <c r="Y797" s="132"/>
      <c r="Z797" s="132"/>
      <c r="AA797" s="132"/>
      <c r="AB797" s="132"/>
      <c r="AC797" s="132"/>
    </row>
    <row r="798">
      <c r="A798" s="132"/>
      <c r="B798" s="132"/>
      <c r="C798" s="132"/>
      <c r="D798" s="132"/>
      <c r="E798" s="132"/>
      <c r="F798" s="132"/>
      <c r="G798" s="132"/>
      <c r="H798" s="372"/>
      <c r="I798" s="372"/>
      <c r="J798" s="372"/>
      <c r="K798" s="2"/>
      <c r="L798" s="132"/>
      <c r="M798" s="132"/>
      <c r="N798" s="132"/>
      <c r="O798" s="132"/>
      <c r="P798" s="132"/>
      <c r="Q798" s="132"/>
      <c r="R798" s="132"/>
      <c r="S798" s="132"/>
      <c r="T798" s="132"/>
      <c r="U798" s="132"/>
      <c r="V798" s="132"/>
      <c r="W798" s="132"/>
      <c r="X798" s="132"/>
      <c r="Y798" s="132"/>
      <c r="Z798" s="132"/>
      <c r="AA798" s="132"/>
      <c r="AB798" s="132"/>
      <c r="AC798" s="132"/>
    </row>
    <row r="799">
      <c r="A799" s="132"/>
      <c r="B799" s="132"/>
      <c r="C799" s="132"/>
      <c r="D799" s="132"/>
      <c r="E799" s="132"/>
      <c r="F799" s="132"/>
      <c r="G799" s="132"/>
      <c r="H799" s="372"/>
      <c r="I799" s="372"/>
      <c r="J799" s="372"/>
      <c r="K799" s="2"/>
      <c r="L799" s="132"/>
      <c r="M799" s="132"/>
      <c r="N799" s="132"/>
      <c r="O799" s="132"/>
      <c r="P799" s="132"/>
      <c r="Q799" s="132"/>
      <c r="R799" s="132"/>
      <c r="S799" s="132"/>
      <c r="T799" s="132"/>
      <c r="U799" s="132"/>
      <c r="V799" s="132"/>
      <c r="W799" s="132"/>
      <c r="X799" s="132"/>
      <c r="Y799" s="132"/>
      <c r="Z799" s="132"/>
      <c r="AA799" s="132"/>
      <c r="AB799" s="132"/>
      <c r="AC799" s="132"/>
    </row>
    <row r="800">
      <c r="A800" s="132"/>
      <c r="B800" s="132"/>
      <c r="C800" s="132"/>
      <c r="D800" s="132"/>
      <c r="E800" s="132"/>
      <c r="F800" s="132"/>
      <c r="G800" s="132"/>
      <c r="H800" s="372"/>
      <c r="I800" s="372"/>
      <c r="J800" s="372"/>
      <c r="K800" s="2"/>
      <c r="L800" s="132"/>
      <c r="M800" s="132"/>
      <c r="N800" s="132"/>
      <c r="O800" s="132"/>
      <c r="P800" s="132"/>
      <c r="Q800" s="132"/>
      <c r="R800" s="132"/>
      <c r="S800" s="132"/>
      <c r="T800" s="132"/>
      <c r="U800" s="132"/>
      <c r="V800" s="132"/>
      <c r="W800" s="132"/>
      <c r="X800" s="132"/>
      <c r="Y800" s="132"/>
      <c r="Z800" s="132"/>
      <c r="AA800" s="132"/>
      <c r="AB800" s="132"/>
      <c r="AC800" s="132"/>
    </row>
    <row r="801">
      <c r="A801" s="132"/>
      <c r="B801" s="132"/>
      <c r="C801" s="132"/>
      <c r="D801" s="132"/>
      <c r="E801" s="132"/>
      <c r="F801" s="132"/>
      <c r="G801" s="132"/>
      <c r="H801" s="372"/>
      <c r="I801" s="372"/>
      <c r="J801" s="372"/>
      <c r="K801" s="2"/>
      <c r="L801" s="132"/>
      <c r="M801" s="132"/>
      <c r="N801" s="132"/>
      <c r="O801" s="132"/>
      <c r="P801" s="132"/>
      <c r="Q801" s="132"/>
      <c r="R801" s="132"/>
      <c r="S801" s="132"/>
      <c r="T801" s="132"/>
      <c r="U801" s="132"/>
      <c r="V801" s="132"/>
      <c r="W801" s="132"/>
      <c r="X801" s="132"/>
      <c r="Y801" s="132"/>
      <c r="Z801" s="132"/>
      <c r="AA801" s="132"/>
      <c r="AB801" s="132"/>
      <c r="AC801" s="132"/>
    </row>
    <row r="802">
      <c r="A802" s="132"/>
      <c r="B802" s="132"/>
      <c r="C802" s="132"/>
      <c r="D802" s="132"/>
      <c r="E802" s="132"/>
      <c r="F802" s="132"/>
      <c r="G802" s="132"/>
      <c r="H802" s="372"/>
      <c r="I802" s="372"/>
      <c r="J802" s="372"/>
      <c r="K802" s="2"/>
      <c r="L802" s="132"/>
      <c r="M802" s="132"/>
      <c r="N802" s="132"/>
      <c r="O802" s="132"/>
      <c r="P802" s="132"/>
      <c r="Q802" s="132"/>
      <c r="R802" s="132"/>
      <c r="S802" s="132"/>
      <c r="T802" s="132"/>
      <c r="U802" s="132"/>
      <c r="V802" s="132"/>
      <c r="W802" s="132"/>
      <c r="X802" s="132"/>
      <c r="Y802" s="132"/>
      <c r="Z802" s="132"/>
      <c r="AA802" s="132"/>
      <c r="AB802" s="132"/>
      <c r="AC802" s="132"/>
    </row>
    <row r="803">
      <c r="A803" s="132"/>
      <c r="B803" s="132"/>
      <c r="C803" s="132"/>
      <c r="D803" s="132"/>
      <c r="E803" s="132"/>
      <c r="F803" s="132"/>
      <c r="G803" s="132"/>
      <c r="H803" s="372"/>
      <c r="I803" s="372"/>
      <c r="J803" s="372"/>
      <c r="K803" s="2"/>
      <c r="L803" s="132"/>
      <c r="M803" s="132"/>
      <c r="N803" s="132"/>
      <c r="O803" s="132"/>
      <c r="P803" s="132"/>
      <c r="Q803" s="132"/>
      <c r="R803" s="132"/>
      <c r="S803" s="132"/>
      <c r="T803" s="132"/>
      <c r="U803" s="132"/>
      <c r="V803" s="132"/>
      <c r="W803" s="132"/>
      <c r="X803" s="132"/>
      <c r="Y803" s="132"/>
      <c r="Z803" s="132"/>
      <c r="AA803" s="132"/>
      <c r="AB803" s="132"/>
      <c r="AC803" s="132"/>
    </row>
    <row r="804">
      <c r="A804" s="132"/>
      <c r="B804" s="132"/>
      <c r="C804" s="132"/>
      <c r="D804" s="132"/>
      <c r="E804" s="132"/>
      <c r="F804" s="132"/>
      <c r="G804" s="132"/>
      <c r="H804" s="372"/>
      <c r="I804" s="372"/>
      <c r="J804" s="372"/>
      <c r="K804" s="2"/>
      <c r="L804" s="132"/>
      <c r="M804" s="132"/>
      <c r="N804" s="132"/>
      <c r="O804" s="132"/>
      <c r="P804" s="132"/>
      <c r="Q804" s="132"/>
      <c r="R804" s="132"/>
      <c r="S804" s="132"/>
      <c r="T804" s="132"/>
      <c r="U804" s="132"/>
      <c r="V804" s="132"/>
      <c r="W804" s="132"/>
      <c r="X804" s="132"/>
      <c r="Y804" s="132"/>
      <c r="Z804" s="132"/>
      <c r="AA804" s="132"/>
      <c r="AB804" s="132"/>
      <c r="AC804" s="132"/>
    </row>
    <row r="805">
      <c r="A805" s="132"/>
      <c r="B805" s="132"/>
      <c r="C805" s="132"/>
      <c r="D805" s="132"/>
      <c r="E805" s="132"/>
      <c r="F805" s="132"/>
      <c r="G805" s="132"/>
      <c r="H805" s="372"/>
      <c r="I805" s="372"/>
      <c r="J805" s="372"/>
      <c r="K805" s="2"/>
      <c r="L805" s="132"/>
      <c r="M805" s="132"/>
      <c r="N805" s="132"/>
      <c r="O805" s="132"/>
      <c r="P805" s="132"/>
      <c r="Q805" s="132"/>
      <c r="R805" s="132"/>
      <c r="S805" s="132"/>
      <c r="T805" s="132"/>
      <c r="U805" s="132"/>
      <c r="V805" s="132"/>
      <c r="W805" s="132"/>
      <c r="X805" s="132"/>
      <c r="Y805" s="132"/>
      <c r="Z805" s="132"/>
      <c r="AA805" s="132"/>
      <c r="AB805" s="132"/>
      <c r="AC805" s="132"/>
    </row>
    <row r="806">
      <c r="A806" s="132"/>
      <c r="B806" s="132"/>
      <c r="C806" s="132"/>
      <c r="D806" s="132"/>
      <c r="E806" s="132"/>
      <c r="F806" s="132"/>
      <c r="G806" s="132"/>
      <c r="H806" s="372"/>
      <c r="I806" s="372"/>
      <c r="J806" s="372"/>
      <c r="K806" s="2"/>
      <c r="L806" s="132"/>
      <c r="M806" s="132"/>
      <c r="N806" s="132"/>
      <c r="O806" s="132"/>
      <c r="P806" s="132"/>
      <c r="Q806" s="132"/>
      <c r="R806" s="132"/>
      <c r="S806" s="132"/>
      <c r="T806" s="132"/>
      <c r="U806" s="132"/>
      <c r="V806" s="132"/>
      <c r="W806" s="132"/>
      <c r="X806" s="132"/>
      <c r="Y806" s="132"/>
      <c r="Z806" s="132"/>
      <c r="AA806" s="132"/>
      <c r="AB806" s="132"/>
      <c r="AC806" s="132"/>
    </row>
    <row r="807">
      <c r="A807" s="132"/>
      <c r="B807" s="132"/>
      <c r="C807" s="132"/>
      <c r="D807" s="132"/>
      <c r="E807" s="132"/>
      <c r="F807" s="132"/>
      <c r="G807" s="132"/>
      <c r="H807" s="372"/>
      <c r="I807" s="372"/>
      <c r="J807" s="372"/>
      <c r="K807" s="2"/>
      <c r="L807" s="132"/>
      <c r="M807" s="132"/>
      <c r="N807" s="132"/>
      <c r="O807" s="132"/>
      <c r="P807" s="132"/>
      <c r="Q807" s="132"/>
      <c r="R807" s="132"/>
      <c r="S807" s="132"/>
      <c r="T807" s="132"/>
      <c r="U807" s="132"/>
      <c r="V807" s="132"/>
      <c r="W807" s="132"/>
      <c r="X807" s="132"/>
      <c r="Y807" s="132"/>
      <c r="Z807" s="132"/>
      <c r="AA807" s="132"/>
      <c r="AB807" s="132"/>
      <c r="AC807" s="132"/>
    </row>
    <row r="808">
      <c r="A808" s="132"/>
      <c r="B808" s="132"/>
      <c r="C808" s="132"/>
      <c r="D808" s="132"/>
      <c r="E808" s="132"/>
      <c r="F808" s="132"/>
      <c r="G808" s="132"/>
      <c r="H808" s="372"/>
      <c r="I808" s="372"/>
      <c r="J808" s="372"/>
      <c r="K808" s="2"/>
      <c r="L808" s="132"/>
      <c r="M808" s="132"/>
      <c r="N808" s="132"/>
      <c r="O808" s="132"/>
      <c r="P808" s="132"/>
      <c r="Q808" s="132"/>
      <c r="R808" s="132"/>
      <c r="S808" s="132"/>
      <c r="T808" s="132"/>
      <c r="U808" s="132"/>
      <c r="V808" s="132"/>
      <c r="W808" s="132"/>
      <c r="X808" s="132"/>
      <c r="Y808" s="132"/>
      <c r="Z808" s="132"/>
      <c r="AA808" s="132"/>
      <c r="AB808" s="132"/>
      <c r="AC808" s="132"/>
    </row>
    <row r="809">
      <c r="A809" s="132"/>
      <c r="B809" s="132"/>
      <c r="C809" s="132"/>
      <c r="D809" s="132"/>
      <c r="E809" s="132"/>
      <c r="F809" s="132"/>
      <c r="G809" s="132"/>
      <c r="H809" s="372"/>
      <c r="I809" s="372"/>
      <c r="J809" s="372"/>
      <c r="K809" s="2"/>
      <c r="L809" s="132"/>
      <c r="M809" s="132"/>
      <c r="N809" s="132"/>
      <c r="O809" s="132"/>
      <c r="P809" s="132"/>
      <c r="Q809" s="132"/>
      <c r="R809" s="132"/>
      <c r="S809" s="132"/>
      <c r="T809" s="132"/>
      <c r="U809" s="132"/>
      <c r="V809" s="132"/>
      <c r="W809" s="132"/>
      <c r="X809" s="132"/>
      <c r="Y809" s="132"/>
      <c r="Z809" s="132"/>
      <c r="AA809" s="132"/>
      <c r="AB809" s="132"/>
      <c r="AC809" s="132"/>
    </row>
    <row r="810">
      <c r="A810" s="132"/>
      <c r="B810" s="132"/>
      <c r="C810" s="132"/>
      <c r="D810" s="132"/>
      <c r="E810" s="132"/>
      <c r="F810" s="132"/>
      <c r="G810" s="132"/>
      <c r="H810" s="372"/>
      <c r="I810" s="372"/>
      <c r="J810" s="372"/>
      <c r="K810" s="2"/>
      <c r="L810" s="132"/>
      <c r="M810" s="132"/>
      <c r="N810" s="132"/>
      <c r="O810" s="132"/>
      <c r="P810" s="132"/>
      <c r="Q810" s="132"/>
      <c r="R810" s="132"/>
      <c r="S810" s="132"/>
      <c r="T810" s="132"/>
      <c r="U810" s="132"/>
      <c r="V810" s="132"/>
      <c r="W810" s="132"/>
      <c r="X810" s="132"/>
      <c r="Y810" s="132"/>
      <c r="Z810" s="132"/>
      <c r="AA810" s="132"/>
      <c r="AB810" s="132"/>
      <c r="AC810" s="132"/>
    </row>
    <row r="811">
      <c r="A811" s="132"/>
      <c r="B811" s="132"/>
      <c r="C811" s="132"/>
      <c r="D811" s="132"/>
      <c r="E811" s="132"/>
      <c r="F811" s="132"/>
      <c r="G811" s="132"/>
      <c r="H811" s="372"/>
      <c r="I811" s="372"/>
      <c r="J811" s="372"/>
      <c r="K811" s="2"/>
      <c r="L811" s="132"/>
      <c r="M811" s="132"/>
      <c r="N811" s="132"/>
      <c r="O811" s="132"/>
      <c r="P811" s="132"/>
      <c r="Q811" s="132"/>
      <c r="R811" s="132"/>
      <c r="S811" s="132"/>
      <c r="T811" s="132"/>
      <c r="U811" s="132"/>
      <c r="V811" s="132"/>
      <c r="W811" s="132"/>
      <c r="X811" s="132"/>
      <c r="Y811" s="132"/>
      <c r="Z811" s="132"/>
      <c r="AA811" s="132"/>
      <c r="AB811" s="132"/>
      <c r="AC811" s="132"/>
    </row>
    <row r="812">
      <c r="A812" s="132"/>
      <c r="B812" s="132"/>
      <c r="C812" s="132"/>
      <c r="D812" s="132"/>
      <c r="E812" s="132"/>
      <c r="F812" s="132"/>
      <c r="G812" s="132"/>
      <c r="H812" s="372"/>
      <c r="I812" s="372"/>
      <c r="J812" s="372"/>
      <c r="K812" s="2"/>
      <c r="L812" s="132"/>
      <c r="M812" s="132"/>
      <c r="N812" s="132"/>
      <c r="O812" s="132"/>
      <c r="P812" s="132"/>
      <c r="Q812" s="132"/>
      <c r="R812" s="132"/>
      <c r="S812" s="132"/>
      <c r="T812" s="132"/>
      <c r="U812" s="132"/>
      <c r="V812" s="132"/>
      <c r="W812" s="132"/>
      <c r="X812" s="132"/>
      <c r="Y812" s="132"/>
      <c r="Z812" s="132"/>
      <c r="AA812" s="132"/>
      <c r="AB812" s="132"/>
      <c r="AC812" s="132"/>
    </row>
    <row r="813">
      <c r="A813" s="132"/>
      <c r="B813" s="132"/>
      <c r="C813" s="132"/>
      <c r="D813" s="132"/>
      <c r="E813" s="132"/>
      <c r="F813" s="132"/>
      <c r="G813" s="132"/>
      <c r="H813" s="372"/>
      <c r="I813" s="372"/>
      <c r="J813" s="372"/>
      <c r="K813" s="2"/>
      <c r="L813" s="132"/>
      <c r="M813" s="132"/>
      <c r="N813" s="132"/>
      <c r="O813" s="132"/>
      <c r="P813" s="132"/>
      <c r="Q813" s="132"/>
      <c r="R813" s="132"/>
      <c r="S813" s="132"/>
      <c r="T813" s="132"/>
      <c r="U813" s="132"/>
      <c r="V813" s="132"/>
      <c r="W813" s="132"/>
      <c r="X813" s="132"/>
      <c r="Y813" s="132"/>
      <c r="Z813" s="132"/>
      <c r="AA813" s="132"/>
      <c r="AB813" s="132"/>
      <c r="AC813" s="132"/>
    </row>
    <row r="814">
      <c r="A814" s="132"/>
      <c r="B814" s="132"/>
      <c r="C814" s="132"/>
      <c r="D814" s="132"/>
      <c r="E814" s="132"/>
      <c r="F814" s="132"/>
      <c r="G814" s="132"/>
      <c r="H814" s="372"/>
      <c r="I814" s="372"/>
      <c r="J814" s="372"/>
      <c r="K814" s="2"/>
      <c r="L814" s="132"/>
      <c r="M814" s="132"/>
      <c r="N814" s="132"/>
      <c r="O814" s="132"/>
      <c r="P814" s="132"/>
      <c r="Q814" s="132"/>
      <c r="R814" s="132"/>
      <c r="S814" s="132"/>
      <c r="T814" s="132"/>
      <c r="U814" s="132"/>
      <c r="V814" s="132"/>
      <c r="W814" s="132"/>
      <c r="X814" s="132"/>
      <c r="Y814" s="132"/>
      <c r="Z814" s="132"/>
      <c r="AA814" s="132"/>
      <c r="AB814" s="132"/>
      <c r="AC814" s="132"/>
    </row>
    <row r="815">
      <c r="A815" s="132"/>
      <c r="B815" s="132"/>
      <c r="C815" s="132"/>
      <c r="D815" s="132"/>
      <c r="E815" s="132"/>
      <c r="F815" s="132"/>
      <c r="G815" s="132"/>
      <c r="H815" s="372"/>
      <c r="I815" s="372"/>
      <c r="J815" s="372"/>
      <c r="K815" s="2"/>
      <c r="L815" s="132"/>
      <c r="M815" s="132"/>
      <c r="N815" s="132"/>
      <c r="O815" s="132"/>
      <c r="P815" s="132"/>
      <c r="Q815" s="132"/>
      <c r="R815" s="132"/>
      <c r="S815" s="132"/>
      <c r="T815" s="132"/>
      <c r="U815" s="132"/>
      <c r="V815" s="132"/>
      <c r="W815" s="132"/>
      <c r="X815" s="132"/>
      <c r="Y815" s="132"/>
      <c r="Z815" s="132"/>
      <c r="AA815" s="132"/>
      <c r="AB815" s="132"/>
      <c r="AC815" s="132"/>
    </row>
    <row r="816">
      <c r="A816" s="132"/>
      <c r="B816" s="132"/>
      <c r="C816" s="132"/>
      <c r="D816" s="132"/>
      <c r="E816" s="132"/>
      <c r="F816" s="132"/>
      <c r="G816" s="132"/>
      <c r="H816" s="372"/>
      <c r="I816" s="372"/>
      <c r="J816" s="372"/>
      <c r="K816" s="2"/>
      <c r="L816" s="132"/>
      <c r="M816" s="132"/>
      <c r="N816" s="132"/>
      <c r="O816" s="132"/>
      <c r="P816" s="132"/>
      <c r="Q816" s="132"/>
      <c r="R816" s="132"/>
      <c r="S816" s="132"/>
      <c r="T816" s="132"/>
      <c r="U816" s="132"/>
      <c r="V816" s="132"/>
      <c r="W816" s="132"/>
      <c r="X816" s="132"/>
      <c r="Y816" s="132"/>
      <c r="Z816" s="132"/>
      <c r="AA816" s="132"/>
      <c r="AB816" s="132"/>
      <c r="AC816" s="132"/>
    </row>
    <row r="817">
      <c r="A817" s="132"/>
      <c r="B817" s="132"/>
      <c r="C817" s="132"/>
      <c r="D817" s="132"/>
      <c r="E817" s="132"/>
      <c r="F817" s="132"/>
      <c r="G817" s="132"/>
      <c r="H817" s="372"/>
      <c r="I817" s="372"/>
      <c r="J817" s="372"/>
      <c r="K817" s="2"/>
      <c r="L817" s="132"/>
      <c r="M817" s="132"/>
      <c r="N817" s="132"/>
      <c r="O817" s="132"/>
      <c r="P817" s="132"/>
      <c r="Q817" s="132"/>
      <c r="R817" s="132"/>
      <c r="S817" s="132"/>
      <c r="T817" s="132"/>
      <c r="U817" s="132"/>
      <c r="V817" s="132"/>
      <c r="W817" s="132"/>
      <c r="X817" s="132"/>
      <c r="Y817" s="132"/>
      <c r="Z817" s="132"/>
      <c r="AA817" s="132"/>
      <c r="AB817" s="132"/>
      <c r="AC817" s="132"/>
    </row>
    <row r="818">
      <c r="A818" s="132"/>
      <c r="B818" s="132"/>
      <c r="C818" s="132"/>
      <c r="D818" s="132"/>
      <c r="E818" s="132"/>
      <c r="F818" s="132"/>
      <c r="G818" s="132"/>
      <c r="H818" s="372"/>
      <c r="I818" s="372"/>
      <c r="J818" s="372"/>
      <c r="K818" s="2"/>
      <c r="L818" s="132"/>
      <c r="M818" s="132"/>
      <c r="N818" s="132"/>
      <c r="O818" s="132"/>
      <c r="P818" s="132"/>
      <c r="Q818" s="132"/>
      <c r="R818" s="132"/>
      <c r="S818" s="132"/>
      <c r="T818" s="132"/>
      <c r="U818" s="132"/>
      <c r="V818" s="132"/>
      <c r="W818" s="132"/>
      <c r="X818" s="132"/>
      <c r="Y818" s="132"/>
      <c r="Z818" s="132"/>
      <c r="AA818" s="132"/>
      <c r="AB818" s="132"/>
      <c r="AC818" s="132"/>
    </row>
    <row r="819">
      <c r="A819" s="132"/>
      <c r="B819" s="132"/>
      <c r="C819" s="132"/>
      <c r="D819" s="132"/>
      <c r="E819" s="132"/>
      <c r="F819" s="132"/>
      <c r="G819" s="132"/>
      <c r="H819" s="372"/>
      <c r="I819" s="372"/>
      <c r="J819" s="372"/>
      <c r="K819" s="2"/>
      <c r="L819" s="132"/>
      <c r="M819" s="132"/>
      <c r="N819" s="132"/>
      <c r="O819" s="132"/>
      <c r="P819" s="132"/>
      <c r="Q819" s="132"/>
      <c r="R819" s="132"/>
      <c r="S819" s="132"/>
      <c r="T819" s="132"/>
      <c r="U819" s="132"/>
      <c r="V819" s="132"/>
      <c r="W819" s="132"/>
      <c r="X819" s="132"/>
      <c r="Y819" s="132"/>
      <c r="Z819" s="132"/>
      <c r="AA819" s="132"/>
      <c r="AB819" s="132"/>
      <c r="AC819" s="132"/>
    </row>
    <row r="820">
      <c r="A820" s="132"/>
      <c r="B820" s="132"/>
      <c r="C820" s="132"/>
      <c r="D820" s="132"/>
      <c r="E820" s="132"/>
      <c r="F820" s="132"/>
      <c r="G820" s="132"/>
      <c r="H820" s="372"/>
      <c r="I820" s="372"/>
      <c r="J820" s="372"/>
      <c r="K820" s="2"/>
      <c r="L820" s="132"/>
      <c r="M820" s="132"/>
      <c r="N820" s="132"/>
      <c r="O820" s="132"/>
      <c r="P820" s="132"/>
      <c r="Q820" s="132"/>
      <c r="R820" s="132"/>
      <c r="S820" s="132"/>
      <c r="T820" s="132"/>
      <c r="U820" s="132"/>
      <c r="V820" s="132"/>
      <c r="W820" s="132"/>
      <c r="X820" s="132"/>
      <c r="Y820" s="132"/>
      <c r="Z820" s="132"/>
      <c r="AA820" s="132"/>
      <c r="AB820" s="132"/>
      <c r="AC820" s="132"/>
    </row>
    <row r="821">
      <c r="A821" s="132"/>
      <c r="B821" s="132"/>
      <c r="C821" s="132"/>
      <c r="D821" s="132"/>
      <c r="E821" s="132"/>
      <c r="F821" s="132"/>
      <c r="G821" s="132"/>
      <c r="H821" s="372"/>
      <c r="I821" s="372"/>
      <c r="J821" s="372"/>
      <c r="K821" s="2"/>
      <c r="L821" s="132"/>
      <c r="M821" s="132"/>
      <c r="N821" s="132"/>
      <c r="O821" s="132"/>
      <c r="P821" s="132"/>
      <c r="Q821" s="132"/>
      <c r="R821" s="132"/>
      <c r="S821" s="132"/>
      <c r="T821" s="132"/>
      <c r="U821" s="132"/>
      <c r="V821" s="132"/>
      <c r="W821" s="132"/>
      <c r="X821" s="132"/>
      <c r="Y821" s="132"/>
      <c r="Z821" s="132"/>
      <c r="AA821" s="132"/>
      <c r="AB821" s="132"/>
      <c r="AC821" s="132"/>
    </row>
    <row r="822">
      <c r="A822" s="132"/>
      <c r="B822" s="132"/>
      <c r="C822" s="132"/>
      <c r="D822" s="132"/>
      <c r="E822" s="132"/>
      <c r="F822" s="132"/>
      <c r="G822" s="132"/>
      <c r="H822" s="372"/>
      <c r="I822" s="372"/>
      <c r="J822" s="372"/>
      <c r="K822" s="2"/>
      <c r="L822" s="132"/>
      <c r="M822" s="132"/>
      <c r="N822" s="132"/>
      <c r="O822" s="132"/>
      <c r="P822" s="132"/>
      <c r="Q822" s="132"/>
      <c r="R822" s="132"/>
      <c r="S822" s="132"/>
      <c r="T822" s="132"/>
      <c r="U822" s="132"/>
      <c r="V822" s="132"/>
      <c r="W822" s="132"/>
      <c r="X822" s="132"/>
      <c r="Y822" s="132"/>
      <c r="Z822" s="132"/>
      <c r="AA822" s="132"/>
      <c r="AB822" s="132"/>
      <c r="AC822" s="132"/>
    </row>
    <row r="823">
      <c r="A823" s="132"/>
      <c r="B823" s="132"/>
      <c r="C823" s="132"/>
      <c r="D823" s="132"/>
      <c r="E823" s="132"/>
      <c r="F823" s="132"/>
      <c r="G823" s="132"/>
      <c r="H823" s="372"/>
      <c r="I823" s="372"/>
      <c r="J823" s="372"/>
      <c r="K823" s="2"/>
      <c r="L823" s="132"/>
      <c r="M823" s="132"/>
      <c r="N823" s="132"/>
      <c r="O823" s="132"/>
      <c r="P823" s="132"/>
      <c r="Q823" s="132"/>
      <c r="R823" s="132"/>
      <c r="S823" s="132"/>
      <c r="T823" s="132"/>
      <c r="U823" s="132"/>
      <c r="V823" s="132"/>
      <c r="W823" s="132"/>
      <c r="X823" s="132"/>
      <c r="Y823" s="132"/>
      <c r="Z823" s="132"/>
      <c r="AA823" s="132"/>
      <c r="AB823" s="132"/>
      <c r="AC823" s="132"/>
    </row>
    <row r="824">
      <c r="A824" s="132"/>
      <c r="B824" s="132"/>
      <c r="C824" s="132"/>
      <c r="D824" s="132"/>
      <c r="E824" s="132"/>
      <c r="F824" s="132"/>
      <c r="G824" s="132"/>
      <c r="H824" s="372"/>
      <c r="I824" s="372"/>
      <c r="J824" s="372"/>
      <c r="K824" s="2"/>
      <c r="L824" s="132"/>
      <c r="M824" s="132"/>
      <c r="N824" s="132"/>
      <c r="O824" s="132"/>
      <c r="P824" s="132"/>
      <c r="Q824" s="132"/>
      <c r="R824" s="132"/>
      <c r="S824" s="132"/>
      <c r="T824" s="132"/>
      <c r="U824" s="132"/>
      <c r="V824" s="132"/>
      <c r="W824" s="132"/>
      <c r="X824" s="132"/>
      <c r="Y824" s="132"/>
      <c r="Z824" s="132"/>
      <c r="AA824" s="132"/>
      <c r="AB824" s="132"/>
      <c r="AC824" s="132"/>
    </row>
    <row r="825">
      <c r="A825" s="132"/>
      <c r="B825" s="132"/>
      <c r="C825" s="132"/>
      <c r="D825" s="132"/>
      <c r="E825" s="132"/>
      <c r="F825" s="132"/>
      <c r="G825" s="132"/>
      <c r="H825" s="372"/>
      <c r="I825" s="372"/>
      <c r="J825" s="372"/>
      <c r="K825" s="2"/>
      <c r="L825" s="132"/>
      <c r="M825" s="132"/>
      <c r="N825" s="132"/>
      <c r="O825" s="132"/>
      <c r="P825" s="132"/>
      <c r="Q825" s="132"/>
      <c r="R825" s="132"/>
      <c r="S825" s="132"/>
      <c r="T825" s="132"/>
      <c r="U825" s="132"/>
      <c r="V825" s="132"/>
      <c r="W825" s="132"/>
      <c r="X825" s="132"/>
      <c r="Y825" s="132"/>
      <c r="Z825" s="132"/>
      <c r="AA825" s="132"/>
      <c r="AB825" s="132"/>
      <c r="AC825" s="132"/>
    </row>
    <row r="826">
      <c r="A826" s="132"/>
      <c r="B826" s="132"/>
      <c r="C826" s="132"/>
      <c r="D826" s="132"/>
      <c r="E826" s="132"/>
      <c r="F826" s="132"/>
      <c r="G826" s="132"/>
      <c r="H826" s="372"/>
      <c r="I826" s="372"/>
      <c r="J826" s="372"/>
      <c r="K826" s="2"/>
      <c r="L826" s="132"/>
      <c r="M826" s="132"/>
      <c r="N826" s="132"/>
      <c r="O826" s="132"/>
      <c r="P826" s="132"/>
      <c r="Q826" s="132"/>
      <c r="R826" s="132"/>
      <c r="S826" s="132"/>
      <c r="T826" s="132"/>
      <c r="U826" s="132"/>
      <c r="V826" s="132"/>
      <c r="W826" s="132"/>
      <c r="X826" s="132"/>
      <c r="Y826" s="132"/>
      <c r="Z826" s="132"/>
      <c r="AA826" s="132"/>
      <c r="AB826" s="132"/>
      <c r="AC826" s="132"/>
    </row>
    <row r="827">
      <c r="A827" s="132"/>
      <c r="B827" s="132"/>
      <c r="C827" s="132"/>
      <c r="D827" s="132"/>
      <c r="E827" s="132"/>
      <c r="F827" s="132"/>
      <c r="G827" s="132"/>
      <c r="H827" s="372"/>
      <c r="I827" s="372"/>
      <c r="J827" s="372"/>
      <c r="K827" s="2"/>
      <c r="L827" s="132"/>
      <c r="M827" s="132"/>
      <c r="N827" s="132"/>
      <c r="O827" s="132"/>
      <c r="P827" s="132"/>
      <c r="Q827" s="132"/>
      <c r="R827" s="132"/>
      <c r="S827" s="132"/>
      <c r="T827" s="132"/>
      <c r="U827" s="132"/>
      <c r="V827" s="132"/>
      <c r="W827" s="132"/>
      <c r="X827" s="132"/>
      <c r="Y827" s="132"/>
      <c r="Z827" s="132"/>
      <c r="AA827" s="132"/>
      <c r="AB827" s="132"/>
      <c r="AC827" s="132"/>
    </row>
    <row r="828">
      <c r="A828" s="132"/>
      <c r="B828" s="132"/>
      <c r="C828" s="132"/>
      <c r="D828" s="132"/>
      <c r="E828" s="132"/>
      <c r="F828" s="132"/>
      <c r="G828" s="132"/>
      <c r="H828" s="372"/>
      <c r="I828" s="372"/>
      <c r="J828" s="372"/>
      <c r="K828" s="2"/>
      <c r="L828" s="132"/>
      <c r="M828" s="132"/>
      <c r="N828" s="132"/>
      <c r="O828" s="132"/>
      <c r="P828" s="132"/>
      <c r="Q828" s="132"/>
      <c r="R828" s="132"/>
      <c r="S828" s="132"/>
      <c r="T828" s="132"/>
      <c r="U828" s="132"/>
      <c r="V828" s="132"/>
      <c r="W828" s="132"/>
      <c r="X828" s="132"/>
      <c r="Y828" s="132"/>
      <c r="Z828" s="132"/>
      <c r="AA828" s="132"/>
      <c r="AB828" s="132"/>
      <c r="AC828" s="132"/>
    </row>
    <row r="829">
      <c r="A829" s="132"/>
      <c r="B829" s="132"/>
      <c r="C829" s="132"/>
      <c r="D829" s="132"/>
      <c r="E829" s="132"/>
      <c r="F829" s="132"/>
      <c r="G829" s="132"/>
      <c r="H829" s="372"/>
      <c r="I829" s="372"/>
      <c r="J829" s="372"/>
      <c r="K829" s="2"/>
      <c r="L829" s="132"/>
      <c r="M829" s="132"/>
      <c r="N829" s="132"/>
      <c r="O829" s="132"/>
      <c r="P829" s="132"/>
      <c r="Q829" s="132"/>
      <c r="R829" s="132"/>
      <c r="S829" s="132"/>
      <c r="T829" s="132"/>
      <c r="U829" s="132"/>
      <c r="V829" s="132"/>
      <c r="W829" s="132"/>
      <c r="X829" s="132"/>
      <c r="Y829" s="132"/>
      <c r="Z829" s="132"/>
      <c r="AA829" s="132"/>
      <c r="AB829" s="132"/>
      <c r="AC829" s="132"/>
    </row>
    <row r="830">
      <c r="A830" s="132"/>
      <c r="B830" s="132"/>
      <c r="C830" s="132"/>
      <c r="D830" s="132"/>
      <c r="E830" s="132"/>
      <c r="F830" s="132"/>
      <c r="G830" s="132"/>
      <c r="H830" s="372"/>
      <c r="I830" s="372"/>
      <c r="J830" s="372"/>
      <c r="K830" s="2"/>
      <c r="L830" s="132"/>
      <c r="M830" s="132"/>
      <c r="N830" s="132"/>
      <c r="O830" s="132"/>
      <c r="P830" s="132"/>
      <c r="Q830" s="132"/>
      <c r="R830" s="132"/>
      <c r="S830" s="132"/>
      <c r="T830" s="132"/>
      <c r="U830" s="132"/>
      <c r="V830" s="132"/>
      <c r="W830" s="132"/>
      <c r="X830" s="132"/>
      <c r="Y830" s="132"/>
      <c r="Z830" s="132"/>
      <c r="AA830" s="132"/>
      <c r="AB830" s="132"/>
      <c r="AC830" s="132"/>
    </row>
    <row r="831">
      <c r="A831" s="132"/>
      <c r="B831" s="132"/>
      <c r="C831" s="132"/>
      <c r="D831" s="132"/>
      <c r="E831" s="132"/>
      <c r="F831" s="132"/>
      <c r="G831" s="132"/>
      <c r="H831" s="372"/>
      <c r="I831" s="372"/>
      <c r="J831" s="372"/>
      <c r="K831" s="2"/>
      <c r="L831" s="132"/>
      <c r="M831" s="132"/>
      <c r="N831" s="132"/>
      <c r="O831" s="132"/>
      <c r="P831" s="132"/>
      <c r="Q831" s="132"/>
      <c r="R831" s="132"/>
      <c r="S831" s="132"/>
      <c r="T831" s="132"/>
      <c r="U831" s="132"/>
      <c r="V831" s="132"/>
      <c r="W831" s="132"/>
      <c r="X831" s="132"/>
      <c r="Y831" s="132"/>
      <c r="Z831" s="132"/>
      <c r="AA831" s="132"/>
      <c r="AB831" s="132"/>
      <c r="AC831" s="132"/>
    </row>
    <row r="832">
      <c r="A832" s="132"/>
      <c r="B832" s="132"/>
      <c r="C832" s="132"/>
      <c r="D832" s="132"/>
      <c r="E832" s="132"/>
      <c r="F832" s="132"/>
      <c r="G832" s="132"/>
      <c r="H832" s="372"/>
      <c r="I832" s="372"/>
      <c r="J832" s="372"/>
      <c r="K832" s="2"/>
      <c r="L832" s="132"/>
      <c r="M832" s="132"/>
      <c r="N832" s="132"/>
      <c r="O832" s="132"/>
      <c r="P832" s="132"/>
      <c r="Q832" s="132"/>
      <c r="R832" s="132"/>
      <c r="S832" s="132"/>
      <c r="T832" s="132"/>
      <c r="U832" s="132"/>
      <c r="V832" s="132"/>
      <c r="W832" s="132"/>
      <c r="X832" s="132"/>
      <c r="Y832" s="132"/>
      <c r="Z832" s="132"/>
      <c r="AA832" s="132"/>
      <c r="AB832" s="132"/>
      <c r="AC832" s="132"/>
    </row>
    <row r="833">
      <c r="A833" s="132"/>
      <c r="B833" s="132"/>
      <c r="C833" s="132"/>
      <c r="D833" s="132"/>
      <c r="E833" s="132"/>
      <c r="F833" s="132"/>
      <c r="G833" s="132"/>
      <c r="H833" s="372"/>
      <c r="I833" s="372"/>
      <c r="J833" s="372"/>
      <c r="K833" s="2"/>
      <c r="L833" s="132"/>
      <c r="M833" s="132"/>
      <c r="N833" s="132"/>
      <c r="O833" s="132"/>
      <c r="P833" s="132"/>
      <c r="Q833" s="132"/>
      <c r="R833" s="132"/>
      <c r="S833" s="132"/>
      <c r="T833" s="132"/>
      <c r="U833" s="132"/>
      <c r="V833" s="132"/>
      <c r="W833" s="132"/>
      <c r="X833" s="132"/>
      <c r="Y833" s="132"/>
      <c r="Z833" s="132"/>
      <c r="AA833" s="132"/>
      <c r="AB833" s="132"/>
      <c r="AC833" s="132"/>
    </row>
    <row r="834">
      <c r="A834" s="132"/>
      <c r="B834" s="132"/>
      <c r="C834" s="132"/>
      <c r="D834" s="132"/>
      <c r="E834" s="132"/>
      <c r="F834" s="132"/>
      <c r="G834" s="132"/>
      <c r="H834" s="372"/>
      <c r="I834" s="372"/>
      <c r="J834" s="372"/>
      <c r="K834" s="2"/>
      <c r="L834" s="132"/>
      <c r="M834" s="132"/>
      <c r="N834" s="132"/>
      <c r="O834" s="132"/>
      <c r="P834" s="132"/>
      <c r="Q834" s="132"/>
      <c r="R834" s="132"/>
      <c r="S834" s="132"/>
      <c r="T834" s="132"/>
      <c r="U834" s="132"/>
      <c r="V834" s="132"/>
      <c r="W834" s="132"/>
      <c r="X834" s="132"/>
      <c r="Y834" s="132"/>
      <c r="Z834" s="132"/>
      <c r="AA834" s="132"/>
      <c r="AB834" s="132"/>
      <c r="AC834" s="132"/>
    </row>
    <row r="835">
      <c r="A835" s="132"/>
      <c r="B835" s="132"/>
      <c r="C835" s="132"/>
      <c r="D835" s="132"/>
      <c r="E835" s="132"/>
      <c r="F835" s="132"/>
      <c r="G835" s="132"/>
      <c r="H835" s="372"/>
      <c r="I835" s="372"/>
      <c r="J835" s="372"/>
      <c r="K835" s="2"/>
      <c r="L835" s="132"/>
      <c r="M835" s="132"/>
      <c r="N835" s="132"/>
      <c r="O835" s="132"/>
      <c r="P835" s="132"/>
      <c r="Q835" s="132"/>
      <c r="R835" s="132"/>
      <c r="S835" s="132"/>
      <c r="T835" s="132"/>
      <c r="U835" s="132"/>
      <c r="V835" s="132"/>
      <c r="W835" s="132"/>
      <c r="X835" s="132"/>
      <c r="Y835" s="132"/>
      <c r="Z835" s="132"/>
      <c r="AA835" s="132"/>
      <c r="AB835" s="132"/>
      <c r="AC835" s="132"/>
    </row>
    <row r="836">
      <c r="A836" s="132"/>
      <c r="B836" s="132"/>
      <c r="C836" s="132"/>
      <c r="D836" s="132"/>
      <c r="E836" s="132"/>
      <c r="F836" s="132"/>
      <c r="G836" s="132"/>
      <c r="H836" s="372"/>
      <c r="I836" s="372"/>
      <c r="J836" s="372"/>
      <c r="K836" s="2"/>
      <c r="L836" s="132"/>
      <c r="M836" s="132"/>
      <c r="N836" s="132"/>
      <c r="O836" s="132"/>
      <c r="P836" s="132"/>
      <c r="Q836" s="132"/>
      <c r="R836" s="132"/>
      <c r="S836" s="132"/>
      <c r="T836" s="132"/>
      <c r="U836" s="132"/>
      <c r="V836" s="132"/>
      <c r="W836" s="132"/>
      <c r="X836" s="132"/>
      <c r="Y836" s="132"/>
      <c r="Z836" s="132"/>
      <c r="AA836" s="132"/>
      <c r="AB836" s="132"/>
      <c r="AC836" s="132"/>
    </row>
    <row r="837">
      <c r="A837" s="132"/>
      <c r="B837" s="132"/>
      <c r="C837" s="132"/>
      <c r="D837" s="132"/>
      <c r="E837" s="132"/>
      <c r="F837" s="132"/>
      <c r="G837" s="132"/>
      <c r="H837" s="372"/>
      <c r="I837" s="372"/>
      <c r="J837" s="372"/>
      <c r="K837" s="2"/>
      <c r="L837" s="132"/>
      <c r="M837" s="132"/>
      <c r="N837" s="132"/>
      <c r="O837" s="132"/>
      <c r="P837" s="132"/>
      <c r="Q837" s="132"/>
      <c r="R837" s="132"/>
      <c r="S837" s="132"/>
      <c r="T837" s="132"/>
      <c r="U837" s="132"/>
      <c r="V837" s="132"/>
      <c r="W837" s="132"/>
      <c r="X837" s="132"/>
      <c r="Y837" s="132"/>
      <c r="Z837" s="132"/>
      <c r="AA837" s="132"/>
      <c r="AB837" s="132"/>
      <c r="AC837" s="132"/>
    </row>
    <row r="838">
      <c r="A838" s="132"/>
      <c r="B838" s="132"/>
      <c r="C838" s="132"/>
      <c r="D838" s="132"/>
      <c r="E838" s="132"/>
      <c r="F838" s="132"/>
      <c r="G838" s="132"/>
      <c r="H838" s="372"/>
      <c r="I838" s="372"/>
      <c r="J838" s="372"/>
      <c r="K838" s="2"/>
      <c r="L838" s="132"/>
      <c r="M838" s="132"/>
      <c r="N838" s="132"/>
      <c r="O838" s="132"/>
      <c r="P838" s="132"/>
      <c r="Q838" s="132"/>
      <c r="R838" s="132"/>
      <c r="S838" s="132"/>
      <c r="T838" s="132"/>
      <c r="U838" s="132"/>
      <c r="V838" s="132"/>
      <c r="W838" s="132"/>
      <c r="X838" s="132"/>
      <c r="Y838" s="132"/>
      <c r="Z838" s="132"/>
      <c r="AA838" s="132"/>
      <c r="AB838" s="132"/>
      <c r="AC838" s="132"/>
    </row>
    <row r="839">
      <c r="A839" s="132"/>
      <c r="B839" s="132"/>
      <c r="C839" s="132"/>
      <c r="D839" s="132"/>
      <c r="E839" s="132"/>
      <c r="F839" s="132"/>
      <c r="G839" s="132"/>
      <c r="H839" s="372"/>
      <c r="I839" s="372"/>
      <c r="J839" s="372"/>
      <c r="K839" s="2"/>
      <c r="L839" s="132"/>
      <c r="M839" s="132"/>
      <c r="N839" s="132"/>
      <c r="O839" s="132"/>
      <c r="P839" s="132"/>
      <c r="Q839" s="132"/>
      <c r="R839" s="132"/>
      <c r="S839" s="132"/>
      <c r="T839" s="132"/>
      <c r="U839" s="132"/>
      <c r="V839" s="132"/>
      <c r="W839" s="132"/>
      <c r="X839" s="132"/>
      <c r="Y839" s="132"/>
      <c r="Z839" s="132"/>
      <c r="AA839" s="132"/>
      <c r="AB839" s="132"/>
      <c r="AC839" s="132"/>
    </row>
    <row r="840">
      <c r="A840" s="132"/>
      <c r="B840" s="132"/>
      <c r="C840" s="132"/>
      <c r="D840" s="132"/>
      <c r="E840" s="132"/>
      <c r="F840" s="132"/>
      <c r="G840" s="132"/>
      <c r="H840" s="372"/>
      <c r="I840" s="372"/>
      <c r="J840" s="372"/>
      <c r="K840" s="2"/>
      <c r="L840" s="132"/>
      <c r="M840" s="132"/>
      <c r="N840" s="132"/>
      <c r="O840" s="132"/>
      <c r="P840" s="132"/>
      <c r="Q840" s="132"/>
      <c r="R840" s="132"/>
      <c r="S840" s="132"/>
      <c r="T840" s="132"/>
      <c r="U840" s="132"/>
      <c r="V840" s="132"/>
      <c r="W840" s="132"/>
      <c r="X840" s="132"/>
      <c r="Y840" s="132"/>
      <c r="Z840" s="132"/>
      <c r="AA840" s="132"/>
      <c r="AB840" s="132"/>
      <c r="AC840" s="132"/>
    </row>
    <row r="841">
      <c r="A841" s="132"/>
      <c r="B841" s="132"/>
      <c r="C841" s="132"/>
      <c r="D841" s="132"/>
      <c r="E841" s="132"/>
      <c r="F841" s="132"/>
      <c r="G841" s="132"/>
      <c r="H841" s="372"/>
      <c r="I841" s="372"/>
      <c r="J841" s="372"/>
      <c r="K841" s="2"/>
      <c r="L841" s="132"/>
      <c r="M841" s="132"/>
      <c r="N841" s="132"/>
      <c r="O841" s="132"/>
      <c r="P841" s="132"/>
      <c r="Q841" s="132"/>
      <c r="R841" s="132"/>
      <c r="S841" s="132"/>
      <c r="T841" s="132"/>
      <c r="U841" s="132"/>
      <c r="V841" s="132"/>
      <c r="W841" s="132"/>
      <c r="X841" s="132"/>
      <c r="Y841" s="132"/>
      <c r="Z841" s="132"/>
      <c r="AA841" s="132"/>
      <c r="AB841" s="132"/>
      <c r="AC841" s="132"/>
    </row>
    <row r="842">
      <c r="A842" s="132"/>
      <c r="B842" s="132"/>
      <c r="C842" s="132"/>
      <c r="D842" s="132"/>
      <c r="E842" s="132"/>
      <c r="F842" s="132"/>
      <c r="G842" s="132"/>
      <c r="H842" s="372"/>
      <c r="I842" s="372"/>
      <c r="J842" s="372"/>
      <c r="K842" s="2"/>
      <c r="L842" s="132"/>
      <c r="M842" s="132"/>
      <c r="N842" s="132"/>
      <c r="O842" s="132"/>
      <c r="P842" s="132"/>
      <c r="Q842" s="132"/>
      <c r="R842" s="132"/>
      <c r="S842" s="132"/>
      <c r="T842" s="132"/>
      <c r="U842" s="132"/>
      <c r="V842" s="132"/>
      <c r="W842" s="132"/>
      <c r="X842" s="132"/>
      <c r="Y842" s="132"/>
      <c r="Z842" s="132"/>
      <c r="AA842" s="132"/>
      <c r="AB842" s="132"/>
      <c r="AC842" s="132"/>
    </row>
    <row r="843">
      <c r="A843" s="132"/>
      <c r="B843" s="132"/>
      <c r="C843" s="132"/>
      <c r="D843" s="132"/>
      <c r="E843" s="132"/>
      <c r="F843" s="132"/>
      <c r="G843" s="132"/>
      <c r="H843" s="372"/>
      <c r="I843" s="372"/>
      <c r="J843" s="372"/>
      <c r="K843" s="2"/>
      <c r="L843" s="132"/>
      <c r="M843" s="132"/>
      <c r="N843" s="132"/>
      <c r="O843" s="132"/>
      <c r="P843" s="132"/>
      <c r="Q843" s="132"/>
      <c r="R843" s="132"/>
      <c r="S843" s="132"/>
      <c r="T843" s="132"/>
      <c r="U843" s="132"/>
      <c r="V843" s="132"/>
      <c r="W843" s="132"/>
      <c r="X843" s="132"/>
      <c r="Y843" s="132"/>
      <c r="Z843" s="132"/>
      <c r="AA843" s="132"/>
      <c r="AB843" s="132"/>
      <c r="AC843" s="132"/>
    </row>
    <row r="844">
      <c r="A844" s="132"/>
      <c r="B844" s="132"/>
      <c r="C844" s="132"/>
      <c r="D844" s="132"/>
      <c r="E844" s="132"/>
      <c r="F844" s="132"/>
      <c r="G844" s="132"/>
      <c r="H844" s="372"/>
      <c r="I844" s="372"/>
      <c r="J844" s="372"/>
      <c r="K844" s="2"/>
      <c r="L844" s="132"/>
      <c r="M844" s="132"/>
      <c r="N844" s="132"/>
      <c r="O844" s="132"/>
      <c r="P844" s="132"/>
      <c r="Q844" s="132"/>
      <c r="R844" s="132"/>
      <c r="S844" s="132"/>
      <c r="T844" s="132"/>
      <c r="U844" s="132"/>
      <c r="V844" s="132"/>
      <c r="W844" s="132"/>
      <c r="X844" s="132"/>
      <c r="Y844" s="132"/>
      <c r="Z844" s="132"/>
      <c r="AA844" s="132"/>
      <c r="AB844" s="132"/>
      <c r="AC844" s="132"/>
    </row>
    <row r="845">
      <c r="A845" s="132"/>
      <c r="B845" s="132"/>
      <c r="C845" s="132"/>
      <c r="D845" s="132"/>
      <c r="E845" s="132"/>
      <c r="F845" s="132"/>
      <c r="G845" s="132"/>
      <c r="H845" s="372"/>
      <c r="I845" s="372"/>
      <c r="J845" s="372"/>
      <c r="K845" s="2"/>
      <c r="L845" s="132"/>
      <c r="M845" s="132"/>
      <c r="N845" s="132"/>
      <c r="O845" s="132"/>
      <c r="P845" s="132"/>
      <c r="Q845" s="132"/>
      <c r="R845" s="132"/>
      <c r="S845" s="132"/>
      <c r="T845" s="132"/>
      <c r="U845" s="132"/>
      <c r="V845" s="132"/>
      <c r="W845" s="132"/>
      <c r="X845" s="132"/>
      <c r="Y845" s="132"/>
      <c r="Z845" s="132"/>
      <c r="AA845" s="132"/>
      <c r="AB845" s="132"/>
      <c r="AC845" s="132"/>
    </row>
    <row r="846">
      <c r="A846" s="132"/>
      <c r="B846" s="132"/>
      <c r="C846" s="132"/>
      <c r="D846" s="132"/>
      <c r="E846" s="132"/>
      <c r="F846" s="132"/>
      <c r="G846" s="132"/>
      <c r="H846" s="372"/>
      <c r="I846" s="372"/>
      <c r="J846" s="372"/>
      <c r="K846" s="2"/>
      <c r="L846" s="132"/>
      <c r="M846" s="132"/>
      <c r="N846" s="132"/>
      <c r="O846" s="132"/>
      <c r="P846" s="132"/>
      <c r="Q846" s="132"/>
      <c r="R846" s="132"/>
      <c r="S846" s="132"/>
      <c r="T846" s="132"/>
      <c r="U846" s="132"/>
      <c r="V846" s="132"/>
      <c r="W846" s="132"/>
      <c r="X846" s="132"/>
      <c r="Y846" s="132"/>
      <c r="Z846" s="132"/>
      <c r="AA846" s="132"/>
      <c r="AB846" s="132"/>
      <c r="AC846" s="132"/>
    </row>
    <row r="847">
      <c r="A847" s="132"/>
      <c r="B847" s="132"/>
      <c r="C847" s="132"/>
      <c r="D847" s="132"/>
      <c r="E847" s="132"/>
      <c r="F847" s="132"/>
      <c r="G847" s="132"/>
      <c r="H847" s="372"/>
      <c r="I847" s="372"/>
      <c r="J847" s="372"/>
      <c r="K847" s="2"/>
      <c r="L847" s="132"/>
      <c r="M847" s="132"/>
      <c r="N847" s="132"/>
      <c r="O847" s="132"/>
      <c r="P847" s="132"/>
      <c r="Q847" s="132"/>
      <c r="R847" s="132"/>
      <c r="S847" s="132"/>
      <c r="T847" s="132"/>
      <c r="U847" s="132"/>
      <c r="V847" s="132"/>
      <c r="W847" s="132"/>
      <c r="X847" s="132"/>
      <c r="Y847" s="132"/>
      <c r="Z847" s="132"/>
      <c r="AA847" s="132"/>
      <c r="AB847" s="132"/>
      <c r="AC847" s="132"/>
    </row>
    <row r="848">
      <c r="A848" s="132"/>
      <c r="B848" s="132"/>
      <c r="C848" s="132"/>
      <c r="D848" s="132"/>
      <c r="E848" s="132"/>
      <c r="F848" s="132"/>
      <c r="G848" s="132"/>
      <c r="H848" s="372"/>
      <c r="I848" s="372"/>
      <c r="J848" s="372"/>
      <c r="K848" s="2"/>
      <c r="L848" s="132"/>
      <c r="M848" s="132"/>
      <c r="N848" s="132"/>
      <c r="O848" s="132"/>
      <c r="P848" s="132"/>
      <c r="Q848" s="132"/>
      <c r="R848" s="132"/>
      <c r="S848" s="132"/>
      <c r="T848" s="132"/>
      <c r="U848" s="132"/>
      <c r="V848" s="132"/>
      <c r="W848" s="132"/>
      <c r="X848" s="132"/>
      <c r="Y848" s="132"/>
      <c r="Z848" s="132"/>
      <c r="AA848" s="132"/>
      <c r="AB848" s="132"/>
      <c r="AC848" s="132"/>
    </row>
    <row r="849">
      <c r="A849" s="132"/>
      <c r="B849" s="132"/>
      <c r="C849" s="132"/>
      <c r="D849" s="132"/>
      <c r="E849" s="132"/>
      <c r="F849" s="132"/>
      <c r="G849" s="132"/>
      <c r="H849" s="372"/>
      <c r="I849" s="372"/>
      <c r="J849" s="372"/>
      <c r="K849" s="2"/>
      <c r="L849" s="132"/>
      <c r="M849" s="132"/>
      <c r="N849" s="132"/>
      <c r="O849" s="132"/>
      <c r="P849" s="132"/>
      <c r="Q849" s="132"/>
      <c r="R849" s="132"/>
      <c r="S849" s="132"/>
      <c r="T849" s="132"/>
      <c r="U849" s="132"/>
      <c r="V849" s="132"/>
      <c r="W849" s="132"/>
      <c r="X849" s="132"/>
      <c r="Y849" s="132"/>
      <c r="Z849" s="132"/>
      <c r="AA849" s="132"/>
      <c r="AB849" s="132"/>
      <c r="AC849" s="132"/>
    </row>
    <row r="850">
      <c r="A850" s="132"/>
      <c r="B850" s="132"/>
      <c r="C850" s="132"/>
      <c r="D850" s="132"/>
      <c r="E850" s="132"/>
      <c r="F850" s="132"/>
      <c r="G850" s="132"/>
      <c r="H850" s="372"/>
      <c r="I850" s="372"/>
      <c r="J850" s="372"/>
      <c r="K850" s="2"/>
      <c r="L850" s="132"/>
      <c r="M850" s="132"/>
      <c r="N850" s="132"/>
      <c r="O850" s="132"/>
      <c r="P850" s="132"/>
      <c r="Q850" s="132"/>
      <c r="R850" s="132"/>
      <c r="S850" s="132"/>
      <c r="T850" s="132"/>
      <c r="U850" s="132"/>
      <c r="V850" s="132"/>
      <c r="W850" s="132"/>
      <c r="X850" s="132"/>
      <c r="Y850" s="132"/>
      <c r="Z850" s="132"/>
      <c r="AA850" s="132"/>
      <c r="AB850" s="132"/>
      <c r="AC850" s="132"/>
    </row>
    <row r="851">
      <c r="A851" s="132"/>
      <c r="B851" s="132"/>
      <c r="C851" s="132"/>
      <c r="D851" s="132"/>
      <c r="E851" s="132"/>
      <c r="F851" s="132"/>
      <c r="G851" s="132"/>
      <c r="H851" s="372"/>
      <c r="I851" s="372"/>
      <c r="J851" s="372"/>
      <c r="K851" s="2"/>
      <c r="L851" s="132"/>
      <c r="M851" s="132"/>
      <c r="N851" s="132"/>
      <c r="O851" s="132"/>
      <c r="P851" s="132"/>
      <c r="Q851" s="132"/>
      <c r="R851" s="132"/>
      <c r="S851" s="132"/>
      <c r="T851" s="132"/>
      <c r="U851" s="132"/>
      <c r="V851" s="132"/>
      <c r="W851" s="132"/>
      <c r="X851" s="132"/>
      <c r="Y851" s="132"/>
      <c r="Z851" s="132"/>
      <c r="AA851" s="132"/>
      <c r="AB851" s="132"/>
      <c r="AC851" s="132"/>
    </row>
    <row r="852">
      <c r="A852" s="132"/>
      <c r="B852" s="132"/>
      <c r="C852" s="132"/>
      <c r="D852" s="132"/>
      <c r="E852" s="132"/>
      <c r="F852" s="132"/>
      <c r="G852" s="132"/>
      <c r="H852" s="372"/>
      <c r="I852" s="372"/>
      <c r="J852" s="372"/>
      <c r="K852" s="2"/>
      <c r="L852" s="132"/>
      <c r="M852" s="132"/>
      <c r="N852" s="132"/>
      <c r="O852" s="132"/>
      <c r="P852" s="132"/>
      <c r="Q852" s="132"/>
      <c r="R852" s="132"/>
      <c r="S852" s="132"/>
      <c r="T852" s="132"/>
      <c r="U852" s="132"/>
      <c r="V852" s="132"/>
      <c r="W852" s="132"/>
      <c r="X852" s="132"/>
      <c r="Y852" s="132"/>
      <c r="Z852" s="132"/>
      <c r="AA852" s="132"/>
      <c r="AB852" s="132"/>
      <c r="AC852" s="132"/>
    </row>
    <row r="853">
      <c r="A853" s="132"/>
      <c r="B853" s="132"/>
      <c r="C853" s="132"/>
      <c r="D853" s="132"/>
      <c r="E853" s="132"/>
      <c r="F853" s="132"/>
      <c r="G853" s="132"/>
      <c r="H853" s="372"/>
      <c r="I853" s="372"/>
      <c r="J853" s="372"/>
      <c r="K853" s="2"/>
      <c r="L853" s="132"/>
      <c r="M853" s="132"/>
      <c r="N853" s="132"/>
      <c r="O853" s="132"/>
      <c r="P853" s="132"/>
      <c r="Q853" s="132"/>
      <c r="R853" s="132"/>
      <c r="S853" s="132"/>
      <c r="T853" s="132"/>
      <c r="U853" s="132"/>
      <c r="V853" s="132"/>
      <c r="W853" s="132"/>
      <c r="X853" s="132"/>
      <c r="Y853" s="132"/>
      <c r="Z853" s="132"/>
      <c r="AA853" s="132"/>
      <c r="AB853" s="132"/>
      <c r="AC853" s="132"/>
    </row>
    <row r="854">
      <c r="A854" s="132"/>
      <c r="B854" s="132"/>
      <c r="C854" s="132"/>
      <c r="D854" s="132"/>
      <c r="E854" s="132"/>
      <c r="F854" s="132"/>
      <c r="G854" s="132"/>
      <c r="H854" s="372"/>
      <c r="I854" s="372"/>
      <c r="J854" s="372"/>
      <c r="K854" s="2"/>
      <c r="L854" s="132"/>
      <c r="M854" s="132"/>
      <c r="N854" s="132"/>
      <c r="O854" s="132"/>
      <c r="P854" s="132"/>
      <c r="Q854" s="132"/>
      <c r="R854" s="132"/>
      <c r="S854" s="132"/>
      <c r="T854" s="132"/>
      <c r="U854" s="132"/>
      <c r="V854" s="132"/>
      <c r="W854" s="132"/>
      <c r="X854" s="132"/>
      <c r="Y854" s="132"/>
      <c r="Z854" s="132"/>
      <c r="AA854" s="132"/>
      <c r="AB854" s="132"/>
      <c r="AC854" s="132"/>
    </row>
    <row r="855">
      <c r="A855" s="132"/>
      <c r="B855" s="132"/>
      <c r="C855" s="132"/>
      <c r="D855" s="132"/>
      <c r="E855" s="132"/>
      <c r="F855" s="132"/>
      <c r="G855" s="132"/>
      <c r="H855" s="372"/>
      <c r="I855" s="372"/>
      <c r="J855" s="372"/>
      <c r="K855" s="2"/>
      <c r="L855" s="132"/>
      <c r="M855" s="132"/>
      <c r="N855" s="132"/>
      <c r="O855" s="132"/>
      <c r="P855" s="132"/>
      <c r="Q855" s="132"/>
      <c r="R855" s="132"/>
      <c r="S855" s="132"/>
      <c r="T855" s="132"/>
      <c r="U855" s="132"/>
      <c r="V855" s="132"/>
      <c r="W855" s="132"/>
      <c r="X855" s="132"/>
      <c r="Y855" s="132"/>
      <c r="Z855" s="132"/>
      <c r="AA855" s="132"/>
      <c r="AB855" s="132"/>
      <c r="AC855" s="132"/>
    </row>
    <row r="856">
      <c r="A856" s="132"/>
      <c r="B856" s="132"/>
      <c r="C856" s="132"/>
      <c r="D856" s="132"/>
      <c r="E856" s="132"/>
      <c r="F856" s="132"/>
      <c r="G856" s="132"/>
      <c r="H856" s="372"/>
      <c r="I856" s="372"/>
      <c r="J856" s="372"/>
      <c r="K856" s="2"/>
      <c r="L856" s="132"/>
      <c r="M856" s="132"/>
      <c r="N856" s="132"/>
      <c r="O856" s="132"/>
      <c r="P856" s="132"/>
      <c r="Q856" s="132"/>
      <c r="R856" s="132"/>
      <c r="S856" s="132"/>
      <c r="T856" s="132"/>
      <c r="U856" s="132"/>
      <c r="V856" s="132"/>
      <c r="W856" s="132"/>
      <c r="X856" s="132"/>
      <c r="Y856" s="132"/>
      <c r="Z856" s="132"/>
      <c r="AA856" s="132"/>
      <c r="AB856" s="132"/>
      <c r="AC856" s="132"/>
    </row>
    <row r="857">
      <c r="A857" s="132"/>
      <c r="B857" s="132"/>
      <c r="C857" s="132"/>
      <c r="D857" s="132"/>
      <c r="E857" s="132"/>
      <c r="F857" s="132"/>
      <c r="G857" s="132"/>
      <c r="H857" s="372"/>
      <c r="I857" s="372"/>
      <c r="J857" s="372"/>
      <c r="K857" s="2"/>
      <c r="L857" s="132"/>
      <c r="M857" s="132"/>
      <c r="N857" s="132"/>
      <c r="O857" s="132"/>
      <c r="P857" s="132"/>
      <c r="Q857" s="132"/>
      <c r="R857" s="132"/>
      <c r="S857" s="132"/>
      <c r="T857" s="132"/>
      <c r="U857" s="132"/>
      <c r="V857" s="132"/>
      <c r="W857" s="132"/>
      <c r="X857" s="132"/>
      <c r="Y857" s="132"/>
      <c r="Z857" s="132"/>
      <c r="AA857" s="132"/>
      <c r="AB857" s="132"/>
      <c r="AC857" s="132"/>
    </row>
    <row r="858">
      <c r="A858" s="132"/>
      <c r="B858" s="132"/>
      <c r="C858" s="132"/>
      <c r="D858" s="132"/>
      <c r="E858" s="132"/>
      <c r="F858" s="132"/>
      <c r="G858" s="132"/>
      <c r="H858" s="372"/>
      <c r="I858" s="372"/>
      <c r="J858" s="372"/>
      <c r="K858" s="2"/>
      <c r="L858" s="132"/>
      <c r="M858" s="132"/>
      <c r="N858" s="132"/>
      <c r="O858" s="132"/>
      <c r="P858" s="132"/>
      <c r="Q858" s="132"/>
      <c r="R858" s="132"/>
      <c r="S858" s="132"/>
      <c r="T858" s="132"/>
      <c r="U858" s="132"/>
      <c r="V858" s="132"/>
      <c r="W858" s="132"/>
      <c r="X858" s="132"/>
      <c r="Y858" s="132"/>
      <c r="Z858" s="132"/>
      <c r="AA858" s="132"/>
      <c r="AB858" s="132"/>
      <c r="AC858" s="132"/>
    </row>
    <row r="859">
      <c r="A859" s="132"/>
      <c r="B859" s="132"/>
      <c r="C859" s="132"/>
      <c r="D859" s="132"/>
      <c r="E859" s="132"/>
      <c r="F859" s="132"/>
      <c r="G859" s="132"/>
      <c r="H859" s="372"/>
      <c r="I859" s="372"/>
      <c r="J859" s="372"/>
      <c r="K859" s="2"/>
      <c r="L859" s="132"/>
      <c r="M859" s="132"/>
      <c r="N859" s="132"/>
      <c r="O859" s="132"/>
      <c r="P859" s="132"/>
      <c r="Q859" s="132"/>
      <c r="R859" s="132"/>
      <c r="S859" s="132"/>
      <c r="T859" s="132"/>
      <c r="U859" s="132"/>
      <c r="V859" s="132"/>
      <c r="W859" s="132"/>
      <c r="X859" s="132"/>
      <c r="Y859" s="132"/>
      <c r="Z859" s="132"/>
      <c r="AA859" s="132"/>
      <c r="AB859" s="132"/>
      <c r="AC859" s="132"/>
    </row>
    <row r="860">
      <c r="A860" s="132"/>
      <c r="B860" s="132"/>
      <c r="C860" s="132"/>
      <c r="D860" s="132"/>
      <c r="E860" s="132"/>
      <c r="F860" s="132"/>
      <c r="G860" s="132"/>
      <c r="H860" s="372"/>
      <c r="I860" s="372"/>
      <c r="J860" s="372"/>
      <c r="K860" s="2"/>
      <c r="L860" s="132"/>
      <c r="M860" s="132"/>
      <c r="N860" s="132"/>
      <c r="O860" s="132"/>
      <c r="P860" s="132"/>
      <c r="Q860" s="132"/>
      <c r="R860" s="132"/>
      <c r="S860" s="132"/>
      <c r="T860" s="132"/>
      <c r="U860" s="132"/>
      <c r="V860" s="132"/>
      <c r="W860" s="132"/>
      <c r="X860" s="132"/>
      <c r="Y860" s="132"/>
      <c r="Z860" s="132"/>
      <c r="AA860" s="132"/>
      <c r="AB860" s="132"/>
      <c r="AC860" s="132"/>
    </row>
    <row r="861">
      <c r="A861" s="132"/>
      <c r="B861" s="132"/>
      <c r="C861" s="132"/>
      <c r="D861" s="132"/>
      <c r="E861" s="132"/>
      <c r="F861" s="132"/>
      <c r="G861" s="132"/>
      <c r="H861" s="372"/>
      <c r="I861" s="372"/>
      <c r="J861" s="372"/>
      <c r="K861" s="2"/>
      <c r="L861" s="132"/>
      <c r="M861" s="132"/>
      <c r="N861" s="132"/>
      <c r="O861" s="132"/>
      <c r="P861" s="132"/>
      <c r="Q861" s="132"/>
      <c r="R861" s="132"/>
      <c r="S861" s="132"/>
      <c r="T861" s="132"/>
      <c r="U861" s="132"/>
      <c r="V861" s="132"/>
      <c r="W861" s="132"/>
      <c r="X861" s="132"/>
      <c r="Y861" s="132"/>
      <c r="Z861" s="132"/>
      <c r="AA861" s="132"/>
      <c r="AB861" s="132"/>
      <c r="AC861" s="132"/>
    </row>
    <row r="862">
      <c r="A862" s="132"/>
      <c r="B862" s="132"/>
      <c r="C862" s="132"/>
      <c r="D862" s="132"/>
      <c r="E862" s="132"/>
      <c r="F862" s="132"/>
      <c r="G862" s="132"/>
      <c r="H862" s="372"/>
      <c r="I862" s="372"/>
      <c r="J862" s="372"/>
      <c r="K862" s="2"/>
      <c r="L862" s="132"/>
      <c r="M862" s="132"/>
      <c r="N862" s="132"/>
      <c r="O862" s="132"/>
      <c r="P862" s="132"/>
      <c r="Q862" s="132"/>
      <c r="R862" s="132"/>
      <c r="S862" s="132"/>
      <c r="T862" s="132"/>
      <c r="U862" s="132"/>
      <c r="V862" s="132"/>
      <c r="W862" s="132"/>
      <c r="X862" s="132"/>
      <c r="Y862" s="132"/>
      <c r="Z862" s="132"/>
      <c r="AA862" s="132"/>
      <c r="AB862" s="132"/>
      <c r="AC862" s="132"/>
    </row>
    <row r="863">
      <c r="A863" s="132"/>
      <c r="B863" s="132"/>
      <c r="C863" s="132"/>
      <c r="D863" s="132"/>
      <c r="E863" s="132"/>
      <c r="F863" s="132"/>
      <c r="G863" s="132"/>
      <c r="H863" s="372"/>
      <c r="I863" s="372"/>
      <c r="J863" s="372"/>
      <c r="K863" s="2"/>
      <c r="L863" s="132"/>
      <c r="M863" s="132"/>
      <c r="N863" s="132"/>
      <c r="O863" s="132"/>
      <c r="P863" s="132"/>
      <c r="Q863" s="132"/>
      <c r="R863" s="132"/>
      <c r="S863" s="132"/>
      <c r="T863" s="132"/>
      <c r="U863" s="132"/>
      <c r="V863" s="132"/>
      <c r="W863" s="132"/>
      <c r="X863" s="132"/>
      <c r="Y863" s="132"/>
      <c r="Z863" s="132"/>
      <c r="AA863" s="132"/>
      <c r="AB863" s="132"/>
      <c r="AC863" s="132"/>
    </row>
    <row r="864">
      <c r="A864" s="132"/>
      <c r="B864" s="132"/>
      <c r="C864" s="132"/>
      <c r="D864" s="132"/>
      <c r="E864" s="132"/>
      <c r="F864" s="132"/>
      <c r="G864" s="132"/>
      <c r="H864" s="372"/>
      <c r="I864" s="372"/>
      <c r="J864" s="372"/>
      <c r="K864" s="2"/>
      <c r="L864" s="132"/>
      <c r="M864" s="132"/>
      <c r="N864" s="132"/>
      <c r="O864" s="132"/>
      <c r="P864" s="132"/>
      <c r="Q864" s="132"/>
      <c r="R864" s="132"/>
      <c r="S864" s="132"/>
      <c r="T864" s="132"/>
      <c r="U864" s="132"/>
      <c r="V864" s="132"/>
      <c r="W864" s="132"/>
      <c r="X864" s="132"/>
      <c r="Y864" s="132"/>
      <c r="Z864" s="132"/>
      <c r="AA864" s="132"/>
      <c r="AB864" s="132"/>
      <c r="AC864" s="132"/>
    </row>
    <row r="865">
      <c r="A865" s="132"/>
      <c r="B865" s="132"/>
      <c r="C865" s="132"/>
      <c r="D865" s="132"/>
      <c r="E865" s="132"/>
      <c r="F865" s="132"/>
      <c r="G865" s="132"/>
      <c r="H865" s="372"/>
      <c r="I865" s="372"/>
      <c r="J865" s="372"/>
      <c r="K865" s="2"/>
      <c r="L865" s="132"/>
      <c r="M865" s="132"/>
      <c r="N865" s="132"/>
      <c r="O865" s="132"/>
      <c r="P865" s="132"/>
      <c r="Q865" s="132"/>
      <c r="R865" s="132"/>
      <c r="S865" s="132"/>
      <c r="T865" s="132"/>
      <c r="U865" s="132"/>
      <c r="V865" s="132"/>
      <c r="W865" s="132"/>
      <c r="X865" s="132"/>
      <c r="Y865" s="132"/>
      <c r="Z865" s="132"/>
      <c r="AA865" s="132"/>
      <c r="AB865" s="132"/>
      <c r="AC865" s="132"/>
    </row>
    <row r="866">
      <c r="A866" s="132"/>
      <c r="B866" s="132"/>
      <c r="C866" s="132"/>
      <c r="D866" s="132"/>
      <c r="E866" s="132"/>
      <c r="F866" s="132"/>
      <c r="G866" s="132"/>
      <c r="H866" s="372"/>
      <c r="I866" s="372"/>
      <c r="J866" s="372"/>
      <c r="K866" s="2"/>
      <c r="L866" s="132"/>
      <c r="M866" s="132"/>
      <c r="N866" s="132"/>
      <c r="O866" s="132"/>
      <c r="P866" s="132"/>
      <c r="Q866" s="132"/>
      <c r="R866" s="132"/>
      <c r="S866" s="132"/>
      <c r="T866" s="132"/>
      <c r="U866" s="132"/>
      <c r="V866" s="132"/>
      <c r="W866" s="132"/>
      <c r="X866" s="132"/>
      <c r="Y866" s="132"/>
      <c r="Z866" s="132"/>
      <c r="AA866" s="132"/>
      <c r="AB866" s="132"/>
      <c r="AC866" s="132"/>
    </row>
    <row r="867">
      <c r="A867" s="132"/>
      <c r="B867" s="132"/>
      <c r="C867" s="132"/>
      <c r="D867" s="132"/>
      <c r="E867" s="132"/>
      <c r="F867" s="132"/>
      <c r="G867" s="132"/>
      <c r="H867" s="372"/>
      <c r="I867" s="372"/>
      <c r="J867" s="372"/>
      <c r="K867" s="2"/>
      <c r="L867" s="132"/>
      <c r="M867" s="132"/>
      <c r="N867" s="132"/>
      <c r="O867" s="132"/>
      <c r="P867" s="132"/>
      <c r="Q867" s="132"/>
      <c r="R867" s="132"/>
      <c r="S867" s="132"/>
      <c r="T867" s="132"/>
      <c r="U867" s="132"/>
      <c r="V867" s="132"/>
      <c r="W867" s="132"/>
      <c r="X867" s="132"/>
      <c r="Y867" s="132"/>
      <c r="Z867" s="132"/>
      <c r="AA867" s="132"/>
      <c r="AB867" s="132"/>
      <c r="AC867" s="132"/>
    </row>
    <row r="868">
      <c r="A868" s="132"/>
      <c r="B868" s="132"/>
      <c r="C868" s="132"/>
      <c r="D868" s="132"/>
      <c r="E868" s="132"/>
      <c r="F868" s="132"/>
      <c r="G868" s="132"/>
      <c r="H868" s="372"/>
      <c r="I868" s="372"/>
      <c r="J868" s="372"/>
      <c r="K868" s="2"/>
      <c r="L868" s="132"/>
      <c r="M868" s="132"/>
      <c r="N868" s="132"/>
      <c r="O868" s="132"/>
      <c r="P868" s="132"/>
      <c r="Q868" s="132"/>
      <c r="R868" s="132"/>
      <c r="S868" s="132"/>
      <c r="T868" s="132"/>
      <c r="U868" s="132"/>
      <c r="V868" s="132"/>
      <c r="W868" s="132"/>
      <c r="X868" s="132"/>
      <c r="Y868" s="132"/>
      <c r="Z868" s="132"/>
      <c r="AA868" s="132"/>
      <c r="AB868" s="132"/>
      <c r="AC868" s="132"/>
    </row>
    <row r="869">
      <c r="A869" s="132"/>
      <c r="B869" s="132"/>
      <c r="C869" s="132"/>
      <c r="D869" s="132"/>
      <c r="E869" s="132"/>
      <c r="F869" s="132"/>
      <c r="G869" s="132"/>
      <c r="H869" s="372"/>
      <c r="I869" s="372"/>
      <c r="J869" s="372"/>
      <c r="K869" s="2"/>
      <c r="L869" s="132"/>
      <c r="M869" s="132"/>
      <c r="N869" s="132"/>
      <c r="O869" s="132"/>
      <c r="P869" s="132"/>
      <c r="Q869" s="132"/>
      <c r="R869" s="132"/>
      <c r="S869" s="132"/>
      <c r="T869" s="132"/>
      <c r="U869" s="132"/>
      <c r="V869" s="132"/>
      <c r="W869" s="132"/>
      <c r="X869" s="132"/>
      <c r="Y869" s="132"/>
      <c r="Z869" s="132"/>
      <c r="AA869" s="132"/>
      <c r="AB869" s="132"/>
      <c r="AC869" s="132"/>
    </row>
    <row r="870">
      <c r="A870" s="132"/>
      <c r="B870" s="132"/>
      <c r="C870" s="132"/>
      <c r="D870" s="132"/>
      <c r="E870" s="132"/>
      <c r="F870" s="132"/>
      <c r="G870" s="132"/>
      <c r="H870" s="372"/>
      <c r="I870" s="372"/>
      <c r="J870" s="372"/>
      <c r="K870" s="2"/>
      <c r="L870" s="132"/>
      <c r="M870" s="132"/>
      <c r="N870" s="132"/>
      <c r="O870" s="132"/>
      <c r="P870" s="132"/>
      <c r="Q870" s="132"/>
      <c r="R870" s="132"/>
      <c r="S870" s="132"/>
      <c r="T870" s="132"/>
      <c r="U870" s="132"/>
      <c r="V870" s="132"/>
      <c r="W870" s="132"/>
      <c r="X870" s="132"/>
      <c r="Y870" s="132"/>
      <c r="Z870" s="132"/>
      <c r="AA870" s="132"/>
      <c r="AB870" s="132"/>
      <c r="AC870" s="132"/>
    </row>
    <row r="871">
      <c r="A871" s="132"/>
      <c r="B871" s="132"/>
      <c r="C871" s="132"/>
      <c r="D871" s="132"/>
      <c r="E871" s="132"/>
      <c r="F871" s="132"/>
      <c r="G871" s="132"/>
      <c r="H871" s="372"/>
      <c r="I871" s="372"/>
      <c r="J871" s="372"/>
      <c r="K871" s="2"/>
      <c r="L871" s="132"/>
      <c r="M871" s="132"/>
      <c r="N871" s="132"/>
      <c r="O871" s="132"/>
      <c r="P871" s="132"/>
      <c r="Q871" s="132"/>
      <c r="R871" s="132"/>
      <c r="S871" s="132"/>
      <c r="T871" s="132"/>
      <c r="U871" s="132"/>
      <c r="V871" s="132"/>
      <c r="W871" s="132"/>
      <c r="X871" s="132"/>
      <c r="Y871" s="132"/>
      <c r="Z871" s="132"/>
      <c r="AA871" s="132"/>
      <c r="AB871" s="132"/>
      <c r="AC871" s="132"/>
    </row>
    <row r="872">
      <c r="A872" s="132"/>
      <c r="B872" s="132"/>
      <c r="C872" s="132"/>
      <c r="D872" s="132"/>
      <c r="E872" s="132"/>
      <c r="F872" s="132"/>
      <c r="G872" s="132"/>
      <c r="H872" s="372"/>
      <c r="I872" s="372"/>
      <c r="J872" s="372"/>
      <c r="K872" s="2"/>
      <c r="L872" s="132"/>
      <c r="M872" s="132"/>
      <c r="N872" s="132"/>
      <c r="O872" s="132"/>
      <c r="P872" s="132"/>
      <c r="Q872" s="132"/>
      <c r="R872" s="132"/>
      <c r="S872" s="132"/>
      <c r="T872" s="132"/>
      <c r="U872" s="132"/>
      <c r="V872" s="132"/>
      <c r="W872" s="132"/>
      <c r="X872" s="132"/>
      <c r="Y872" s="132"/>
      <c r="Z872" s="132"/>
      <c r="AA872" s="132"/>
      <c r="AB872" s="132"/>
      <c r="AC872" s="132"/>
    </row>
    <row r="873">
      <c r="A873" s="132"/>
      <c r="B873" s="132"/>
      <c r="C873" s="132"/>
      <c r="D873" s="132"/>
      <c r="E873" s="132"/>
      <c r="F873" s="132"/>
      <c r="G873" s="132"/>
      <c r="H873" s="372"/>
      <c r="I873" s="372"/>
      <c r="J873" s="372"/>
      <c r="K873" s="2"/>
      <c r="L873" s="132"/>
      <c r="M873" s="132"/>
      <c r="N873" s="132"/>
      <c r="O873" s="132"/>
      <c r="P873" s="132"/>
      <c r="Q873" s="132"/>
      <c r="R873" s="132"/>
      <c r="S873" s="132"/>
      <c r="T873" s="132"/>
      <c r="U873" s="132"/>
      <c r="V873" s="132"/>
      <c r="W873" s="132"/>
      <c r="X873" s="132"/>
      <c r="Y873" s="132"/>
      <c r="Z873" s="132"/>
      <c r="AA873" s="132"/>
      <c r="AB873" s="132"/>
      <c r="AC873" s="132"/>
    </row>
    <row r="874">
      <c r="A874" s="132"/>
      <c r="B874" s="132"/>
      <c r="C874" s="132"/>
      <c r="D874" s="132"/>
      <c r="E874" s="132"/>
      <c r="F874" s="132"/>
      <c r="G874" s="132"/>
      <c r="H874" s="372"/>
      <c r="I874" s="372"/>
      <c r="J874" s="372"/>
      <c r="K874" s="2"/>
      <c r="L874" s="132"/>
      <c r="M874" s="132"/>
      <c r="N874" s="132"/>
      <c r="O874" s="132"/>
      <c r="P874" s="132"/>
      <c r="Q874" s="132"/>
      <c r="R874" s="132"/>
      <c r="S874" s="132"/>
      <c r="T874" s="132"/>
      <c r="U874" s="132"/>
      <c r="V874" s="132"/>
      <c r="W874" s="132"/>
      <c r="X874" s="132"/>
      <c r="Y874" s="132"/>
      <c r="Z874" s="132"/>
      <c r="AA874" s="132"/>
      <c r="AB874" s="132"/>
      <c r="AC874" s="132"/>
    </row>
    <row r="875">
      <c r="A875" s="132"/>
      <c r="B875" s="132"/>
      <c r="C875" s="132"/>
      <c r="D875" s="132"/>
      <c r="E875" s="132"/>
      <c r="F875" s="132"/>
      <c r="G875" s="132"/>
      <c r="H875" s="372"/>
      <c r="I875" s="372"/>
      <c r="J875" s="372"/>
      <c r="K875" s="2"/>
      <c r="L875" s="132"/>
      <c r="M875" s="132"/>
      <c r="N875" s="132"/>
      <c r="O875" s="132"/>
      <c r="P875" s="132"/>
      <c r="Q875" s="132"/>
      <c r="R875" s="132"/>
      <c r="S875" s="132"/>
      <c r="T875" s="132"/>
      <c r="U875" s="132"/>
      <c r="V875" s="132"/>
      <c r="W875" s="132"/>
      <c r="X875" s="132"/>
      <c r="Y875" s="132"/>
      <c r="Z875" s="132"/>
      <c r="AA875" s="132"/>
      <c r="AB875" s="132"/>
      <c r="AC875" s="132"/>
    </row>
    <row r="876">
      <c r="A876" s="132"/>
      <c r="B876" s="132"/>
      <c r="C876" s="132"/>
      <c r="D876" s="132"/>
      <c r="E876" s="132"/>
      <c r="F876" s="132"/>
      <c r="G876" s="132"/>
      <c r="H876" s="372"/>
      <c r="I876" s="372"/>
      <c r="J876" s="372"/>
      <c r="K876" s="2"/>
      <c r="L876" s="132"/>
      <c r="M876" s="132"/>
      <c r="N876" s="132"/>
      <c r="O876" s="132"/>
      <c r="P876" s="132"/>
      <c r="Q876" s="132"/>
      <c r="R876" s="132"/>
      <c r="S876" s="132"/>
      <c r="T876" s="132"/>
      <c r="U876" s="132"/>
      <c r="V876" s="132"/>
      <c r="W876" s="132"/>
      <c r="X876" s="132"/>
      <c r="Y876" s="132"/>
      <c r="Z876" s="132"/>
      <c r="AA876" s="132"/>
      <c r="AB876" s="132"/>
      <c r="AC876" s="132"/>
    </row>
    <row r="877">
      <c r="A877" s="132"/>
      <c r="B877" s="132"/>
      <c r="C877" s="132"/>
      <c r="D877" s="132"/>
      <c r="E877" s="132"/>
      <c r="F877" s="132"/>
      <c r="G877" s="132"/>
      <c r="H877" s="372"/>
      <c r="I877" s="372"/>
      <c r="J877" s="372"/>
      <c r="K877" s="2"/>
      <c r="L877" s="132"/>
      <c r="M877" s="132"/>
      <c r="N877" s="132"/>
      <c r="O877" s="132"/>
      <c r="P877" s="132"/>
      <c r="Q877" s="132"/>
      <c r="R877" s="132"/>
      <c r="S877" s="132"/>
      <c r="T877" s="132"/>
      <c r="U877" s="132"/>
      <c r="V877" s="132"/>
      <c r="W877" s="132"/>
      <c r="X877" s="132"/>
      <c r="Y877" s="132"/>
      <c r="Z877" s="132"/>
      <c r="AA877" s="132"/>
      <c r="AB877" s="132"/>
      <c r="AC877" s="132"/>
    </row>
    <row r="878">
      <c r="A878" s="132"/>
      <c r="B878" s="132"/>
      <c r="C878" s="132"/>
      <c r="D878" s="132"/>
      <c r="E878" s="132"/>
      <c r="F878" s="132"/>
      <c r="G878" s="132"/>
      <c r="H878" s="372"/>
      <c r="I878" s="372"/>
      <c r="J878" s="372"/>
      <c r="K878" s="2"/>
      <c r="L878" s="132"/>
      <c r="M878" s="132"/>
      <c r="N878" s="132"/>
      <c r="O878" s="132"/>
      <c r="P878" s="132"/>
      <c r="Q878" s="132"/>
      <c r="R878" s="132"/>
      <c r="S878" s="132"/>
      <c r="T878" s="132"/>
      <c r="U878" s="132"/>
      <c r="V878" s="132"/>
      <c r="W878" s="132"/>
      <c r="X878" s="132"/>
      <c r="Y878" s="132"/>
      <c r="Z878" s="132"/>
      <c r="AA878" s="132"/>
      <c r="AB878" s="132"/>
      <c r="AC878" s="132"/>
    </row>
    <row r="879">
      <c r="A879" s="132"/>
      <c r="B879" s="132"/>
      <c r="C879" s="132"/>
      <c r="D879" s="132"/>
      <c r="E879" s="132"/>
      <c r="F879" s="132"/>
      <c r="G879" s="132"/>
      <c r="H879" s="372"/>
      <c r="I879" s="372"/>
      <c r="J879" s="372"/>
      <c r="K879" s="2"/>
      <c r="L879" s="132"/>
      <c r="M879" s="132"/>
      <c r="N879" s="132"/>
      <c r="O879" s="132"/>
      <c r="P879" s="132"/>
      <c r="Q879" s="132"/>
      <c r="R879" s="132"/>
      <c r="S879" s="132"/>
      <c r="T879" s="132"/>
      <c r="U879" s="132"/>
      <c r="V879" s="132"/>
      <c r="W879" s="132"/>
      <c r="X879" s="132"/>
      <c r="Y879" s="132"/>
      <c r="Z879" s="132"/>
      <c r="AA879" s="132"/>
      <c r="AB879" s="132"/>
      <c r="AC879" s="132"/>
    </row>
    <row r="880">
      <c r="A880" s="132"/>
      <c r="B880" s="132"/>
      <c r="C880" s="132"/>
      <c r="D880" s="132"/>
      <c r="E880" s="132"/>
      <c r="F880" s="132"/>
      <c r="G880" s="132"/>
      <c r="H880" s="372"/>
      <c r="I880" s="372"/>
      <c r="J880" s="372"/>
      <c r="K880" s="2"/>
      <c r="L880" s="132"/>
      <c r="M880" s="132"/>
      <c r="N880" s="132"/>
      <c r="O880" s="132"/>
      <c r="P880" s="132"/>
      <c r="Q880" s="132"/>
      <c r="R880" s="132"/>
      <c r="S880" s="132"/>
      <c r="T880" s="132"/>
      <c r="U880" s="132"/>
      <c r="V880" s="132"/>
      <c r="W880" s="132"/>
      <c r="X880" s="132"/>
      <c r="Y880" s="132"/>
      <c r="Z880" s="132"/>
      <c r="AA880" s="132"/>
      <c r="AB880" s="132"/>
      <c r="AC880" s="132"/>
    </row>
    <row r="881">
      <c r="A881" s="132"/>
      <c r="B881" s="132"/>
      <c r="C881" s="132"/>
      <c r="D881" s="132"/>
      <c r="E881" s="132"/>
      <c r="F881" s="132"/>
      <c r="G881" s="132"/>
      <c r="H881" s="372"/>
      <c r="I881" s="372"/>
      <c r="J881" s="372"/>
      <c r="K881" s="2"/>
      <c r="L881" s="132"/>
      <c r="M881" s="132"/>
      <c r="N881" s="132"/>
      <c r="O881" s="132"/>
      <c r="P881" s="132"/>
      <c r="Q881" s="132"/>
      <c r="R881" s="132"/>
      <c r="S881" s="132"/>
      <c r="T881" s="132"/>
      <c r="U881" s="132"/>
      <c r="V881" s="132"/>
      <c r="W881" s="132"/>
      <c r="X881" s="132"/>
      <c r="Y881" s="132"/>
      <c r="Z881" s="132"/>
      <c r="AA881" s="132"/>
      <c r="AB881" s="132"/>
      <c r="AC881" s="132"/>
    </row>
    <row r="882">
      <c r="A882" s="132"/>
      <c r="B882" s="132"/>
      <c r="C882" s="132"/>
      <c r="D882" s="132"/>
      <c r="E882" s="132"/>
      <c r="F882" s="132"/>
      <c r="G882" s="132"/>
      <c r="H882" s="372"/>
      <c r="I882" s="372"/>
      <c r="J882" s="372"/>
      <c r="K882" s="2"/>
      <c r="L882" s="132"/>
      <c r="M882" s="132"/>
      <c r="N882" s="132"/>
      <c r="O882" s="132"/>
      <c r="P882" s="132"/>
      <c r="Q882" s="132"/>
      <c r="R882" s="132"/>
      <c r="S882" s="132"/>
      <c r="T882" s="132"/>
      <c r="U882" s="132"/>
      <c r="V882" s="132"/>
      <c r="W882" s="132"/>
      <c r="X882" s="132"/>
      <c r="Y882" s="132"/>
      <c r="Z882" s="132"/>
      <c r="AA882" s="132"/>
      <c r="AB882" s="132"/>
      <c r="AC882" s="132"/>
    </row>
    <row r="883">
      <c r="A883" s="132"/>
      <c r="B883" s="132"/>
      <c r="C883" s="132"/>
      <c r="D883" s="132"/>
      <c r="E883" s="132"/>
      <c r="F883" s="132"/>
      <c r="G883" s="132"/>
      <c r="H883" s="372"/>
      <c r="I883" s="372"/>
      <c r="J883" s="372"/>
      <c r="K883" s="2"/>
      <c r="L883" s="132"/>
      <c r="M883" s="132"/>
      <c r="N883" s="132"/>
      <c r="O883" s="132"/>
      <c r="P883" s="132"/>
      <c r="Q883" s="132"/>
      <c r="R883" s="132"/>
      <c r="S883" s="132"/>
      <c r="T883" s="132"/>
      <c r="U883" s="132"/>
      <c r="V883" s="132"/>
      <c r="W883" s="132"/>
      <c r="X883" s="132"/>
      <c r="Y883" s="132"/>
      <c r="Z883" s="132"/>
      <c r="AA883" s="132"/>
      <c r="AB883" s="132"/>
      <c r="AC883" s="132"/>
    </row>
    <row r="884">
      <c r="A884" s="132"/>
      <c r="B884" s="132"/>
      <c r="C884" s="132"/>
      <c r="D884" s="132"/>
      <c r="E884" s="132"/>
      <c r="F884" s="132"/>
      <c r="G884" s="132"/>
      <c r="H884" s="372"/>
      <c r="I884" s="372"/>
      <c r="J884" s="372"/>
      <c r="K884" s="2"/>
      <c r="L884" s="132"/>
      <c r="M884" s="132"/>
      <c r="N884" s="132"/>
      <c r="O884" s="132"/>
      <c r="P884" s="132"/>
      <c r="Q884" s="132"/>
      <c r="R884" s="132"/>
      <c r="S884" s="132"/>
      <c r="T884" s="132"/>
      <c r="U884" s="132"/>
      <c r="V884" s="132"/>
      <c r="W884" s="132"/>
      <c r="X884" s="132"/>
      <c r="Y884" s="132"/>
      <c r="Z884" s="132"/>
      <c r="AA884" s="132"/>
      <c r="AB884" s="132"/>
      <c r="AC884" s="132"/>
    </row>
    <row r="885">
      <c r="A885" s="132"/>
      <c r="B885" s="132"/>
      <c r="C885" s="132"/>
      <c r="D885" s="132"/>
      <c r="E885" s="132"/>
      <c r="F885" s="132"/>
      <c r="G885" s="132"/>
      <c r="H885" s="372"/>
      <c r="I885" s="372"/>
      <c r="J885" s="372"/>
      <c r="K885" s="2"/>
      <c r="L885" s="132"/>
      <c r="M885" s="132"/>
      <c r="N885" s="132"/>
      <c r="O885" s="132"/>
      <c r="P885" s="132"/>
      <c r="Q885" s="132"/>
      <c r="R885" s="132"/>
      <c r="S885" s="132"/>
      <c r="T885" s="132"/>
      <c r="U885" s="132"/>
      <c r="V885" s="132"/>
      <c r="W885" s="132"/>
      <c r="X885" s="132"/>
      <c r="Y885" s="132"/>
      <c r="Z885" s="132"/>
      <c r="AA885" s="132"/>
      <c r="AB885" s="132"/>
      <c r="AC885" s="132"/>
    </row>
    <row r="886">
      <c r="A886" s="132"/>
      <c r="B886" s="132"/>
      <c r="C886" s="132"/>
      <c r="D886" s="132"/>
      <c r="E886" s="132"/>
      <c r="F886" s="132"/>
      <c r="G886" s="132"/>
      <c r="H886" s="372"/>
      <c r="I886" s="372"/>
      <c r="J886" s="372"/>
      <c r="K886" s="2"/>
      <c r="L886" s="132"/>
      <c r="M886" s="132"/>
      <c r="N886" s="132"/>
      <c r="O886" s="132"/>
      <c r="P886" s="132"/>
      <c r="Q886" s="132"/>
      <c r="R886" s="132"/>
      <c r="S886" s="132"/>
      <c r="T886" s="132"/>
      <c r="U886" s="132"/>
      <c r="V886" s="132"/>
      <c r="W886" s="132"/>
      <c r="X886" s="132"/>
      <c r="Y886" s="132"/>
      <c r="Z886" s="132"/>
      <c r="AA886" s="132"/>
      <c r="AB886" s="132"/>
      <c r="AC886" s="132"/>
    </row>
    <row r="887">
      <c r="A887" s="132"/>
      <c r="B887" s="132"/>
      <c r="C887" s="132"/>
      <c r="D887" s="132"/>
      <c r="E887" s="132"/>
      <c r="F887" s="132"/>
      <c r="G887" s="132"/>
      <c r="H887" s="372"/>
      <c r="I887" s="372"/>
      <c r="J887" s="372"/>
      <c r="K887" s="2"/>
      <c r="L887" s="132"/>
      <c r="M887" s="132"/>
      <c r="N887" s="132"/>
      <c r="O887" s="132"/>
      <c r="P887" s="132"/>
      <c r="Q887" s="132"/>
      <c r="R887" s="132"/>
      <c r="S887" s="132"/>
      <c r="T887" s="132"/>
      <c r="U887" s="132"/>
      <c r="V887" s="132"/>
      <c r="W887" s="132"/>
      <c r="X887" s="132"/>
      <c r="Y887" s="132"/>
      <c r="Z887" s="132"/>
      <c r="AA887" s="132"/>
      <c r="AB887" s="132"/>
      <c r="AC887" s="132"/>
    </row>
    <row r="888">
      <c r="A888" s="132"/>
      <c r="B888" s="132"/>
      <c r="C888" s="132"/>
      <c r="D888" s="132"/>
      <c r="E888" s="132"/>
      <c r="F888" s="132"/>
      <c r="G888" s="132"/>
      <c r="H888" s="372"/>
      <c r="I888" s="372"/>
      <c r="J888" s="372"/>
      <c r="K888" s="2"/>
      <c r="L888" s="132"/>
      <c r="M888" s="132"/>
      <c r="N888" s="132"/>
      <c r="O888" s="132"/>
      <c r="P888" s="132"/>
      <c r="Q888" s="132"/>
      <c r="R888" s="132"/>
      <c r="S888" s="132"/>
      <c r="T888" s="132"/>
      <c r="U888" s="132"/>
      <c r="V888" s="132"/>
      <c r="W888" s="132"/>
      <c r="X888" s="132"/>
      <c r="Y888" s="132"/>
      <c r="Z888" s="132"/>
      <c r="AA888" s="132"/>
      <c r="AB888" s="132"/>
      <c r="AC888" s="132"/>
    </row>
    <row r="889">
      <c r="A889" s="132"/>
      <c r="B889" s="132"/>
      <c r="C889" s="132"/>
      <c r="D889" s="132"/>
      <c r="E889" s="132"/>
      <c r="F889" s="132"/>
      <c r="G889" s="132"/>
      <c r="H889" s="372"/>
      <c r="I889" s="372"/>
      <c r="J889" s="372"/>
      <c r="K889" s="2"/>
      <c r="L889" s="132"/>
      <c r="M889" s="132"/>
      <c r="N889" s="132"/>
      <c r="O889" s="132"/>
      <c r="P889" s="132"/>
      <c r="Q889" s="132"/>
      <c r="R889" s="132"/>
      <c r="S889" s="132"/>
      <c r="T889" s="132"/>
      <c r="U889" s="132"/>
      <c r="V889" s="132"/>
      <c r="W889" s="132"/>
      <c r="X889" s="132"/>
      <c r="Y889" s="132"/>
      <c r="Z889" s="132"/>
      <c r="AA889" s="132"/>
      <c r="AB889" s="132"/>
      <c r="AC889" s="132"/>
    </row>
    <row r="890">
      <c r="A890" s="132"/>
      <c r="B890" s="132"/>
      <c r="C890" s="132"/>
      <c r="D890" s="132"/>
      <c r="E890" s="132"/>
      <c r="F890" s="132"/>
      <c r="G890" s="132"/>
      <c r="H890" s="372"/>
      <c r="I890" s="372"/>
      <c r="J890" s="372"/>
      <c r="K890" s="2"/>
      <c r="L890" s="132"/>
      <c r="M890" s="132"/>
      <c r="N890" s="132"/>
      <c r="O890" s="132"/>
      <c r="P890" s="132"/>
      <c r="Q890" s="132"/>
      <c r="R890" s="132"/>
      <c r="S890" s="132"/>
      <c r="T890" s="132"/>
      <c r="U890" s="132"/>
      <c r="V890" s="132"/>
      <c r="W890" s="132"/>
      <c r="X890" s="132"/>
      <c r="Y890" s="132"/>
      <c r="Z890" s="132"/>
      <c r="AA890" s="132"/>
      <c r="AB890" s="132"/>
      <c r="AC890" s="132"/>
    </row>
    <row r="891">
      <c r="A891" s="132"/>
      <c r="B891" s="132"/>
      <c r="C891" s="132"/>
      <c r="D891" s="132"/>
      <c r="E891" s="132"/>
      <c r="F891" s="132"/>
      <c r="G891" s="132"/>
      <c r="H891" s="372"/>
      <c r="I891" s="372"/>
      <c r="J891" s="372"/>
      <c r="K891" s="2"/>
      <c r="L891" s="132"/>
      <c r="M891" s="132"/>
      <c r="N891" s="132"/>
      <c r="O891" s="132"/>
      <c r="P891" s="132"/>
      <c r="Q891" s="132"/>
      <c r="R891" s="132"/>
      <c r="S891" s="132"/>
      <c r="T891" s="132"/>
      <c r="U891" s="132"/>
      <c r="V891" s="132"/>
      <c r="W891" s="132"/>
      <c r="X891" s="132"/>
      <c r="Y891" s="132"/>
      <c r="Z891" s="132"/>
      <c r="AA891" s="132"/>
      <c r="AB891" s="132"/>
      <c r="AC891" s="132"/>
    </row>
    <row r="892">
      <c r="A892" s="132"/>
      <c r="B892" s="132"/>
      <c r="C892" s="132"/>
      <c r="D892" s="132"/>
      <c r="E892" s="132"/>
      <c r="F892" s="132"/>
      <c r="G892" s="132"/>
      <c r="H892" s="372"/>
      <c r="I892" s="372"/>
      <c r="J892" s="372"/>
      <c r="K892" s="2"/>
      <c r="L892" s="132"/>
      <c r="M892" s="132"/>
      <c r="N892" s="132"/>
      <c r="O892" s="132"/>
      <c r="P892" s="132"/>
      <c r="Q892" s="132"/>
      <c r="R892" s="132"/>
      <c r="S892" s="132"/>
      <c r="T892" s="132"/>
      <c r="U892" s="132"/>
      <c r="V892" s="132"/>
      <c r="W892" s="132"/>
      <c r="X892" s="132"/>
      <c r="Y892" s="132"/>
      <c r="Z892" s="132"/>
      <c r="AA892" s="132"/>
      <c r="AB892" s="132"/>
      <c r="AC892" s="132"/>
    </row>
    <row r="893">
      <c r="A893" s="132"/>
      <c r="B893" s="132"/>
      <c r="C893" s="132"/>
      <c r="D893" s="132"/>
      <c r="E893" s="132"/>
      <c r="F893" s="132"/>
      <c r="G893" s="132"/>
      <c r="H893" s="372"/>
      <c r="I893" s="372"/>
      <c r="J893" s="372"/>
      <c r="K893" s="2"/>
      <c r="L893" s="132"/>
      <c r="M893" s="132"/>
      <c r="N893" s="132"/>
      <c r="O893" s="132"/>
      <c r="P893" s="132"/>
      <c r="Q893" s="132"/>
      <c r="R893" s="132"/>
      <c r="S893" s="132"/>
      <c r="T893" s="132"/>
      <c r="U893" s="132"/>
      <c r="V893" s="132"/>
      <c r="W893" s="132"/>
      <c r="X893" s="132"/>
      <c r="Y893" s="132"/>
      <c r="Z893" s="132"/>
      <c r="AA893" s="132"/>
      <c r="AB893" s="132"/>
      <c r="AC893" s="132"/>
    </row>
    <row r="894">
      <c r="A894" s="132"/>
      <c r="B894" s="132"/>
      <c r="C894" s="132"/>
      <c r="D894" s="132"/>
      <c r="E894" s="132"/>
      <c r="F894" s="132"/>
      <c r="G894" s="132"/>
      <c r="H894" s="372"/>
      <c r="I894" s="372"/>
      <c r="J894" s="372"/>
      <c r="K894" s="2"/>
      <c r="L894" s="132"/>
      <c r="M894" s="132"/>
      <c r="N894" s="132"/>
      <c r="O894" s="132"/>
      <c r="P894" s="132"/>
      <c r="Q894" s="132"/>
      <c r="R894" s="132"/>
      <c r="S894" s="132"/>
      <c r="T894" s="132"/>
      <c r="U894" s="132"/>
      <c r="V894" s="132"/>
      <c r="W894" s="132"/>
      <c r="X894" s="132"/>
      <c r="Y894" s="132"/>
      <c r="Z894" s="132"/>
      <c r="AA894" s="132"/>
      <c r="AB894" s="132"/>
      <c r="AC894" s="132"/>
    </row>
    <row r="895">
      <c r="A895" s="132"/>
      <c r="B895" s="132"/>
      <c r="C895" s="132"/>
      <c r="D895" s="132"/>
      <c r="E895" s="132"/>
      <c r="F895" s="132"/>
      <c r="G895" s="132"/>
      <c r="H895" s="372"/>
      <c r="I895" s="372"/>
      <c r="J895" s="372"/>
      <c r="K895" s="2"/>
      <c r="L895" s="132"/>
      <c r="M895" s="132"/>
      <c r="N895" s="132"/>
      <c r="O895" s="132"/>
      <c r="P895" s="132"/>
      <c r="Q895" s="132"/>
      <c r="R895" s="132"/>
      <c r="S895" s="132"/>
      <c r="T895" s="132"/>
      <c r="U895" s="132"/>
      <c r="V895" s="132"/>
      <c r="W895" s="132"/>
      <c r="X895" s="132"/>
      <c r="Y895" s="132"/>
      <c r="Z895" s="132"/>
      <c r="AA895" s="132"/>
      <c r="AB895" s="132"/>
      <c r="AC895" s="132"/>
    </row>
    <row r="896">
      <c r="A896" s="132"/>
      <c r="B896" s="132"/>
      <c r="C896" s="132"/>
      <c r="D896" s="132"/>
      <c r="E896" s="132"/>
      <c r="F896" s="132"/>
      <c r="G896" s="132"/>
      <c r="H896" s="372"/>
      <c r="I896" s="372"/>
      <c r="J896" s="372"/>
      <c r="K896" s="2"/>
      <c r="L896" s="132"/>
      <c r="M896" s="132"/>
      <c r="N896" s="132"/>
      <c r="O896" s="132"/>
      <c r="P896" s="132"/>
      <c r="Q896" s="132"/>
      <c r="R896" s="132"/>
      <c r="S896" s="132"/>
      <c r="T896" s="132"/>
      <c r="U896" s="132"/>
      <c r="V896" s="132"/>
      <c r="W896" s="132"/>
      <c r="X896" s="132"/>
      <c r="Y896" s="132"/>
      <c r="Z896" s="132"/>
      <c r="AA896" s="132"/>
      <c r="AB896" s="132"/>
      <c r="AC896" s="132"/>
    </row>
    <row r="897">
      <c r="A897" s="132"/>
      <c r="B897" s="132"/>
      <c r="C897" s="132"/>
      <c r="D897" s="132"/>
      <c r="E897" s="132"/>
      <c r="F897" s="132"/>
      <c r="G897" s="132"/>
      <c r="H897" s="372"/>
      <c r="I897" s="372"/>
      <c r="J897" s="372"/>
      <c r="K897" s="2"/>
      <c r="L897" s="132"/>
      <c r="M897" s="132"/>
      <c r="N897" s="132"/>
      <c r="O897" s="132"/>
      <c r="P897" s="132"/>
      <c r="Q897" s="132"/>
      <c r="R897" s="132"/>
      <c r="S897" s="132"/>
      <c r="T897" s="132"/>
      <c r="U897" s="132"/>
      <c r="V897" s="132"/>
      <c r="W897" s="132"/>
      <c r="X897" s="132"/>
      <c r="Y897" s="132"/>
      <c r="Z897" s="132"/>
      <c r="AA897" s="132"/>
      <c r="AB897" s="132"/>
      <c r="AC897" s="132"/>
    </row>
    <row r="898">
      <c r="A898" s="132"/>
      <c r="B898" s="132"/>
      <c r="C898" s="132"/>
      <c r="D898" s="132"/>
      <c r="E898" s="132"/>
      <c r="F898" s="132"/>
      <c r="G898" s="132"/>
      <c r="H898" s="372"/>
      <c r="I898" s="372"/>
      <c r="J898" s="372"/>
      <c r="K898" s="2"/>
      <c r="L898" s="132"/>
      <c r="M898" s="132"/>
      <c r="N898" s="132"/>
      <c r="O898" s="132"/>
      <c r="P898" s="132"/>
      <c r="Q898" s="132"/>
      <c r="R898" s="132"/>
      <c r="S898" s="132"/>
      <c r="T898" s="132"/>
      <c r="U898" s="132"/>
      <c r="V898" s="132"/>
      <c r="W898" s="132"/>
      <c r="X898" s="132"/>
      <c r="Y898" s="132"/>
      <c r="Z898" s="132"/>
      <c r="AA898" s="132"/>
      <c r="AB898" s="132"/>
      <c r="AC898" s="132"/>
    </row>
    <row r="899">
      <c r="A899" s="132"/>
      <c r="B899" s="132"/>
      <c r="C899" s="132"/>
      <c r="D899" s="132"/>
      <c r="E899" s="132"/>
      <c r="F899" s="132"/>
      <c r="G899" s="132"/>
      <c r="H899" s="372"/>
      <c r="I899" s="372"/>
      <c r="J899" s="372"/>
      <c r="K899" s="2"/>
      <c r="L899" s="132"/>
      <c r="M899" s="132"/>
      <c r="N899" s="132"/>
      <c r="O899" s="132"/>
      <c r="P899" s="132"/>
      <c r="Q899" s="132"/>
      <c r="R899" s="132"/>
      <c r="S899" s="132"/>
      <c r="T899" s="132"/>
      <c r="U899" s="132"/>
      <c r="V899" s="132"/>
      <c r="W899" s="132"/>
      <c r="X899" s="132"/>
      <c r="Y899" s="132"/>
      <c r="Z899" s="132"/>
      <c r="AA899" s="132"/>
      <c r="AB899" s="132"/>
      <c r="AC899" s="132"/>
    </row>
    <row r="900">
      <c r="A900" s="132"/>
      <c r="B900" s="132"/>
      <c r="C900" s="132"/>
      <c r="D900" s="132"/>
      <c r="E900" s="132"/>
      <c r="F900" s="132"/>
      <c r="G900" s="132"/>
      <c r="H900" s="372"/>
      <c r="I900" s="372"/>
      <c r="J900" s="372"/>
      <c r="K900" s="2"/>
      <c r="L900" s="132"/>
      <c r="M900" s="132"/>
      <c r="N900" s="132"/>
      <c r="O900" s="132"/>
      <c r="P900" s="132"/>
      <c r="Q900" s="132"/>
      <c r="R900" s="132"/>
      <c r="S900" s="132"/>
      <c r="T900" s="132"/>
      <c r="U900" s="132"/>
      <c r="V900" s="132"/>
      <c r="W900" s="132"/>
      <c r="X900" s="132"/>
      <c r="Y900" s="132"/>
      <c r="Z900" s="132"/>
      <c r="AA900" s="132"/>
      <c r="AB900" s="132"/>
      <c r="AC900" s="132"/>
    </row>
    <row r="901">
      <c r="A901" s="132"/>
      <c r="B901" s="132"/>
      <c r="C901" s="132"/>
      <c r="D901" s="132"/>
      <c r="E901" s="132"/>
      <c r="F901" s="132"/>
      <c r="G901" s="132"/>
      <c r="H901" s="372"/>
      <c r="I901" s="372"/>
      <c r="J901" s="372"/>
      <c r="K901" s="2"/>
      <c r="L901" s="132"/>
      <c r="M901" s="132"/>
      <c r="N901" s="132"/>
      <c r="O901" s="132"/>
      <c r="P901" s="132"/>
      <c r="Q901" s="132"/>
      <c r="R901" s="132"/>
      <c r="S901" s="132"/>
      <c r="T901" s="132"/>
      <c r="U901" s="132"/>
      <c r="V901" s="132"/>
      <c r="W901" s="132"/>
      <c r="X901" s="132"/>
      <c r="Y901" s="132"/>
      <c r="Z901" s="132"/>
      <c r="AA901" s="132"/>
      <c r="AB901" s="132"/>
      <c r="AC901" s="132"/>
    </row>
    <row r="902">
      <c r="A902" s="132"/>
      <c r="B902" s="132"/>
      <c r="C902" s="132"/>
      <c r="D902" s="132"/>
      <c r="E902" s="132"/>
      <c r="F902" s="132"/>
      <c r="G902" s="132"/>
      <c r="H902" s="372"/>
      <c r="I902" s="372"/>
      <c r="J902" s="372"/>
      <c r="K902" s="2"/>
      <c r="L902" s="132"/>
      <c r="M902" s="132"/>
      <c r="N902" s="132"/>
      <c r="O902" s="132"/>
      <c r="P902" s="132"/>
      <c r="Q902" s="132"/>
      <c r="R902" s="132"/>
      <c r="S902" s="132"/>
      <c r="T902" s="132"/>
      <c r="U902" s="132"/>
      <c r="V902" s="132"/>
      <c r="W902" s="132"/>
      <c r="X902" s="132"/>
      <c r="Y902" s="132"/>
      <c r="Z902" s="132"/>
      <c r="AA902" s="132"/>
      <c r="AB902" s="132"/>
      <c r="AC902" s="132"/>
    </row>
    <row r="903">
      <c r="A903" s="132"/>
      <c r="B903" s="132"/>
      <c r="C903" s="132"/>
      <c r="D903" s="132"/>
      <c r="E903" s="132"/>
      <c r="F903" s="132"/>
      <c r="G903" s="132"/>
      <c r="H903" s="372"/>
      <c r="I903" s="372"/>
      <c r="J903" s="372"/>
      <c r="K903" s="2"/>
      <c r="L903" s="132"/>
      <c r="M903" s="132"/>
      <c r="N903" s="132"/>
      <c r="O903" s="132"/>
      <c r="P903" s="132"/>
      <c r="Q903" s="132"/>
      <c r="R903" s="132"/>
      <c r="S903" s="132"/>
      <c r="T903" s="132"/>
      <c r="U903" s="132"/>
      <c r="V903" s="132"/>
      <c r="W903" s="132"/>
      <c r="X903" s="132"/>
      <c r="Y903" s="132"/>
      <c r="Z903" s="132"/>
      <c r="AA903" s="132"/>
      <c r="AB903" s="132"/>
      <c r="AC903" s="132"/>
    </row>
    <row r="904">
      <c r="A904" s="132"/>
      <c r="B904" s="132"/>
      <c r="C904" s="132"/>
      <c r="D904" s="132"/>
      <c r="E904" s="132"/>
      <c r="F904" s="132"/>
      <c r="G904" s="132"/>
      <c r="H904" s="372"/>
      <c r="I904" s="372"/>
      <c r="J904" s="372"/>
      <c r="K904" s="2"/>
      <c r="L904" s="132"/>
      <c r="M904" s="132"/>
      <c r="N904" s="132"/>
      <c r="O904" s="132"/>
      <c r="P904" s="132"/>
      <c r="Q904" s="132"/>
      <c r="R904" s="132"/>
      <c r="S904" s="132"/>
      <c r="T904" s="132"/>
      <c r="U904" s="132"/>
      <c r="V904" s="132"/>
      <c r="W904" s="132"/>
      <c r="X904" s="132"/>
      <c r="Y904" s="132"/>
      <c r="Z904" s="132"/>
      <c r="AA904" s="132"/>
      <c r="AB904" s="132"/>
      <c r="AC904" s="132"/>
    </row>
    <row r="905">
      <c r="A905" s="132"/>
      <c r="B905" s="132"/>
      <c r="C905" s="132"/>
      <c r="D905" s="132"/>
      <c r="E905" s="132"/>
      <c r="F905" s="132"/>
      <c r="G905" s="132"/>
      <c r="H905" s="372"/>
      <c r="I905" s="372"/>
      <c r="J905" s="372"/>
      <c r="K905" s="2"/>
      <c r="L905" s="132"/>
      <c r="M905" s="132"/>
      <c r="N905" s="132"/>
      <c r="O905" s="132"/>
      <c r="P905" s="132"/>
      <c r="Q905" s="132"/>
      <c r="R905" s="132"/>
      <c r="S905" s="132"/>
      <c r="T905" s="132"/>
      <c r="U905" s="132"/>
      <c r="V905" s="132"/>
      <c r="W905" s="132"/>
      <c r="X905" s="132"/>
      <c r="Y905" s="132"/>
      <c r="Z905" s="132"/>
      <c r="AA905" s="132"/>
      <c r="AB905" s="132"/>
      <c r="AC905" s="132"/>
    </row>
    <row r="906">
      <c r="A906" s="132"/>
      <c r="B906" s="132"/>
      <c r="C906" s="132"/>
      <c r="D906" s="132"/>
      <c r="E906" s="132"/>
      <c r="F906" s="132"/>
      <c r="G906" s="132"/>
      <c r="H906" s="372"/>
      <c r="I906" s="372"/>
      <c r="J906" s="372"/>
      <c r="K906" s="2"/>
      <c r="L906" s="132"/>
      <c r="M906" s="132"/>
      <c r="N906" s="132"/>
      <c r="O906" s="132"/>
      <c r="P906" s="132"/>
      <c r="Q906" s="132"/>
      <c r="R906" s="132"/>
      <c r="S906" s="132"/>
      <c r="T906" s="132"/>
      <c r="U906" s="132"/>
      <c r="V906" s="132"/>
      <c r="W906" s="132"/>
      <c r="X906" s="132"/>
      <c r="Y906" s="132"/>
      <c r="Z906" s="132"/>
      <c r="AA906" s="132"/>
      <c r="AB906" s="132"/>
      <c r="AC906" s="132"/>
    </row>
    <row r="907">
      <c r="A907" s="132"/>
      <c r="B907" s="132"/>
      <c r="C907" s="132"/>
      <c r="D907" s="132"/>
      <c r="E907" s="132"/>
      <c r="F907" s="132"/>
      <c r="G907" s="132"/>
      <c r="H907" s="372"/>
      <c r="I907" s="372"/>
      <c r="J907" s="372"/>
      <c r="K907" s="2"/>
      <c r="L907" s="132"/>
      <c r="M907" s="132"/>
      <c r="N907" s="132"/>
      <c r="O907" s="132"/>
      <c r="P907" s="132"/>
      <c r="Q907" s="132"/>
      <c r="R907" s="132"/>
      <c r="S907" s="132"/>
      <c r="T907" s="132"/>
      <c r="U907" s="132"/>
      <c r="V907" s="132"/>
      <c r="W907" s="132"/>
      <c r="X907" s="132"/>
      <c r="Y907" s="132"/>
      <c r="Z907" s="132"/>
      <c r="AA907" s="132"/>
      <c r="AB907" s="132"/>
      <c r="AC907" s="132"/>
    </row>
    <row r="908">
      <c r="A908" s="132"/>
      <c r="B908" s="132"/>
      <c r="C908" s="132"/>
      <c r="D908" s="132"/>
      <c r="E908" s="132"/>
      <c r="F908" s="132"/>
      <c r="G908" s="132"/>
      <c r="H908" s="372"/>
      <c r="I908" s="372"/>
      <c r="J908" s="372"/>
      <c r="K908" s="2"/>
      <c r="L908" s="132"/>
      <c r="M908" s="132"/>
      <c r="N908" s="132"/>
      <c r="O908" s="132"/>
      <c r="P908" s="132"/>
      <c r="Q908" s="132"/>
      <c r="R908" s="132"/>
      <c r="S908" s="132"/>
      <c r="T908" s="132"/>
      <c r="U908" s="132"/>
      <c r="V908" s="132"/>
      <c r="W908" s="132"/>
      <c r="X908" s="132"/>
      <c r="Y908" s="132"/>
      <c r="Z908" s="132"/>
      <c r="AA908" s="132"/>
      <c r="AB908" s="132"/>
      <c r="AC908" s="132"/>
    </row>
    <row r="909">
      <c r="A909" s="132"/>
      <c r="B909" s="132"/>
      <c r="C909" s="132"/>
      <c r="D909" s="132"/>
      <c r="E909" s="132"/>
      <c r="F909" s="132"/>
      <c r="G909" s="132"/>
      <c r="H909" s="372"/>
      <c r="I909" s="372"/>
      <c r="J909" s="372"/>
      <c r="K909" s="2"/>
      <c r="L909" s="132"/>
      <c r="M909" s="132"/>
      <c r="N909" s="132"/>
      <c r="O909" s="132"/>
      <c r="P909" s="132"/>
      <c r="Q909" s="132"/>
      <c r="R909" s="132"/>
      <c r="S909" s="132"/>
      <c r="T909" s="132"/>
      <c r="U909" s="132"/>
      <c r="V909" s="132"/>
      <c r="W909" s="132"/>
      <c r="X909" s="132"/>
      <c r="Y909" s="132"/>
      <c r="Z909" s="132"/>
      <c r="AA909" s="132"/>
      <c r="AB909" s="132"/>
      <c r="AC909" s="132"/>
    </row>
    <row r="910">
      <c r="A910" s="132"/>
      <c r="B910" s="132"/>
      <c r="C910" s="132"/>
      <c r="D910" s="132"/>
      <c r="E910" s="132"/>
      <c r="F910" s="132"/>
      <c r="G910" s="132"/>
      <c r="H910" s="372"/>
      <c r="I910" s="372"/>
      <c r="J910" s="372"/>
      <c r="K910" s="2"/>
      <c r="L910" s="132"/>
      <c r="M910" s="132"/>
      <c r="N910" s="132"/>
      <c r="O910" s="132"/>
      <c r="P910" s="132"/>
      <c r="Q910" s="132"/>
      <c r="R910" s="132"/>
      <c r="S910" s="132"/>
      <c r="T910" s="132"/>
      <c r="U910" s="132"/>
      <c r="V910" s="132"/>
      <c r="W910" s="132"/>
      <c r="X910" s="132"/>
      <c r="Y910" s="132"/>
      <c r="Z910" s="132"/>
      <c r="AA910" s="132"/>
      <c r="AB910" s="132"/>
      <c r="AC910" s="132"/>
    </row>
    <row r="911">
      <c r="A911" s="132"/>
      <c r="B911" s="132"/>
      <c r="C911" s="132"/>
      <c r="D911" s="132"/>
      <c r="E911" s="132"/>
      <c r="F911" s="132"/>
      <c r="G911" s="132"/>
      <c r="H911" s="372"/>
      <c r="I911" s="372"/>
      <c r="J911" s="372"/>
      <c r="K911" s="2"/>
      <c r="L911" s="132"/>
      <c r="M911" s="132"/>
      <c r="N911" s="132"/>
      <c r="O911" s="132"/>
      <c r="P911" s="132"/>
      <c r="Q911" s="132"/>
      <c r="R911" s="132"/>
      <c r="S911" s="132"/>
      <c r="T911" s="132"/>
      <c r="U911" s="132"/>
      <c r="V911" s="132"/>
      <c r="W911" s="132"/>
      <c r="X911" s="132"/>
      <c r="Y911" s="132"/>
      <c r="Z911" s="132"/>
      <c r="AA911" s="132"/>
      <c r="AB911" s="132"/>
      <c r="AC911" s="132"/>
    </row>
    <row r="912">
      <c r="A912" s="132"/>
      <c r="B912" s="132"/>
      <c r="C912" s="132"/>
      <c r="D912" s="132"/>
      <c r="E912" s="132"/>
      <c r="F912" s="132"/>
      <c r="G912" s="132"/>
      <c r="H912" s="372"/>
      <c r="I912" s="372"/>
      <c r="J912" s="372"/>
      <c r="K912" s="2"/>
      <c r="L912" s="132"/>
      <c r="M912" s="132"/>
      <c r="N912" s="132"/>
      <c r="O912" s="132"/>
      <c r="P912" s="132"/>
      <c r="Q912" s="132"/>
      <c r="R912" s="132"/>
      <c r="S912" s="132"/>
      <c r="T912" s="132"/>
      <c r="U912" s="132"/>
      <c r="V912" s="132"/>
      <c r="W912" s="132"/>
      <c r="X912" s="132"/>
      <c r="Y912" s="132"/>
      <c r="Z912" s="132"/>
      <c r="AA912" s="132"/>
      <c r="AB912" s="132"/>
      <c r="AC912" s="132"/>
    </row>
    <row r="913">
      <c r="A913" s="132"/>
      <c r="B913" s="132"/>
      <c r="C913" s="132"/>
      <c r="D913" s="132"/>
      <c r="E913" s="132"/>
      <c r="F913" s="132"/>
      <c r="G913" s="132"/>
      <c r="H913" s="372"/>
      <c r="I913" s="372"/>
      <c r="J913" s="372"/>
      <c r="K913" s="2"/>
      <c r="L913" s="132"/>
      <c r="M913" s="132"/>
      <c r="N913" s="132"/>
      <c r="O913" s="132"/>
      <c r="P913" s="132"/>
      <c r="Q913" s="132"/>
      <c r="R913" s="132"/>
      <c r="S913" s="132"/>
      <c r="T913" s="132"/>
      <c r="U913" s="132"/>
      <c r="V913" s="132"/>
      <c r="W913" s="132"/>
      <c r="X913" s="132"/>
      <c r="Y913" s="132"/>
      <c r="Z913" s="132"/>
      <c r="AA913" s="132"/>
      <c r="AB913" s="132"/>
      <c r="AC913" s="132"/>
    </row>
    <row r="914">
      <c r="A914" s="132"/>
      <c r="B914" s="132"/>
      <c r="C914" s="132"/>
      <c r="D914" s="132"/>
      <c r="E914" s="132"/>
      <c r="F914" s="132"/>
      <c r="G914" s="132"/>
      <c r="H914" s="372"/>
      <c r="I914" s="372"/>
      <c r="J914" s="372"/>
      <c r="K914" s="2"/>
      <c r="L914" s="132"/>
      <c r="M914" s="132"/>
      <c r="N914" s="132"/>
      <c r="O914" s="132"/>
      <c r="P914" s="132"/>
      <c r="Q914" s="132"/>
      <c r="R914" s="132"/>
      <c r="S914" s="132"/>
      <c r="T914" s="132"/>
      <c r="U914" s="132"/>
      <c r="V914" s="132"/>
      <c r="W914" s="132"/>
      <c r="X914" s="132"/>
      <c r="Y914" s="132"/>
      <c r="Z914" s="132"/>
      <c r="AA914" s="132"/>
      <c r="AB914" s="132"/>
      <c r="AC914" s="132"/>
    </row>
    <row r="915">
      <c r="A915" s="132"/>
      <c r="B915" s="132"/>
      <c r="C915" s="132"/>
      <c r="D915" s="132"/>
      <c r="E915" s="132"/>
      <c r="F915" s="132"/>
      <c r="G915" s="132"/>
      <c r="H915" s="372"/>
      <c r="I915" s="372"/>
      <c r="J915" s="372"/>
      <c r="K915" s="2"/>
      <c r="L915" s="132"/>
      <c r="M915" s="132"/>
      <c r="N915" s="132"/>
      <c r="O915" s="132"/>
      <c r="P915" s="132"/>
      <c r="Q915" s="132"/>
      <c r="R915" s="132"/>
      <c r="S915" s="132"/>
      <c r="T915" s="132"/>
      <c r="U915" s="132"/>
      <c r="V915" s="132"/>
      <c r="W915" s="132"/>
      <c r="X915" s="132"/>
      <c r="Y915" s="132"/>
      <c r="Z915" s="132"/>
      <c r="AA915" s="132"/>
      <c r="AB915" s="132"/>
      <c r="AC915" s="132"/>
    </row>
    <row r="916">
      <c r="A916" s="132"/>
      <c r="B916" s="132"/>
      <c r="C916" s="132"/>
      <c r="D916" s="132"/>
      <c r="E916" s="132"/>
      <c r="F916" s="132"/>
      <c r="G916" s="132"/>
      <c r="H916" s="372"/>
      <c r="I916" s="372"/>
      <c r="J916" s="372"/>
      <c r="K916" s="2"/>
      <c r="L916" s="132"/>
      <c r="M916" s="132"/>
      <c r="N916" s="132"/>
      <c r="O916" s="132"/>
      <c r="P916" s="132"/>
      <c r="Q916" s="132"/>
      <c r="R916" s="132"/>
      <c r="S916" s="132"/>
      <c r="T916" s="132"/>
      <c r="U916" s="132"/>
      <c r="V916" s="132"/>
      <c r="W916" s="132"/>
      <c r="X916" s="132"/>
      <c r="Y916" s="132"/>
      <c r="Z916" s="132"/>
      <c r="AA916" s="132"/>
      <c r="AB916" s="132"/>
      <c r="AC916" s="132"/>
    </row>
    <row r="917">
      <c r="A917" s="132"/>
      <c r="B917" s="132"/>
      <c r="C917" s="132"/>
      <c r="D917" s="132"/>
      <c r="E917" s="132"/>
      <c r="F917" s="132"/>
      <c r="G917" s="132"/>
      <c r="H917" s="372"/>
      <c r="I917" s="372"/>
      <c r="J917" s="372"/>
      <c r="K917" s="2"/>
      <c r="L917" s="132"/>
      <c r="M917" s="132"/>
      <c r="N917" s="132"/>
      <c r="O917" s="132"/>
      <c r="P917" s="132"/>
      <c r="Q917" s="132"/>
      <c r="R917" s="132"/>
      <c r="S917" s="132"/>
      <c r="T917" s="132"/>
      <c r="U917" s="132"/>
      <c r="V917" s="132"/>
      <c r="W917" s="132"/>
      <c r="X917" s="132"/>
      <c r="Y917" s="132"/>
      <c r="Z917" s="132"/>
      <c r="AA917" s="132"/>
      <c r="AB917" s="132"/>
      <c r="AC917" s="132"/>
    </row>
    <row r="918">
      <c r="A918" s="132"/>
      <c r="B918" s="132"/>
      <c r="C918" s="132"/>
      <c r="D918" s="132"/>
      <c r="E918" s="132"/>
      <c r="F918" s="132"/>
      <c r="G918" s="132"/>
      <c r="H918" s="372"/>
      <c r="I918" s="372"/>
      <c r="J918" s="372"/>
      <c r="K918" s="2"/>
      <c r="L918" s="132"/>
      <c r="M918" s="132"/>
      <c r="N918" s="132"/>
      <c r="O918" s="132"/>
      <c r="P918" s="132"/>
      <c r="Q918" s="132"/>
      <c r="R918" s="132"/>
      <c r="S918" s="132"/>
      <c r="T918" s="132"/>
      <c r="U918" s="132"/>
      <c r="V918" s="132"/>
      <c r="W918" s="132"/>
      <c r="X918" s="132"/>
      <c r="Y918" s="132"/>
      <c r="Z918" s="132"/>
      <c r="AA918" s="132"/>
      <c r="AB918" s="132"/>
      <c r="AC918" s="132"/>
    </row>
    <row r="919">
      <c r="A919" s="132"/>
      <c r="B919" s="132"/>
      <c r="C919" s="132"/>
      <c r="D919" s="132"/>
      <c r="E919" s="132"/>
      <c r="F919" s="132"/>
      <c r="G919" s="132"/>
      <c r="H919" s="372"/>
      <c r="I919" s="372"/>
      <c r="J919" s="372"/>
      <c r="K919" s="2"/>
      <c r="L919" s="132"/>
      <c r="M919" s="132"/>
      <c r="N919" s="132"/>
      <c r="O919" s="132"/>
      <c r="P919" s="132"/>
      <c r="Q919" s="132"/>
      <c r="R919" s="132"/>
      <c r="S919" s="132"/>
      <c r="T919" s="132"/>
      <c r="U919" s="132"/>
      <c r="V919" s="132"/>
      <c r="W919" s="132"/>
      <c r="X919" s="132"/>
      <c r="Y919" s="132"/>
      <c r="Z919" s="132"/>
      <c r="AA919" s="132"/>
      <c r="AB919" s="132"/>
      <c r="AC919" s="132"/>
    </row>
    <row r="920">
      <c r="A920" s="132"/>
      <c r="B920" s="132"/>
      <c r="C920" s="132"/>
      <c r="D920" s="132"/>
      <c r="E920" s="132"/>
      <c r="F920" s="132"/>
      <c r="G920" s="132"/>
      <c r="H920" s="372"/>
      <c r="I920" s="372"/>
      <c r="J920" s="372"/>
      <c r="K920" s="2"/>
      <c r="L920" s="132"/>
      <c r="M920" s="132"/>
      <c r="N920" s="132"/>
      <c r="O920" s="132"/>
      <c r="P920" s="132"/>
      <c r="Q920" s="132"/>
      <c r="R920" s="132"/>
      <c r="S920" s="132"/>
      <c r="T920" s="132"/>
      <c r="U920" s="132"/>
      <c r="V920" s="132"/>
      <c r="W920" s="132"/>
      <c r="X920" s="132"/>
      <c r="Y920" s="132"/>
      <c r="Z920" s="132"/>
      <c r="AA920" s="132"/>
      <c r="AB920" s="132"/>
      <c r="AC920" s="132"/>
    </row>
    <row r="921">
      <c r="A921" s="132"/>
      <c r="B921" s="132"/>
      <c r="C921" s="132"/>
      <c r="D921" s="132"/>
      <c r="E921" s="132"/>
      <c r="F921" s="132"/>
      <c r="G921" s="132"/>
      <c r="H921" s="372"/>
      <c r="I921" s="372"/>
      <c r="J921" s="372"/>
      <c r="K921" s="2"/>
      <c r="L921" s="132"/>
      <c r="M921" s="132"/>
      <c r="N921" s="132"/>
      <c r="O921" s="132"/>
      <c r="P921" s="132"/>
      <c r="Q921" s="132"/>
      <c r="R921" s="132"/>
      <c r="S921" s="132"/>
      <c r="T921" s="132"/>
      <c r="U921" s="132"/>
      <c r="V921" s="132"/>
      <c r="W921" s="132"/>
      <c r="X921" s="132"/>
      <c r="Y921" s="132"/>
      <c r="Z921" s="132"/>
      <c r="AA921" s="132"/>
      <c r="AB921" s="132"/>
      <c r="AC921" s="132"/>
    </row>
    <row r="922">
      <c r="A922" s="132"/>
      <c r="B922" s="132"/>
      <c r="C922" s="132"/>
      <c r="D922" s="132"/>
      <c r="E922" s="132"/>
      <c r="F922" s="132"/>
      <c r="G922" s="132"/>
      <c r="H922" s="372"/>
      <c r="I922" s="372"/>
      <c r="J922" s="372"/>
      <c r="K922" s="2"/>
      <c r="L922" s="132"/>
      <c r="M922" s="132"/>
      <c r="N922" s="132"/>
      <c r="O922" s="132"/>
      <c r="P922" s="132"/>
      <c r="Q922" s="132"/>
      <c r="R922" s="132"/>
      <c r="S922" s="132"/>
      <c r="T922" s="132"/>
      <c r="U922" s="132"/>
      <c r="V922" s="132"/>
      <c r="W922" s="132"/>
      <c r="X922" s="132"/>
      <c r="Y922" s="132"/>
      <c r="Z922" s="132"/>
      <c r="AA922" s="132"/>
      <c r="AB922" s="132"/>
      <c r="AC922" s="132"/>
    </row>
    <row r="923">
      <c r="A923" s="132"/>
      <c r="B923" s="132"/>
      <c r="C923" s="132"/>
      <c r="D923" s="132"/>
      <c r="E923" s="132"/>
      <c r="F923" s="132"/>
      <c r="G923" s="132"/>
      <c r="H923" s="372"/>
      <c r="I923" s="372"/>
      <c r="J923" s="372"/>
      <c r="K923" s="2"/>
      <c r="L923" s="132"/>
      <c r="M923" s="132"/>
      <c r="N923" s="132"/>
      <c r="O923" s="132"/>
      <c r="P923" s="132"/>
      <c r="Q923" s="132"/>
      <c r="R923" s="132"/>
      <c r="S923" s="132"/>
      <c r="T923" s="132"/>
      <c r="U923" s="132"/>
      <c r="V923" s="132"/>
      <c r="W923" s="132"/>
      <c r="X923" s="132"/>
      <c r="Y923" s="132"/>
      <c r="Z923" s="132"/>
      <c r="AA923" s="132"/>
      <c r="AB923" s="132"/>
      <c r="AC923" s="132"/>
    </row>
    <row r="924">
      <c r="A924" s="132"/>
      <c r="B924" s="132"/>
      <c r="C924" s="132"/>
      <c r="D924" s="132"/>
      <c r="E924" s="132"/>
      <c r="F924" s="132"/>
      <c r="G924" s="132"/>
      <c r="H924" s="372"/>
      <c r="I924" s="372"/>
      <c r="J924" s="372"/>
      <c r="K924" s="2"/>
      <c r="L924" s="132"/>
      <c r="M924" s="132"/>
      <c r="N924" s="132"/>
      <c r="O924" s="132"/>
      <c r="P924" s="132"/>
      <c r="Q924" s="132"/>
      <c r="R924" s="132"/>
      <c r="S924" s="132"/>
      <c r="T924" s="132"/>
      <c r="U924" s="132"/>
      <c r="V924" s="132"/>
      <c r="W924" s="132"/>
      <c r="X924" s="132"/>
      <c r="Y924" s="132"/>
      <c r="Z924" s="132"/>
      <c r="AA924" s="132"/>
      <c r="AB924" s="132"/>
      <c r="AC924" s="132"/>
    </row>
    <row r="925">
      <c r="A925" s="132"/>
      <c r="B925" s="132"/>
      <c r="C925" s="132"/>
      <c r="D925" s="132"/>
      <c r="E925" s="132"/>
      <c r="F925" s="132"/>
      <c r="G925" s="132"/>
      <c r="H925" s="372"/>
      <c r="I925" s="372"/>
      <c r="J925" s="372"/>
      <c r="K925" s="2"/>
      <c r="L925" s="132"/>
      <c r="M925" s="132"/>
      <c r="N925" s="132"/>
      <c r="O925" s="132"/>
      <c r="P925" s="132"/>
      <c r="Q925" s="132"/>
      <c r="R925" s="132"/>
      <c r="S925" s="132"/>
      <c r="T925" s="132"/>
      <c r="U925" s="132"/>
      <c r="V925" s="132"/>
      <c r="W925" s="132"/>
      <c r="X925" s="132"/>
      <c r="Y925" s="132"/>
      <c r="Z925" s="132"/>
      <c r="AA925" s="132"/>
      <c r="AB925" s="132"/>
      <c r="AC925" s="132"/>
    </row>
    <row r="926">
      <c r="A926" s="132"/>
      <c r="B926" s="132"/>
      <c r="C926" s="132"/>
      <c r="D926" s="132"/>
      <c r="E926" s="132"/>
      <c r="F926" s="132"/>
      <c r="G926" s="132"/>
      <c r="H926" s="372"/>
      <c r="I926" s="372"/>
      <c r="J926" s="372"/>
      <c r="K926" s="2"/>
      <c r="L926" s="132"/>
      <c r="M926" s="132"/>
      <c r="N926" s="132"/>
      <c r="O926" s="132"/>
      <c r="P926" s="132"/>
      <c r="Q926" s="132"/>
      <c r="R926" s="132"/>
      <c r="S926" s="132"/>
      <c r="T926" s="132"/>
      <c r="U926" s="132"/>
      <c r="V926" s="132"/>
      <c r="W926" s="132"/>
      <c r="X926" s="132"/>
      <c r="Y926" s="132"/>
      <c r="Z926" s="132"/>
      <c r="AA926" s="132"/>
      <c r="AB926" s="132"/>
      <c r="AC926" s="132"/>
    </row>
    <row r="927">
      <c r="A927" s="132"/>
      <c r="B927" s="132"/>
      <c r="C927" s="132"/>
      <c r="D927" s="132"/>
      <c r="E927" s="132"/>
      <c r="F927" s="132"/>
      <c r="G927" s="132"/>
      <c r="H927" s="372"/>
      <c r="I927" s="372"/>
      <c r="J927" s="372"/>
      <c r="K927" s="2"/>
      <c r="L927" s="132"/>
      <c r="M927" s="132"/>
      <c r="N927" s="132"/>
      <c r="O927" s="132"/>
      <c r="P927" s="132"/>
      <c r="Q927" s="132"/>
      <c r="R927" s="132"/>
      <c r="S927" s="132"/>
      <c r="T927" s="132"/>
      <c r="U927" s="132"/>
      <c r="V927" s="132"/>
      <c r="W927" s="132"/>
      <c r="X927" s="132"/>
      <c r="Y927" s="132"/>
      <c r="Z927" s="132"/>
      <c r="AA927" s="132"/>
      <c r="AB927" s="132"/>
      <c r="AC927" s="132"/>
    </row>
    <row r="928">
      <c r="A928" s="132"/>
      <c r="B928" s="132"/>
      <c r="C928" s="132"/>
      <c r="D928" s="132"/>
      <c r="E928" s="132"/>
      <c r="F928" s="132"/>
      <c r="G928" s="132"/>
      <c r="H928" s="372"/>
      <c r="I928" s="372"/>
      <c r="J928" s="372"/>
      <c r="K928" s="2"/>
      <c r="L928" s="132"/>
      <c r="M928" s="132"/>
      <c r="N928" s="132"/>
      <c r="O928" s="132"/>
      <c r="P928" s="132"/>
      <c r="Q928" s="132"/>
      <c r="R928" s="132"/>
      <c r="S928" s="132"/>
      <c r="T928" s="132"/>
      <c r="U928" s="132"/>
      <c r="V928" s="132"/>
      <c r="W928" s="132"/>
      <c r="X928" s="132"/>
      <c r="Y928" s="132"/>
      <c r="Z928" s="132"/>
      <c r="AA928" s="132"/>
      <c r="AB928" s="132"/>
      <c r="AC928" s="132"/>
    </row>
    <row r="929">
      <c r="A929" s="132"/>
      <c r="B929" s="132"/>
      <c r="C929" s="132"/>
      <c r="D929" s="132"/>
      <c r="E929" s="132"/>
      <c r="F929" s="132"/>
      <c r="G929" s="132"/>
      <c r="H929" s="372"/>
      <c r="I929" s="372"/>
      <c r="J929" s="372"/>
      <c r="K929" s="2"/>
      <c r="L929" s="132"/>
      <c r="M929" s="132"/>
      <c r="N929" s="132"/>
      <c r="O929" s="132"/>
      <c r="P929" s="132"/>
      <c r="Q929" s="132"/>
      <c r="R929" s="132"/>
      <c r="S929" s="132"/>
      <c r="T929" s="132"/>
      <c r="U929" s="132"/>
      <c r="V929" s="132"/>
      <c r="W929" s="132"/>
      <c r="X929" s="132"/>
      <c r="Y929" s="132"/>
      <c r="Z929" s="132"/>
      <c r="AA929" s="132"/>
      <c r="AB929" s="132"/>
      <c r="AC929" s="132"/>
    </row>
    <row r="930">
      <c r="A930" s="132"/>
      <c r="B930" s="132"/>
      <c r="C930" s="132"/>
      <c r="D930" s="132"/>
      <c r="E930" s="132"/>
      <c r="F930" s="132"/>
      <c r="G930" s="132"/>
      <c r="H930" s="372"/>
      <c r="I930" s="372"/>
      <c r="J930" s="372"/>
      <c r="K930" s="2"/>
      <c r="L930" s="132"/>
      <c r="M930" s="132"/>
      <c r="N930" s="132"/>
      <c r="O930" s="132"/>
      <c r="P930" s="132"/>
      <c r="Q930" s="132"/>
      <c r="R930" s="132"/>
      <c r="S930" s="132"/>
      <c r="T930" s="132"/>
      <c r="U930" s="132"/>
      <c r="V930" s="132"/>
      <c r="W930" s="132"/>
      <c r="X930" s="132"/>
      <c r="Y930" s="132"/>
      <c r="Z930" s="132"/>
      <c r="AA930" s="132"/>
      <c r="AB930" s="132"/>
      <c r="AC930" s="132"/>
    </row>
    <row r="931">
      <c r="A931" s="132"/>
      <c r="B931" s="132"/>
      <c r="C931" s="132"/>
      <c r="D931" s="132"/>
      <c r="E931" s="132"/>
      <c r="F931" s="132"/>
      <c r="G931" s="132"/>
      <c r="H931" s="372"/>
      <c r="I931" s="372"/>
      <c r="J931" s="372"/>
      <c r="K931" s="2"/>
      <c r="L931" s="132"/>
      <c r="M931" s="132"/>
      <c r="N931" s="132"/>
      <c r="O931" s="132"/>
      <c r="P931" s="132"/>
      <c r="Q931" s="132"/>
      <c r="R931" s="132"/>
      <c r="S931" s="132"/>
      <c r="T931" s="132"/>
      <c r="U931" s="132"/>
      <c r="V931" s="132"/>
      <c r="W931" s="132"/>
      <c r="X931" s="132"/>
      <c r="Y931" s="132"/>
      <c r="Z931" s="132"/>
      <c r="AA931" s="132"/>
      <c r="AB931" s="132"/>
      <c r="AC931" s="132"/>
    </row>
    <row r="932">
      <c r="A932" s="132"/>
      <c r="B932" s="132"/>
      <c r="C932" s="132"/>
      <c r="D932" s="132"/>
      <c r="E932" s="132"/>
      <c r="F932" s="132"/>
      <c r="G932" s="132"/>
      <c r="H932" s="372"/>
      <c r="I932" s="372"/>
      <c r="J932" s="372"/>
      <c r="K932" s="2"/>
      <c r="L932" s="132"/>
      <c r="M932" s="132"/>
      <c r="N932" s="132"/>
      <c r="O932" s="132"/>
      <c r="P932" s="132"/>
      <c r="Q932" s="132"/>
      <c r="R932" s="132"/>
      <c r="S932" s="132"/>
      <c r="T932" s="132"/>
      <c r="U932" s="132"/>
      <c r="V932" s="132"/>
      <c r="W932" s="132"/>
      <c r="X932" s="132"/>
      <c r="Y932" s="132"/>
      <c r="Z932" s="132"/>
      <c r="AA932" s="132"/>
      <c r="AB932" s="132"/>
      <c r="AC932" s="132"/>
    </row>
    <row r="933">
      <c r="A933" s="132"/>
      <c r="B933" s="132"/>
      <c r="C933" s="132"/>
      <c r="D933" s="132"/>
      <c r="E933" s="132"/>
      <c r="F933" s="132"/>
      <c r="G933" s="132"/>
      <c r="H933" s="372"/>
      <c r="I933" s="372"/>
      <c r="J933" s="372"/>
      <c r="K933" s="2"/>
      <c r="L933" s="132"/>
      <c r="M933" s="132"/>
      <c r="N933" s="132"/>
      <c r="O933" s="132"/>
      <c r="P933" s="132"/>
      <c r="Q933" s="132"/>
      <c r="R933" s="132"/>
      <c r="S933" s="132"/>
      <c r="T933" s="132"/>
      <c r="U933" s="132"/>
      <c r="V933" s="132"/>
      <c r="W933" s="132"/>
      <c r="X933" s="132"/>
      <c r="Y933" s="132"/>
      <c r="Z933" s="132"/>
      <c r="AA933" s="132"/>
      <c r="AB933" s="132"/>
      <c r="AC933" s="132"/>
    </row>
    <row r="934">
      <c r="A934" s="132"/>
      <c r="B934" s="132"/>
      <c r="C934" s="132"/>
      <c r="D934" s="132"/>
      <c r="E934" s="132"/>
      <c r="F934" s="132"/>
      <c r="G934" s="132"/>
      <c r="H934" s="372"/>
      <c r="I934" s="372"/>
      <c r="J934" s="372"/>
      <c r="K934" s="2"/>
      <c r="L934" s="132"/>
      <c r="M934" s="132"/>
      <c r="N934" s="132"/>
      <c r="O934" s="132"/>
      <c r="P934" s="132"/>
      <c r="Q934" s="132"/>
      <c r="R934" s="132"/>
      <c r="S934" s="132"/>
      <c r="T934" s="132"/>
      <c r="U934" s="132"/>
      <c r="V934" s="132"/>
      <c r="W934" s="132"/>
      <c r="X934" s="132"/>
      <c r="Y934" s="132"/>
      <c r="Z934" s="132"/>
      <c r="AA934" s="132"/>
      <c r="AB934" s="132"/>
      <c r="AC934" s="132"/>
    </row>
    <row r="935">
      <c r="A935" s="132"/>
      <c r="B935" s="132"/>
      <c r="C935" s="132"/>
      <c r="D935" s="132"/>
      <c r="E935" s="132"/>
      <c r="F935" s="132"/>
      <c r="G935" s="132"/>
      <c r="H935" s="372"/>
      <c r="I935" s="372"/>
      <c r="J935" s="372"/>
      <c r="K935" s="2"/>
      <c r="L935" s="132"/>
      <c r="M935" s="132"/>
      <c r="N935" s="132"/>
      <c r="O935" s="132"/>
      <c r="P935" s="132"/>
      <c r="Q935" s="132"/>
      <c r="R935" s="132"/>
      <c r="S935" s="132"/>
      <c r="T935" s="132"/>
      <c r="U935" s="132"/>
      <c r="V935" s="132"/>
      <c r="W935" s="132"/>
      <c r="X935" s="132"/>
      <c r="Y935" s="132"/>
      <c r="Z935" s="132"/>
      <c r="AA935" s="132"/>
      <c r="AB935" s="132"/>
      <c r="AC935" s="132"/>
    </row>
    <row r="936">
      <c r="A936" s="132"/>
      <c r="B936" s="132"/>
      <c r="C936" s="132"/>
      <c r="D936" s="132"/>
      <c r="E936" s="132"/>
      <c r="F936" s="132"/>
      <c r="G936" s="132"/>
      <c r="H936" s="372"/>
      <c r="I936" s="372"/>
      <c r="J936" s="372"/>
      <c r="K936" s="2"/>
      <c r="L936" s="132"/>
      <c r="M936" s="132"/>
      <c r="N936" s="132"/>
      <c r="O936" s="132"/>
      <c r="P936" s="132"/>
      <c r="Q936" s="132"/>
      <c r="R936" s="132"/>
      <c r="S936" s="132"/>
      <c r="T936" s="132"/>
      <c r="U936" s="132"/>
      <c r="V936" s="132"/>
      <c r="W936" s="132"/>
      <c r="X936" s="132"/>
      <c r="Y936" s="132"/>
      <c r="Z936" s="132"/>
      <c r="AA936" s="132"/>
      <c r="AB936" s="132"/>
      <c r="AC936" s="132"/>
    </row>
    <row r="937">
      <c r="A937" s="132"/>
      <c r="B937" s="132"/>
      <c r="C937" s="132"/>
      <c r="D937" s="132"/>
      <c r="E937" s="132"/>
      <c r="F937" s="132"/>
      <c r="G937" s="132"/>
      <c r="H937" s="372"/>
      <c r="I937" s="372"/>
      <c r="J937" s="372"/>
      <c r="K937" s="2"/>
      <c r="L937" s="132"/>
      <c r="M937" s="132"/>
      <c r="N937" s="132"/>
      <c r="O937" s="132"/>
      <c r="P937" s="132"/>
      <c r="Q937" s="132"/>
      <c r="R937" s="132"/>
      <c r="S937" s="132"/>
      <c r="T937" s="132"/>
      <c r="U937" s="132"/>
      <c r="V937" s="132"/>
      <c r="W937" s="132"/>
      <c r="X937" s="132"/>
      <c r="Y937" s="132"/>
      <c r="Z937" s="132"/>
      <c r="AA937" s="132"/>
      <c r="AB937" s="132"/>
      <c r="AC937" s="132"/>
    </row>
    <row r="938">
      <c r="A938" s="132"/>
      <c r="B938" s="132"/>
      <c r="C938" s="132"/>
      <c r="D938" s="132"/>
      <c r="E938" s="132"/>
      <c r="F938" s="132"/>
      <c r="G938" s="132"/>
      <c r="H938" s="372"/>
      <c r="I938" s="372"/>
      <c r="J938" s="372"/>
      <c r="K938" s="2"/>
      <c r="L938" s="132"/>
      <c r="M938" s="132"/>
      <c r="N938" s="132"/>
      <c r="O938" s="132"/>
      <c r="P938" s="132"/>
      <c r="Q938" s="132"/>
      <c r="R938" s="132"/>
      <c r="S938" s="132"/>
      <c r="T938" s="132"/>
      <c r="U938" s="132"/>
      <c r="V938" s="132"/>
      <c r="W938" s="132"/>
      <c r="X938" s="132"/>
      <c r="Y938" s="132"/>
      <c r="Z938" s="132"/>
      <c r="AA938" s="132"/>
      <c r="AB938" s="132"/>
      <c r="AC938" s="132"/>
    </row>
    <row r="939">
      <c r="A939" s="132"/>
      <c r="B939" s="132"/>
      <c r="C939" s="132"/>
      <c r="D939" s="132"/>
      <c r="E939" s="132"/>
      <c r="F939" s="132"/>
      <c r="G939" s="132"/>
      <c r="H939" s="372"/>
      <c r="I939" s="372"/>
      <c r="J939" s="372"/>
      <c r="K939" s="2"/>
      <c r="L939" s="132"/>
      <c r="M939" s="132"/>
      <c r="N939" s="132"/>
      <c r="O939" s="132"/>
      <c r="P939" s="132"/>
      <c r="Q939" s="132"/>
      <c r="R939" s="132"/>
      <c r="S939" s="132"/>
      <c r="T939" s="132"/>
      <c r="U939" s="132"/>
      <c r="V939" s="132"/>
      <c r="W939" s="132"/>
      <c r="X939" s="132"/>
      <c r="Y939" s="132"/>
      <c r="Z939" s="132"/>
      <c r="AA939" s="132"/>
      <c r="AB939" s="132"/>
      <c r="AC939" s="132"/>
    </row>
    <row r="940">
      <c r="A940" s="132"/>
      <c r="B940" s="132"/>
      <c r="C940" s="132"/>
      <c r="D940" s="132"/>
      <c r="E940" s="132"/>
      <c r="F940" s="132"/>
      <c r="G940" s="132"/>
      <c r="H940" s="372"/>
      <c r="I940" s="372"/>
      <c r="J940" s="372"/>
      <c r="K940" s="2"/>
      <c r="L940" s="132"/>
      <c r="M940" s="132"/>
      <c r="N940" s="132"/>
      <c r="O940" s="132"/>
      <c r="P940" s="132"/>
      <c r="Q940" s="132"/>
      <c r="R940" s="132"/>
      <c r="S940" s="132"/>
      <c r="T940" s="132"/>
      <c r="U940" s="132"/>
      <c r="V940" s="132"/>
      <c r="W940" s="132"/>
      <c r="X940" s="132"/>
      <c r="Y940" s="132"/>
      <c r="Z940" s="132"/>
      <c r="AA940" s="132"/>
      <c r="AB940" s="132"/>
      <c r="AC940" s="132"/>
    </row>
    <row r="941">
      <c r="A941" s="132"/>
      <c r="B941" s="132"/>
      <c r="C941" s="132"/>
      <c r="D941" s="132"/>
      <c r="E941" s="132"/>
      <c r="F941" s="132"/>
      <c r="G941" s="132"/>
      <c r="H941" s="372"/>
      <c r="I941" s="372"/>
      <c r="J941" s="372"/>
      <c r="K941" s="2"/>
      <c r="L941" s="132"/>
      <c r="M941" s="132"/>
      <c r="N941" s="132"/>
      <c r="O941" s="132"/>
      <c r="P941" s="132"/>
      <c r="Q941" s="132"/>
      <c r="R941" s="132"/>
      <c r="S941" s="132"/>
      <c r="T941" s="132"/>
      <c r="U941" s="132"/>
      <c r="V941" s="132"/>
      <c r="W941" s="132"/>
      <c r="X941" s="132"/>
      <c r="Y941" s="132"/>
      <c r="Z941" s="132"/>
      <c r="AA941" s="132"/>
      <c r="AB941" s="132"/>
      <c r="AC941" s="132"/>
    </row>
    <row r="942">
      <c r="A942" s="132"/>
      <c r="B942" s="132"/>
      <c r="C942" s="132"/>
      <c r="D942" s="132"/>
      <c r="E942" s="132"/>
      <c r="F942" s="132"/>
      <c r="G942" s="132"/>
      <c r="H942" s="372"/>
      <c r="I942" s="372"/>
      <c r="J942" s="372"/>
      <c r="K942" s="2"/>
      <c r="L942" s="132"/>
      <c r="M942" s="132"/>
      <c r="N942" s="132"/>
      <c r="O942" s="132"/>
      <c r="P942" s="132"/>
      <c r="Q942" s="132"/>
      <c r="R942" s="132"/>
      <c r="S942" s="132"/>
      <c r="T942" s="132"/>
      <c r="U942" s="132"/>
      <c r="V942" s="132"/>
      <c r="W942" s="132"/>
      <c r="X942" s="132"/>
      <c r="Y942" s="132"/>
      <c r="Z942" s="132"/>
      <c r="AA942" s="132"/>
      <c r="AB942" s="132"/>
      <c r="AC942" s="132"/>
    </row>
    <row r="943">
      <c r="A943" s="132"/>
      <c r="B943" s="132"/>
      <c r="C943" s="132"/>
      <c r="D943" s="132"/>
      <c r="E943" s="132"/>
      <c r="F943" s="132"/>
      <c r="G943" s="132"/>
      <c r="H943" s="372"/>
      <c r="I943" s="372"/>
      <c r="J943" s="372"/>
      <c r="K943" s="2"/>
      <c r="L943" s="132"/>
      <c r="M943" s="132"/>
      <c r="N943" s="132"/>
      <c r="O943" s="132"/>
      <c r="P943" s="132"/>
      <c r="Q943" s="132"/>
      <c r="R943" s="132"/>
      <c r="S943" s="132"/>
      <c r="T943" s="132"/>
      <c r="U943" s="132"/>
      <c r="V943" s="132"/>
      <c r="W943" s="132"/>
      <c r="X943" s="132"/>
      <c r="Y943" s="132"/>
      <c r="Z943" s="132"/>
      <c r="AA943" s="132"/>
      <c r="AB943" s="132"/>
      <c r="AC943" s="132"/>
    </row>
    <row r="944">
      <c r="A944" s="132"/>
      <c r="B944" s="132"/>
      <c r="C944" s="132"/>
      <c r="D944" s="132"/>
      <c r="E944" s="132"/>
      <c r="F944" s="132"/>
      <c r="G944" s="132"/>
      <c r="H944" s="372"/>
      <c r="I944" s="372"/>
      <c r="J944" s="372"/>
      <c r="K944" s="2"/>
      <c r="L944" s="132"/>
      <c r="M944" s="132"/>
      <c r="N944" s="132"/>
      <c r="O944" s="132"/>
      <c r="P944" s="132"/>
      <c r="Q944" s="132"/>
      <c r="R944" s="132"/>
      <c r="S944" s="132"/>
      <c r="T944" s="132"/>
      <c r="U944" s="132"/>
      <c r="V944" s="132"/>
      <c r="W944" s="132"/>
      <c r="X944" s="132"/>
      <c r="Y944" s="132"/>
      <c r="Z944" s="132"/>
      <c r="AA944" s="132"/>
      <c r="AB944" s="132"/>
      <c r="AC944" s="132"/>
    </row>
    <row r="945">
      <c r="A945" s="132"/>
      <c r="B945" s="132"/>
      <c r="C945" s="132"/>
      <c r="D945" s="132"/>
      <c r="E945" s="132"/>
      <c r="F945" s="132"/>
      <c r="G945" s="132"/>
      <c r="H945" s="372"/>
      <c r="I945" s="372"/>
      <c r="J945" s="372"/>
      <c r="K945" s="2"/>
      <c r="L945" s="132"/>
      <c r="M945" s="132"/>
      <c r="N945" s="132"/>
      <c r="O945" s="132"/>
      <c r="P945" s="132"/>
      <c r="Q945" s="132"/>
      <c r="R945" s="132"/>
      <c r="S945" s="132"/>
      <c r="T945" s="132"/>
      <c r="U945" s="132"/>
      <c r="V945" s="132"/>
      <c r="W945" s="132"/>
      <c r="X945" s="132"/>
      <c r="Y945" s="132"/>
      <c r="Z945" s="132"/>
      <c r="AA945" s="132"/>
      <c r="AB945" s="132"/>
      <c r="AC945" s="132"/>
    </row>
    <row r="946">
      <c r="A946" s="132"/>
      <c r="B946" s="132"/>
      <c r="C946" s="132"/>
      <c r="D946" s="132"/>
      <c r="E946" s="132"/>
      <c r="F946" s="132"/>
      <c r="G946" s="132"/>
      <c r="H946" s="372"/>
      <c r="I946" s="372"/>
      <c r="J946" s="372"/>
      <c r="K946" s="2"/>
      <c r="L946" s="132"/>
      <c r="M946" s="132"/>
      <c r="N946" s="132"/>
      <c r="O946" s="132"/>
      <c r="P946" s="132"/>
      <c r="Q946" s="132"/>
      <c r="R946" s="132"/>
      <c r="S946" s="132"/>
      <c r="T946" s="132"/>
      <c r="U946" s="132"/>
      <c r="V946" s="132"/>
      <c r="W946" s="132"/>
      <c r="X946" s="132"/>
      <c r="Y946" s="132"/>
      <c r="Z946" s="132"/>
      <c r="AA946" s="132"/>
      <c r="AB946" s="132"/>
      <c r="AC946" s="132"/>
    </row>
    <row r="947">
      <c r="A947" s="132"/>
      <c r="B947" s="132"/>
      <c r="C947" s="132"/>
      <c r="D947" s="132"/>
      <c r="E947" s="132"/>
      <c r="F947" s="132"/>
      <c r="G947" s="132"/>
      <c r="H947" s="372"/>
      <c r="I947" s="372"/>
      <c r="J947" s="372"/>
      <c r="K947" s="2"/>
      <c r="L947" s="132"/>
      <c r="M947" s="132"/>
      <c r="N947" s="132"/>
      <c r="O947" s="132"/>
      <c r="P947" s="132"/>
      <c r="Q947" s="132"/>
      <c r="R947" s="132"/>
      <c r="S947" s="132"/>
      <c r="T947" s="132"/>
      <c r="U947" s="132"/>
      <c r="V947" s="132"/>
      <c r="W947" s="132"/>
      <c r="X947" s="132"/>
      <c r="Y947" s="132"/>
      <c r="Z947" s="132"/>
      <c r="AA947" s="132"/>
      <c r="AB947" s="132"/>
      <c r="AC947" s="132"/>
    </row>
    <row r="948">
      <c r="A948" s="132"/>
      <c r="B948" s="132"/>
      <c r="C948" s="132"/>
      <c r="D948" s="132"/>
      <c r="E948" s="132"/>
      <c r="F948" s="132"/>
      <c r="G948" s="132"/>
      <c r="H948" s="372"/>
      <c r="I948" s="372"/>
      <c r="J948" s="372"/>
      <c r="K948" s="2"/>
      <c r="L948" s="132"/>
      <c r="M948" s="132"/>
      <c r="N948" s="132"/>
      <c r="O948" s="132"/>
      <c r="P948" s="132"/>
      <c r="Q948" s="132"/>
      <c r="R948" s="132"/>
      <c r="S948" s="132"/>
      <c r="T948" s="132"/>
      <c r="U948" s="132"/>
      <c r="V948" s="132"/>
      <c r="W948" s="132"/>
      <c r="X948" s="132"/>
      <c r="Y948" s="132"/>
      <c r="Z948" s="132"/>
      <c r="AA948" s="132"/>
      <c r="AB948" s="132"/>
      <c r="AC948" s="132"/>
    </row>
    <row r="949">
      <c r="A949" s="132"/>
      <c r="B949" s="132"/>
      <c r="C949" s="132"/>
      <c r="D949" s="132"/>
      <c r="E949" s="132"/>
      <c r="F949" s="132"/>
      <c r="G949" s="132"/>
      <c r="H949" s="372"/>
      <c r="I949" s="372"/>
      <c r="J949" s="372"/>
      <c r="K949" s="2"/>
      <c r="L949" s="132"/>
      <c r="M949" s="132"/>
      <c r="N949" s="132"/>
      <c r="O949" s="132"/>
      <c r="P949" s="132"/>
      <c r="Q949" s="132"/>
      <c r="R949" s="132"/>
      <c r="S949" s="132"/>
      <c r="T949" s="132"/>
      <c r="U949" s="132"/>
      <c r="V949" s="132"/>
      <c r="W949" s="132"/>
      <c r="X949" s="132"/>
      <c r="Y949" s="132"/>
      <c r="Z949" s="132"/>
      <c r="AA949" s="132"/>
      <c r="AB949" s="132"/>
      <c r="AC949" s="132"/>
    </row>
    <row r="950">
      <c r="A950" s="132"/>
      <c r="B950" s="132"/>
      <c r="C950" s="132"/>
      <c r="D950" s="132"/>
      <c r="E950" s="132"/>
      <c r="F950" s="132"/>
      <c r="G950" s="132"/>
      <c r="H950" s="372"/>
      <c r="I950" s="372"/>
      <c r="J950" s="372"/>
      <c r="K950" s="2"/>
      <c r="L950" s="132"/>
      <c r="M950" s="132"/>
      <c r="N950" s="132"/>
      <c r="O950" s="132"/>
      <c r="P950" s="132"/>
      <c r="Q950" s="132"/>
      <c r="R950" s="132"/>
      <c r="S950" s="132"/>
      <c r="T950" s="132"/>
      <c r="U950" s="132"/>
      <c r="V950" s="132"/>
      <c r="W950" s="132"/>
      <c r="X950" s="132"/>
      <c r="Y950" s="132"/>
      <c r="Z950" s="132"/>
      <c r="AA950" s="132"/>
      <c r="AB950" s="132"/>
      <c r="AC950" s="132"/>
    </row>
    <row r="951">
      <c r="A951" s="132"/>
      <c r="B951" s="132"/>
      <c r="C951" s="132"/>
      <c r="D951" s="132"/>
      <c r="E951" s="132"/>
      <c r="F951" s="132"/>
      <c r="G951" s="132"/>
      <c r="H951" s="372"/>
      <c r="I951" s="372"/>
      <c r="J951" s="372"/>
      <c r="K951" s="2"/>
      <c r="L951" s="132"/>
      <c r="M951" s="132"/>
      <c r="N951" s="132"/>
      <c r="O951" s="132"/>
      <c r="P951" s="132"/>
      <c r="Q951" s="132"/>
      <c r="R951" s="132"/>
      <c r="S951" s="132"/>
      <c r="T951" s="132"/>
      <c r="U951" s="132"/>
      <c r="V951" s="132"/>
      <c r="W951" s="132"/>
      <c r="X951" s="132"/>
      <c r="Y951" s="132"/>
      <c r="Z951" s="132"/>
      <c r="AA951" s="132"/>
      <c r="AB951" s="132"/>
      <c r="AC951" s="132"/>
    </row>
    <row r="952">
      <c r="A952" s="132"/>
      <c r="B952" s="132"/>
      <c r="C952" s="132"/>
      <c r="D952" s="132"/>
      <c r="E952" s="132"/>
      <c r="F952" s="132"/>
      <c r="G952" s="132"/>
      <c r="H952" s="372"/>
      <c r="I952" s="372"/>
      <c r="J952" s="372"/>
      <c r="K952" s="2"/>
      <c r="L952" s="132"/>
      <c r="M952" s="132"/>
      <c r="N952" s="132"/>
      <c r="O952" s="132"/>
      <c r="P952" s="132"/>
      <c r="Q952" s="132"/>
      <c r="R952" s="132"/>
      <c r="S952" s="132"/>
      <c r="T952" s="132"/>
      <c r="U952" s="132"/>
      <c r="V952" s="132"/>
      <c r="W952" s="132"/>
      <c r="X952" s="132"/>
      <c r="Y952" s="132"/>
      <c r="Z952" s="132"/>
      <c r="AA952" s="132"/>
      <c r="AB952" s="132"/>
      <c r="AC952" s="132"/>
    </row>
    <row r="953">
      <c r="A953" s="132"/>
      <c r="B953" s="132"/>
      <c r="C953" s="132"/>
      <c r="D953" s="132"/>
      <c r="E953" s="132"/>
      <c r="F953" s="132"/>
      <c r="G953" s="132"/>
      <c r="H953" s="372"/>
      <c r="I953" s="372"/>
      <c r="J953" s="372"/>
      <c r="K953" s="2"/>
      <c r="L953" s="132"/>
      <c r="M953" s="132"/>
      <c r="N953" s="132"/>
      <c r="O953" s="132"/>
      <c r="P953" s="132"/>
      <c r="Q953" s="132"/>
      <c r="R953" s="132"/>
      <c r="S953" s="132"/>
      <c r="T953" s="132"/>
      <c r="U953" s="132"/>
      <c r="V953" s="132"/>
      <c r="W953" s="132"/>
      <c r="X953" s="132"/>
      <c r="Y953" s="132"/>
      <c r="Z953" s="132"/>
      <c r="AA953" s="132"/>
      <c r="AB953" s="132"/>
      <c r="AC953" s="132"/>
    </row>
    <row r="954">
      <c r="A954" s="132"/>
      <c r="B954" s="132"/>
      <c r="C954" s="132"/>
      <c r="D954" s="132"/>
      <c r="E954" s="132"/>
      <c r="F954" s="132"/>
      <c r="G954" s="132"/>
      <c r="H954" s="372"/>
      <c r="I954" s="372"/>
      <c r="J954" s="372"/>
      <c r="K954" s="2"/>
      <c r="L954" s="132"/>
      <c r="M954" s="132"/>
      <c r="N954" s="132"/>
      <c r="O954" s="132"/>
      <c r="P954" s="132"/>
      <c r="Q954" s="132"/>
      <c r="R954" s="132"/>
      <c r="S954" s="132"/>
      <c r="T954" s="132"/>
      <c r="U954" s="132"/>
      <c r="V954" s="132"/>
      <c r="W954" s="132"/>
      <c r="X954" s="132"/>
      <c r="Y954" s="132"/>
      <c r="Z954" s="132"/>
      <c r="AA954" s="132"/>
      <c r="AB954" s="132"/>
      <c r="AC954" s="132"/>
    </row>
    <row r="955">
      <c r="A955" s="132"/>
      <c r="B955" s="132"/>
      <c r="C955" s="132"/>
      <c r="D955" s="132"/>
      <c r="E955" s="132"/>
      <c r="F955" s="132"/>
      <c r="G955" s="132"/>
      <c r="H955" s="372"/>
      <c r="I955" s="372"/>
      <c r="J955" s="372"/>
      <c r="K955" s="2"/>
      <c r="L955" s="132"/>
      <c r="M955" s="132"/>
      <c r="N955" s="132"/>
      <c r="O955" s="132"/>
      <c r="P955" s="132"/>
      <c r="Q955" s="132"/>
      <c r="R955" s="132"/>
      <c r="S955" s="132"/>
      <c r="T955" s="132"/>
      <c r="U955" s="132"/>
      <c r="V955" s="132"/>
      <c r="W955" s="132"/>
      <c r="X955" s="132"/>
      <c r="Y955" s="132"/>
      <c r="Z955" s="132"/>
      <c r="AA955" s="132"/>
      <c r="AB955" s="132"/>
      <c r="AC955" s="132"/>
    </row>
    <row r="956">
      <c r="A956" s="132"/>
      <c r="B956" s="132"/>
      <c r="C956" s="132"/>
      <c r="D956" s="132"/>
      <c r="E956" s="132"/>
      <c r="F956" s="132"/>
      <c r="G956" s="132"/>
      <c r="H956" s="372"/>
      <c r="I956" s="372"/>
      <c r="J956" s="372"/>
      <c r="K956" s="2"/>
      <c r="L956" s="132"/>
      <c r="M956" s="132"/>
      <c r="N956" s="132"/>
      <c r="O956" s="132"/>
      <c r="P956" s="132"/>
      <c r="Q956" s="132"/>
      <c r="R956" s="132"/>
      <c r="S956" s="132"/>
      <c r="T956" s="132"/>
      <c r="U956" s="132"/>
      <c r="V956" s="132"/>
      <c r="W956" s="132"/>
      <c r="X956" s="132"/>
      <c r="Y956" s="132"/>
      <c r="Z956" s="132"/>
      <c r="AA956" s="132"/>
      <c r="AB956" s="132"/>
      <c r="AC956" s="132"/>
    </row>
    <row r="957">
      <c r="A957" s="132"/>
      <c r="B957" s="132"/>
      <c r="C957" s="132"/>
      <c r="D957" s="132"/>
      <c r="E957" s="132"/>
      <c r="F957" s="132"/>
      <c r="G957" s="132"/>
      <c r="H957" s="372"/>
      <c r="I957" s="372"/>
      <c r="J957" s="372"/>
      <c r="K957" s="2"/>
      <c r="L957" s="132"/>
      <c r="M957" s="132"/>
      <c r="N957" s="132"/>
      <c r="O957" s="132"/>
      <c r="P957" s="132"/>
      <c r="Q957" s="132"/>
      <c r="R957" s="132"/>
      <c r="S957" s="132"/>
      <c r="T957" s="132"/>
      <c r="U957" s="132"/>
      <c r="V957" s="132"/>
      <c r="W957" s="132"/>
      <c r="X957" s="132"/>
      <c r="Y957" s="132"/>
      <c r="Z957" s="132"/>
      <c r="AA957" s="132"/>
      <c r="AB957" s="132"/>
      <c r="AC957" s="132"/>
    </row>
    <row r="958">
      <c r="A958" s="132"/>
      <c r="B958" s="132"/>
      <c r="C958" s="132"/>
      <c r="D958" s="132"/>
      <c r="E958" s="132"/>
      <c r="F958" s="132"/>
      <c r="G958" s="132"/>
      <c r="H958" s="372"/>
      <c r="I958" s="372"/>
      <c r="J958" s="372"/>
      <c r="K958" s="2"/>
      <c r="L958" s="132"/>
      <c r="M958" s="132"/>
      <c r="N958" s="132"/>
      <c r="O958" s="132"/>
      <c r="P958" s="132"/>
      <c r="Q958" s="132"/>
      <c r="R958" s="132"/>
      <c r="S958" s="132"/>
      <c r="T958" s="132"/>
      <c r="U958" s="132"/>
      <c r="V958" s="132"/>
      <c r="W958" s="132"/>
      <c r="X958" s="132"/>
      <c r="Y958" s="132"/>
      <c r="Z958" s="132"/>
      <c r="AA958" s="132"/>
      <c r="AB958" s="132"/>
      <c r="AC958" s="132"/>
    </row>
    <row r="959">
      <c r="A959" s="132"/>
      <c r="B959" s="132"/>
      <c r="C959" s="132"/>
      <c r="D959" s="132"/>
      <c r="E959" s="132"/>
      <c r="F959" s="132"/>
      <c r="G959" s="132"/>
      <c r="H959" s="372"/>
      <c r="I959" s="372"/>
      <c r="J959" s="372"/>
      <c r="K959" s="2"/>
      <c r="L959" s="132"/>
      <c r="M959" s="132"/>
      <c r="N959" s="132"/>
      <c r="O959" s="132"/>
      <c r="P959" s="132"/>
      <c r="Q959" s="132"/>
      <c r="R959" s="132"/>
      <c r="S959" s="132"/>
      <c r="T959" s="132"/>
      <c r="U959" s="132"/>
      <c r="V959" s="132"/>
      <c r="W959" s="132"/>
      <c r="X959" s="132"/>
      <c r="Y959" s="132"/>
      <c r="Z959" s="132"/>
      <c r="AA959" s="132"/>
      <c r="AB959" s="132"/>
      <c r="AC959" s="132"/>
    </row>
    <row r="960">
      <c r="A960" s="132"/>
      <c r="B960" s="132"/>
      <c r="C960" s="132"/>
      <c r="D960" s="132"/>
      <c r="E960" s="132"/>
      <c r="F960" s="132"/>
      <c r="G960" s="132"/>
      <c r="H960" s="372"/>
      <c r="I960" s="372"/>
      <c r="J960" s="372"/>
      <c r="K960" s="2"/>
      <c r="L960" s="132"/>
      <c r="M960" s="132"/>
      <c r="N960" s="132"/>
      <c r="O960" s="132"/>
      <c r="P960" s="132"/>
      <c r="Q960" s="132"/>
      <c r="R960" s="132"/>
      <c r="S960" s="132"/>
      <c r="T960" s="132"/>
      <c r="U960" s="132"/>
      <c r="V960" s="132"/>
      <c r="W960" s="132"/>
      <c r="X960" s="132"/>
      <c r="Y960" s="132"/>
      <c r="Z960" s="132"/>
      <c r="AA960" s="132"/>
      <c r="AB960" s="132"/>
      <c r="AC960" s="132"/>
    </row>
    <row r="961">
      <c r="A961" s="132"/>
      <c r="B961" s="132"/>
      <c r="C961" s="132"/>
      <c r="D961" s="132"/>
      <c r="E961" s="132"/>
      <c r="F961" s="132"/>
      <c r="G961" s="132"/>
      <c r="H961" s="372"/>
      <c r="I961" s="372"/>
      <c r="J961" s="372"/>
      <c r="K961" s="2"/>
      <c r="L961" s="132"/>
      <c r="M961" s="132"/>
      <c r="N961" s="132"/>
      <c r="O961" s="132"/>
      <c r="P961" s="132"/>
      <c r="Q961" s="132"/>
      <c r="R961" s="132"/>
      <c r="S961" s="132"/>
      <c r="T961" s="132"/>
      <c r="U961" s="132"/>
      <c r="V961" s="132"/>
      <c r="W961" s="132"/>
      <c r="X961" s="132"/>
      <c r="Y961" s="132"/>
      <c r="Z961" s="132"/>
      <c r="AA961" s="132"/>
      <c r="AB961" s="132"/>
      <c r="AC961" s="132"/>
    </row>
    <row r="962">
      <c r="A962" s="132"/>
      <c r="B962" s="132"/>
      <c r="C962" s="132"/>
      <c r="D962" s="132"/>
      <c r="E962" s="132"/>
      <c r="F962" s="132"/>
      <c r="G962" s="132"/>
      <c r="H962" s="372"/>
      <c r="I962" s="372"/>
      <c r="J962" s="372"/>
      <c r="K962" s="2"/>
      <c r="L962" s="132"/>
      <c r="M962" s="132"/>
      <c r="N962" s="132"/>
      <c r="O962" s="132"/>
      <c r="P962" s="132"/>
      <c r="Q962" s="132"/>
      <c r="R962" s="132"/>
      <c r="S962" s="132"/>
      <c r="T962" s="132"/>
      <c r="U962" s="132"/>
      <c r="V962" s="132"/>
      <c r="W962" s="132"/>
      <c r="X962" s="132"/>
      <c r="Y962" s="132"/>
      <c r="Z962" s="132"/>
      <c r="AA962" s="132"/>
      <c r="AB962" s="132"/>
      <c r="AC962" s="132"/>
    </row>
    <row r="963">
      <c r="A963" s="132"/>
      <c r="B963" s="132"/>
      <c r="C963" s="132"/>
      <c r="D963" s="132"/>
      <c r="E963" s="132"/>
      <c r="F963" s="132"/>
      <c r="G963" s="132"/>
      <c r="H963" s="372"/>
      <c r="I963" s="372"/>
      <c r="J963" s="372"/>
      <c r="K963" s="2"/>
      <c r="L963" s="132"/>
      <c r="M963" s="132"/>
      <c r="N963" s="132"/>
      <c r="O963" s="132"/>
      <c r="P963" s="132"/>
      <c r="Q963" s="132"/>
      <c r="R963" s="132"/>
      <c r="S963" s="132"/>
      <c r="T963" s="132"/>
      <c r="U963" s="132"/>
      <c r="V963" s="132"/>
      <c r="W963" s="132"/>
      <c r="X963" s="132"/>
      <c r="Y963" s="132"/>
      <c r="Z963" s="132"/>
      <c r="AA963" s="132"/>
      <c r="AB963" s="132"/>
      <c r="AC963" s="132"/>
    </row>
    <row r="964">
      <c r="A964" s="132"/>
      <c r="B964" s="132"/>
      <c r="C964" s="132"/>
      <c r="D964" s="132"/>
      <c r="E964" s="132"/>
      <c r="F964" s="132"/>
      <c r="G964" s="132"/>
      <c r="H964" s="372"/>
      <c r="I964" s="372"/>
      <c r="J964" s="372"/>
      <c r="K964" s="2"/>
      <c r="L964" s="132"/>
      <c r="M964" s="132"/>
      <c r="N964" s="132"/>
      <c r="O964" s="132"/>
      <c r="P964" s="132"/>
      <c r="Q964" s="132"/>
      <c r="R964" s="132"/>
      <c r="S964" s="132"/>
      <c r="T964" s="132"/>
      <c r="U964" s="132"/>
      <c r="V964" s="132"/>
      <c r="W964" s="132"/>
      <c r="X964" s="132"/>
      <c r="Y964" s="132"/>
      <c r="Z964" s="132"/>
      <c r="AA964" s="132"/>
      <c r="AB964" s="132"/>
      <c r="AC964" s="132"/>
    </row>
    <row r="965">
      <c r="A965" s="132"/>
      <c r="B965" s="132"/>
      <c r="C965" s="132"/>
      <c r="D965" s="132"/>
      <c r="E965" s="132"/>
      <c r="F965" s="132"/>
      <c r="G965" s="132"/>
      <c r="H965" s="372"/>
      <c r="I965" s="372"/>
      <c r="J965" s="372"/>
      <c r="K965" s="2"/>
      <c r="L965" s="132"/>
      <c r="M965" s="132"/>
      <c r="N965" s="132"/>
      <c r="O965" s="132"/>
      <c r="P965" s="132"/>
      <c r="Q965" s="132"/>
      <c r="R965" s="132"/>
      <c r="S965" s="132"/>
      <c r="T965" s="132"/>
      <c r="U965" s="132"/>
      <c r="V965" s="132"/>
      <c r="W965" s="132"/>
      <c r="X965" s="132"/>
      <c r="Y965" s="132"/>
      <c r="Z965" s="132"/>
      <c r="AA965" s="132"/>
      <c r="AB965" s="132"/>
      <c r="AC965" s="132"/>
    </row>
    <row r="966">
      <c r="A966" s="132"/>
      <c r="B966" s="132"/>
      <c r="C966" s="132"/>
      <c r="D966" s="132"/>
      <c r="E966" s="132"/>
      <c r="F966" s="132"/>
      <c r="G966" s="132"/>
      <c r="H966" s="372"/>
      <c r="I966" s="372"/>
      <c r="J966" s="372"/>
      <c r="K966" s="2"/>
      <c r="L966" s="132"/>
      <c r="M966" s="132"/>
      <c r="N966" s="132"/>
      <c r="O966" s="132"/>
      <c r="P966" s="132"/>
      <c r="Q966" s="132"/>
      <c r="R966" s="132"/>
      <c r="S966" s="132"/>
      <c r="T966" s="132"/>
      <c r="U966" s="132"/>
      <c r="V966" s="132"/>
      <c r="W966" s="132"/>
      <c r="X966" s="132"/>
      <c r="Y966" s="132"/>
      <c r="Z966" s="132"/>
      <c r="AA966" s="132"/>
      <c r="AB966" s="132"/>
      <c r="AC966" s="132"/>
    </row>
    <row r="967">
      <c r="A967" s="132"/>
      <c r="B967" s="132"/>
      <c r="C967" s="132"/>
      <c r="D967" s="132"/>
      <c r="E967" s="132"/>
      <c r="F967" s="132"/>
      <c r="G967" s="132"/>
      <c r="H967" s="372"/>
      <c r="I967" s="372"/>
      <c r="J967" s="372"/>
      <c r="K967" s="2"/>
      <c r="L967" s="132"/>
      <c r="M967" s="132"/>
      <c r="N967" s="132"/>
      <c r="O967" s="132"/>
      <c r="P967" s="132"/>
      <c r="Q967" s="132"/>
      <c r="R967" s="132"/>
      <c r="S967" s="132"/>
      <c r="T967" s="132"/>
      <c r="U967" s="132"/>
      <c r="V967" s="132"/>
      <c r="W967" s="132"/>
      <c r="X967" s="132"/>
      <c r="Y967" s="132"/>
      <c r="Z967" s="132"/>
      <c r="AA967" s="132"/>
      <c r="AB967" s="132"/>
      <c r="AC967" s="132"/>
    </row>
    <row r="968">
      <c r="A968" s="132"/>
      <c r="B968" s="132"/>
      <c r="C968" s="132"/>
      <c r="D968" s="132"/>
      <c r="E968" s="132"/>
      <c r="F968" s="132"/>
      <c r="G968" s="132"/>
      <c r="H968" s="372"/>
      <c r="I968" s="372"/>
      <c r="J968" s="372"/>
      <c r="K968" s="2"/>
      <c r="L968" s="132"/>
      <c r="M968" s="132"/>
      <c r="N968" s="132"/>
      <c r="O968" s="132"/>
      <c r="P968" s="132"/>
      <c r="Q968" s="132"/>
      <c r="R968" s="132"/>
      <c r="S968" s="132"/>
      <c r="T968" s="132"/>
      <c r="U968" s="132"/>
      <c r="V968" s="132"/>
      <c r="W968" s="132"/>
      <c r="X968" s="132"/>
      <c r="Y968" s="132"/>
      <c r="Z968" s="132"/>
      <c r="AA968" s="132"/>
      <c r="AB968" s="132"/>
      <c r="AC968" s="132"/>
    </row>
    <row r="969">
      <c r="A969" s="132"/>
      <c r="B969" s="132"/>
      <c r="C969" s="132"/>
      <c r="D969" s="132"/>
      <c r="E969" s="132"/>
      <c r="F969" s="132"/>
      <c r="G969" s="132"/>
      <c r="H969" s="372"/>
      <c r="I969" s="372"/>
      <c r="J969" s="372"/>
      <c r="K969" s="2"/>
      <c r="L969" s="132"/>
      <c r="M969" s="132"/>
      <c r="N969" s="132"/>
      <c r="O969" s="132"/>
      <c r="P969" s="132"/>
      <c r="Q969" s="132"/>
      <c r="R969" s="132"/>
      <c r="S969" s="132"/>
      <c r="T969" s="132"/>
      <c r="U969" s="132"/>
      <c r="V969" s="132"/>
      <c r="W969" s="132"/>
      <c r="X969" s="132"/>
      <c r="Y969" s="132"/>
      <c r="Z969" s="132"/>
      <c r="AA969" s="132"/>
      <c r="AB969" s="132"/>
      <c r="AC969" s="132"/>
    </row>
    <row r="970">
      <c r="A970" s="132"/>
      <c r="B970" s="132"/>
      <c r="C970" s="132"/>
      <c r="D970" s="132"/>
      <c r="E970" s="132"/>
      <c r="F970" s="132"/>
      <c r="G970" s="132"/>
      <c r="H970" s="372"/>
      <c r="I970" s="372"/>
      <c r="J970" s="372"/>
      <c r="K970" s="2"/>
      <c r="L970" s="132"/>
      <c r="M970" s="132"/>
      <c r="N970" s="132"/>
      <c r="O970" s="132"/>
      <c r="P970" s="132"/>
      <c r="Q970" s="132"/>
      <c r="R970" s="132"/>
      <c r="S970" s="132"/>
      <c r="T970" s="132"/>
      <c r="U970" s="132"/>
      <c r="V970" s="132"/>
      <c r="W970" s="132"/>
      <c r="X970" s="132"/>
      <c r="Y970" s="132"/>
      <c r="Z970" s="132"/>
      <c r="AA970" s="132"/>
      <c r="AB970" s="132"/>
      <c r="AC970" s="132"/>
    </row>
    <row r="971">
      <c r="A971" s="132"/>
      <c r="B971" s="132"/>
      <c r="C971" s="132"/>
      <c r="D971" s="132"/>
      <c r="E971" s="132"/>
      <c r="F971" s="132"/>
      <c r="G971" s="132"/>
      <c r="H971" s="372"/>
      <c r="I971" s="372"/>
      <c r="J971" s="372"/>
      <c r="K971" s="2"/>
      <c r="L971" s="132"/>
      <c r="M971" s="132"/>
      <c r="N971" s="132"/>
      <c r="O971" s="132"/>
      <c r="P971" s="132"/>
      <c r="Q971" s="132"/>
      <c r="R971" s="132"/>
      <c r="S971" s="132"/>
      <c r="T971" s="132"/>
      <c r="U971" s="132"/>
      <c r="V971" s="132"/>
      <c r="W971" s="132"/>
      <c r="X971" s="132"/>
      <c r="Y971" s="132"/>
      <c r="Z971" s="132"/>
      <c r="AA971" s="132"/>
      <c r="AB971" s="132"/>
      <c r="AC971" s="132"/>
    </row>
    <row r="972">
      <c r="A972" s="132"/>
      <c r="B972" s="132"/>
      <c r="C972" s="132"/>
      <c r="D972" s="132"/>
      <c r="E972" s="132"/>
      <c r="F972" s="132"/>
      <c r="G972" s="132"/>
      <c r="H972" s="372"/>
      <c r="I972" s="372"/>
      <c r="J972" s="372"/>
      <c r="K972" s="2"/>
      <c r="L972" s="132"/>
      <c r="M972" s="132"/>
      <c r="N972" s="132"/>
      <c r="O972" s="132"/>
      <c r="P972" s="132"/>
      <c r="Q972" s="132"/>
      <c r="R972" s="132"/>
      <c r="S972" s="132"/>
      <c r="T972" s="132"/>
      <c r="U972" s="132"/>
      <c r="V972" s="132"/>
      <c r="W972" s="132"/>
      <c r="X972" s="132"/>
      <c r="Y972" s="132"/>
      <c r="Z972" s="132"/>
      <c r="AA972" s="132"/>
      <c r="AB972" s="132"/>
      <c r="AC972" s="132"/>
    </row>
    <row r="973">
      <c r="A973" s="132"/>
      <c r="B973" s="132"/>
      <c r="C973" s="132"/>
      <c r="D973" s="132"/>
      <c r="E973" s="132"/>
      <c r="F973" s="132"/>
      <c r="G973" s="132"/>
      <c r="H973" s="372"/>
      <c r="I973" s="372"/>
      <c r="J973" s="372"/>
      <c r="K973" s="2"/>
      <c r="L973" s="132"/>
      <c r="M973" s="132"/>
      <c r="N973" s="132"/>
      <c r="O973" s="132"/>
      <c r="P973" s="132"/>
      <c r="Q973" s="132"/>
      <c r="R973" s="132"/>
      <c r="S973" s="132"/>
      <c r="T973" s="132"/>
      <c r="U973" s="132"/>
      <c r="V973" s="132"/>
      <c r="W973" s="132"/>
      <c r="X973" s="132"/>
      <c r="Y973" s="132"/>
      <c r="Z973" s="132"/>
      <c r="AA973" s="132"/>
      <c r="AB973" s="132"/>
      <c r="AC973" s="132"/>
    </row>
    <row r="974">
      <c r="A974" s="132"/>
      <c r="B974" s="132"/>
      <c r="C974" s="132"/>
      <c r="D974" s="132"/>
      <c r="E974" s="132"/>
      <c r="F974" s="132"/>
      <c r="G974" s="132"/>
      <c r="H974" s="372"/>
      <c r="I974" s="372"/>
      <c r="J974" s="372"/>
      <c r="K974" s="2"/>
      <c r="L974" s="132"/>
      <c r="M974" s="132"/>
      <c r="N974" s="132"/>
      <c r="O974" s="132"/>
      <c r="P974" s="132"/>
      <c r="Q974" s="132"/>
      <c r="R974" s="132"/>
      <c r="S974" s="132"/>
      <c r="T974" s="132"/>
      <c r="U974" s="132"/>
      <c r="V974" s="132"/>
      <c r="W974" s="132"/>
      <c r="X974" s="132"/>
      <c r="Y974" s="132"/>
      <c r="Z974" s="132"/>
      <c r="AA974" s="132"/>
      <c r="AB974" s="132"/>
      <c r="AC974" s="132"/>
    </row>
    <row r="975">
      <c r="A975" s="132"/>
      <c r="B975" s="132"/>
      <c r="C975" s="132"/>
      <c r="D975" s="132"/>
      <c r="E975" s="132"/>
      <c r="F975" s="132"/>
      <c r="G975" s="132"/>
      <c r="H975" s="372"/>
      <c r="I975" s="372"/>
      <c r="J975" s="372"/>
      <c r="K975" s="2"/>
      <c r="L975" s="132"/>
      <c r="M975" s="132"/>
      <c r="N975" s="132"/>
      <c r="O975" s="132"/>
      <c r="P975" s="132"/>
      <c r="Q975" s="132"/>
      <c r="R975" s="132"/>
      <c r="S975" s="132"/>
      <c r="T975" s="132"/>
      <c r="U975" s="132"/>
      <c r="V975" s="132"/>
      <c r="W975" s="132"/>
      <c r="X975" s="132"/>
      <c r="Y975" s="132"/>
      <c r="Z975" s="132"/>
      <c r="AA975" s="132"/>
      <c r="AB975" s="132"/>
      <c r="AC975" s="132"/>
    </row>
    <row r="976">
      <c r="A976" s="132"/>
      <c r="B976" s="132"/>
      <c r="C976" s="132"/>
      <c r="D976" s="132"/>
      <c r="E976" s="132"/>
      <c r="F976" s="132"/>
      <c r="G976" s="132"/>
      <c r="H976" s="372"/>
      <c r="I976" s="372"/>
      <c r="J976" s="372"/>
      <c r="K976" s="2"/>
      <c r="L976" s="132"/>
      <c r="M976" s="132"/>
      <c r="N976" s="132"/>
      <c r="O976" s="132"/>
      <c r="P976" s="132"/>
      <c r="Q976" s="132"/>
      <c r="R976" s="132"/>
      <c r="S976" s="132"/>
      <c r="T976" s="132"/>
      <c r="U976" s="132"/>
      <c r="V976" s="132"/>
      <c r="W976" s="132"/>
      <c r="X976" s="132"/>
      <c r="Y976" s="132"/>
      <c r="Z976" s="132"/>
      <c r="AA976" s="132"/>
      <c r="AB976" s="132"/>
      <c r="AC976" s="132"/>
    </row>
    <row r="977">
      <c r="A977" s="132"/>
      <c r="B977" s="132"/>
      <c r="C977" s="132"/>
      <c r="D977" s="132"/>
      <c r="E977" s="132"/>
      <c r="F977" s="132"/>
      <c r="G977" s="132"/>
      <c r="H977" s="372"/>
      <c r="I977" s="372"/>
      <c r="J977" s="372"/>
      <c r="K977" s="2"/>
      <c r="L977" s="132"/>
      <c r="M977" s="132"/>
      <c r="N977" s="132"/>
      <c r="O977" s="132"/>
      <c r="P977" s="132"/>
      <c r="Q977" s="132"/>
      <c r="R977" s="132"/>
      <c r="S977" s="132"/>
      <c r="T977" s="132"/>
      <c r="U977" s="132"/>
      <c r="V977" s="132"/>
      <c r="W977" s="132"/>
      <c r="X977" s="132"/>
      <c r="Y977" s="132"/>
      <c r="Z977" s="132"/>
      <c r="AA977" s="132"/>
      <c r="AB977" s="132"/>
      <c r="AC977" s="132"/>
    </row>
    <row r="978">
      <c r="A978" s="132"/>
      <c r="B978" s="132"/>
      <c r="C978" s="132"/>
      <c r="D978" s="132"/>
      <c r="E978" s="132"/>
      <c r="F978" s="132"/>
      <c r="G978" s="132"/>
      <c r="H978" s="372"/>
      <c r="I978" s="372"/>
      <c r="J978" s="372"/>
      <c r="K978" s="2"/>
      <c r="L978" s="132"/>
      <c r="M978" s="132"/>
      <c r="N978" s="132"/>
      <c r="O978" s="132"/>
      <c r="P978" s="132"/>
      <c r="Q978" s="132"/>
      <c r="R978" s="132"/>
      <c r="S978" s="132"/>
      <c r="T978" s="132"/>
      <c r="U978" s="132"/>
      <c r="V978" s="132"/>
      <c r="W978" s="132"/>
      <c r="X978" s="132"/>
      <c r="Y978" s="132"/>
      <c r="Z978" s="132"/>
      <c r="AA978" s="132"/>
      <c r="AB978" s="132"/>
      <c r="AC978" s="132"/>
    </row>
    <row r="979">
      <c r="A979" s="132"/>
      <c r="B979" s="132"/>
      <c r="C979" s="132"/>
      <c r="D979" s="132"/>
      <c r="E979" s="132"/>
      <c r="F979" s="132"/>
      <c r="G979" s="132"/>
      <c r="H979" s="372"/>
      <c r="I979" s="372"/>
      <c r="J979" s="372"/>
      <c r="K979" s="2"/>
      <c r="L979" s="132"/>
      <c r="M979" s="132"/>
      <c r="N979" s="132"/>
      <c r="O979" s="132"/>
      <c r="P979" s="132"/>
      <c r="Q979" s="132"/>
      <c r="R979" s="132"/>
      <c r="S979" s="132"/>
      <c r="T979" s="132"/>
      <c r="U979" s="132"/>
      <c r="V979" s="132"/>
      <c r="W979" s="132"/>
      <c r="X979" s="132"/>
      <c r="Y979" s="132"/>
      <c r="Z979" s="132"/>
      <c r="AA979" s="132"/>
      <c r="AB979" s="132"/>
      <c r="AC979" s="132"/>
    </row>
    <row r="980">
      <c r="A980" s="132"/>
      <c r="B980" s="132"/>
      <c r="C980" s="132"/>
      <c r="D980" s="132"/>
      <c r="E980" s="132"/>
      <c r="F980" s="132"/>
      <c r="G980" s="132"/>
      <c r="H980" s="372"/>
      <c r="I980" s="372"/>
      <c r="J980" s="372"/>
      <c r="K980" s="2"/>
      <c r="L980" s="132"/>
      <c r="M980" s="132"/>
      <c r="N980" s="132"/>
      <c r="O980" s="132"/>
      <c r="P980" s="132"/>
      <c r="Q980" s="132"/>
      <c r="R980" s="132"/>
      <c r="S980" s="132"/>
      <c r="T980" s="132"/>
      <c r="U980" s="132"/>
      <c r="V980" s="132"/>
      <c r="W980" s="132"/>
      <c r="X980" s="132"/>
      <c r="Y980" s="132"/>
      <c r="Z980" s="132"/>
      <c r="AA980" s="132"/>
      <c r="AB980" s="132"/>
      <c r="AC980" s="132"/>
    </row>
    <row r="981">
      <c r="A981" s="132"/>
      <c r="B981" s="132"/>
      <c r="C981" s="132"/>
      <c r="D981" s="132"/>
      <c r="E981" s="132"/>
      <c r="F981" s="132"/>
      <c r="G981" s="132"/>
      <c r="H981" s="372"/>
      <c r="I981" s="372"/>
      <c r="J981" s="372"/>
      <c r="K981" s="2"/>
      <c r="L981" s="132"/>
      <c r="M981" s="132"/>
      <c r="N981" s="132"/>
      <c r="O981" s="132"/>
      <c r="P981" s="132"/>
      <c r="Q981" s="132"/>
      <c r="R981" s="132"/>
      <c r="S981" s="132"/>
      <c r="T981" s="132"/>
      <c r="U981" s="132"/>
      <c r="V981" s="132"/>
      <c r="W981" s="132"/>
      <c r="X981" s="132"/>
      <c r="Y981" s="132"/>
      <c r="Z981" s="132"/>
      <c r="AA981" s="132"/>
      <c r="AB981" s="132"/>
      <c r="AC981" s="132"/>
    </row>
    <row r="982">
      <c r="A982" s="132"/>
      <c r="B982" s="132"/>
      <c r="C982" s="132"/>
      <c r="D982" s="132"/>
      <c r="E982" s="132"/>
      <c r="F982" s="132"/>
      <c r="G982" s="132"/>
      <c r="H982" s="372"/>
      <c r="I982" s="372"/>
      <c r="J982" s="372"/>
      <c r="K982" s="2"/>
      <c r="L982" s="132"/>
      <c r="M982" s="132"/>
      <c r="N982" s="132"/>
      <c r="O982" s="132"/>
      <c r="P982" s="132"/>
      <c r="Q982" s="132"/>
      <c r="R982" s="132"/>
      <c r="S982" s="132"/>
      <c r="T982" s="132"/>
      <c r="U982" s="132"/>
      <c r="V982" s="132"/>
      <c r="W982" s="132"/>
      <c r="X982" s="132"/>
      <c r="Y982" s="132"/>
      <c r="Z982" s="132"/>
      <c r="AA982" s="132"/>
      <c r="AB982" s="132"/>
      <c r="AC982" s="132"/>
    </row>
    <row r="983">
      <c r="A983" s="132"/>
      <c r="B983" s="132"/>
      <c r="C983" s="132"/>
      <c r="D983" s="132"/>
      <c r="E983" s="132"/>
      <c r="F983" s="132"/>
      <c r="G983" s="132"/>
      <c r="H983" s="372"/>
      <c r="I983" s="372"/>
      <c r="J983" s="372"/>
      <c r="K983" s="2"/>
      <c r="L983" s="132"/>
      <c r="M983" s="132"/>
      <c r="N983" s="132"/>
      <c r="O983" s="132"/>
      <c r="P983" s="132"/>
      <c r="Q983" s="132"/>
      <c r="R983" s="132"/>
      <c r="S983" s="132"/>
      <c r="T983" s="132"/>
      <c r="U983" s="132"/>
      <c r="V983" s="132"/>
      <c r="W983" s="132"/>
      <c r="X983" s="132"/>
      <c r="Y983" s="132"/>
      <c r="Z983" s="132"/>
      <c r="AA983" s="132"/>
      <c r="AB983" s="132"/>
      <c r="AC983" s="132"/>
    </row>
    <row r="984">
      <c r="A984" s="132"/>
      <c r="B984" s="132"/>
      <c r="C984" s="132"/>
      <c r="D984" s="132"/>
      <c r="E984" s="132"/>
      <c r="F984" s="132"/>
      <c r="G984" s="132"/>
      <c r="H984" s="372"/>
      <c r="I984" s="372"/>
      <c r="J984" s="372"/>
      <c r="K984" s="2"/>
      <c r="L984" s="132"/>
      <c r="M984" s="132"/>
      <c r="N984" s="132"/>
      <c r="O984" s="132"/>
      <c r="P984" s="132"/>
      <c r="Q984" s="132"/>
      <c r="R984" s="132"/>
      <c r="S984" s="132"/>
      <c r="T984" s="132"/>
      <c r="U984" s="132"/>
      <c r="V984" s="132"/>
      <c r="W984" s="132"/>
      <c r="X984" s="132"/>
      <c r="Y984" s="132"/>
      <c r="Z984" s="132"/>
      <c r="AA984" s="132"/>
      <c r="AB984" s="132"/>
      <c r="AC984" s="132"/>
    </row>
    <row r="985">
      <c r="A985" s="132"/>
      <c r="B985" s="132"/>
      <c r="C985" s="132"/>
      <c r="D985" s="132"/>
      <c r="E985" s="132"/>
      <c r="F985" s="132"/>
      <c r="G985" s="132"/>
      <c r="H985" s="372"/>
      <c r="I985" s="372"/>
      <c r="J985" s="372"/>
      <c r="K985" s="2"/>
      <c r="L985" s="132"/>
      <c r="M985" s="132"/>
      <c r="N985" s="132"/>
      <c r="O985" s="132"/>
      <c r="P985" s="132"/>
      <c r="Q985" s="132"/>
      <c r="R985" s="132"/>
      <c r="S985" s="132"/>
      <c r="T985" s="132"/>
      <c r="U985" s="132"/>
      <c r="V985" s="132"/>
      <c r="W985" s="132"/>
      <c r="X985" s="132"/>
      <c r="Y985" s="132"/>
      <c r="Z985" s="132"/>
      <c r="AA985" s="132"/>
      <c r="AB985" s="132"/>
      <c r="AC985" s="132"/>
    </row>
    <row r="986">
      <c r="A986" s="132"/>
      <c r="B986" s="132"/>
      <c r="C986" s="132"/>
      <c r="D986" s="132"/>
      <c r="E986" s="132"/>
      <c r="F986" s="132"/>
      <c r="G986" s="132"/>
      <c r="H986" s="372"/>
      <c r="I986" s="372"/>
      <c r="J986" s="372"/>
      <c r="K986" s="2"/>
      <c r="L986" s="132"/>
      <c r="M986" s="132"/>
      <c r="N986" s="132"/>
      <c r="O986" s="132"/>
      <c r="P986" s="132"/>
      <c r="Q986" s="132"/>
      <c r="R986" s="132"/>
      <c r="S986" s="132"/>
      <c r="T986" s="132"/>
      <c r="U986" s="132"/>
      <c r="V986" s="132"/>
      <c r="W986" s="132"/>
      <c r="X986" s="132"/>
      <c r="Y986" s="132"/>
      <c r="Z986" s="132"/>
      <c r="AA986" s="132"/>
      <c r="AB986" s="132"/>
      <c r="AC986" s="132"/>
    </row>
    <row r="987">
      <c r="A987" s="132"/>
      <c r="B987" s="132"/>
      <c r="C987" s="132"/>
      <c r="D987" s="132"/>
      <c r="E987" s="132"/>
      <c r="F987" s="132"/>
      <c r="G987" s="132"/>
      <c r="H987" s="372"/>
      <c r="I987" s="372"/>
      <c r="J987" s="372"/>
      <c r="K987" s="2"/>
      <c r="L987" s="132"/>
      <c r="M987" s="132"/>
      <c r="N987" s="132"/>
      <c r="O987" s="132"/>
      <c r="P987" s="132"/>
      <c r="Q987" s="132"/>
      <c r="R987" s="132"/>
      <c r="S987" s="132"/>
      <c r="T987" s="132"/>
      <c r="U987" s="132"/>
      <c r="V987" s="132"/>
      <c r="W987" s="132"/>
      <c r="X987" s="132"/>
      <c r="Y987" s="132"/>
      <c r="Z987" s="132"/>
      <c r="AA987" s="132"/>
      <c r="AB987" s="132"/>
      <c r="AC987" s="132"/>
    </row>
    <row r="988">
      <c r="A988" s="132"/>
      <c r="B988" s="132"/>
      <c r="C988" s="132"/>
      <c r="D988" s="132"/>
      <c r="E988" s="132"/>
      <c r="F988" s="132"/>
      <c r="G988" s="132"/>
      <c r="H988" s="372"/>
      <c r="I988" s="372"/>
      <c r="J988" s="372"/>
      <c r="K988" s="2"/>
      <c r="L988" s="132"/>
      <c r="M988" s="132"/>
      <c r="N988" s="132"/>
      <c r="O988" s="132"/>
      <c r="P988" s="132"/>
      <c r="Q988" s="132"/>
      <c r="R988" s="132"/>
      <c r="S988" s="132"/>
      <c r="T988" s="132"/>
      <c r="U988" s="132"/>
      <c r="V988" s="132"/>
      <c r="W988" s="132"/>
      <c r="X988" s="132"/>
      <c r="Y988" s="132"/>
      <c r="Z988" s="132"/>
      <c r="AA988" s="132"/>
      <c r="AB988" s="132"/>
      <c r="AC988" s="132"/>
    </row>
    <row r="989">
      <c r="A989" s="132"/>
      <c r="B989" s="132"/>
      <c r="C989" s="132"/>
      <c r="D989" s="132"/>
      <c r="E989" s="132"/>
      <c r="F989" s="132"/>
      <c r="G989" s="132"/>
      <c r="H989" s="372"/>
      <c r="I989" s="372"/>
      <c r="J989" s="372"/>
      <c r="K989" s="2"/>
      <c r="L989" s="132"/>
      <c r="M989" s="132"/>
      <c r="N989" s="132"/>
      <c r="O989" s="132"/>
      <c r="P989" s="132"/>
      <c r="Q989" s="132"/>
      <c r="R989" s="132"/>
      <c r="S989" s="132"/>
      <c r="T989" s="132"/>
      <c r="U989" s="132"/>
      <c r="V989" s="132"/>
      <c r="W989" s="132"/>
      <c r="X989" s="132"/>
      <c r="Y989" s="132"/>
      <c r="Z989" s="132"/>
      <c r="AA989" s="132"/>
      <c r="AB989" s="132"/>
      <c r="AC989" s="132"/>
    </row>
    <row r="990">
      <c r="A990" s="132"/>
      <c r="B990" s="132"/>
      <c r="C990" s="132"/>
      <c r="D990" s="132"/>
      <c r="E990" s="132"/>
      <c r="F990" s="132"/>
      <c r="G990" s="132"/>
      <c r="H990" s="372"/>
      <c r="I990" s="372"/>
      <c r="J990" s="372"/>
      <c r="K990" s="2"/>
      <c r="L990" s="132"/>
      <c r="M990" s="132"/>
      <c r="N990" s="132"/>
      <c r="O990" s="132"/>
      <c r="P990" s="132"/>
      <c r="Q990" s="132"/>
      <c r="R990" s="132"/>
      <c r="S990" s="132"/>
      <c r="T990" s="132"/>
      <c r="U990" s="132"/>
      <c r="V990" s="132"/>
      <c r="W990" s="132"/>
      <c r="X990" s="132"/>
      <c r="Y990" s="132"/>
      <c r="Z990" s="132"/>
      <c r="AA990" s="132"/>
      <c r="AB990" s="132"/>
      <c r="AC990" s="132"/>
    </row>
    <row r="991">
      <c r="A991" s="132"/>
      <c r="B991" s="132"/>
      <c r="C991" s="132"/>
      <c r="D991" s="132"/>
      <c r="E991" s="132"/>
      <c r="F991" s="132"/>
      <c r="G991" s="132"/>
      <c r="H991" s="372"/>
      <c r="I991" s="372"/>
      <c r="J991" s="372"/>
      <c r="K991" s="2"/>
      <c r="L991" s="132"/>
      <c r="M991" s="132"/>
      <c r="N991" s="132"/>
      <c r="O991" s="132"/>
      <c r="P991" s="132"/>
      <c r="Q991" s="132"/>
      <c r="R991" s="132"/>
      <c r="S991" s="132"/>
      <c r="T991" s="132"/>
      <c r="U991" s="132"/>
      <c r="V991" s="132"/>
      <c r="W991" s="132"/>
      <c r="X991" s="132"/>
      <c r="Y991" s="132"/>
      <c r="Z991" s="132"/>
      <c r="AA991" s="132"/>
      <c r="AB991" s="132"/>
      <c r="AC991" s="132"/>
    </row>
    <row r="992">
      <c r="A992" s="132"/>
      <c r="B992" s="132"/>
      <c r="C992" s="132"/>
      <c r="D992" s="132"/>
      <c r="E992" s="132"/>
      <c r="F992" s="132"/>
      <c r="G992" s="132"/>
      <c r="H992" s="372"/>
      <c r="I992" s="372"/>
      <c r="J992" s="372"/>
      <c r="K992" s="2"/>
      <c r="L992" s="132"/>
      <c r="M992" s="132"/>
      <c r="N992" s="132"/>
      <c r="O992" s="132"/>
      <c r="P992" s="132"/>
      <c r="Q992" s="132"/>
      <c r="R992" s="132"/>
      <c r="S992" s="132"/>
      <c r="T992" s="132"/>
      <c r="U992" s="132"/>
      <c r="V992" s="132"/>
      <c r="W992" s="132"/>
      <c r="X992" s="132"/>
      <c r="Y992" s="132"/>
      <c r="Z992" s="132"/>
      <c r="AA992" s="132"/>
      <c r="AB992" s="132"/>
      <c r="AC992" s="132"/>
    </row>
    <row r="993">
      <c r="A993" s="132"/>
      <c r="B993" s="132"/>
      <c r="C993" s="132"/>
      <c r="D993" s="132"/>
      <c r="E993" s="132"/>
      <c r="F993" s="132"/>
      <c r="G993" s="132"/>
      <c r="H993" s="372"/>
      <c r="I993" s="372"/>
      <c r="J993" s="372"/>
      <c r="K993" s="2"/>
      <c r="L993" s="132"/>
      <c r="M993" s="132"/>
      <c r="N993" s="132"/>
      <c r="O993" s="132"/>
      <c r="P993" s="132"/>
      <c r="Q993" s="132"/>
      <c r="R993" s="132"/>
      <c r="S993" s="132"/>
      <c r="T993" s="132"/>
      <c r="U993" s="132"/>
      <c r="V993" s="132"/>
      <c r="W993" s="132"/>
      <c r="X993" s="132"/>
      <c r="Y993" s="132"/>
      <c r="Z993" s="132"/>
      <c r="AA993" s="132"/>
      <c r="AB993" s="132"/>
      <c r="AC993" s="132"/>
    </row>
    <row r="994">
      <c r="A994" s="132"/>
      <c r="B994" s="132"/>
      <c r="C994" s="132"/>
      <c r="D994" s="132"/>
      <c r="E994" s="132"/>
      <c r="F994" s="132"/>
      <c r="G994" s="132"/>
      <c r="H994" s="372"/>
      <c r="I994" s="372"/>
      <c r="J994" s="372"/>
      <c r="K994" s="2"/>
      <c r="L994" s="132"/>
      <c r="M994" s="132"/>
      <c r="N994" s="132"/>
      <c r="O994" s="132"/>
      <c r="P994" s="132"/>
      <c r="Q994" s="132"/>
      <c r="R994" s="132"/>
      <c r="S994" s="132"/>
      <c r="T994" s="132"/>
      <c r="U994" s="132"/>
      <c r="V994" s="132"/>
      <c r="W994" s="132"/>
      <c r="X994" s="132"/>
      <c r="Y994" s="132"/>
      <c r="Z994" s="132"/>
      <c r="AA994" s="132"/>
      <c r="AB994" s="132"/>
      <c r="AC994" s="132"/>
    </row>
    <row r="995">
      <c r="A995" s="132"/>
      <c r="B995" s="132"/>
      <c r="C995" s="132"/>
      <c r="D995" s="132"/>
      <c r="E995" s="132"/>
      <c r="F995" s="132"/>
      <c r="G995" s="132"/>
      <c r="H995" s="372"/>
      <c r="I995" s="372"/>
      <c r="J995" s="372"/>
      <c r="K995" s="2"/>
      <c r="L995" s="132"/>
      <c r="M995" s="132"/>
      <c r="N995" s="132"/>
      <c r="O995" s="132"/>
      <c r="P995" s="132"/>
      <c r="Q995" s="132"/>
      <c r="R995" s="132"/>
      <c r="S995" s="132"/>
      <c r="T995" s="132"/>
      <c r="U995" s="132"/>
      <c r="V995" s="132"/>
      <c r="W995" s="132"/>
      <c r="X995" s="132"/>
      <c r="Y995" s="132"/>
      <c r="Z995" s="132"/>
      <c r="AA995" s="132"/>
      <c r="AB995" s="132"/>
      <c r="AC995" s="132"/>
    </row>
    <row r="996">
      <c r="A996" s="132"/>
      <c r="B996" s="132"/>
      <c r="C996" s="132"/>
      <c r="D996" s="132"/>
      <c r="E996" s="132"/>
      <c r="F996" s="132"/>
      <c r="G996" s="132"/>
      <c r="H996" s="372"/>
      <c r="I996" s="372"/>
      <c r="J996" s="372"/>
      <c r="K996" s="2"/>
      <c r="L996" s="132"/>
      <c r="M996" s="132"/>
      <c r="N996" s="132"/>
      <c r="O996" s="132"/>
      <c r="P996" s="132"/>
      <c r="Q996" s="132"/>
      <c r="R996" s="132"/>
      <c r="S996" s="132"/>
      <c r="T996" s="132"/>
      <c r="U996" s="132"/>
      <c r="V996" s="132"/>
      <c r="W996" s="132"/>
      <c r="X996" s="132"/>
      <c r="Y996" s="132"/>
      <c r="Z996" s="132"/>
      <c r="AA996" s="132"/>
      <c r="AB996" s="132"/>
      <c r="AC996" s="132"/>
    </row>
    <row r="997">
      <c r="A997" s="132"/>
      <c r="B997" s="132"/>
      <c r="C997" s="132"/>
      <c r="D997" s="132"/>
      <c r="E997" s="132"/>
      <c r="F997" s="132"/>
      <c r="G997" s="132"/>
      <c r="H997" s="372"/>
      <c r="I997" s="372"/>
      <c r="J997" s="372"/>
      <c r="K997" s="2"/>
      <c r="L997" s="132"/>
      <c r="M997" s="132"/>
      <c r="N997" s="132"/>
      <c r="O997" s="132"/>
      <c r="P997" s="132"/>
      <c r="Q997" s="132"/>
      <c r="R997" s="132"/>
      <c r="S997" s="132"/>
      <c r="T997" s="132"/>
      <c r="U997" s="132"/>
      <c r="V997" s="132"/>
      <c r="W997" s="132"/>
      <c r="X997" s="132"/>
      <c r="Y997" s="132"/>
      <c r="Z997" s="132"/>
      <c r="AA997" s="132"/>
      <c r="AB997" s="132"/>
      <c r="AC997" s="132"/>
    </row>
    <row r="998">
      <c r="A998" s="132"/>
      <c r="B998" s="132"/>
      <c r="C998" s="132"/>
      <c r="D998" s="132"/>
      <c r="E998" s="132"/>
      <c r="F998" s="132"/>
      <c r="G998" s="132"/>
      <c r="H998" s="372"/>
      <c r="I998" s="372"/>
      <c r="J998" s="372"/>
      <c r="K998" s="2"/>
      <c r="L998" s="132"/>
      <c r="M998" s="132"/>
      <c r="N998" s="132"/>
      <c r="O998" s="132"/>
      <c r="P998" s="132"/>
      <c r="Q998" s="132"/>
      <c r="R998" s="132"/>
      <c r="S998" s="132"/>
      <c r="T998" s="132"/>
      <c r="U998" s="132"/>
      <c r="V998" s="132"/>
      <c r="W998" s="132"/>
      <c r="X998" s="132"/>
      <c r="Y998" s="132"/>
      <c r="Z998" s="132"/>
      <c r="AA998" s="132"/>
      <c r="AB998" s="132"/>
      <c r="AC998" s="132"/>
    </row>
    <row r="999">
      <c r="A999" s="132"/>
      <c r="B999" s="132"/>
      <c r="C999" s="132"/>
      <c r="D999" s="132"/>
      <c r="E999" s="132"/>
      <c r="F999" s="132"/>
      <c r="G999" s="132"/>
      <c r="H999" s="372"/>
      <c r="I999" s="372"/>
      <c r="J999" s="372"/>
      <c r="K999" s="2"/>
      <c r="L999" s="132"/>
      <c r="M999" s="132"/>
      <c r="N999" s="132"/>
      <c r="O999" s="132"/>
      <c r="P999" s="132"/>
      <c r="Q999" s="132"/>
      <c r="R999" s="132"/>
      <c r="S999" s="132"/>
      <c r="T999" s="132"/>
      <c r="U999" s="132"/>
      <c r="V999" s="132"/>
      <c r="W999" s="132"/>
      <c r="X999" s="132"/>
      <c r="Y999" s="132"/>
      <c r="Z999" s="132"/>
      <c r="AA999" s="132"/>
      <c r="AB999" s="132"/>
      <c r="AC999" s="132"/>
    </row>
    <row r="1000">
      <c r="A1000" s="132"/>
      <c r="B1000" s="132"/>
      <c r="C1000" s="132"/>
      <c r="D1000" s="132"/>
      <c r="E1000" s="132"/>
      <c r="F1000" s="132"/>
      <c r="G1000" s="132"/>
      <c r="H1000" s="372"/>
      <c r="I1000" s="372"/>
      <c r="J1000" s="372"/>
      <c r="K1000" s="2"/>
      <c r="L1000" s="132"/>
      <c r="M1000" s="132"/>
      <c r="N1000" s="132"/>
      <c r="O1000" s="132"/>
      <c r="P1000" s="132"/>
      <c r="Q1000" s="132"/>
      <c r="R1000" s="132"/>
      <c r="S1000" s="132"/>
      <c r="T1000" s="132"/>
      <c r="U1000" s="132"/>
      <c r="V1000" s="132"/>
      <c r="W1000" s="132"/>
      <c r="X1000" s="132"/>
      <c r="Y1000" s="132"/>
      <c r="Z1000" s="132"/>
      <c r="AA1000" s="132"/>
      <c r="AB1000" s="132"/>
      <c r="AC1000" s="132"/>
    </row>
    <row r="1001">
      <c r="A1001" s="132"/>
      <c r="B1001" s="132"/>
      <c r="C1001" s="132"/>
      <c r="D1001" s="132"/>
      <c r="E1001" s="132"/>
      <c r="F1001" s="132"/>
      <c r="G1001" s="132"/>
      <c r="H1001" s="372"/>
      <c r="I1001" s="372"/>
      <c r="J1001" s="372"/>
      <c r="K1001" s="2"/>
      <c r="L1001" s="132"/>
      <c r="M1001" s="132"/>
      <c r="N1001" s="132"/>
      <c r="O1001" s="132"/>
      <c r="P1001" s="132"/>
      <c r="Q1001" s="132"/>
      <c r="R1001" s="132"/>
      <c r="S1001" s="132"/>
      <c r="T1001" s="132"/>
      <c r="U1001" s="132"/>
      <c r="V1001" s="132"/>
      <c r="W1001" s="132"/>
      <c r="X1001" s="132"/>
      <c r="Y1001" s="132"/>
      <c r="Z1001" s="132"/>
      <c r="AA1001" s="132"/>
      <c r="AB1001" s="132"/>
      <c r="AC1001" s="132"/>
    </row>
    <row r="1002">
      <c r="A1002" s="132"/>
      <c r="B1002" s="132"/>
      <c r="C1002" s="132"/>
      <c r="D1002" s="132"/>
      <c r="E1002" s="132"/>
      <c r="F1002" s="132"/>
      <c r="G1002" s="132"/>
      <c r="H1002" s="372"/>
      <c r="I1002" s="372"/>
      <c r="J1002" s="372"/>
      <c r="K1002" s="2"/>
      <c r="L1002" s="132"/>
      <c r="M1002" s="132"/>
      <c r="N1002" s="132"/>
      <c r="O1002" s="132"/>
      <c r="P1002" s="132"/>
      <c r="Q1002" s="132"/>
      <c r="R1002" s="132"/>
      <c r="S1002" s="132"/>
      <c r="T1002" s="132"/>
      <c r="U1002" s="132"/>
      <c r="V1002" s="132"/>
      <c r="W1002" s="132"/>
      <c r="X1002" s="132"/>
      <c r="Y1002" s="132"/>
      <c r="Z1002" s="132"/>
      <c r="AA1002" s="132"/>
      <c r="AB1002" s="132"/>
      <c r="AC1002" s="132"/>
    </row>
    <row r="1003">
      <c r="A1003" s="132"/>
      <c r="B1003" s="132"/>
      <c r="C1003" s="132"/>
      <c r="D1003" s="132"/>
      <c r="E1003" s="132"/>
      <c r="F1003" s="132"/>
      <c r="G1003" s="132"/>
      <c r="H1003" s="372"/>
      <c r="I1003" s="372"/>
      <c r="J1003" s="372"/>
      <c r="K1003" s="2"/>
      <c r="L1003" s="132"/>
      <c r="M1003" s="132"/>
      <c r="N1003" s="132"/>
      <c r="O1003" s="132"/>
      <c r="P1003" s="132"/>
      <c r="Q1003" s="132"/>
      <c r="R1003" s="132"/>
      <c r="S1003" s="132"/>
      <c r="T1003" s="132"/>
      <c r="U1003" s="132"/>
      <c r="V1003" s="132"/>
      <c r="W1003" s="132"/>
      <c r="X1003" s="132"/>
      <c r="Y1003" s="132"/>
      <c r="Z1003" s="132"/>
      <c r="AA1003" s="132"/>
      <c r="AB1003" s="132"/>
      <c r="AC1003" s="132"/>
    </row>
    <row r="1004">
      <c r="A1004" s="132"/>
      <c r="B1004" s="132"/>
      <c r="C1004" s="132"/>
      <c r="D1004" s="132"/>
      <c r="E1004" s="132"/>
      <c r="F1004" s="132"/>
      <c r="G1004" s="132"/>
      <c r="H1004" s="372"/>
      <c r="I1004" s="372"/>
      <c r="J1004" s="372"/>
      <c r="K1004" s="2"/>
      <c r="L1004" s="132"/>
      <c r="M1004" s="132"/>
      <c r="N1004" s="132"/>
      <c r="O1004" s="132"/>
      <c r="P1004" s="132"/>
      <c r="Q1004" s="132"/>
      <c r="R1004" s="132"/>
      <c r="S1004" s="132"/>
      <c r="T1004" s="132"/>
      <c r="U1004" s="132"/>
      <c r="V1004" s="132"/>
      <c r="W1004" s="132"/>
      <c r="X1004" s="132"/>
      <c r="Y1004" s="132"/>
      <c r="Z1004" s="132"/>
      <c r="AA1004" s="132"/>
      <c r="AB1004" s="132"/>
      <c r="AC1004" s="132"/>
    </row>
    <row r="1005">
      <c r="A1005" s="132"/>
      <c r="B1005" s="132"/>
      <c r="C1005" s="132"/>
      <c r="D1005" s="132"/>
      <c r="E1005" s="132"/>
      <c r="F1005" s="132"/>
      <c r="G1005" s="132"/>
      <c r="H1005" s="372"/>
      <c r="I1005" s="372"/>
      <c r="J1005" s="372"/>
      <c r="K1005" s="2"/>
      <c r="L1005" s="132"/>
      <c r="M1005" s="132"/>
      <c r="N1005" s="132"/>
      <c r="O1005" s="132"/>
      <c r="P1005" s="132"/>
      <c r="Q1005" s="132"/>
      <c r="R1005" s="132"/>
      <c r="S1005" s="132"/>
      <c r="T1005" s="132"/>
      <c r="U1005" s="132"/>
      <c r="V1005" s="132"/>
      <c r="W1005" s="132"/>
      <c r="X1005" s="132"/>
      <c r="Y1005" s="132"/>
      <c r="Z1005" s="132"/>
      <c r="AA1005" s="132"/>
      <c r="AB1005" s="132"/>
      <c r="AC1005" s="132"/>
    </row>
    <row r="1006">
      <c r="A1006" s="132"/>
      <c r="B1006" s="132"/>
      <c r="C1006" s="132"/>
      <c r="D1006" s="132"/>
      <c r="E1006" s="132"/>
      <c r="F1006" s="132"/>
      <c r="G1006" s="132"/>
      <c r="H1006" s="372"/>
      <c r="I1006" s="372"/>
      <c r="J1006" s="372"/>
      <c r="K1006" s="2"/>
      <c r="L1006" s="132"/>
      <c r="M1006" s="132"/>
      <c r="N1006" s="132"/>
      <c r="O1006" s="132"/>
      <c r="P1006" s="132"/>
      <c r="Q1006" s="132"/>
      <c r="R1006" s="132"/>
      <c r="S1006" s="132"/>
      <c r="T1006" s="132"/>
      <c r="U1006" s="132"/>
      <c r="V1006" s="132"/>
      <c r="W1006" s="132"/>
      <c r="X1006" s="132"/>
      <c r="Y1006" s="132"/>
      <c r="Z1006" s="132"/>
      <c r="AA1006" s="132"/>
      <c r="AB1006" s="132"/>
      <c r="AC1006" s="132"/>
    </row>
    <row r="1007">
      <c r="A1007" s="132"/>
      <c r="B1007" s="132"/>
      <c r="C1007" s="132"/>
      <c r="D1007" s="132"/>
      <c r="E1007" s="132"/>
      <c r="F1007" s="132"/>
      <c r="G1007" s="132"/>
      <c r="H1007" s="372"/>
      <c r="I1007" s="372"/>
      <c r="J1007" s="372"/>
      <c r="K1007" s="2"/>
      <c r="L1007" s="132"/>
      <c r="M1007" s="132"/>
      <c r="N1007" s="132"/>
      <c r="O1007" s="132"/>
      <c r="P1007" s="132"/>
      <c r="Q1007" s="132"/>
      <c r="R1007" s="132"/>
      <c r="S1007" s="132"/>
      <c r="T1007" s="132"/>
      <c r="U1007" s="132"/>
      <c r="V1007" s="132"/>
      <c r="W1007" s="132"/>
      <c r="X1007" s="132"/>
      <c r="Y1007" s="132"/>
      <c r="Z1007" s="132"/>
      <c r="AA1007" s="132"/>
      <c r="AB1007" s="132"/>
      <c r="AC1007" s="132"/>
    </row>
    <row r="1008">
      <c r="A1008" s="132"/>
      <c r="B1008" s="132"/>
      <c r="C1008" s="132"/>
      <c r="D1008" s="132"/>
      <c r="E1008" s="132"/>
      <c r="F1008" s="132"/>
      <c r="G1008" s="132"/>
      <c r="H1008" s="372"/>
      <c r="I1008" s="372"/>
      <c r="J1008" s="372"/>
      <c r="K1008" s="2"/>
      <c r="L1008" s="132"/>
      <c r="M1008" s="132"/>
      <c r="N1008" s="132"/>
      <c r="O1008" s="132"/>
      <c r="P1008" s="132"/>
      <c r="Q1008" s="132"/>
      <c r="R1008" s="132"/>
      <c r="S1008" s="132"/>
      <c r="T1008" s="132"/>
      <c r="U1008" s="132"/>
      <c r="V1008" s="132"/>
      <c r="W1008" s="132"/>
      <c r="X1008" s="132"/>
      <c r="Y1008" s="132"/>
      <c r="Z1008" s="132"/>
      <c r="AA1008" s="132"/>
      <c r="AB1008" s="132"/>
      <c r="AC1008" s="132"/>
    </row>
    <row r="1009">
      <c r="A1009" s="132"/>
      <c r="B1009" s="132"/>
      <c r="C1009" s="132"/>
      <c r="D1009" s="132"/>
      <c r="E1009" s="132"/>
      <c r="F1009" s="132"/>
      <c r="G1009" s="132"/>
      <c r="H1009" s="372"/>
      <c r="I1009" s="372"/>
      <c r="J1009" s="372"/>
      <c r="K1009" s="2"/>
      <c r="L1009" s="132"/>
      <c r="M1009" s="132"/>
      <c r="N1009" s="132"/>
      <c r="O1009" s="132"/>
      <c r="P1009" s="132"/>
      <c r="Q1009" s="132"/>
      <c r="R1009" s="132"/>
      <c r="S1009" s="132"/>
      <c r="T1009" s="132"/>
      <c r="U1009" s="132"/>
      <c r="V1009" s="132"/>
      <c r="W1009" s="132"/>
      <c r="X1009" s="132"/>
      <c r="Y1009" s="132"/>
      <c r="Z1009" s="132"/>
      <c r="AA1009" s="132"/>
      <c r="AB1009" s="132"/>
      <c r="AC1009" s="132"/>
    </row>
    <row r="1010">
      <c r="A1010" s="132"/>
      <c r="B1010" s="132"/>
      <c r="C1010" s="132"/>
      <c r="D1010" s="132"/>
      <c r="E1010" s="132"/>
      <c r="F1010" s="132"/>
      <c r="G1010" s="132"/>
      <c r="H1010" s="372"/>
      <c r="I1010" s="372"/>
      <c r="J1010" s="372"/>
      <c r="K1010" s="2"/>
      <c r="L1010" s="132"/>
      <c r="M1010" s="132"/>
      <c r="N1010" s="132"/>
      <c r="O1010" s="132"/>
      <c r="P1010" s="132"/>
      <c r="Q1010" s="132"/>
      <c r="R1010" s="132"/>
      <c r="S1010" s="132"/>
      <c r="T1010" s="132"/>
      <c r="U1010" s="132"/>
      <c r="V1010" s="132"/>
      <c r="W1010" s="132"/>
      <c r="X1010" s="132"/>
      <c r="Y1010" s="132"/>
      <c r="Z1010" s="132"/>
      <c r="AA1010" s="132"/>
      <c r="AB1010" s="132"/>
      <c r="AC1010" s="132"/>
    </row>
    <row r="1011">
      <c r="A1011" s="132"/>
      <c r="B1011" s="132"/>
      <c r="C1011" s="132"/>
      <c r="D1011" s="132"/>
      <c r="E1011" s="132"/>
      <c r="F1011" s="132"/>
      <c r="G1011" s="132"/>
      <c r="H1011" s="372"/>
      <c r="I1011" s="372"/>
      <c r="J1011" s="372"/>
      <c r="K1011" s="2"/>
      <c r="L1011" s="132"/>
      <c r="M1011" s="132"/>
      <c r="N1011" s="132"/>
      <c r="O1011" s="132"/>
      <c r="P1011" s="132"/>
      <c r="Q1011" s="132"/>
      <c r="R1011" s="132"/>
      <c r="S1011" s="132"/>
      <c r="T1011" s="132"/>
      <c r="U1011" s="132"/>
      <c r="V1011" s="132"/>
      <c r="W1011" s="132"/>
      <c r="X1011" s="132"/>
      <c r="Y1011" s="132"/>
      <c r="Z1011" s="132"/>
      <c r="AA1011" s="132"/>
      <c r="AB1011" s="132"/>
      <c r="AC1011" s="132"/>
    </row>
    <row r="1012">
      <c r="A1012" s="132"/>
      <c r="B1012" s="132"/>
      <c r="C1012" s="132"/>
      <c r="D1012" s="132"/>
      <c r="E1012" s="132"/>
      <c r="F1012" s="132"/>
      <c r="G1012" s="132"/>
      <c r="H1012" s="372"/>
      <c r="I1012" s="372"/>
      <c r="J1012" s="372"/>
      <c r="K1012" s="2"/>
      <c r="L1012" s="132"/>
      <c r="M1012" s="132"/>
      <c r="N1012" s="132"/>
      <c r="O1012" s="132"/>
      <c r="P1012" s="132"/>
      <c r="Q1012" s="132"/>
      <c r="R1012" s="132"/>
      <c r="S1012" s="132"/>
      <c r="T1012" s="132"/>
      <c r="U1012" s="132"/>
      <c r="V1012" s="132"/>
      <c r="W1012" s="132"/>
      <c r="X1012" s="132"/>
      <c r="Y1012" s="132"/>
      <c r="Z1012" s="132"/>
      <c r="AA1012" s="132"/>
      <c r="AB1012" s="132"/>
      <c r="AC1012" s="132"/>
    </row>
    <row r="1013">
      <c r="A1013" s="132"/>
      <c r="B1013" s="132"/>
      <c r="C1013" s="132"/>
      <c r="D1013" s="132"/>
      <c r="E1013" s="132"/>
      <c r="F1013" s="132"/>
      <c r="G1013" s="132"/>
      <c r="H1013" s="372"/>
      <c r="I1013" s="372"/>
      <c r="J1013" s="372"/>
      <c r="K1013" s="2"/>
      <c r="L1013" s="132"/>
      <c r="M1013" s="132"/>
      <c r="N1013" s="132"/>
      <c r="O1013" s="132"/>
      <c r="P1013" s="132"/>
      <c r="Q1013" s="132"/>
      <c r="R1013" s="132"/>
      <c r="S1013" s="132"/>
      <c r="T1013" s="132"/>
      <c r="U1013" s="132"/>
      <c r="V1013" s="132"/>
      <c r="W1013" s="132"/>
      <c r="X1013" s="132"/>
      <c r="Y1013" s="132"/>
      <c r="Z1013" s="132"/>
      <c r="AA1013" s="132"/>
      <c r="AB1013" s="132"/>
      <c r="AC1013" s="132"/>
    </row>
    <row r="1014">
      <c r="A1014" s="132"/>
      <c r="B1014" s="132"/>
      <c r="C1014" s="132"/>
      <c r="D1014" s="132"/>
      <c r="E1014" s="132"/>
      <c r="F1014" s="132"/>
      <c r="G1014" s="132"/>
      <c r="H1014" s="372"/>
      <c r="I1014" s="372"/>
      <c r="J1014" s="372"/>
      <c r="K1014" s="2"/>
      <c r="L1014" s="132"/>
      <c r="M1014" s="132"/>
      <c r="N1014" s="132"/>
      <c r="O1014" s="132"/>
      <c r="P1014" s="132"/>
      <c r="Q1014" s="132"/>
      <c r="R1014" s="132"/>
      <c r="S1014" s="132"/>
      <c r="T1014" s="132"/>
      <c r="U1014" s="132"/>
      <c r="V1014" s="132"/>
      <c r="W1014" s="132"/>
      <c r="X1014" s="132"/>
      <c r="Y1014" s="132"/>
      <c r="Z1014" s="132"/>
      <c r="AA1014" s="132"/>
      <c r="AB1014" s="132"/>
      <c r="AC1014" s="132"/>
    </row>
    <row r="1015">
      <c r="A1015" s="132"/>
      <c r="B1015" s="132"/>
      <c r="C1015" s="132"/>
      <c r="D1015" s="132"/>
      <c r="E1015" s="132"/>
      <c r="F1015" s="132"/>
      <c r="G1015" s="132"/>
      <c r="H1015" s="372"/>
      <c r="I1015" s="372"/>
      <c r="J1015" s="372"/>
      <c r="K1015" s="2"/>
      <c r="L1015" s="132"/>
      <c r="M1015" s="132"/>
      <c r="N1015" s="132"/>
      <c r="O1015" s="132"/>
      <c r="P1015" s="132"/>
      <c r="Q1015" s="132"/>
      <c r="R1015" s="132"/>
      <c r="S1015" s="132"/>
      <c r="T1015" s="132"/>
      <c r="U1015" s="132"/>
      <c r="V1015" s="132"/>
      <c r="W1015" s="132"/>
      <c r="X1015" s="132"/>
      <c r="Y1015" s="132"/>
      <c r="Z1015" s="132"/>
      <c r="AA1015" s="132"/>
      <c r="AB1015" s="132"/>
      <c r="AC1015" s="132"/>
    </row>
    <row r="1016">
      <c r="A1016" s="132"/>
      <c r="B1016" s="132"/>
      <c r="C1016" s="132"/>
      <c r="D1016" s="132"/>
      <c r="E1016" s="132"/>
      <c r="F1016" s="132"/>
      <c r="G1016" s="132"/>
      <c r="H1016" s="372"/>
      <c r="I1016" s="372"/>
      <c r="J1016" s="372"/>
      <c r="K1016" s="2"/>
      <c r="L1016" s="132"/>
      <c r="M1016" s="132"/>
      <c r="N1016" s="132"/>
      <c r="O1016" s="132"/>
      <c r="P1016" s="132"/>
      <c r="Q1016" s="132"/>
      <c r="R1016" s="132"/>
      <c r="S1016" s="132"/>
      <c r="T1016" s="132"/>
      <c r="U1016" s="132"/>
      <c r="V1016" s="132"/>
      <c r="W1016" s="132"/>
      <c r="X1016" s="132"/>
      <c r="Y1016" s="132"/>
      <c r="Z1016" s="132"/>
      <c r="AA1016" s="132"/>
      <c r="AB1016" s="132"/>
      <c r="AC1016" s="132"/>
    </row>
    <row r="1017">
      <c r="A1017" s="132"/>
      <c r="B1017" s="132"/>
      <c r="C1017" s="132"/>
      <c r="D1017" s="132"/>
      <c r="E1017" s="132"/>
      <c r="F1017" s="132"/>
      <c r="G1017" s="132"/>
      <c r="H1017" s="372"/>
      <c r="I1017" s="372"/>
      <c r="J1017" s="372"/>
      <c r="K1017" s="2"/>
      <c r="L1017" s="132"/>
      <c r="M1017" s="132"/>
      <c r="N1017" s="132"/>
      <c r="O1017" s="132"/>
      <c r="P1017" s="132"/>
      <c r="Q1017" s="132"/>
      <c r="R1017" s="132"/>
      <c r="S1017" s="132"/>
      <c r="T1017" s="132"/>
      <c r="U1017" s="132"/>
      <c r="V1017" s="132"/>
      <c r="W1017" s="132"/>
      <c r="X1017" s="132"/>
      <c r="Y1017" s="132"/>
      <c r="Z1017" s="132"/>
      <c r="AA1017" s="132"/>
      <c r="AB1017" s="132"/>
      <c r="AC1017" s="132"/>
    </row>
    <row r="1018">
      <c r="A1018" s="132"/>
      <c r="B1018" s="132"/>
      <c r="C1018" s="132"/>
      <c r="D1018" s="132"/>
      <c r="E1018" s="132"/>
      <c r="F1018" s="132"/>
      <c r="G1018" s="132"/>
      <c r="H1018" s="372"/>
      <c r="I1018" s="372"/>
      <c r="J1018" s="372"/>
      <c r="K1018" s="2"/>
      <c r="L1018" s="132"/>
      <c r="M1018" s="132"/>
      <c r="N1018" s="132"/>
      <c r="O1018" s="132"/>
      <c r="P1018" s="132"/>
      <c r="Q1018" s="132"/>
      <c r="R1018" s="132"/>
      <c r="S1018" s="132"/>
      <c r="T1018" s="132"/>
      <c r="U1018" s="132"/>
      <c r="V1018" s="132"/>
      <c r="W1018" s="132"/>
      <c r="X1018" s="132"/>
      <c r="Y1018" s="132"/>
      <c r="Z1018" s="132"/>
      <c r="AA1018" s="132"/>
      <c r="AB1018" s="132"/>
      <c r="AC1018" s="132"/>
    </row>
    <row r="1019">
      <c r="A1019" s="132"/>
      <c r="B1019" s="132"/>
      <c r="C1019" s="132"/>
      <c r="D1019" s="132"/>
      <c r="E1019" s="132"/>
      <c r="F1019" s="132"/>
      <c r="G1019" s="132"/>
      <c r="H1019" s="372"/>
      <c r="I1019" s="372"/>
      <c r="J1019" s="372"/>
      <c r="K1019" s="2"/>
      <c r="L1019" s="132"/>
      <c r="M1019" s="132"/>
      <c r="N1019" s="132"/>
      <c r="O1019" s="132"/>
      <c r="P1019" s="132"/>
      <c r="Q1019" s="132"/>
      <c r="R1019" s="132"/>
      <c r="S1019" s="132"/>
      <c r="T1019" s="132"/>
      <c r="U1019" s="132"/>
      <c r="V1019" s="132"/>
      <c r="W1019" s="132"/>
      <c r="X1019" s="132"/>
      <c r="Y1019" s="132"/>
      <c r="Z1019" s="132"/>
      <c r="AA1019" s="132"/>
      <c r="AB1019" s="132"/>
      <c r="AC1019" s="132"/>
    </row>
    <row r="1020">
      <c r="A1020" s="132"/>
      <c r="B1020" s="132"/>
      <c r="C1020" s="132"/>
      <c r="D1020" s="132"/>
      <c r="E1020" s="132"/>
      <c r="F1020" s="132"/>
      <c r="G1020" s="132"/>
      <c r="H1020" s="372"/>
      <c r="I1020" s="372"/>
      <c r="J1020" s="372"/>
      <c r="K1020" s="2"/>
      <c r="L1020" s="132"/>
      <c r="M1020" s="132"/>
      <c r="N1020" s="132"/>
      <c r="O1020" s="132"/>
      <c r="P1020" s="132"/>
      <c r="Q1020" s="132"/>
      <c r="R1020" s="132"/>
      <c r="S1020" s="132"/>
      <c r="T1020" s="132"/>
      <c r="U1020" s="132"/>
      <c r="V1020" s="132"/>
      <c r="W1020" s="132"/>
      <c r="X1020" s="132"/>
      <c r="Y1020" s="132"/>
      <c r="Z1020" s="132"/>
      <c r="AA1020" s="132"/>
      <c r="AB1020" s="132"/>
      <c r="AC1020" s="132"/>
    </row>
    <row r="1021">
      <c r="A1021" s="132"/>
      <c r="B1021" s="132"/>
      <c r="C1021" s="132"/>
      <c r="D1021" s="132"/>
      <c r="E1021" s="132"/>
      <c r="F1021" s="132"/>
      <c r="G1021" s="132"/>
      <c r="H1021" s="372"/>
      <c r="I1021" s="372"/>
      <c r="J1021" s="372"/>
      <c r="K1021" s="2"/>
      <c r="L1021" s="132"/>
      <c r="M1021" s="132"/>
      <c r="N1021" s="132"/>
      <c r="O1021" s="132"/>
      <c r="P1021" s="132"/>
      <c r="Q1021" s="132"/>
      <c r="R1021" s="132"/>
      <c r="S1021" s="132"/>
      <c r="T1021" s="132"/>
      <c r="U1021" s="132"/>
      <c r="V1021" s="132"/>
      <c r="W1021" s="132"/>
      <c r="X1021" s="132"/>
      <c r="Y1021" s="132"/>
      <c r="Z1021" s="132"/>
      <c r="AA1021" s="132"/>
      <c r="AB1021" s="132"/>
      <c r="AC1021" s="132"/>
    </row>
    <row r="1022">
      <c r="A1022" s="132"/>
      <c r="B1022" s="132"/>
      <c r="C1022" s="132"/>
      <c r="D1022" s="132"/>
      <c r="E1022" s="132"/>
      <c r="F1022" s="132"/>
      <c r="G1022" s="132"/>
      <c r="H1022" s="372"/>
      <c r="I1022" s="372"/>
      <c r="J1022" s="372"/>
      <c r="K1022" s="2"/>
      <c r="L1022" s="132"/>
      <c r="M1022" s="132"/>
      <c r="N1022" s="132"/>
      <c r="O1022" s="132"/>
      <c r="P1022" s="132"/>
      <c r="Q1022" s="132"/>
      <c r="R1022" s="132"/>
      <c r="S1022" s="132"/>
      <c r="T1022" s="132"/>
      <c r="U1022" s="132"/>
      <c r="V1022" s="132"/>
      <c r="W1022" s="132"/>
      <c r="X1022" s="132"/>
      <c r="Y1022" s="132"/>
      <c r="Z1022" s="132"/>
      <c r="AA1022" s="132"/>
      <c r="AB1022" s="132"/>
      <c r="AC1022" s="132"/>
    </row>
    <row r="1023">
      <c r="A1023" s="132"/>
      <c r="B1023" s="132"/>
      <c r="C1023" s="132"/>
      <c r="D1023" s="132"/>
      <c r="E1023" s="132"/>
      <c r="F1023" s="132"/>
      <c r="G1023" s="132"/>
      <c r="H1023" s="372"/>
      <c r="I1023" s="372"/>
      <c r="J1023" s="372"/>
      <c r="K1023" s="2"/>
      <c r="L1023" s="132"/>
      <c r="M1023" s="132"/>
      <c r="N1023" s="132"/>
      <c r="O1023" s="132"/>
      <c r="P1023" s="132"/>
      <c r="Q1023" s="132"/>
      <c r="R1023" s="132"/>
      <c r="S1023" s="132"/>
      <c r="T1023" s="132"/>
      <c r="U1023" s="132"/>
      <c r="V1023" s="132"/>
      <c r="W1023" s="132"/>
      <c r="X1023" s="132"/>
      <c r="Y1023" s="132"/>
      <c r="Z1023" s="132"/>
      <c r="AA1023" s="132"/>
      <c r="AB1023" s="132"/>
      <c r="AC1023" s="132"/>
    </row>
    <row r="1024">
      <c r="A1024" s="132"/>
      <c r="B1024" s="132"/>
      <c r="C1024" s="132"/>
      <c r="D1024" s="132"/>
      <c r="E1024" s="132"/>
      <c r="F1024" s="132"/>
      <c r="G1024" s="132"/>
      <c r="H1024" s="372"/>
      <c r="I1024" s="372"/>
      <c r="J1024" s="372"/>
      <c r="K1024" s="2"/>
      <c r="L1024" s="132"/>
      <c r="M1024" s="132"/>
      <c r="N1024" s="132"/>
      <c r="O1024" s="132"/>
      <c r="P1024" s="132"/>
      <c r="Q1024" s="132"/>
      <c r="R1024" s="132"/>
      <c r="S1024" s="132"/>
      <c r="T1024" s="132"/>
      <c r="U1024" s="132"/>
      <c r="V1024" s="132"/>
      <c r="W1024" s="132"/>
      <c r="X1024" s="132"/>
      <c r="Y1024" s="132"/>
      <c r="Z1024" s="132"/>
      <c r="AA1024" s="132"/>
      <c r="AB1024" s="132"/>
      <c r="AC1024" s="132"/>
    </row>
    <row r="1025">
      <c r="A1025" s="132"/>
      <c r="B1025" s="132"/>
      <c r="C1025" s="132"/>
      <c r="D1025" s="132"/>
      <c r="E1025" s="132"/>
      <c r="F1025" s="132"/>
      <c r="G1025" s="132"/>
      <c r="H1025" s="372"/>
      <c r="I1025" s="372"/>
      <c r="J1025" s="372"/>
      <c r="K1025" s="2"/>
      <c r="L1025" s="132"/>
      <c r="M1025" s="132"/>
      <c r="N1025" s="132"/>
      <c r="O1025" s="132"/>
      <c r="P1025" s="132"/>
      <c r="Q1025" s="132"/>
      <c r="R1025" s="132"/>
      <c r="S1025" s="132"/>
      <c r="T1025" s="132"/>
      <c r="U1025" s="132"/>
      <c r="V1025" s="132"/>
      <c r="W1025" s="132"/>
      <c r="X1025" s="132"/>
      <c r="Y1025" s="132"/>
      <c r="Z1025" s="132"/>
      <c r="AA1025" s="132"/>
      <c r="AB1025" s="132"/>
      <c r="AC1025" s="132"/>
    </row>
    <row r="1026">
      <c r="A1026" s="132"/>
      <c r="B1026" s="132"/>
      <c r="C1026" s="132"/>
      <c r="D1026" s="132"/>
      <c r="E1026" s="132"/>
      <c r="F1026" s="132"/>
      <c r="G1026" s="132"/>
      <c r="H1026" s="372"/>
      <c r="I1026" s="372"/>
      <c r="J1026" s="372"/>
      <c r="K1026" s="2"/>
      <c r="L1026" s="132"/>
      <c r="M1026" s="132"/>
      <c r="N1026" s="132"/>
      <c r="O1026" s="132"/>
      <c r="P1026" s="132"/>
      <c r="Q1026" s="132"/>
      <c r="R1026" s="132"/>
      <c r="S1026" s="132"/>
      <c r="T1026" s="132"/>
      <c r="U1026" s="132"/>
      <c r="V1026" s="132"/>
      <c r="W1026" s="132"/>
      <c r="X1026" s="132"/>
      <c r="Y1026" s="132"/>
      <c r="Z1026" s="132"/>
      <c r="AA1026" s="132"/>
      <c r="AB1026" s="132"/>
      <c r="AC1026" s="132"/>
    </row>
    <row r="1027">
      <c r="A1027" s="132"/>
      <c r="B1027" s="132"/>
      <c r="C1027" s="132"/>
      <c r="D1027" s="132"/>
      <c r="E1027" s="132"/>
      <c r="F1027" s="132"/>
      <c r="G1027" s="132"/>
      <c r="H1027" s="372"/>
      <c r="I1027" s="372"/>
      <c r="J1027" s="372"/>
      <c r="K1027" s="2"/>
      <c r="L1027" s="132"/>
      <c r="M1027" s="132"/>
      <c r="N1027" s="132"/>
      <c r="O1027" s="132"/>
      <c r="P1027" s="132"/>
      <c r="Q1027" s="132"/>
      <c r="R1027" s="132"/>
      <c r="S1027" s="132"/>
      <c r="T1027" s="132"/>
      <c r="U1027" s="132"/>
      <c r="V1027" s="132"/>
      <c r="W1027" s="132"/>
      <c r="X1027" s="132"/>
      <c r="Y1027" s="132"/>
      <c r="Z1027" s="132"/>
      <c r="AA1027" s="132"/>
      <c r="AB1027" s="132"/>
      <c r="AC1027" s="132"/>
    </row>
    <row r="1028">
      <c r="A1028" s="132"/>
      <c r="B1028" s="132"/>
      <c r="C1028" s="132"/>
      <c r="D1028" s="132"/>
      <c r="E1028" s="132"/>
      <c r="F1028" s="132"/>
      <c r="G1028" s="132"/>
      <c r="H1028" s="372"/>
      <c r="I1028" s="372"/>
      <c r="J1028" s="372"/>
      <c r="K1028" s="2"/>
      <c r="L1028" s="132"/>
      <c r="M1028" s="132"/>
      <c r="N1028" s="132"/>
      <c r="O1028" s="132"/>
      <c r="P1028" s="132"/>
      <c r="Q1028" s="132"/>
      <c r="R1028" s="132"/>
      <c r="S1028" s="132"/>
      <c r="T1028" s="132"/>
      <c r="U1028" s="132"/>
      <c r="V1028" s="132"/>
      <c r="W1028" s="132"/>
      <c r="X1028" s="132"/>
      <c r="Y1028" s="132"/>
      <c r="Z1028" s="132"/>
      <c r="AA1028" s="132"/>
      <c r="AB1028" s="132"/>
      <c r="AC1028" s="132"/>
    </row>
    <row r="1029">
      <c r="A1029" s="132"/>
      <c r="B1029" s="132"/>
      <c r="C1029" s="132"/>
      <c r="D1029" s="132"/>
      <c r="E1029" s="132"/>
      <c r="F1029" s="132"/>
      <c r="G1029" s="132"/>
      <c r="H1029" s="372"/>
      <c r="I1029" s="372"/>
      <c r="J1029" s="372"/>
      <c r="K1029" s="2"/>
      <c r="L1029" s="132"/>
      <c r="M1029" s="132"/>
      <c r="N1029" s="132"/>
      <c r="O1029" s="132"/>
      <c r="P1029" s="132"/>
      <c r="Q1029" s="132"/>
      <c r="R1029" s="132"/>
      <c r="S1029" s="132"/>
      <c r="T1029" s="132"/>
      <c r="U1029" s="132"/>
      <c r="V1029" s="132"/>
      <c r="W1029" s="132"/>
      <c r="X1029" s="132"/>
      <c r="Y1029" s="132"/>
      <c r="Z1029" s="132"/>
      <c r="AA1029" s="132"/>
      <c r="AB1029" s="132"/>
      <c r="AC1029" s="132"/>
    </row>
    <row r="1030">
      <c r="A1030" s="132"/>
      <c r="B1030" s="132"/>
      <c r="C1030" s="132"/>
      <c r="D1030" s="132"/>
      <c r="E1030" s="132"/>
      <c r="F1030" s="132"/>
      <c r="G1030" s="132"/>
      <c r="H1030" s="372"/>
      <c r="I1030" s="372"/>
      <c r="J1030" s="372"/>
      <c r="K1030" s="2"/>
      <c r="L1030" s="132"/>
      <c r="M1030" s="132"/>
      <c r="N1030" s="132"/>
      <c r="O1030" s="132"/>
      <c r="P1030" s="132"/>
      <c r="Q1030" s="132"/>
      <c r="R1030" s="132"/>
      <c r="S1030" s="132"/>
      <c r="T1030" s="132"/>
      <c r="U1030" s="132"/>
      <c r="V1030" s="132"/>
      <c r="W1030" s="132"/>
      <c r="X1030" s="132"/>
      <c r="Y1030" s="132"/>
      <c r="Z1030" s="132"/>
      <c r="AA1030" s="132"/>
      <c r="AB1030" s="132"/>
      <c r="AC1030" s="132"/>
    </row>
    <row r="1031">
      <c r="A1031" s="132"/>
      <c r="B1031" s="132"/>
      <c r="C1031" s="132"/>
      <c r="D1031" s="132"/>
      <c r="E1031" s="132"/>
      <c r="F1031" s="132"/>
      <c r="G1031" s="132"/>
      <c r="H1031" s="372"/>
      <c r="I1031" s="372"/>
      <c r="J1031" s="372"/>
      <c r="K1031" s="2"/>
      <c r="L1031" s="132"/>
      <c r="M1031" s="132"/>
      <c r="N1031" s="132"/>
      <c r="O1031" s="132"/>
      <c r="P1031" s="132"/>
      <c r="Q1031" s="132"/>
      <c r="R1031" s="132"/>
      <c r="S1031" s="132"/>
      <c r="T1031" s="132"/>
      <c r="U1031" s="132"/>
      <c r="V1031" s="132"/>
      <c r="W1031" s="132"/>
      <c r="X1031" s="132"/>
      <c r="Y1031" s="132"/>
      <c r="Z1031" s="132"/>
      <c r="AA1031" s="132"/>
      <c r="AB1031" s="132"/>
      <c r="AC1031" s="132"/>
    </row>
    <row r="1032">
      <c r="A1032" s="132"/>
      <c r="B1032" s="132"/>
      <c r="C1032" s="132"/>
      <c r="D1032" s="132"/>
      <c r="E1032" s="132"/>
      <c r="F1032" s="132"/>
      <c r="G1032" s="132"/>
      <c r="H1032" s="372"/>
      <c r="I1032" s="372"/>
      <c r="J1032" s="372"/>
      <c r="K1032" s="2"/>
      <c r="L1032" s="132"/>
      <c r="M1032" s="132"/>
      <c r="N1032" s="132"/>
      <c r="O1032" s="132"/>
      <c r="P1032" s="132"/>
      <c r="Q1032" s="132"/>
      <c r="R1032" s="132"/>
      <c r="S1032" s="132"/>
      <c r="T1032" s="132"/>
      <c r="U1032" s="132"/>
      <c r="V1032" s="132"/>
      <c r="W1032" s="132"/>
      <c r="X1032" s="132"/>
      <c r="Y1032" s="132"/>
      <c r="Z1032" s="132"/>
      <c r="AA1032" s="132"/>
      <c r="AB1032" s="132"/>
      <c r="AC1032" s="132"/>
    </row>
    <row r="1033">
      <c r="A1033" s="132"/>
      <c r="B1033" s="132"/>
      <c r="C1033" s="132"/>
      <c r="D1033" s="132"/>
      <c r="E1033" s="132"/>
      <c r="F1033" s="132"/>
      <c r="G1033" s="132"/>
      <c r="H1033" s="372"/>
      <c r="I1033" s="372"/>
      <c r="J1033" s="372"/>
      <c r="K1033" s="2"/>
      <c r="L1033" s="132"/>
      <c r="M1033" s="132"/>
      <c r="N1033" s="132"/>
      <c r="O1033" s="132"/>
      <c r="P1033" s="132"/>
      <c r="Q1033" s="132"/>
      <c r="R1033" s="132"/>
      <c r="S1033" s="132"/>
      <c r="T1033" s="132"/>
      <c r="U1033" s="132"/>
      <c r="V1033" s="132"/>
      <c r="W1033" s="132"/>
      <c r="X1033" s="132"/>
      <c r="Y1033" s="132"/>
      <c r="Z1033" s="132"/>
      <c r="AA1033" s="132"/>
      <c r="AB1033" s="132"/>
      <c r="AC1033" s="132"/>
    </row>
    <row r="1034">
      <c r="A1034" s="132"/>
      <c r="B1034" s="132"/>
      <c r="C1034" s="132"/>
      <c r="D1034" s="132"/>
      <c r="E1034" s="132"/>
      <c r="F1034" s="132"/>
      <c r="G1034" s="132"/>
      <c r="H1034" s="372"/>
      <c r="I1034" s="372"/>
      <c r="J1034" s="372"/>
      <c r="K1034" s="2"/>
      <c r="L1034" s="132"/>
      <c r="M1034" s="132"/>
      <c r="N1034" s="132"/>
      <c r="O1034" s="132"/>
      <c r="P1034" s="132"/>
      <c r="Q1034" s="132"/>
      <c r="R1034" s="132"/>
      <c r="S1034" s="132"/>
      <c r="T1034" s="132"/>
      <c r="U1034" s="132"/>
      <c r="V1034" s="132"/>
      <c r="W1034" s="132"/>
      <c r="X1034" s="132"/>
      <c r="Y1034" s="132"/>
      <c r="Z1034" s="132"/>
      <c r="AA1034" s="132"/>
      <c r="AB1034" s="132"/>
      <c r="AC1034" s="132"/>
    </row>
    <row r="1035">
      <c r="A1035" s="132"/>
      <c r="B1035" s="132"/>
      <c r="C1035" s="132"/>
      <c r="D1035" s="132"/>
      <c r="E1035" s="132"/>
      <c r="F1035" s="132"/>
      <c r="G1035" s="132"/>
      <c r="H1035" s="372"/>
      <c r="I1035" s="372"/>
      <c r="J1035" s="372"/>
      <c r="K1035" s="2"/>
      <c r="L1035" s="132"/>
      <c r="M1035" s="132"/>
      <c r="N1035" s="132"/>
      <c r="O1035" s="132"/>
      <c r="P1035" s="132"/>
      <c r="Q1035" s="132"/>
      <c r="R1035" s="132"/>
      <c r="S1035" s="132"/>
      <c r="T1035" s="132"/>
      <c r="U1035" s="132"/>
      <c r="V1035" s="132"/>
      <c r="W1035" s="132"/>
      <c r="X1035" s="132"/>
      <c r="Y1035" s="132"/>
      <c r="Z1035" s="132"/>
      <c r="AA1035" s="132"/>
      <c r="AB1035" s="132"/>
      <c r="AC1035" s="132"/>
    </row>
    <row r="1036">
      <c r="A1036" s="132"/>
      <c r="B1036" s="132"/>
      <c r="C1036" s="132"/>
      <c r="D1036" s="132"/>
      <c r="E1036" s="132"/>
      <c r="F1036" s="132"/>
      <c r="G1036" s="132"/>
      <c r="H1036" s="372"/>
      <c r="I1036" s="372"/>
      <c r="J1036" s="372"/>
      <c r="K1036" s="2"/>
      <c r="L1036" s="132"/>
      <c r="M1036" s="132"/>
      <c r="N1036" s="132"/>
      <c r="O1036" s="132"/>
      <c r="P1036" s="132"/>
      <c r="Q1036" s="132"/>
      <c r="R1036" s="132"/>
      <c r="S1036" s="132"/>
      <c r="T1036" s="132"/>
      <c r="U1036" s="132"/>
      <c r="V1036" s="132"/>
      <c r="W1036" s="132"/>
      <c r="X1036" s="132"/>
      <c r="Y1036" s="132"/>
      <c r="Z1036" s="132"/>
      <c r="AA1036" s="132"/>
      <c r="AB1036" s="132"/>
      <c r="AC1036" s="132"/>
    </row>
    <row r="1037">
      <c r="A1037" s="132"/>
      <c r="B1037" s="132"/>
      <c r="C1037" s="132"/>
      <c r="D1037" s="132"/>
      <c r="E1037" s="132"/>
      <c r="F1037" s="132"/>
      <c r="G1037" s="132"/>
      <c r="H1037" s="372"/>
      <c r="I1037" s="372"/>
      <c r="J1037" s="372"/>
      <c r="K1037" s="2"/>
      <c r="L1037" s="132"/>
      <c r="M1037" s="132"/>
      <c r="N1037" s="132"/>
      <c r="O1037" s="132"/>
      <c r="P1037" s="132"/>
      <c r="Q1037" s="132"/>
      <c r="R1037" s="132"/>
      <c r="S1037" s="132"/>
      <c r="T1037" s="132"/>
      <c r="U1037" s="132"/>
      <c r="V1037" s="132"/>
      <c r="W1037" s="132"/>
      <c r="X1037" s="132"/>
      <c r="Y1037" s="132"/>
      <c r="Z1037" s="132"/>
      <c r="AA1037" s="132"/>
      <c r="AB1037" s="132"/>
      <c r="AC1037" s="132"/>
    </row>
    <row r="1038">
      <c r="A1038" s="132"/>
      <c r="B1038" s="132"/>
      <c r="C1038" s="132"/>
      <c r="D1038" s="132"/>
      <c r="E1038" s="132"/>
      <c r="F1038" s="132"/>
      <c r="G1038" s="132"/>
      <c r="H1038" s="372"/>
      <c r="I1038" s="372"/>
      <c r="J1038" s="372"/>
      <c r="K1038" s="2"/>
      <c r="L1038" s="132"/>
      <c r="M1038" s="132"/>
      <c r="N1038" s="132"/>
      <c r="O1038" s="132"/>
      <c r="P1038" s="132"/>
      <c r="Q1038" s="132"/>
      <c r="R1038" s="132"/>
      <c r="S1038" s="132"/>
      <c r="T1038" s="132"/>
      <c r="U1038" s="132"/>
      <c r="V1038" s="132"/>
      <c r="W1038" s="132"/>
      <c r="X1038" s="132"/>
      <c r="Y1038" s="132"/>
      <c r="Z1038" s="132"/>
      <c r="AA1038" s="132"/>
      <c r="AB1038" s="132"/>
      <c r="AC1038" s="132"/>
    </row>
    <row r="1039">
      <c r="A1039" s="132"/>
      <c r="B1039" s="132"/>
      <c r="C1039" s="132"/>
      <c r="D1039" s="132"/>
      <c r="E1039" s="132"/>
      <c r="F1039" s="132"/>
      <c r="G1039" s="132"/>
      <c r="H1039" s="372"/>
      <c r="I1039" s="372"/>
      <c r="J1039" s="372"/>
      <c r="K1039" s="2"/>
      <c r="L1039" s="132"/>
      <c r="M1039" s="132"/>
      <c r="N1039" s="132"/>
      <c r="O1039" s="132"/>
      <c r="P1039" s="132"/>
      <c r="Q1039" s="132"/>
      <c r="R1039" s="132"/>
      <c r="S1039" s="132"/>
      <c r="T1039" s="132"/>
      <c r="U1039" s="132"/>
      <c r="V1039" s="132"/>
      <c r="W1039" s="132"/>
      <c r="X1039" s="132"/>
      <c r="Y1039" s="132"/>
      <c r="Z1039" s="132"/>
      <c r="AA1039" s="132"/>
      <c r="AB1039" s="132"/>
      <c r="AC1039" s="132"/>
    </row>
    <row r="1040">
      <c r="A1040" s="132"/>
      <c r="B1040" s="132"/>
      <c r="C1040" s="132"/>
      <c r="D1040" s="132"/>
      <c r="E1040" s="132"/>
      <c r="F1040" s="132"/>
      <c r="G1040" s="132"/>
      <c r="H1040" s="372"/>
      <c r="I1040" s="372"/>
      <c r="J1040" s="372"/>
      <c r="K1040" s="2"/>
      <c r="L1040" s="132"/>
      <c r="M1040" s="132"/>
      <c r="N1040" s="132"/>
      <c r="O1040" s="132"/>
      <c r="P1040" s="132"/>
      <c r="Q1040" s="132"/>
      <c r="R1040" s="132"/>
      <c r="S1040" s="132"/>
      <c r="T1040" s="132"/>
      <c r="U1040" s="132"/>
      <c r="V1040" s="132"/>
      <c r="W1040" s="132"/>
      <c r="X1040" s="132"/>
      <c r="Y1040" s="132"/>
      <c r="Z1040" s="132"/>
      <c r="AA1040" s="132"/>
      <c r="AB1040" s="132"/>
      <c r="AC1040" s="132"/>
    </row>
    <row r="1041">
      <c r="A1041" s="132"/>
      <c r="B1041" s="132"/>
      <c r="C1041" s="132"/>
      <c r="D1041" s="132"/>
      <c r="E1041" s="132"/>
      <c r="F1041" s="132"/>
      <c r="G1041" s="132"/>
      <c r="H1041" s="372"/>
      <c r="I1041" s="372"/>
      <c r="J1041" s="372"/>
      <c r="K1041" s="2"/>
      <c r="L1041" s="132"/>
      <c r="M1041" s="132"/>
      <c r="N1041" s="132"/>
      <c r="O1041" s="132"/>
      <c r="P1041" s="132"/>
      <c r="Q1041" s="132"/>
      <c r="R1041" s="132"/>
      <c r="S1041" s="132"/>
      <c r="T1041" s="132"/>
      <c r="U1041" s="132"/>
      <c r="V1041" s="132"/>
      <c r="W1041" s="132"/>
      <c r="X1041" s="132"/>
      <c r="Y1041" s="132"/>
      <c r="Z1041" s="132"/>
      <c r="AA1041" s="132"/>
      <c r="AB1041" s="132"/>
      <c r="AC1041" s="132"/>
    </row>
    <row r="1042">
      <c r="A1042" s="132"/>
      <c r="B1042" s="132"/>
      <c r="C1042" s="132"/>
      <c r="D1042" s="132"/>
      <c r="E1042" s="132"/>
      <c r="F1042" s="132"/>
      <c r="G1042" s="132"/>
      <c r="H1042" s="372"/>
      <c r="I1042" s="372"/>
      <c r="J1042" s="372"/>
      <c r="K1042" s="2"/>
      <c r="L1042" s="132"/>
      <c r="M1042" s="132"/>
      <c r="N1042" s="132"/>
      <c r="O1042" s="132"/>
      <c r="P1042" s="132"/>
      <c r="Q1042" s="132"/>
      <c r="R1042" s="132"/>
      <c r="S1042" s="132"/>
      <c r="T1042" s="132"/>
      <c r="U1042" s="132"/>
      <c r="V1042" s="132"/>
      <c r="W1042" s="132"/>
      <c r="X1042" s="132"/>
      <c r="Y1042" s="132"/>
      <c r="Z1042" s="132"/>
      <c r="AA1042" s="132"/>
      <c r="AB1042" s="132"/>
      <c r="AC1042" s="132"/>
    </row>
    <row r="1043">
      <c r="A1043" s="132"/>
      <c r="B1043" s="132"/>
      <c r="C1043" s="132"/>
      <c r="D1043" s="132"/>
      <c r="E1043" s="132"/>
      <c r="F1043" s="132"/>
      <c r="G1043" s="132"/>
      <c r="H1043" s="372"/>
      <c r="I1043" s="372"/>
      <c r="J1043" s="372"/>
      <c r="K1043" s="2"/>
      <c r="L1043" s="132"/>
      <c r="M1043" s="132"/>
      <c r="N1043" s="132"/>
      <c r="O1043" s="132"/>
      <c r="P1043" s="132"/>
      <c r="Q1043" s="132"/>
      <c r="R1043" s="132"/>
      <c r="S1043" s="132"/>
      <c r="T1043" s="132"/>
      <c r="U1043" s="132"/>
      <c r="V1043" s="132"/>
      <c r="W1043" s="132"/>
      <c r="X1043" s="132"/>
      <c r="Y1043" s="132"/>
      <c r="Z1043" s="132"/>
      <c r="AA1043" s="132"/>
      <c r="AB1043" s="132"/>
      <c r="AC1043" s="132"/>
    </row>
    <row r="1044">
      <c r="A1044" s="132"/>
      <c r="B1044" s="132"/>
      <c r="C1044" s="132"/>
      <c r="D1044" s="132"/>
      <c r="E1044" s="132"/>
      <c r="F1044" s="132"/>
      <c r="G1044" s="132"/>
      <c r="H1044" s="372"/>
      <c r="I1044" s="372"/>
      <c r="J1044" s="372"/>
      <c r="K1044" s="2"/>
      <c r="L1044" s="132"/>
      <c r="M1044" s="132"/>
      <c r="N1044" s="132"/>
      <c r="O1044" s="132"/>
      <c r="P1044" s="132"/>
      <c r="Q1044" s="132"/>
      <c r="R1044" s="132"/>
      <c r="S1044" s="132"/>
      <c r="T1044" s="132"/>
      <c r="U1044" s="132"/>
      <c r="V1044" s="132"/>
      <c r="W1044" s="132"/>
      <c r="X1044" s="132"/>
      <c r="Y1044" s="132"/>
      <c r="Z1044" s="132"/>
      <c r="AA1044" s="132"/>
      <c r="AB1044" s="132"/>
      <c r="AC1044" s="132"/>
    </row>
    <row r="1045">
      <c r="A1045" s="132"/>
      <c r="B1045" s="132"/>
      <c r="C1045" s="132"/>
      <c r="D1045" s="132"/>
      <c r="E1045" s="132"/>
      <c r="F1045" s="132"/>
      <c r="G1045" s="132"/>
      <c r="H1045" s="372"/>
      <c r="I1045" s="372"/>
      <c r="J1045" s="372"/>
      <c r="K1045" s="2"/>
      <c r="L1045" s="132"/>
      <c r="M1045" s="132"/>
      <c r="N1045" s="132"/>
      <c r="O1045" s="132"/>
      <c r="P1045" s="132"/>
      <c r="Q1045" s="132"/>
      <c r="R1045" s="132"/>
      <c r="S1045" s="132"/>
      <c r="T1045" s="132"/>
      <c r="U1045" s="132"/>
      <c r="V1045" s="132"/>
      <c r="W1045" s="132"/>
      <c r="X1045" s="132"/>
      <c r="Y1045" s="132"/>
      <c r="Z1045" s="132"/>
      <c r="AA1045" s="132"/>
      <c r="AB1045" s="132"/>
      <c r="AC1045" s="132"/>
    </row>
    <row r="1046">
      <c r="A1046" s="132"/>
      <c r="B1046" s="132"/>
      <c r="C1046" s="132"/>
      <c r="D1046" s="132"/>
      <c r="E1046" s="132"/>
      <c r="F1046" s="132"/>
      <c r="G1046" s="132"/>
      <c r="H1046" s="372"/>
      <c r="I1046" s="372"/>
      <c r="J1046" s="372"/>
      <c r="K1046" s="2"/>
      <c r="L1046" s="132"/>
      <c r="M1046" s="132"/>
      <c r="N1046" s="132"/>
      <c r="O1046" s="132"/>
      <c r="P1046" s="132"/>
      <c r="Q1046" s="132"/>
      <c r="R1046" s="132"/>
      <c r="S1046" s="132"/>
      <c r="T1046" s="132"/>
      <c r="U1046" s="132"/>
      <c r="V1046" s="132"/>
      <c r="W1046" s="132"/>
      <c r="X1046" s="132"/>
      <c r="Y1046" s="132"/>
      <c r="Z1046" s="132"/>
      <c r="AA1046" s="132"/>
      <c r="AB1046" s="132"/>
      <c r="AC1046" s="132"/>
    </row>
    <row r="1047">
      <c r="A1047" s="132"/>
      <c r="B1047" s="132"/>
      <c r="C1047" s="132"/>
      <c r="D1047" s="132"/>
      <c r="E1047" s="132"/>
      <c r="F1047" s="132"/>
      <c r="G1047" s="132"/>
      <c r="H1047" s="372"/>
      <c r="I1047" s="372"/>
      <c r="J1047" s="372"/>
      <c r="K1047" s="2"/>
      <c r="L1047" s="132"/>
      <c r="M1047" s="132"/>
      <c r="N1047" s="132"/>
      <c r="O1047" s="132"/>
      <c r="P1047" s="132"/>
      <c r="Q1047" s="132"/>
      <c r="R1047" s="132"/>
      <c r="S1047" s="132"/>
      <c r="T1047" s="132"/>
      <c r="U1047" s="132"/>
      <c r="V1047" s="132"/>
      <c r="W1047" s="132"/>
      <c r="X1047" s="132"/>
      <c r="Y1047" s="132"/>
      <c r="Z1047" s="132"/>
      <c r="AA1047" s="132"/>
      <c r="AB1047" s="132"/>
      <c r="AC1047" s="132"/>
    </row>
    <row r="1048">
      <c r="A1048" s="132"/>
      <c r="B1048" s="132"/>
      <c r="C1048" s="132"/>
      <c r="D1048" s="132"/>
      <c r="E1048" s="132"/>
      <c r="F1048" s="132"/>
      <c r="G1048" s="132"/>
      <c r="H1048" s="372"/>
      <c r="I1048" s="372"/>
      <c r="J1048" s="372"/>
      <c r="K1048" s="2"/>
      <c r="L1048" s="132"/>
      <c r="M1048" s="132"/>
      <c r="N1048" s="132"/>
      <c r="O1048" s="132"/>
      <c r="P1048" s="132"/>
      <c r="Q1048" s="132"/>
      <c r="R1048" s="132"/>
      <c r="S1048" s="132"/>
      <c r="T1048" s="132"/>
      <c r="U1048" s="132"/>
      <c r="V1048" s="132"/>
      <c r="W1048" s="132"/>
      <c r="X1048" s="132"/>
      <c r="Y1048" s="132"/>
      <c r="Z1048" s="132"/>
      <c r="AA1048" s="132"/>
      <c r="AB1048" s="132"/>
      <c r="AC1048" s="132"/>
    </row>
    <row r="1049">
      <c r="A1049" s="132"/>
      <c r="B1049" s="132"/>
      <c r="C1049" s="132"/>
      <c r="D1049" s="132"/>
      <c r="E1049" s="132"/>
      <c r="F1049" s="132"/>
      <c r="G1049" s="132"/>
      <c r="H1049" s="372"/>
      <c r="I1049" s="372"/>
      <c r="J1049" s="372"/>
      <c r="K1049" s="2"/>
      <c r="L1049" s="132"/>
      <c r="M1049" s="132"/>
      <c r="N1049" s="132"/>
      <c r="O1049" s="132"/>
      <c r="P1049" s="132"/>
      <c r="Q1049" s="132"/>
      <c r="R1049" s="132"/>
      <c r="S1049" s="132"/>
      <c r="T1049" s="132"/>
      <c r="U1049" s="132"/>
      <c r="V1049" s="132"/>
      <c r="W1049" s="132"/>
      <c r="X1049" s="132"/>
      <c r="Y1049" s="132"/>
      <c r="Z1049" s="132"/>
      <c r="AA1049" s="132"/>
      <c r="AB1049" s="132"/>
      <c r="AC1049" s="132"/>
    </row>
    <row r="1050">
      <c r="A1050" s="132"/>
      <c r="B1050" s="132"/>
      <c r="C1050" s="132"/>
      <c r="D1050" s="132"/>
      <c r="E1050" s="132"/>
      <c r="F1050" s="132"/>
      <c r="G1050" s="132"/>
      <c r="H1050" s="372"/>
      <c r="I1050" s="372"/>
      <c r="J1050" s="372"/>
      <c r="K1050" s="2"/>
      <c r="L1050" s="132"/>
      <c r="M1050" s="132"/>
      <c r="N1050" s="132"/>
      <c r="O1050" s="132"/>
      <c r="P1050" s="132"/>
      <c r="Q1050" s="132"/>
      <c r="R1050" s="132"/>
      <c r="S1050" s="132"/>
      <c r="T1050" s="132"/>
      <c r="U1050" s="132"/>
      <c r="V1050" s="132"/>
      <c r="W1050" s="132"/>
      <c r="X1050" s="132"/>
      <c r="Y1050" s="132"/>
      <c r="Z1050" s="132"/>
      <c r="AA1050" s="132"/>
      <c r="AB1050" s="132"/>
      <c r="AC1050" s="132"/>
    </row>
    <row r="1051">
      <c r="A1051" s="132"/>
      <c r="B1051" s="132"/>
      <c r="C1051" s="132"/>
      <c r="D1051" s="132"/>
      <c r="E1051" s="132"/>
      <c r="F1051" s="132"/>
      <c r="G1051" s="132"/>
      <c r="H1051" s="372"/>
      <c r="I1051" s="372"/>
      <c r="J1051" s="372"/>
      <c r="K1051" s="2"/>
      <c r="L1051" s="132"/>
      <c r="M1051" s="132"/>
      <c r="N1051" s="132"/>
      <c r="O1051" s="132"/>
      <c r="P1051" s="132"/>
      <c r="Q1051" s="132"/>
      <c r="R1051" s="132"/>
      <c r="S1051" s="132"/>
      <c r="T1051" s="132"/>
      <c r="U1051" s="132"/>
      <c r="V1051" s="132"/>
      <c r="W1051" s="132"/>
      <c r="X1051" s="132"/>
      <c r="Y1051" s="132"/>
      <c r="Z1051" s="132"/>
      <c r="AA1051" s="132"/>
      <c r="AB1051" s="132"/>
      <c r="AC1051" s="132"/>
    </row>
    <row r="1052">
      <c r="A1052" s="132"/>
      <c r="B1052" s="132"/>
      <c r="C1052" s="132"/>
      <c r="D1052" s="132"/>
      <c r="E1052" s="132"/>
      <c r="F1052" s="132"/>
      <c r="G1052" s="132"/>
      <c r="H1052" s="372"/>
      <c r="I1052" s="372"/>
      <c r="J1052" s="372"/>
      <c r="K1052" s="2"/>
      <c r="L1052" s="132"/>
      <c r="M1052" s="132"/>
      <c r="N1052" s="132"/>
      <c r="O1052" s="132"/>
      <c r="P1052" s="132"/>
      <c r="Q1052" s="132"/>
      <c r="R1052" s="132"/>
      <c r="S1052" s="132"/>
      <c r="T1052" s="132"/>
      <c r="U1052" s="132"/>
      <c r="V1052" s="132"/>
      <c r="W1052" s="132"/>
      <c r="X1052" s="132"/>
      <c r="Y1052" s="132"/>
      <c r="Z1052" s="132"/>
      <c r="AA1052" s="132"/>
      <c r="AB1052" s="132"/>
      <c r="AC1052" s="132"/>
    </row>
    <row r="1053">
      <c r="A1053" s="132"/>
      <c r="B1053" s="132"/>
      <c r="C1053" s="132"/>
      <c r="D1053" s="132"/>
      <c r="E1053" s="132"/>
      <c r="F1053" s="132"/>
      <c r="G1053" s="132"/>
      <c r="H1053" s="372"/>
      <c r="I1053" s="372"/>
      <c r="J1053" s="372"/>
      <c r="K1053" s="2"/>
      <c r="L1053" s="132"/>
      <c r="M1053" s="132"/>
      <c r="N1053" s="132"/>
      <c r="O1053" s="132"/>
      <c r="P1053" s="132"/>
      <c r="Q1053" s="132"/>
      <c r="R1053" s="132"/>
      <c r="S1053" s="132"/>
      <c r="T1053" s="132"/>
      <c r="U1053" s="132"/>
      <c r="V1053" s="132"/>
      <c r="W1053" s="132"/>
      <c r="X1053" s="132"/>
      <c r="Y1053" s="132"/>
      <c r="Z1053" s="132"/>
      <c r="AA1053" s="132"/>
      <c r="AB1053" s="132"/>
      <c r="AC1053" s="132"/>
    </row>
    <row r="1054">
      <c r="A1054" s="132"/>
      <c r="B1054" s="132"/>
      <c r="C1054" s="132"/>
      <c r="D1054" s="132"/>
      <c r="E1054" s="132"/>
      <c r="F1054" s="132"/>
      <c r="G1054" s="132"/>
      <c r="H1054" s="372"/>
      <c r="I1054" s="372"/>
      <c r="J1054" s="372"/>
      <c r="K1054" s="2"/>
      <c r="L1054" s="132"/>
      <c r="M1054" s="132"/>
      <c r="N1054" s="132"/>
      <c r="O1054" s="132"/>
      <c r="P1054" s="132"/>
      <c r="Q1054" s="132"/>
      <c r="R1054" s="132"/>
      <c r="S1054" s="132"/>
      <c r="T1054" s="132"/>
      <c r="U1054" s="132"/>
      <c r="V1054" s="132"/>
      <c r="W1054" s="132"/>
      <c r="X1054" s="132"/>
      <c r="Y1054" s="132"/>
      <c r="Z1054" s="132"/>
      <c r="AA1054" s="132"/>
      <c r="AB1054" s="132"/>
      <c r="AC1054" s="132"/>
    </row>
    <row r="1055">
      <c r="A1055" s="132"/>
      <c r="B1055" s="132"/>
      <c r="C1055" s="132"/>
      <c r="D1055" s="132"/>
      <c r="E1055" s="132"/>
      <c r="F1055" s="132"/>
      <c r="G1055" s="132"/>
      <c r="H1055" s="372"/>
      <c r="I1055" s="372"/>
      <c r="J1055" s="372"/>
      <c r="K1055" s="2"/>
      <c r="L1055" s="132"/>
      <c r="M1055" s="132"/>
      <c r="N1055" s="132"/>
      <c r="O1055" s="132"/>
      <c r="P1055" s="132"/>
      <c r="Q1055" s="132"/>
      <c r="R1055" s="132"/>
      <c r="S1055" s="132"/>
      <c r="T1055" s="132"/>
      <c r="U1055" s="132"/>
      <c r="V1055" s="132"/>
      <c r="W1055" s="132"/>
      <c r="X1055" s="132"/>
      <c r="Y1055" s="132"/>
      <c r="Z1055" s="132"/>
      <c r="AA1055" s="132"/>
      <c r="AB1055" s="132"/>
      <c r="AC1055" s="132"/>
    </row>
    <row r="1056">
      <c r="A1056" s="132"/>
      <c r="B1056" s="132"/>
      <c r="C1056" s="132"/>
      <c r="D1056" s="132"/>
      <c r="E1056" s="132"/>
      <c r="F1056" s="132"/>
      <c r="G1056" s="132"/>
      <c r="H1056" s="372"/>
      <c r="I1056" s="372"/>
      <c r="J1056" s="372"/>
      <c r="K1056" s="2"/>
      <c r="L1056" s="132"/>
      <c r="M1056" s="132"/>
      <c r="N1056" s="132"/>
      <c r="O1056" s="132"/>
      <c r="P1056" s="132"/>
      <c r="Q1056" s="132"/>
      <c r="R1056" s="132"/>
      <c r="S1056" s="132"/>
      <c r="T1056" s="132"/>
      <c r="U1056" s="132"/>
      <c r="V1056" s="132"/>
      <c r="W1056" s="132"/>
      <c r="X1056" s="132"/>
      <c r="Y1056" s="132"/>
      <c r="Z1056" s="132"/>
      <c r="AA1056" s="132"/>
      <c r="AB1056" s="132"/>
      <c r="AC1056" s="132"/>
    </row>
    <row r="1057">
      <c r="A1057" s="132"/>
      <c r="B1057" s="132"/>
      <c r="C1057" s="132"/>
      <c r="D1057" s="132"/>
      <c r="E1057" s="132"/>
      <c r="F1057" s="132"/>
      <c r="G1057" s="132"/>
      <c r="H1057" s="372"/>
      <c r="I1057" s="372"/>
      <c r="J1057" s="372"/>
      <c r="K1057" s="2"/>
      <c r="L1057" s="132"/>
      <c r="M1057" s="132"/>
      <c r="N1057" s="132"/>
      <c r="O1057" s="132"/>
      <c r="P1057" s="132"/>
      <c r="Q1057" s="132"/>
      <c r="R1057" s="132"/>
      <c r="S1057" s="132"/>
      <c r="T1057" s="132"/>
      <c r="U1057" s="132"/>
      <c r="V1057" s="132"/>
      <c r="W1057" s="132"/>
      <c r="X1057" s="132"/>
      <c r="Y1057" s="132"/>
      <c r="Z1057" s="132"/>
      <c r="AA1057" s="132"/>
      <c r="AB1057" s="132"/>
      <c r="AC1057" s="132"/>
    </row>
    <row r="1058">
      <c r="A1058" s="132"/>
      <c r="B1058" s="132"/>
      <c r="C1058" s="132"/>
      <c r="D1058" s="132"/>
      <c r="E1058" s="132"/>
      <c r="F1058" s="132"/>
      <c r="G1058" s="132"/>
      <c r="H1058" s="372"/>
      <c r="I1058" s="372"/>
      <c r="J1058" s="372"/>
      <c r="K1058" s="2"/>
      <c r="L1058" s="132"/>
      <c r="M1058" s="132"/>
      <c r="N1058" s="132"/>
      <c r="O1058" s="132"/>
      <c r="P1058" s="132"/>
      <c r="Q1058" s="132"/>
      <c r="R1058" s="132"/>
      <c r="S1058" s="132"/>
      <c r="T1058" s="132"/>
      <c r="U1058" s="132"/>
      <c r="V1058" s="132"/>
      <c r="W1058" s="132"/>
      <c r="X1058" s="132"/>
      <c r="Y1058" s="132"/>
      <c r="Z1058" s="132"/>
      <c r="AA1058" s="132"/>
      <c r="AB1058" s="132"/>
      <c r="AC1058" s="132"/>
    </row>
    <row r="1059">
      <c r="A1059" s="132"/>
      <c r="B1059" s="132"/>
      <c r="C1059" s="132"/>
      <c r="D1059" s="132"/>
      <c r="E1059" s="132"/>
      <c r="F1059" s="132"/>
      <c r="G1059" s="132"/>
      <c r="H1059" s="372"/>
      <c r="I1059" s="372"/>
      <c r="J1059" s="372"/>
      <c r="K1059" s="2"/>
      <c r="L1059" s="132"/>
      <c r="M1059" s="132"/>
      <c r="N1059" s="132"/>
      <c r="O1059" s="132"/>
      <c r="P1059" s="132"/>
      <c r="Q1059" s="132"/>
      <c r="R1059" s="132"/>
      <c r="S1059" s="132"/>
      <c r="T1059" s="132"/>
      <c r="U1059" s="132"/>
      <c r="V1059" s="132"/>
      <c r="W1059" s="132"/>
      <c r="X1059" s="132"/>
      <c r="Y1059" s="132"/>
      <c r="Z1059" s="132"/>
      <c r="AA1059" s="132"/>
      <c r="AB1059" s="132"/>
      <c r="AC1059" s="132"/>
    </row>
    <row r="1060">
      <c r="A1060" s="132"/>
      <c r="B1060" s="132"/>
      <c r="C1060" s="132"/>
      <c r="D1060" s="132"/>
      <c r="E1060" s="132"/>
      <c r="F1060" s="132"/>
      <c r="G1060" s="132"/>
      <c r="H1060" s="372"/>
      <c r="I1060" s="372"/>
      <c r="J1060" s="372"/>
      <c r="K1060" s="2"/>
      <c r="L1060" s="132"/>
      <c r="M1060" s="132"/>
      <c r="N1060" s="132"/>
      <c r="O1060" s="132"/>
      <c r="P1060" s="132"/>
      <c r="Q1060" s="132"/>
      <c r="R1060" s="132"/>
      <c r="S1060" s="132"/>
      <c r="T1060" s="132"/>
      <c r="U1060" s="132"/>
      <c r="V1060" s="132"/>
      <c r="W1060" s="132"/>
      <c r="X1060" s="132"/>
      <c r="Y1060" s="132"/>
      <c r="Z1060" s="132"/>
      <c r="AA1060" s="132"/>
      <c r="AB1060" s="132"/>
      <c r="AC1060" s="132"/>
    </row>
    <row r="1061">
      <c r="A1061" s="132"/>
      <c r="B1061" s="132"/>
      <c r="C1061" s="132"/>
      <c r="D1061" s="132"/>
      <c r="E1061" s="132"/>
      <c r="F1061" s="132"/>
      <c r="G1061" s="132"/>
      <c r="H1061" s="372"/>
      <c r="I1061" s="372"/>
      <c r="J1061" s="372"/>
      <c r="K1061" s="2"/>
      <c r="L1061" s="132"/>
      <c r="M1061" s="132"/>
      <c r="N1061" s="132"/>
      <c r="O1061" s="132"/>
      <c r="P1061" s="132"/>
      <c r="Q1061" s="132"/>
      <c r="R1061" s="132"/>
      <c r="S1061" s="132"/>
      <c r="T1061" s="132"/>
      <c r="U1061" s="132"/>
      <c r="V1061" s="132"/>
      <c r="W1061" s="132"/>
      <c r="X1061" s="132"/>
      <c r="Y1061" s="132"/>
      <c r="Z1061" s="132"/>
      <c r="AA1061" s="132"/>
      <c r="AB1061" s="132"/>
      <c r="AC1061" s="132"/>
    </row>
    <row r="1062">
      <c r="A1062" s="132"/>
      <c r="B1062" s="132"/>
      <c r="C1062" s="132"/>
      <c r="D1062" s="132"/>
      <c r="E1062" s="132"/>
      <c r="F1062" s="132"/>
      <c r="G1062" s="132"/>
      <c r="H1062" s="372"/>
      <c r="I1062" s="372"/>
      <c r="J1062" s="372"/>
      <c r="K1062" s="2"/>
      <c r="L1062" s="132"/>
      <c r="M1062" s="132"/>
      <c r="N1062" s="132"/>
      <c r="O1062" s="132"/>
      <c r="P1062" s="132"/>
      <c r="Q1062" s="132"/>
      <c r="R1062" s="132"/>
      <c r="S1062" s="132"/>
      <c r="T1062" s="132"/>
      <c r="U1062" s="132"/>
      <c r="V1062" s="132"/>
      <c r="W1062" s="132"/>
      <c r="X1062" s="132"/>
      <c r="Y1062" s="132"/>
      <c r="Z1062" s="132"/>
      <c r="AA1062" s="132"/>
      <c r="AB1062" s="132"/>
      <c r="AC1062" s="132"/>
    </row>
    <row r="1063">
      <c r="A1063" s="132"/>
      <c r="B1063" s="132"/>
      <c r="C1063" s="132"/>
      <c r="D1063" s="132"/>
      <c r="E1063" s="132"/>
      <c r="F1063" s="132"/>
      <c r="G1063" s="132"/>
      <c r="H1063" s="372"/>
      <c r="I1063" s="372"/>
      <c r="J1063" s="372"/>
      <c r="K1063" s="2"/>
      <c r="L1063" s="132"/>
      <c r="M1063" s="132"/>
      <c r="N1063" s="132"/>
      <c r="O1063" s="132"/>
      <c r="P1063" s="132"/>
      <c r="Q1063" s="132"/>
      <c r="R1063" s="132"/>
      <c r="S1063" s="132"/>
      <c r="T1063" s="132"/>
      <c r="U1063" s="132"/>
      <c r="V1063" s="132"/>
      <c r="W1063" s="132"/>
      <c r="X1063" s="132"/>
      <c r="Y1063" s="132"/>
      <c r="Z1063" s="132"/>
      <c r="AA1063" s="132"/>
      <c r="AB1063" s="132"/>
      <c r="AC1063" s="132"/>
    </row>
    <row r="1064">
      <c r="A1064" s="132"/>
      <c r="B1064" s="132"/>
      <c r="C1064" s="132"/>
      <c r="D1064" s="132"/>
      <c r="E1064" s="132"/>
      <c r="F1064" s="132"/>
      <c r="G1064" s="132"/>
      <c r="H1064" s="372"/>
      <c r="I1064" s="372"/>
      <c r="J1064" s="372"/>
      <c r="K1064" s="2"/>
      <c r="L1064" s="132"/>
      <c r="M1064" s="132"/>
      <c r="N1064" s="132"/>
      <c r="O1064" s="132"/>
      <c r="P1064" s="132"/>
      <c r="Q1064" s="132"/>
      <c r="R1064" s="132"/>
      <c r="S1064" s="132"/>
      <c r="T1064" s="132"/>
      <c r="U1064" s="132"/>
      <c r="V1064" s="132"/>
      <c r="W1064" s="132"/>
      <c r="X1064" s="132"/>
      <c r="Y1064" s="132"/>
      <c r="Z1064" s="132"/>
      <c r="AA1064" s="132"/>
      <c r="AB1064" s="132"/>
      <c r="AC1064" s="132"/>
    </row>
    <row r="1065">
      <c r="A1065" s="132"/>
      <c r="B1065" s="132"/>
      <c r="C1065" s="132"/>
      <c r="D1065" s="132"/>
      <c r="E1065" s="132"/>
      <c r="F1065" s="132"/>
      <c r="G1065" s="132"/>
      <c r="H1065" s="372"/>
      <c r="I1065" s="372"/>
      <c r="J1065" s="372"/>
      <c r="K1065" s="2"/>
      <c r="L1065" s="132"/>
      <c r="M1065" s="132"/>
      <c r="N1065" s="132"/>
      <c r="O1065" s="132"/>
      <c r="P1065" s="132"/>
      <c r="Q1065" s="132"/>
      <c r="R1065" s="132"/>
      <c r="S1065" s="132"/>
      <c r="T1065" s="132"/>
      <c r="U1065" s="132"/>
      <c r="V1065" s="132"/>
      <c r="W1065" s="132"/>
      <c r="X1065" s="132"/>
      <c r="Y1065" s="132"/>
      <c r="Z1065" s="132"/>
      <c r="AA1065" s="132"/>
      <c r="AB1065" s="132"/>
      <c r="AC1065" s="132"/>
    </row>
    <row r="1066">
      <c r="A1066" s="132"/>
      <c r="B1066" s="132"/>
      <c r="C1066" s="132"/>
      <c r="D1066" s="132"/>
      <c r="E1066" s="132"/>
      <c r="F1066" s="132"/>
      <c r="G1066" s="132"/>
      <c r="H1066" s="372"/>
      <c r="I1066" s="372"/>
      <c r="J1066" s="372"/>
      <c r="K1066" s="2"/>
      <c r="L1066" s="132"/>
      <c r="M1066" s="132"/>
      <c r="N1066" s="132"/>
      <c r="O1066" s="132"/>
      <c r="P1066" s="132"/>
      <c r="Q1066" s="132"/>
      <c r="R1066" s="132"/>
      <c r="S1066" s="132"/>
      <c r="T1066" s="132"/>
      <c r="U1066" s="132"/>
      <c r="V1066" s="132"/>
      <c r="W1066" s="132"/>
      <c r="X1066" s="132"/>
      <c r="Y1066" s="132"/>
      <c r="Z1066" s="132"/>
      <c r="AA1066" s="132"/>
      <c r="AB1066" s="132"/>
      <c r="AC1066" s="132"/>
    </row>
    <row r="1067">
      <c r="A1067" s="132"/>
      <c r="B1067" s="132"/>
      <c r="C1067" s="132"/>
      <c r="D1067" s="132"/>
      <c r="E1067" s="132"/>
      <c r="F1067" s="132"/>
      <c r="G1067" s="132"/>
      <c r="H1067" s="372"/>
      <c r="I1067" s="372"/>
      <c r="J1067" s="372"/>
      <c r="K1067" s="2"/>
      <c r="L1067" s="132"/>
      <c r="M1067" s="132"/>
      <c r="N1067" s="132"/>
      <c r="O1067" s="132"/>
      <c r="P1067" s="132"/>
      <c r="Q1067" s="132"/>
      <c r="R1067" s="132"/>
      <c r="S1067" s="132"/>
      <c r="T1067" s="132"/>
      <c r="U1067" s="132"/>
      <c r="V1067" s="132"/>
      <c r="W1067" s="132"/>
      <c r="X1067" s="132"/>
      <c r="Y1067" s="132"/>
      <c r="Z1067" s="132"/>
      <c r="AA1067" s="132"/>
      <c r="AB1067" s="132"/>
      <c r="AC1067" s="132"/>
    </row>
    <row r="1068">
      <c r="A1068" s="132"/>
      <c r="B1068" s="132"/>
      <c r="C1068" s="132"/>
      <c r="D1068" s="132"/>
      <c r="E1068" s="132"/>
      <c r="F1068" s="132"/>
      <c r="G1068" s="132"/>
      <c r="H1068" s="372"/>
      <c r="I1068" s="372"/>
      <c r="J1068" s="372"/>
      <c r="K1068" s="2"/>
      <c r="L1068" s="132"/>
      <c r="M1068" s="132"/>
      <c r="N1068" s="132"/>
      <c r="O1068" s="132"/>
      <c r="P1068" s="132"/>
      <c r="Q1068" s="132"/>
      <c r="R1068" s="132"/>
      <c r="S1068" s="132"/>
      <c r="T1068" s="132"/>
      <c r="U1068" s="132"/>
      <c r="V1068" s="132"/>
      <c r="W1068" s="132"/>
      <c r="X1068" s="132"/>
      <c r="Y1068" s="132"/>
      <c r="Z1068" s="132"/>
      <c r="AA1068" s="132"/>
      <c r="AB1068" s="132"/>
      <c r="AC1068" s="132"/>
    </row>
    <row r="1069">
      <c r="A1069" s="132"/>
      <c r="B1069" s="132"/>
      <c r="C1069" s="132"/>
      <c r="D1069" s="132"/>
      <c r="E1069" s="132"/>
      <c r="F1069" s="132"/>
      <c r="G1069" s="132"/>
      <c r="H1069" s="372"/>
      <c r="I1069" s="372"/>
      <c r="J1069" s="372"/>
      <c r="K1069" s="2"/>
      <c r="L1069" s="132"/>
      <c r="M1069" s="132"/>
      <c r="N1069" s="132"/>
      <c r="O1069" s="132"/>
      <c r="P1069" s="132"/>
      <c r="Q1069" s="132"/>
      <c r="R1069" s="132"/>
      <c r="S1069" s="132"/>
      <c r="T1069" s="132"/>
      <c r="U1069" s="132"/>
      <c r="V1069" s="132"/>
      <c r="W1069" s="132"/>
      <c r="X1069" s="132"/>
      <c r="Y1069" s="132"/>
      <c r="Z1069" s="132"/>
      <c r="AA1069" s="132"/>
      <c r="AB1069" s="132"/>
      <c r="AC1069" s="132"/>
    </row>
    <row r="1070">
      <c r="A1070" s="132"/>
      <c r="B1070" s="132"/>
      <c r="C1070" s="132"/>
      <c r="D1070" s="132"/>
      <c r="E1070" s="132"/>
      <c r="F1070" s="132"/>
      <c r="G1070" s="132"/>
      <c r="H1070" s="372"/>
      <c r="I1070" s="372"/>
      <c r="J1070" s="372"/>
      <c r="K1070" s="2"/>
      <c r="L1070" s="132"/>
      <c r="M1070" s="132"/>
      <c r="N1070" s="132"/>
      <c r="O1070" s="132"/>
      <c r="P1070" s="132"/>
      <c r="Q1070" s="132"/>
      <c r="R1070" s="132"/>
      <c r="S1070" s="132"/>
      <c r="T1070" s="132"/>
      <c r="U1070" s="132"/>
      <c r="V1070" s="132"/>
      <c r="W1070" s="132"/>
      <c r="X1070" s="132"/>
      <c r="Y1070" s="132"/>
      <c r="Z1070" s="132"/>
      <c r="AA1070" s="132"/>
      <c r="AB1070" s="132"/>
      <c r="AC1070" s="132"/>
    </row>
    <row r="1071">
      <c r="A1071" s="132"/>
      <c r="B1071" s="132"/>
      <c r="C1071" s="132"/>
      <c r="D1071" s="132"/>
      <c r="E1071" s="132"/>
      <c r="F1071" s="132"/>
      <c r="G1071" s="132"/>
      <c r="H1071" s="372"/>
      <c r="I1071" s="372"/>
      <c r="J1071" s="372"/>
      <c r="K1071" s="2"/>
      <c r="L1071" s="132"/>
      <c r="M1071" s="132"/>
      <c r="N1071" s="132"/>
      <c r="O1071" s="132"/>
      <c r="P1071" s="132"/>
      <c r="Q1071" s="132"/>
      <c r="R1071" s="132"/>
      <c r="S1071" s="132"/>
      <c r="T1071" s="132"/>
      <c r="U1071" s="132"/>
      <c r="V1071" s="132"/>
      <c r="W1071" s="132"/>
      <c r="X1071" s="132"/>
      <c r="Y1071" s="132"/>
      <c r="Z1071" s="132"/>
      <c r="AA1071" s="132"/>
      <c r="AB1071" s="132"/>
      <c r="AC1071" s="132"/>
    </row>
    <row r="1072">
      <c r="A1072" s="132"/>
      <c r="B1072" s="132"/>
      <c r="C1072" s="132"/>
      <c r="D1072" s="132"/>
      <c r="E1072" s="132"/>
      <c r="F1072" s="132"/>
      <c r="G1072" s="132"/>
      <c r="H1072" s="372"/>
      <c r="I1072" s="372"/>
      <c r="J1072" s="372"/>
      <c r="K1072" s="2"/>
      <c r="L1072" s="132"/>
      <c r="M1072" s="132"/>
      <c r="N1072" s="132"/>
      <c r="O1072" s="132"/>
      <c r="P1072" s="132"/>
      <c r="Q1072" s="132"/>
      <c r="R1072" s="132"/>
      <c r="S1072" s="132"/>
      <c r="T1072" s="132"/>
      <c r="U1072" s="132"/>
      <c r="V1072" s="132"/>
      <c r="W1072" s="132"/>
      <c r="X1072" s="132"/>
      <c r="Y1072" s="132"/>
      <c r="Z1072" s="132"/>
      <c r="AA1072" s="132"/>
      <c r="AB1072" s="132"/>
      <c r="AC1072" s="132"/>
    </row>
    <row r="1073">
      <c r="A1073" s="132"/>
      <c r="B1073" s="132"/>
      <c r="C1073" s="132"/>
      <c r="D1073" s="132"/>
      <c r="E1073" s="132"/>
      <c r="F1073" s="132"/>
      <c r="G1073" s="132"/>
      <c r="H1073" s="372"/>
      <c r="I1073" s="372"/>
      <c r="J1073" s="372"/>
      <c r="K1073" s="2"/>
      <c r="L1073" s="132"/>
      <c r="M1073" s="132"/>
      <c r="N1073" s="132"/>
      <c r="O1073" s="132"/>
      <c r="P1073" s="132"/>
      <c r="Q1073" s="132"/>
      <c r="R1073" s="132"/>
      <c r="S1073" s="132"/>
      <c r="T1073" s="132"/>
      <c r="U1073" s="132"/>
      <c r="V1073" s="132"/>
      <c r="W1073" s="132"/>
      <c r="X1073" s="132"/>
      <c r="Y1073" s="132"/>
      <c r="Z1073" s="132"/>
      <c r="AA1073" s="132"/>
      <c r="AB1073" s="132"/>
      <c r="AC1073" s="132"/>
    </row>
    <row r="1074">
      <c r="A1074" s="132"/>
      <c r="B1074" s="132"/>
      <c r="C1074" s="132"/>
      <c r="D1074" s="132"/>
      <c r="E1074" s="132"/>
      <c r="F1074" s="132"/>
      <c r="G1074" s="132"/>
      <c r="H1074" s="372"/>
      <c r="I1074" s="372"/>
      <c r="J1074" s="372"/>
      <c r="K1074" s="2"/>
      <c r="L1074" s="132"/>
      <c r="M1074" s="132"/>
      <c r="N1074" s="132"/>
      <c r="O1074" s="132"/>
      <c r="P1074" s="132"/>
      <c r="Q1074" s="132"/>
      <c r="R1074" s="132"/>
      <c r="S1074" s="132"/>
      <c r="T1074" s="132"/>
      <c r="U1074" s="132"/>
      <c r="V1074" s="132"/>
      <c r="W1074" s="132"/>
      <c r="X1074" s="132"/>
      <c r="Y1074" s="132"/>
      <c r="Z1074" s="132"/>
      <c r="AA1074" s="132"/>
      <c r="AB1074" s="132"/>
      <c r="AC1074" s="132"/>
    </row>
    <row r="1075">
      <c r="A1075" s="132"/>
      <c r="B1075" s="132"/>
      <c r="C1075" s="132"/>
      <c r="D1075" s="132"/>
      <c r="E1075" s="132"/>
      <c r="F1075" s="132"/>
      <c r="G1075" s="132"/>
      <c r="H1075" s="372"/>
      <c r="I1075" s="372"/>
      <c r="J1075" s="372"/>
      <c r="K1075" s="2"/>
      <c r="L1075" s="132"/>
      <c r="M1075" s="132"/>
      <c r="N1075" s="132"/>
      <c r="O1075" s="132"/>
      <c r="P1075" s="132"/>
      <c r="Q1075" s="132"/>
      <c r="R1075" s="132"/>
      <c r="S1075" s="132"/>
      <c r="T1075" s="132"/>
      <c r="U1075" s="132"/>
      <c r="V1075" s="132"/>
      <c r="W1075" s="132"/>
      <c r="X1075" s="132"/>
      <c r="Y1075" s="132"/>
      <c r="Z1075" s="132"/>
      <c r="AA1075" s="132"/>
      <c r="AB1075" s="132"/>
      <c r="AC1075" s="132"/>
    </row>
    <row r="1076">
      <c r="A1076" s="132"/>
      <c r="B1076" s="132"/>
      <c r="C1076" s="132"/>
      <c r="D1076" s="132"/>
      <c r="E1076" s="132"/>
      <c r="F1076" s="132"/>
      <c r="G1076" s="132"/>
      <c r="H1076" s="372"/>
      <c r="I1076" s="372"/>
      <c r="J1076" s="372"/>
      <c r="K1076" s="2"/>
      <c r="L1076" s="132"/>
      <c r="M1076" s="132"/>
      <c r="N1076" s="132"/>
      <c r="O1076" s="132"/>
      <c r="P1076" s="132"/>
      <c r="Q1076" s="132"/>
      <c r="R1076" s="132"/>
      <c r="S1076" s="132"/>
      <c r="T1076" s="132"/>
      <c r="U1076" s="132"/>
      <c r="V1076" s="132"/>
      <c r="W1076" s="132"/>
      <c r="X1076" s="132"/>
      <c r="Y1076" s="132"/>
      <c r="Z1076" s="132"/>
      <c r="AA1076" s="132"/>
      <c r="AB1076" s="132"/>
      <c r="AC1076" s="132"/>
    </row>
    <row r="1077">
      <c r="A1077" s="132"/>
      <c r="B1077" s="132"/>
      <c r="C1077" s="132"/>
      <c r="D1077" s="132"/>
      <c r="E1077" s="132"/>
      <c r="F1077" s="132"/>
      <c r="G1077" s="132"/>
      <c r="H1077" s="372"/>
      <c r="I1077" s="372"/>
      <c r="J1077" s="372"/>
      <c r="K1077" s="2"/>
      <c r="L1077" s="132"/>
      <c r="M1077" s="132"/>
      <c r="N1077" s="132"/>
      <c r="O1077" s="132"/>
      <c r="P1077" s="132"/>
      <c r="Q1077" s="132"/>
      <c r="R1077" s="132"/>
      <c r="S1077" s="132"/>
      <c r="T1077" s="132"/>
      <c r="U1077" s="132"/>
      <c r="V1077" s="132"/>
      <c r="W1077" s="132"/>
      <c r="X1077" s="132"/>
      <c r="Y1077" s="132"/>
      <c r="Z1077" s="132"/>
      <c r="AA1077" s="132"/>
      <c r="AB1077" s="132"/>
      <c r="AC1077" s="132"/>
    </row>
    <row r="1078">
      <c r="A1078" s="132"/>
      <c r="B1078" s="132"/>
      <c r="C1078" s="132"/>
      <c r="D1078" s="132"/>
      <c r="E1078" s="132"/>
      <c r="F1078" s="132"/>
      <c r="G1078" s="132"/>
      <c r="H1078" s="372"/>
      <c r="I1078" s="372"/>
      <c r="J1078" s="372"/>
      <c r="K1078" s="2"/>
      <c r="L1078" s="132"/>
      <c r="M1078" s="132"/>
      <c r="N1078" s="132"/>
      <c r="O1078" s="132"/>
      <c r="P1078" s="132"/>
      <c r="Q1078" s="132"/>
      <c r="R1078" s="132"/>
      <c r="S1078" s="132"/>
      <c r="T1078" s="132"/>
      <c r="U1078" s="132"/>
      <c r="V1078" s="132"/>
      <c r="W1078" s="132"/>
      <c r="X1078" s="132"/>
      <c r="Y1078" s="132"/>
      <c r="Z1078" s="132"/>
      <c r="AA1078" s="132"/>
      <c r="AB1078" s="132"/>
      <c r="AC1078" s="132"/>
    </row>
    <row r="1079">
      <c r="A1079" s="132"/>
      <c r="B1079" s="132"/>
      <c r="C1079" s="132"/>
      <c r="D1079" s="132"/>
      <c r="E1079" s="132"/>
      <c r="F1079" s="132"/>
      <c r="G1079" s="132"/>
      <c r="H1079" s="372"/>
      <c r="I1079" s="372"/>
      <c r="J1079" s="372"/>
      <c r="K1079" s="2"/>
      <c r="L1079" s="132"/>
      <c r="M1079" s="132"/>
      <c r="N1079" s="132"/>
      <c r="O1079" s="132"/>
      <c r="P1079" s="132"/>
      <c r="Q1079" s="132"/>
      <c r="R1079" s="132"/>
      <c r="S1079" s="132"/>
      <c r="T1079" s="132"/>
      <c r="U1079" s="132"/>
      <c r="V1079" s="132"/>
      <c r="W1079" s="132"/>
      <c r="X1079" s="132"/>
      <c r="Y1079" s="132"/>
      <c r="Z1079" s="132"/>
      <c r="AA1079" s="132"/>
      <c r="AB1079" s="132"/>
      <c r="AC1079" s="132"/>
    </row>
    <row r="1080">
      <c r="A1080" s="132"/>
      <c r="B1080" s="132"/>
      <c r="C1080" s="132"/>
      <c r="D1080" s="132"/>
      <c r="E1080" s="132"/>
      <c r="F1080" s="132"/>
      <c r="G1080" s="132"/>
      <c r="H1080" s="372"/>
      <c r="I1080" s="372"/>
      <c r="J1080" s="372"/>
      <c r="K1080" s="2"/>
      <c r="L1080" s="132"/>
      <c r="M1080" s="132"/>
      <c r="N1080" s="132"/>
      <c r="O1080" s="132"/>
      <c r="P1080" s="132"/>
      <c r="Q1080" s="132"/>
      <c r="R1080" s="132"/>
      <c r="S1080" s="132"/>
      <c r="T1080" s="132"/>
      <c r="U1080" s="132"/>
      <c r="V1080" s="132"/>
      <c r="W1080" s="132"/>
      <c r="X1080" s="132"/>
      <c r="Y1080" s="132"/>
      <c r="Z1080" s="132"/>
      <c r="AA1080" s="132"/>
      <c r="AB1080" s="132"/>
      <c r="AC1080" s="132"/>
    </row>
    <row r="1081">
      <c r="A1081" s="132"/>
      <c r="B1081" s="132"/>
      <c r="C1081" s="132"/>
      <c r="D1081" s="132"/>
      <c r="E1081" s="132"/>
      <c r="F1081" s="132"/>
      <c r="G1081" s="132"/>
      <c r="H1081" s="372"/>
      <c r="I1081" s="372"/>
      <c r="J1081" s="372"/>
      <c r="K1081" s="2"/>
      <c r="L1081" s="132"/>
      <c r="M1081" s="132"/>
      <c r="N1081" s="132"/>
      <c r="O1081" s="132"/>
      <c r="P1081" s="132"/>
      <c r="Q1081" s="132"/>
      <c r="R1081" s="132"/>
      <c r="S1081" s="132"/>
      <c r="T1081" s="132"/>
      <c r="U1081" s="132"/>
      <c r="V1081" s="132"/>
      <c r="W1081" s="132"/>
      <c r="X1081" s="132"/>
      <c r="Y1081" s="132"/>
      <c r="Z1081" s="132"/>
      <c r="AA1081" s="132"/>
      <c r="AB1081" s="132"/>
      <c r="AC1081" s="132"/>
    </row>
    <row r="1082">
      <c r="A1082" s="132"/>
      <c r="B1082" s="132"/>
      <c r="C1082" s="132"/>
      <c r="D1082" s="132"/>
      <c r="E1082" s="132"/>
      <c r="F1082" s="132"/>
      <c r="G1082" s="132"/>
      <c r="H1082" s="372"/>
      <c r="I1082" s="372"/>
      <c r="J1082" s="372"/>
      <c r="K1082" s="2"/>
      <c r="L1082" s="132"/>
      <c r="M1082" s="132"/>
      <c r="N1082" s="132"/>
      <c r="O1082" s="132"/>
      <c r="P1082" s="132"/>
      <c r="Q1082" s="132"/>
      <c r="R1082" s="132"/>
      <c r="S1082" s="132"/>
      <c r="T1082" s="132"/>
      <c r="U1082" s="132"/>
      <c r="V1082" s="132"/>
      <c r="W1082" s="132"/>
      <c r="X1082" s="132"/>
      <c r="Y1082" s="132"/>
      <c r="Z1082" s="132"/>
      <c r="AA1082" s="132"/>
      <c r="AB1082" s="132"/>
      <c r="AC1082" s="132"/>
    </row>
    <row r="1083">
      <c r="A1083" s="132"/>
      <c r="B1083" s="132"/>
      <c r="C1083" s="132"/>
      <c r="D1083" s="132"/>
      <c r="E1083" s="132"/>
      <c r="F1083" s="132"/>
      <c r="G1083" s="132"/>
      <c r="H1083" s="372"/>
      <c r="I1083" s="372"/>
      <c r="J1083" s="372"/>
      <c r="K1083" s="2"/>
      <c r="L1083" s="132"/>
      <c r="M1083" s="132"/>
      <c r="N1083" s="132"/>
      <c r="O1083" s="132"/>
      <c r="P1083" s="132"/>
      <c r="Q1083" s="132"/>
      <c r="R1083" s="132"/>
      <c r="S1083" s="132"/>
      <c r="T1083" s="132"/>
      <c r="U1083" s="132"/>
      <c r="V1083" s="132"/>
      <c r="W1083" s="132"/>
      <c r="X1083" s="132"/>
      <c r="Y1083" s="132"/>
      <c r="Z1083" s="132"/>
      <c r="AA1083" s="132"/>
      <c r="AB1083" s="132"/>
      <c r="AC1083" s="132"/>
    </row>
    <row r="1084">
      <c r="A1084" s="132"/>
      <c r="B1084" s="132"/>
      <c r="C1084" s="132"/>
      <c r="D1084" s="132"/>
      <c r="E1084" s="132"/>
      <c r="F1084" s="132"/>
      <c r="G1084" s="132"/>
      <c r="H1084" s="372"/>
      <c r="I1084" s="372"/>
      <c r="J1084" s="372"/>
      <c r="K1084" s="2"/>
      <c r="L1084" s="132"/>
      <c r="M1084" s="132"/>
      <c r="N1084" s="132"/>
      <c r="O1084" s="132"/>
      <c r="P1084" s="132"/>
      <c r="Q1084" s="132"/>
      <c r="R1084" s="132"/>
      <c r="S1084" s="132"/>
      <c r="T1084" s="132"/>
      <c r="U1084" s="132"/>
      <c r="V1084" s="132"/>
      <c r="W1084" s="132"/>
      <c r="X1084" s="132"/>
      <c r="Y1084" s="132"/>
      <c r="Z1084" s="132"/>
      <c r="AA1084" s="132"/>
      <c r="AB1084" s="132"/>
      <c r="AC1084" s="132"/>
    </row>
    <row r="1085">
      <c r="A1085" s="132"/>
      <c r="B1085" s="132"/>
      <c r="C1085" s="132"/>
      <c r="D1085" s="132"/>
      <c r="E1085" s="132"/>
      <c r="F1085" s="132"/>
      <c r="G1085" s="132"/>
      <c r="H1085" s="372"/>
      <c r="I1085" s="372"/>
      <c r="J1085" s="372"/>
      <c r="K1085" s="2"/>
      <c r="L1085" s="132"/>
      <c r="M1085" s="132"/>
      <c r="N1085" s="132"/>
      <c r="O1085" s="132"/>
      <c r="P1085" s="132"/>
      <c r="Q1085" s="132"/>
      <c r="R1085" s="132"/>
      <c r="S1085" s="132"/>
      <c r="T1085" s="132"/>
      <c r="U1085" s="132"/>
      <c r="V1085" s="132"/>
      <c r="W1085" s="132"/>
      <c r="X1085" s="132"/>
      <c r="Y1085" s="132"/>
      <c r="Z1085" s="132"/>
      <c r="AA1085" s="132"/>
      <c r="AB1085" s="132"/>
      <c r="AC1085" s="132"/>
    </row>
    <row r="1086">
      <c r="A1086" s="132"/>
      <c r="B1086" s="132"/>
      <c r="C1086" s="132"/>
      <c r="D1086" s="132"/>
      <c r="E1086" s="132"/>
      <c r="F1086" s="132"/>
      <c r="G1086" s="132"/>
      <c r="H1086" s="372"/>
      <c r="I1086" s="372"/>
      <c r="J1086" s="372"/>
      <c r="K1086" s="2"/>
      <c r="L1086" s="132"/>
      <c r="M1086" s="132"/>
      <c r="N1086" s="132"/>
      <c r="O1086" s="132"/>
      <c r="P1086" s="132"/>
      <c r="Q1086" s="132"/>
      <c r="R1086" s="132"/>
      <c r="S1086" s="132"/>
      <c r="T1086" s="132"/>
      <c r="U1086" s="132"/>
      <c r="V1086" s="132"/>
      <c r="W1086" s="132"/>
      <c r="X1086" s="132"/>
      <c r="Y1086" s="132"/>
      <c r="Z1086" s="132"/>
      <c r="AA1086" s="132"/>
      <c r="AB1086" s="132"/>
      <c r="AC1086" s="132"/>
    </row>
    <row r="1087">
      <c r="A1087" s="132"/>
      <c r="B1087" s="132"/>
      <c r="C1087" s="132"/>
      <c r="D1087" s="132"/>
      <c r="E1087" s="132"/>
      <c r="F1087" s="132"/>
      <c r="G1087" s="132"/>
      <c r="H1087" s="372"/>
      <c r="I1087" s="372"/>
      <c r="J1087" s="372"/>
      <c r="K1087" s="2"/>
      <c r="L1087" s="132"/>
      <c r="M1087" s="132"/>
      <c r="N1087" s="132"/>
      <c r="O1087" s="132"/>
      <c r="P1087" s="132"/>
      <c r="Q1087" s="132"/>
      <c r="R1087" s="132"/>
      <c r="S1087" s="132"/>
      <c r="T1087" s="132"/>
      <c r="U1087" s="132"/>
      <c r="V1087" s="132"/>
      <c r="W1087" s="132"/>
      <c r="X1087" s="132"/>
      <c r="Y1087" s="132"/>
      <c r="Z1087" s="132"/>
      <c r="AA1087" s="132"/>
      <c r="AB1087" s="132"/>
      <c r="AC1087" s="132"/>
    </row>
    <row r="1088">
      <c r="A1088" s="132"/>
      <c r="B1088" s="132"/>
      <c r="C1088" s="132"/>
      <c r="D1088" s="132"/>
      <c r="E1088" s="132"/>
      <c r="F1088" s="132"/>
      <c r="G1088" s="132"/>
      <c r="H1088" s="372"/>
      <c r="I1088" s="372"/>
      <c r="J1088" s="372"/>
      <c r="K1088" s="2"/>
      <c r="L1088" s="132"/>
      <c r="M1088" s="132"/>
      <c r="N1088" s="132"/>
      <c r="O1088" s="132"/>
      <c r="P1088" s="132"/>
      <c r="Q1088" s="132"/>
      <c r="R1088" s="132"/>
      <c r="S1088" s="132"/>
      <c r="T1088" s="132"/>
      <c r="U1088" s="132"/>
      <c r="V1088" s="132"/>
      <c r="W1088" s="132"/>
      <c r="X1088" s="132"/>
      <c r="Y1088" s="132"/>
      <c r="Z1088" s="132"/>
      <c r="AA1088" s="132"/>
      <c r="AB1088" s="132"/>
      <c r="AC1088" s="132"/>
    </row>
    <row r="1089">
      <c r="A1089" s="132"/>
      <c r="B1089" s="132"/>
      <c r="C1089" s="132"/>
      <c r="D1089" s="132"/>
      <c r="E1089" s="132"/>
      <c r="F1089" s="132"/>
      <c r="G1089" s="132"/>
      <c r="H1089" s="372"/>
      <c r="I1089" s="372"/>
      <c r="J1089" s="372"/>
      <c r="K1089" s="2"/>
      <c r="L1089" s="132"/>
      <c r="M1089" s="132"/>
      <c r="N1089" s="132"/>
      <c r="O1089" s="132"/>
      <c r="P1089" s="132"/>
      <c r="Q1089" s="132"/>
      <c r="R1089" s="132"/>
      <c r="S1089" s="132"/>
      <c r="T1089" s="132"/>
      <c r="U1089" s="132"/>
      <c r="V1089" s="132"/>
      <c r="W1089" s="132"/>
      <c r="X1089" s="132"/>
      <c r="Y1089" s="132"/>
      <c r="Z1089" s="132"/>
      <c r="AA1089" s="132"/>
      <c r="AB1089" s="132"/>
      <c r="AC1089" s="132"/>
    </row>
    <row r="1090">
      <c r="A1090" s="132"/>
      <c r="B1090" s="132"/>
      <c r="C1090" s="132"/>
      <c r="D1090" s="132"/>
      <c r="E1090" s="132"/>
      <c r="F1090" s="132"/>
      <c r="G1090" s="132"/>
      <c r="H1090" s="372"/>
      <c r="I1090" s="372"/>
      <c r="J1090" s="372"/>
      <c r="K1090" s="2"/>
      <c r="L1090" s="132"/>
      <c r="M1090" s="132"/>
      <c r="N1090" s="132"/>
      <c r="O1090" s="132"/>
      <c r="P1090" s="132"/>
      <c r="Q1090" s="132"/>
      <c r="R1090" s="132"/>
      <c r="S1090" s="132"/>
      <c r="T1090" s="132"/>
      <c r="U1090" s="132"/>
      <c r="V1090" s="132"/>
      <c r="W1090" s="132"/>
      <c r="X1090" s="132"/>
      <c r="Y1090" s="132"/>
      <c r="Z1090" s="132"/>
      <c r="AA1090" s="132"/>
      <c r="AB1090" s="132"/>
      <c r="AC1090" s="132"/>
    </row>
    <row r="1091">
      <c r="A1091" s="132"/>
      <c r="B1091" s="132"/>
      <c r="C1091" s="132"/>
      <c r="D1091" s="132"/>
      <c r="E1091" s="132"/>
      <c r="F1091" s="132"/>
      <c r="G1091" s="132"/>
      <c r="H1091" s="372"/>
      <c r="I1091" s="372"/>
      <c r="J1091" s="372"/>
      <c r="K1091" s="2"/>
      <c r="L1091" s="132"/>
      <c r="M1091" s="132"/>
      <c r="N1091" s="132"/>
      <c r="O1091" s="132"/>
      <c r="P1091" s="132"/>
      <c r="Q1091" s="132"/>
      <c r="R1091" s="132"/>
      <c r="S1091" s="132"/>
      <c r="T1091" s="132"/>
      <c r="U1091" s="132"/>
      <c r="V1091" s="132"/>
      <c r="W1091" s="132"/>
      <c r="X1091" s="132"/>
      <c r="Y1091" s="132"/>
      <c r="Z1091" s="132"/>
      <c r="AA1091" s="132"/>
      <c r="AB1091" s="132"/>
      <c r="AC1091" s="132"/>
    </row>
    <row r="1092">
      <c r="A1092" s="132"/>
      <c r="B1092" s="132"/>
      <c r="C1092" s="132"/>
      <c r="D1092" s="132"/>
      <c r="E1092" s="132"/>
      <c r="F1092" s="132"/>
      <c r="G1092" s="132"/>
      <c r="H1092" s="372"/>
      <c r="I1092" s="372"/>
      <c r="J1092" s="372"/>
      <c r="K1092" s="2"/>
      <c r="L1092" s="132"/>
      <c r="M1092" s="132"/>
      <c r="N1092" s="132"/>
      <c r="O1092" s="132"/>
      <c r="P1092" s="132"/>
      <c r="Q1092" s="132"/>
      <c r="R1092" s="132"/>
      <c r="S1092" s="132"/>
      <c r="T1092" s="132"/>
      <c r="U1092" s="132"/>
      <c r="V1092" s="132"/>
      <c r="W1092" s="132"/>
      <c r="X1092" s="132"/>
      <c r="Y1092" s="132"/>
      <c r="Z1092" s="132"/>
      <c r="AA1092" s="132"/>
      <c r="AB1092" s="132"/>
      <c r="AC1092" s="132"/>
    </row>
    <row r="1093">
      <c r="A1093" s="132"/>
      <c r="B1093" s="132"/>
      <c r="C1093" s="132"/>
      <c r="D1093" s="132"/>
      <c r="E1093" s="132"/>
      <c r="F1093" s="132"/>
      <c r="G1093" s="132"/>
      <c r="H1093" s="372"/>
      <c r="I1093" s="372"/>
      <c r="J1093" s="372"/>
      <c r="K1093" s="2"/>
      <c r="L1093" s="132"/>
      <c r="M1093" s="132"/>
      <c r="N1093" s="132"/>
      <c r="O1093" s="132"/>
      <c r="P1093" s="132"/>
      <c r="Q1093" s="132"/>
      <c r="R1093" s="132"/>
      <c r="S1093" s="132"/>
      <c r="T1093" s="132"/>
      <c r="U1093" s="132"/>
      <c r="V1093" s="132"/>
      <c r="W1093" s="132"/>
      <c r="X1093" s="132"/>
      <c r="Y1093" s="132"/>
      <c r="Z1093" s="132"/>
      <c r="AA1093" s="132"/>
      <c r="AB1093" s="132"/>
      <c r="AC1093" s="132"/>
    </row>
    <row r="1094">
      <c r="A1094" s="132"/>
      <c r="B1094" s="132"/>
      <c r="C1094" s="132"/>
      <c r="D1094" s="132"/>
      <c r="E1094" s="132"/>
      <c r="F1094" s="132"/>
      <c r="G1094" s="132"/>
      <c r="H1094" s="372"/>
      <c r="I1094" s="372"/>
      <c r="J1094" s="372"/>
      <c r="K1094" s="2"/>
      <c r="L1094" s="132"/>
      <c r="M1094" s="132"/>
      <c r="N1094" s="132"/>
      <c r="O1094" s="132"/>
      <c r="P1094" s="132"/>
      <c r="Q1094" s="132"/>
      <c r="R1094" s="132"/>
      <c r="S1094" s="132"/>
      <c r="T1094" s="132"/>
      <c r="U1094" s="132"/>
      <c r="V1094" s="132"/>
      <c r="W1094" s="132"/>
      <c r="X1094" s="132"/>
      <c r="Y1094" s="132"/>
      <c r="Z1094" s="132"/>
      <c r="AA1094" s="132"/>
      <c r="AB1094" s="132"/>
      <c r="AC1094" s="1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3.63"/>
    <col customWidth="1" hidden="1" min="3" max="3" width="65.25"/>
    <col customWidth="1" hidden="1" min="4" max="4" width="25.13"/>
    <col customWidth="1" min="5" max="5" width="50.13"/>
    <col customWidth="1" hidden="1" min="6" max="6" width="50.13"/>
    <col customWidth="1" min="7" max="7" width="50.13"/>
    <col customWidth="1" hidden="1" min="8" max="8" width="50.13"/>
    <col customWidth="1" min="9" max="9" width="50.13"/>
  </cols>
  <sheetData>
    <row r="1">
      <c r="A1" s="421" t="s">
        <v>1190</v>
      </c>
      <c r="B1" s="421" t="s">
        <v>1191</v>
      </c>
      <c r="C1" s="421" t="s">
        <v>1192</v>
      </c>
      <c r="D1" s="421" t="s">
        <v>1193</v>
      </c>
      <c r="E1" s="421" t="s">
        <v>1194</v>
      </c>
      <c r="F1" s="421" t="s">
        <v>1195</v>
      </c>
      <c r="G1" s="421" t="s">
        <v>1196</v>
      </c>
      <c r="H1" s="421" t="s">
        <v>1197</v>
      </c>
      <c r="I1" s="421" t="s">
        <v>1198</v>
      </c>
    </row>
    <row r="2">
      <c r="A2" s="422" t="s">
        <v>1199</v>
      </c>
      <c r="B2" s="422" t="s">
        <v>1200</v>
      </c>
      <c r="C2" s="422" t="s">
        <v>1201</v>
      </c>
      <c r="D2" s="422" t="s">
        <v>1202</v>
      </c>
      <c r="E2" s="17" t="s">
        <v>1203</v>
      </c>
      <c r="F2" s="422" t="s">
        <v>1204</v>
      </c>
      <c r="G2" s="422" t="str">
        <f>"+20 Opinion with a Tribe"</f>
        <v>+20 Opinion with a Tribe</v>
      </c>
      <c r="H2" s="422"/>
      <c r="I2" s="422"/>
    </row>
    <row r="3">
      <c r="A3" s="422" t="s">
        <v>1199</v>
      </c>
      <c r="B3" s="422" t="s">
        <v>1205</v>
      </c>
      <c r="C3" s="422" t="s">
        <v>1206</v>
      </c>
      <c r="D3" s="422" t="s">
        <v>1207</v>
      </c>
      <c r="E3" s="423" t="s">
        <v>1208</v>
      </c>
      <c r="F3" s="422" t="s">
        <v>1209</v>
      </c>
      <c r="G3" s="422" t="s">
        <v>1210</v>
      </c>
      <c r="H3" s="422"/>
      <c r="I3" s="422"/>
    </row>
    <row r="4">
      <c r="A4" s="422" t="s">
        <v>1211</v>
      </c>
      <c r="B4" s="422" t="s">
        <v>1212</v>
      </c>
      <c r="C4" s="422" t="s">
        <v>1213</v>
      </c>
      <c r="D4" s="422" t="s">
        <v>1214</v>
      </c>
      <c r="E4" s="424" t="s">
        <v>1215</v>
      </c>
      <c r="F4" s="422" t="s">
        <v>1216</v>
      </c>
      <c r="G4" s="423" t="s">
        <v>1203</v>
      </c>
      <c r="H4" s="422"/>
      <c r="I4" s="422"/>
    </row>
    <row r="5">
      <c r="A5" s="422" t="s">
        <v>1211</v>
      </c>
      <c r="B5" s="422" t="s">
        <v>1217</v>
      </c>
      <c r="C5" s="422" t="s">
        <v>1218</v>
      </c>
      <c r="D5" s="422" t="s">
        <v>1219</v>
      </c>
      <c r="E5" s="423" t="s">
        <v>1220</v>
      </c>
      <c r="F5" s="422"/>
      <c r="G5" s="422"/>
      <c r="H5" s="422"/>
      <c r="I5" s="422"/>
    </row>
    <row r="6">
      <c r="A6" s="422" t="s">
        <v>1221</v>
      </c>
      <c r="B6" s="422" t="s">
        <v>1222</v>
      </c>
      <c r="C6" s="422" t="s">
        <v>1223</v>
      </c>
      <c r="D6" s="422" t="s">
        <v>1224</v>
      </c>
      <c r="E6" s="424" t="s">
        <v>1225</v>
      </c>
      <c r="F6" s="422" t="s">
        <v>1226</v>
      </c>
      <c r="G6" s="423" t="s">
        <v>1203</v>
      </c>
      <c r="H6" s="422"/>
      <c r="I6" s="422"/>
    </row>
    <row r="7">
      <c r="A7" s="422" t="s">
        <v>1221</v>
      </c>
      <c r="B7" s="422" t="s">
        <v>1227</v>
      </c>
      <c r="C7" s="422" t="s">
        <v>1228</v>
      </c>
      <c r="D7" s="422" t="s">
        <v>1229</v>
      </c>
      <c r="E7" s="422" t="s">
        <v>1230</v>
      </c>
      <c r="F7" s="422" t="s">
        <v>1229</v>
      </c>
      <c r="G7" s="422" t="s">
        <v>1231</v>
      </c>
      <c r="H7" s="422"/>
      <c r="I7" s="422"/>
    </row>
    <row r="8">
      <c r="A8" s="422" t="s">
        <v>1221</v>
      </c>
      <c r="B8" s="422" t="s">
        <v>1232</v>
      </c>
      <c r="C8" s="422" t="s">
        <v>1233</v>
      </c>
      <c r="D8" s="422" t="s">
        <v>1234</v>
      </c>
      <c r="E8" s="425" t="s">
        <v>1235</v>
      </c>
      <c r="F8" s="422" t="s">
        <v>1236</v>
      </c>
      <c r="G8" s="422" t="s">
        <v>1237</v>
      </c>
      <c r="H8" s="422"/>
      <c r="I8" s="422"/>
    </row>
    <row r="9">
      <c r="A9" s="422" t="s">
        <v>1238</v>
      </c>
      <c r="B9" s="422" t="s">
        <v>1239</v>
      </c>
      <c r="C9" s="422" t="s">
        <v>1240</v>
      </c>
      <c r="D9" s="422" t="s">
        <v>1241</v>
      </c>
      <c r="E9" s="426" t="s">
        <v>1242</v>
      </c>
      <c r="F9" s="422" t="s">
        <v>1243</v>
      </c>
      <c r="G9" s="422" t="s">
        <v>1244</v>
      </c>
      <c r="H9" s="422" t="s">
        <v>1245</v>
      </c>
      <c r="I9" s="427" t="s">
        <v>1246</v>
      </c>
    </row>
    <row r="10">
      <c r="A10" s="422" t="s">
        <v>1238</v>
      </c>
      <c r="B10" s="422" t="s">
        <v>1247</v>
      </c>
      <c r="C10" s="422" t="s">
        <v>1248</v>
      </c>
      <c r="D10" s="422" t="s">
        <v>1249</v>
      </c>
      <c r="E10" s="422" t="s">
        <v>1250</v>
      </c>
      <c r="F10" s="422" t="s">
        <v>1251</v>
      </c>
      <c r="G10" s="422" t="s">
        <v>1252</v>
      </c>
      <c r="H10" s="422" t="s">
        <v>1253</v>
      </c>
      <c r="I10" s="426" t="s">
        <v>1254</v>
      </c>
    </row>
    <row r="11">
      <c r="A11" s="422" t="s">
        <v>1255</v>
      </c>
      <c r="B11" s="422" t="s">
        <v>1256</v>
      </c>
      <c r="C11" s="422" t="s">
        <v>1257</v>
      </c>
      <c r="D11" s="422" t="s">
        <v>1258</v>
      </c>
      <c r="E11" s="426" t="s">
        <v>1259</v>
      </c>
      <c r="F11" s="422" t="s">
        <v>1260</v>
      </c>
      <c r="G11" s="422" t="s">
        <v>1261</v>
      </c>
      <c r="H11" s="422"/>
      <c r="I11" s="422"/>
    </row>
    <row r="12">
      <c r="A12" s="422" t="s">
        <v>1255</v>
      </c>
      <c r="B12" s="422" t="s">
        <v>1262</v>
      </c>
      <c r="C12" s="422" t="s">
        <v>1263</v>
      </c>
      <c r="D12" s="422" t="s">
        <v>1264</v>
      </c>
      <c r="E12" s="23" t="s">
        <v>1265</v>
      </c>
      <c r="F12" s="422" t="s">
        <v>1266</v>
      </c>
      <c r="G12" s="422" t="s">
        <v>1267</v>
      </c>
      <c r="H12" s="422"/>
      <c r="I12" s="422"/>
    </row>
    <row r="13">
      <c r="A13" s="422" t="s">
        <v>1255</v>
      </c>
      <c r="B13" s="422" t="s">
        <v>1268</v>
      </c>
      <c r="C13" s="422" t="s">
        <v>1269</v>
      </c>
      <c r="D13" s="422" t="s">
        <v>1270</v>
      </c>
      <c r="E13" s="422" t="s">
        <v>1271</v>
      </c>
      <c r="F13" s="422" t="s">
        <v>1272</v>
      </c>
      <c r="G13" s="427" t="s">
        <v>1273</v>
      </c>
      <c r="H13" s="422" t="s">
        <v>1274</v>
      </c>
      <c r="I13" s="426" t="s">
        <v>1275</v>
      </c>
    </row>
    <row r="14">
      <c r="A14" s="422" t="s">
        <v>1276</v>
      </c>
      <c r="B14" s="422" t="s">
        <v>1277</v>
      </c>
      <c r="C14" s="422" t="s">
        <v>1278</v>
      </c>
      <c r="D14" s="422" t="s">
        <v>1279</v>
      </c>
      <c r="E14" s="422" t="s">
        <v>1280</v>
      </c>
      <c r="F14" s="422" t="s">
        <v>1281</v>
      </c>
      <c r="G14" s="422" t="s">
        <v>1282</v>
      </c>
      <c r="H14" s="422" t="s">
        <v>1283</v>
      </c>
      <c r="I14" s="422" t="s">
        <v>1284</v>
      </c>
    </row>
    <row r="15">
      <c r="A15" s="422" t="s">
        <v>1276</v>
      </c>
      <c r="B15" s="422" t="s">
        <v>1285</v>
      </c>
      <c r="C15" s="422" t="s">
        <v>1286</v>
      </c>
      <c r="D15" s="422" t="s">
        <v>1287</v>
      </c>
      <c r="E15" s="427" t="s">
        <v>1273</v>
      </c>
      <c r="F15" s="422" t="s">
        <v>1288</v>
      </c>
      <c r="G15" s="422" t="s">
        <v>1289</v>
      </c>
      <c r="H15" s="422"/>
      <c r="I15" s="422"/>
    </row>
    <row r="16">
      <c r="A16" s="422" t="s">
        <v>1290</v>
      </c>
      <c r="B16" s="422" t="s">
        <v>1291</v>
      </c>
      <c r="C16" s="422" t="s">
        <v>1292</v>
      </c>
      <c r="D16" s="422" t="s">
        <v>1293</v>
      </c>
      <c r="E16" s="425" t="s">
        <v>1294</v>
      </c>
      <c r="F16" s="422" t="s">
        <v>1295</v>
      </c>
      <c r="G16" s="422" t="s">
        <v>1296</v>
      </c>
      <c r="H16" s="422"/>
      <c r="I16" s="422"/>
    </row>
    <row r="17">
      <c r="A17" s="422" t="s">
        <v>1290</v>
      </c>
      <c r="B17" s="422" t="s">
        <v>1297</v>
      </c>
      <c r="C17" s="422" t="s">
        <v>1298</v>
      </c>
      <c r="D17" s="422" t="s">
        <v>1299</v>
      </c>
      <c r="E17" s="422" t="s">
        <v>1300</v>
      </c>
      <c r="F17" s="422" t="s">
        <v>1301</v>
      </c>
      <c r="G17" s="422" t="s">
        <v>1302</v>
      </c>
      <c r="H17" s="422"/>
      <c r="I17" s="422"/>
    </row>
    <row r="18">
      <c r="A18" s="422" t="s">
        <v>1303</v>
      </c>
      <c r="B18" s="422" t="s">
        <v>1304</v>
      </c>
      <c r="C18" s="422" t="s">
        <v>1305</v>
      </c>
      <c r="D18" s="422" t="s">
        <v>1306</v>
      </c>
      <c r="E18" s="422" t="s">
        <v>1307</v>
      </c>
      <c r="F18" s="422" t="s">
        <v>1308</v>
      </c>
      <c r="G18" s="422" t="s">
        <v>1309</v>
      </c>
      <c r="H18" s="422"/>
      <c r="I18" s="422"/>
    </row>
    <row r="19">
      <c r="A19" s="422" t="s">
        <v>1303</v>
      </c>
      <c r="B19" s="422" t="s">
        <v>1310</v>
      </c>
      <c r="C19" s="422" t="s">
        <v>1311</v>
      </c>
      <c r="D19" s="422" t="s">
        <v>1312</v>
      </c>
      <c r="E19" s="422" t="s">
        <v>1313</v>
      </c>
      <c r="F19" s="422" t="s">
        <v>1314</v>
      </c>
      <c r="G19" s="422" t="s">
        <v>1315</v>
      </c>
      <c r="H19" s="422"/>
      <c r="I19" s="422"/>
    </row>
    <row r="20">
      <c r="A20" s="422" t="s">
        <v>1303</v>
      </c>
      <c r="B20" s="422" t="s">
        <v>1316</v>
      </c>
      <c r="C20" s="422" t="s">
        <v>1317</v>
      </c>
      <c r="D20" s="422" t="s">
        <v>1318</v>
      </c>
      <c r="E20" s="427" t="s">
        <v>1246</v>
      </c>
      <c r="F20" s="422" t="s">
        <v>1319</v>
      </c>
      <c r="G20" s="422" t="s">
        <v>1320</v>
      </c>
      <c r="H20" s="422"/>
      <c r="I20" s="422"/>
    </row>
    <row r="21">
      <c r="A21" s="422" t="s">
        <v>1321</v>
      </c>
      <c r="B21" s="422" t="s">
        <v>1322</v>
      </c>
      <c r="C21" s="422" t="s">
        <v>1323</v>
      </c>
      <c r="D21" s="422" t="s">
        <v>1324</v>
      </c>
      <c r="E21" s="425" t="s">
        <v>1235</v>
      </c>
      <c r="F21" s="422" t="s">
        <v>1325</v>
      </c>
      <c r="G21" s="422" t="s">
        <v>1326</v>
      </c>
      <c r="H21" s="422"/>
      <c r="I21" s="422"/>
    </row>
    <row r="22">
      <c r="A22" s="422" t="s">
        <v>1321</v>
      </c>
      <c r="B22" s="422" t="s">
        <v>1327</v>
      </c>
      <c r="C22" s="422" t="s">
        <v>1328</v>
      </c>
      <c r="D22" s="422" t="s">
        <v>1329</v>
      </c>
      <c r="E22" s="422" t="s">
        <v>1330</v>
      </c>
      <c r="F22" s="422" t="s">
        <v>1331</v>
      </c>
      <c r="G22" s="422" t="s">
        <v>1332</v>
      </c>
      <c r="H22" s="422"/>
      <c r="I22" s="422"/>
    </row>
    <row r="23">
      <c r="A23" s="422" t="s">
        <v>1333</v>
      </c>
      <c r="B23" s="422" t="s">
        <v>1334</v>
      </c>
      <c r="C23" s="422" t="s">
        <v>1335</v>
      </c>
      <c r="D23" s="422" t="s">
        <v>1336</v>
      </c>
      <c r="E23" s="422" t="s">
        <v>1337</v>
      </c>
      <c r="F23" s="422" t="s">
        <v>1338</v>
      </c>
      <c r="G23" s="422" t="s">
        <v>1339</v>
      </c>
      <c r="H23" s="422" t="s">
        <v>1340</v>
      </c>
      <c r="I23" s="427" t="s">
        <v>1341</v>
      </c>
    </row>
    <row r="24">
      <c r="A24" s="422" t="s">
        <v>1333</v>
      </c>
      <c r="B24" s="422" t="s">
        <v>1342</v>
      </c>
      <c r="C24" s="422" t="s">
        <v>1343</v>
      </c>
      <c r="D24" s="422" t="s">
        <v>1344</v>
      </c>
      <c r="E24" s="423" t="s">
        <v>1345</v>
      </c>
      <c r="F24" s="422" t="s">
        <v>1346</v>
      </c>
      <c r="G24" s="422" t="s">
        <v>1347</v>
      </c>
      <c r="H24" s="422"/>
      <c r="I24" s="422"/>
    </row>
    <row r="25">
      <c r="A25" s="422" t="s">
        <v>1348</v>
      </c>
      <c r="B25" s="422" t="s">
        <v>1349</v>
      </c>
      <c r="C25" s="422" t="s">
        <v>1350</v>
      </c>
      <c r="D25" s="422" t="s">
        <v>1351</v>
      </c>
      <c r="E25" s="422" t="s">
        <v>1352</v>
      </c>
      <c r="F25" s="422" t="s">
        <v>1353</v>
      </c>
      <c r="G25" s="428" t="s">
        <v>1354</v>
      </c>
      <c r="H25" s="422"/>
      <c r="I25" s="422"/>
    </row>
    <row r="26">
      <c r="A26" s="422" t="s">
        <v>1348</v>
      </c>
      <c r="B26" s="422" t="s">
        <v>1355</v>
      </c>
      <c r="C26" s="422" t="s">
        <v>1356</v>
      </c>
      <c r="D26" s="422" t="s">
        <v>1357</v>
      </c>
      <c r="E26" s="422" t="s">
        <v>1358</v>
      </c>
      <c r="F26" s="422" t="s">
        <v>1359</v>
      </c>
      <c r="G26" s="424" t="s">
        <v>1225</v>
      </c>
      <c r="H26" s="422"/>
      <c r="I26" s="422"/>
    </row>
    <row r="27">
      <c r="A27" s="422" t="s">
        <v>1360</v>
      </c>
      <c r="B27" s="422" t="s">
        <v>1361</v>
      </c>
      <c r="C27" s="422" t="s">
        <v>1362</v>
      </c>
      <c r="D27" s="422" t="s">
        <v>1363</v>
      </c>
      <c r="E27" s="429" t="s">
        <v>1364</v>
      </c>
      <c r="F27" s="422" t="s">
        <v>1365</v>
      </c>
      <c r="G27" s="422" t="s">
        <v>1366</v>
      </c>
      <c r="H27" s="422"/>
      <c r="I27" s="422"/>
    </row>
    <row r="28">
      <c r="A28" s="422" t="s">
        <v>1360</v>
      </c>
      <c r="B28" s="422" t="s">
        <v>1367</v>
      </c>
      <c r="C28" s="422" t="s">
        <v>1368</v>
      </c>
      <c r="D28" s="422" t="s">
        <v>1369</v>
      </c>
      <c r="E28" s="424" t="s">
        <v>1370</v>
      </c>
      <c r="F28" s="422" t="s">
        <v>1371</v>
      </c>
      <c r="G28" s="423" t="s">
        <v>1372</v>
      </c>
      <c r="H28" s="422" t="s">
        <v>1373</v>
      </c>
      <c r="I28" s="422" t="s">
        <v>1374</v>
      </c>
    </row>
    <row r="29">
      <c r="A29" s="422" t="s">
        <v>1375</v>
      </c>
      <c r="B29" s="422" t="s">
        <v>1376</v>
      </c>
      <c r="C29" s="422" t="s">
        <v>1377</v>
      </c>
      <c r="D29" s="422" t="s">
        <v>1378</v>
      </c>
      <c r="E29" s="422" t="s">
        <v>1379</v>
      </c>
      <c r="F29" s="422" t="s">
        <v>1380</v>
      </c>
      <c r="G29" s="428" t="s">
        <v>1354</v>
      </c>
      <c r="H29" s="422"/>
      <c r="I29" s="422"/>
    </row>
    <row r="30">
      <c r="A30" s="422" t="s">
        <v>1375</v>
      </c>
      <c r="B30" s="422" t="s">
        <v>1381</v>
      </c>
      <c r="C30" s="422" t="s">
        <v>1382</v>
      </c>
      <c r="D30" s="422" t="s">
        <v>1383</v>
      </c>
      <c r="E30" s="428" t="s">
        <v>1384</v>
      </c>
      <c r="F30" s="422" t="s">
        <v>1385</v>
      </c>
      <c r="G30" s="422" t="s">
        <v>1386</v>
      </c>
      <c r="H30" s="422"/>
      <c r="I30" s="422"/>
    </row>
    <row r="31">
      <c r="A31" s="422" t="s">
        <v>1387</v>
      </c>
      <c r="B31" s="422" t="s">
        <v>1388</v>
      </c>
      <c r="C31" s="422" t="s">
        <v>1389</v>
      </c>
      <c r="D31" s="422" t="s">
        <v>1390</v>
      </c>
      <c r="E31" s="428" t="s">
        <v>1384</v>
      </c>
      <c r="F31" s="422" t="s">
        <v>1391</v>
      </c>
      <c r="G31" s="422" t="s">
        <v>1392</v>
      </c>
      <c r="H31" s="422"/>
      <c r="I31" s="422"/>
    </row>
    <row r="32">
      <c r="A32" s="422" t="s">
        <v>1387</v>
      </c>
      <c r="B32" s="422" t="s">
        <v>1393</v>
      </c>
      <c r="C32" s="422" t="s">
        <v>1394</v>
      </c>
      <c r="D32" s="422" t="s">
        <v>1395</v>
      </c>
      <c r="E32" s="422" t="s">
        <v>1396</v>
      </c>
      <c r="F32" s="422" t="s">
        <v>1397</v>
      </c>
      <c r="G32" s="422" t="s">
        <v>1398</v>
      </c>
      <c r="H32" s="422" t="s">
        <v>1399</v>
      </c>
      <c r="I32" s="425" t="s">
        <v>1400</v>
      </c>
    </row>
    <row r="33">
      <c r="A33" s="422" t="s">
        <v>1401</v>
      </c>
      <c r="B33" s="422" t="s">
        <v>1402</v>
      </c>
      <c r="C33" s="422" t="s">
        <v>1403</v>
      </c>
      <c r="D33" s="422" t="s">
        <v>1404</v>
      </c>
      <c r="E33" s="424" t="s">
        <v>1215</v>
      </c>
      <c r="F33" s="422" t="s">
        <v>1405</v>
      </c>
      <c r="G33" s="427" t="s">
        <v>1406</v>
      </c>
      <c r="H33" s="422" t="s">
        <v>1407</v>
      </c>
      <c r="I33" s="428" t="s">
        <v>1354</v>
      </c>
    </row>
    <row r="34">
      <c r="A34" s="422" t="s">
        <v>1401</v>
      </c>
      <c r="B34" s="422" t="s">
        <v>1408</v>
      </c>
      <c r="C34" s="422" t="s">
        <v>1409</v>
      </c>
      <c r="D34" s="422" t="s">
        <v>1410</v>
      </c>
      <c r="E34" s="422" t="s">
        <v>1411</v>
      </c>
      <c r="F34" s="422" t="s">
        <v>1410</v>
      </c>
      <c r="G34" s="422" t="s">
        <v>1412</v>
      </c>
      <c r="H34" s="422" t="s">
        <v>1413</v>
      </c>
      <c r="I34" s="422" t="s">
        <v>1414</v>
      </c>
    </row>
    <row r="35">
      <c r="A35" s="422" t="s">
        <v>1415</v>
      </c>
      <c r="B35" s="422" t="s">
        <v>1416</v>
      </c>
      <c r="C35" s="422" t="s">
        <v>1417</v>
      </c>
      <c r="D35" s="422" t="s">
        <v>1418</v>
      </c>
      <c r="E35" s="427" t="s">
        <v>1273</v>
      </c>
      <c r="F35" s="422" t="s">
        <v>1419</v>
      </c>
      <c r="G35" s="422" t="s">
        <v>1420</v>
      </c>
      <c r="H35" s="422"/>
      <c r="I35" s="422"/>
    </row>
    <row r="36">
      <c r="A36" s="422" t="s">
        <v>1415</v>
      </c>
      <c r="B36" s="422" t="s">
        <v>1421</v>
      </c>
      <c r="C36" s="422" t="s">
        <v>1422</v>
      </c>
      <c r="D36" s="422" t="s">
        <v>1423</v>
      </c>
      <c r="E36" s="424" t="s">
        <v>1225</v>
      </c>
      <c r="F36" s="427" t="s">
        <v>8</v>
      </c>
      <c r="G36" s="427" t="s">
        <v>1273</v>
      </c>
      <c r="H36" s="422"/>
      <c r="I36" s="422"/>
    </row>
    <row r="37">
      <c r="A37" s="422" t="s">
        <v>1424</v>
      </c>
      <c r="B37" s="422" t="s">
        <v>1425</v>
      </c>
      <c r="C37" s="422" t="s">
        <v>1426</v>
      </c>
      <c r="D37" s="422" t="s">
        <v>1427</v>
      </c>
      <c r="E37" s="425" t="s">
        <v>1428</v>
      </c>
      <c r="F37" s="422" t="s">
        <v>1427</v>
      </c>
      <c r="G37" s="425" t="s">
        <v>1429</v>
      </c>
      <c r="H37" s="422" t="s">
        <v>1430</v>
      </c>
      <c r="I37" s="422" t="s">
        <v>1431</v>
      </c>
    </row>
    <row r="38">
      <c r="A38" s="422" t="s">
        <v>1424</v>
      </c>
      <c r="B38" s="422" t="s">
        <v>1432</v>
      </c>
      <c r="C38" s="422" t="s">
        <v>1433</v>
      </c>
      <c r="D38" s="422" t="s">
        <v>1434</v>
      </c>
      <c r="E38" s="426" t="s">
        <v>1254</v>
      </c>
      <c r="F38" s="422" t="s">
        <v>1435</v>
      </c>
      <c r="G38" s="425" t="s">
        <v>1400</v>
      </c>
      <c r="H38" s="422"/>
      <c r="I38" s="422"/>
    </row>
    <row r="39">
      <c r="A39" s="422" t="s">
        <v>1436</v>
      </c>
      <c r="B39" s="422" t="s">
        <v>1437</v>
      </c>
      <c r="C39" s="422" t="s">
        <v>1438</v>
      </c>
      <c r="D39" s="422" t="s">
        <v>1439</v>
      </c>
      <c r="E39" s="424" t="s">
        <v>1225</v>
      </c>
      <c r="F39" s="422" t="s">
        <v>1440</v>
      </c>
      <c r="G39" s="428" t="s">
        <v>1354</v>
      </c>
      <c r="H39" s="422"/>
      <c r="I39" s="422"/>
    </row>
    <row r="40">
      <c r="A40" s="422" t="s">
        <v>1436</v>
      </c>
      <c r="B40" s="422" t="s">
        <v>1441</v>
      </c>
      <c r="C40" s="422" t="s">
        <v>1442</v>
      </c>
      <c r="D40" s="422" t="s">
        <v>1443</v>
      </c>
      <c r="E40" s="422" t="s">
        <v>1444</v>
      </c>
      <c r="F40" s="422" t="s">
        <v>1445</v>
      </c>
      <c r="G40" s="422" t="s">
        <v>1446</v>
      </c>
      <c r="H40" s="422"/>
      <c r="I40" s="422"/>
    </row>
    <row r="41">
      <c r="A41" s="422" t="s">
        <v>1447</v>
      </c>
      <c r="B41" s="422" t="s">
        <v>1448</v>
      </c>
      <c r="C41" s="422" t="s">
        <v>1449</v>
      </c>
      <c r="D41" s="422" t="s">
        <v>1450</v>
      </c>
      <c r="E41" s="425" t="s">
        <v>1451</v>
      </c>
      <c r="F41" s="422" t="s">
        <v>1452</v>
      </c>
      <c r="G41" s="422" t="s">
        <v>1453</v>
      </c>
      <c r="H41" s="422"/>
      <c r="I41" s="422"/>
    </row>
    <row r="42">
      <c r="A42" s="422" t="s">
        <v>1447</v>
      </c>
      <c r="B42" s="422" t="s">
        <v>1454</v>
      </c>
      <c r="C42" s="422" t="s">
        <v>1455</v>
      </c>
      <c r="D42" s="422" t="s">
        <v>1456</v>
      </c>
      <c r="E42" s="426" t="s">
        <v>1254</v>
      </c>
      <c r="F42" s="422"/>
      <c r="G42" s="422"/>
      <c r="H42" s="422"/>
      <c r="I42" s="422"/>
    </row>
    <row r="43">
      <c r="A43" s="422" t="s">
        <v>1457</v>
      </c>
      <c r="B43" s="422" t="s">
        <v>1458</v>
      </c>
      <c r="C43" s="422" t="s">
        <v>1459</v>
      </c>
      <c r="D43" s="422" t="s">
        <v>1344</v>
      </c>
      <c r="E43" s="423" t="s">
        <v>1345</v>
      </c>
      <c r="F43" s="422" t="s">
        <v>1346</v>
      </c>
      <c r="G43" s="422" t="s">
        <v>1460</v>
      </c>
      <c r="H43" s="422"/>
      <c r="I43" s="422"/>
    </row>
    <row r="44">
      <c r="A44" s="422" t="s">
        <v>1457</v>
      </c>
      <c r="B44" s="422" t="s">
        <v>1461</v>
      </c>
      <c r="C44" s="422" t="s">
        <v>1462</v>
      </c>
      <c r="D44" s="422" t="s">
        <v>1463</v>
      </c>
      <c r="E44" s="422" t="s">
        <v>1464</v>
      </c>
      <c r="F44" s="422" t="s">
        <v>1465</v>
      </c>
      <c r="G44" s="428" t="s">
        <v>1466</v>
      </c>
      <c r="H44" s="422"/>
      <c r="I44" s="422"/>
    </row>
    <row r="45">
      <c r="A45" s="422" t="s">
        <v>1457</v>
      </c>
      <c r="B45" s="422" t="s">
        <v>1467</v>
      </c>
      <c r="C45" s="422" t="s">
        <v>1468</v>
      </c>
      <c r="D45" s="422" t="s">
        <v>1469</v>
      </c>
      <c r="E45" s="422" t="s">
        <v>1470</v>
      </c>
      <c r="F45" s="422" t="s">
        <v>1471</v>
      </c>
      <c r="G45" s="422" t="s">
        <v>1472</v>
      </c>
      <c r="H45" s="422" t="s">
        <v>1473</v>
      </c>
      <c r="I45" s="422" t="s">
        <v>1474</v>
      </c>
    </row>
    <row r="46">
      <c r="A46" s="422" t="s">
        <v>1475</v>
      </c>
      <c r="B46" s="422" t="s">
        <v>1476</v>
      </c>
      <c r="C46" s="422" t="s">
        <v>1477</v>
      </c>
      <c r="D46" s="422" t="s">
        <v>1478</v>
      </c>
      <c r="E46" s="422" t="s">
        <v>1479</v>
      </c>
      <c r="F46" s="422" t="s">
        <v>1480</v>
      </c>
      <c r="G46" s="422" t="s">
        <v>1481</v>
      </c>
      <c r="H46" s="422"/>
      <c r="I46" s="422"/>
    </row>
    <row r="47">
      <c r="A47" s="422" t="s">
        <v>1475</v>
      </c>
      <c r="B47" s="422" t="s">
        <v>1482</v>
      </c>
      <c r="C47" s="422" t="s">
        <v>1483</v>
      </c>
      <c r="D47" s="422" t="s">
        <v>1484</v>
      </c>
      <c r="E47" s="429" t="s">
        <v>1364</v>
      </c>
      <c r="F47" s="422" t="s">
        <v>1485</v>
      </c>
      <c r="G47" s="422" t="s">
        <v>1486</v>
      </c>
      <c r="H47" s="422"/>
      <c r="I47" s="422"/>
    </row>
    <row r="48">
      <c r="A48" s="422" t="s">
        <v>1487</v>
      </c>
      <c r="B48" s="422" t="s">
        <v>1488</v>
      </c>
      <c r="C48" s="422" t="s">
        <v>1489</v>
      </c>
      <c r="D48" s="422" t="s">
        <v>1490</v>
      </c>
      <c r="E48" s="426" t="s">
        <v>1259</v>
      </c>
      <c r="F48" s="422"/>
      <c r="G48" s="422"/>
      <c r="H48" s="422"/>
      <c r="I48" s="422"/>
    </row>
    <row r="49">
      <c r="A49" s="422" t="s">
        <v>1487</v>
      </c>
      <c r="B49" s="422" t="s">
        <v>1491</v>
      </c>
      <c r="C49" s="422" t="s">
        <v>1492</v>
      </c>
      <c r="D49" s="422" t="s">
        <v>1493</v>
      </c>
      <c r="E49" s="423" t="s">
        <v>1203</v>
      </c>
      <c r="F49" s="422" t="s">
        <v>1494</v>
      </c>
      <c r="G49" s="426" t="s">
        <v>1495</v>
      </c>
      <c r="H49" s="422" t="s">
        <v>1496</v>
      </c>
      <c r="I49" s="423" t="s">
        <v>1220</v>
      </c>
    </row>
    <row r="50">
      <c r="A50" s="422" t="s">
        <v>1497</v>
      </c>
      <c r="B50" s="422" t="s">
        <v>1498</v>
      </c>
      <c r="C50" s="422" t="s">
        <v>1499</v>
      </c>
      <c r="D50" s="422" t="s">
        <v>1500</v>
      </c>
      <c r="E50" s="422" t="s">
        <v>1501</v>
      </c>
      <c r="F50" s="422" t="s">
        <v>1502</v>
      </c>
      <c r="G50" s="428" t="s">
        <v>1354</v>
      </c>
      <c r="H50" s="422" t="s">
        <v>1503</v>
      </c>
      <c r="I50" s="422" t="s">
        <v>1504</v>
      </c>
    </row>
    <row r="51">
      <c r="A51" s="422" t="s">
        <v>1497</v>
      </c>
      <c r="B51" s="422" t="s">
        <v>1505</v>
      </c>
      <c r="C51" s="422" t="s">
        <v>1506</v>
      </c>
      <c r="D51" s="422" t="s">
        <v>1507</v>
      </c>
      <c r="E51" s="422" t="s">
        <v>1508</v>
      </c>
      <c r="F51" s="422" t="s">
        <v>1509</v>
      </c>
      <c r="G51" s="422" t="s">
        <v>1510</v>
      </c>
      <c r="H51" s="422"/>
      <c r="I51" s="422"/>
    </row>
    <row r="52">
      <c r="A52" s="422" t="s">
        <v>1497</v>
      </c>
      <c r="B52" s="422" t="s">
        <v>1511</v>
      </c>
      <c r="C52" s="422" t="s">
        <v>1512</v>
      </c>
      <c r="D52" s="422" t="s">
        <v>1513</v>
      </c>
      <c r="E52" s="423" t="s">
        <v>1220</v>
      </c>
      <c r="F52" s="422" t="s">
        <v>1514</v>
      </c>
      <c r="G52" s="423" t="s">
        <v>1515</v>
      </c>
      <c r="H52" s="422"/>
      <c r="I52" s="422"/>
    </row>
    <row r="53">
      <c r="A53" s="422" t="s">
        <v>1516</v>
      </c>
      <c r="B53" s="422" t="s">
        <v>1517</v>
      </c>
      <c r="C53" s="422" t="s">
        <v>1518</v>
      </c>
      <c r="D53" s="422" t="s">
        <v>1519</v>
      </c>
      <c r="E53" s="428" t="s">
        <v>1384</v>
      </c>
      <c r="F53" s="422" t="s">
        <v>1520</v>
      </c>
      <c r="G53" s="422" t="s">
        <v>1521</v>
      </c>
      <c r="H53" s="422"/>
      <c r="I53" s="422"/>
    </row>
    <row r="54">
      <c r="A54" s="422" t="s">
        <v>1516</v>
      </c>
      <c r="B54" s="422" t="s">
        <v>1522</v>
      </c>
      <c r="C54" s="422" t="s">
        <v>1523</v>
      </c>
      <c r="D54" s="422" t="s">
        <v>1524</v>
      </c>
      <c r="E54" s="422" t="s">
        <v>1525</v>
      </c>
      <c r="F54" s="422" t="s">
        <v>1526</v>
      </c>
      <c r="G54" s="422" t="s">
        <v>1527</v>
      </c>
      <c r="H54" s="422"/>
      <c r="I54" s="422"/>
    </row>
    <row r="55">
      <c r="A55" s="422" t="s">
        <v>1516</v>
      </c>
      <c r="B55" s="422" t="s">
        <v>1528</v>
      </c>
      <c r="C55" s="422" t="s">
        <v>1529</v>
      </c>
      <c r="D55" s="422" t="s">
        <v>1530</v>
      </c>
      <c r="E55" s="423" t="s">
        <v>1220</v>
      </c>
      <c r="F55" s="422" t="s">
        <v>1531</v>
      </c>
      <c r="G55" s="428" t="s">
        <v>1354</v>
      </c>
      <c r="H55" s="422"/>
      <c r="I55" s="422"/>
    </row>
    <row r="56">
      <c r="A56" s="55"/>
      <c r="B56" s="55"/>
      <c r="C56" s="55"/>
      <c r="D56" s="55"/>
      <c r="E56" s="55"/>
      <c r="F56" s="55"/>
      <c r="G56" s="55"/>
      <c r="H56" s="55"/>
      <c r="I56" s="55"/>
    </row>
    <row r="57">
      <c r="A57" s="55"/>
      <c r="B57" s="55"/>
      <c r="C57" s="55"/>
      <c r="D57" s="55"/>
      <c r="E57" s="55"/>
      <c r="F57" s="55"/>
      <c r="G57" s="55"/>
      <c r="H57" s="55"/>
      <c r="I57" s="55"/>
    </row>
    <row r="58">
      <c r="A58" s="55"/>
      <c r="B58" s="55"/>
      <c r="C58" s="55"/>
      <c r="D58" s="55"/>
      <c r="E58" s="55"/>
      <c r="F58" s="55"/>
      <c r="G58" s="55"/>
      <c r="H58" s="55"/>
      <c r="I58" s="55"/>
    </row>
    <row r="59">
      <c r="A59" s="55"/>
      <c r="B59" s="55"/>
      <c r="C59" s="55"/>
      <c r="D59" s="55"/>
      <c r="E59" s="55"/>
      <c r="F59" s="55"/>
      <c r="G59" s="55"/>
      <c r="H59" s="55"/>
      <c r="I59" s="55"/>
    </row>
    <row r="60">
      <c r="A60" s="55"/>
      <c r="B60" s="55"/>
      <c r="C60" s="55"/>
      <c r="D60" s="55"/>
      <c r="E60" s="55"/>
      <c r="F60" s="55"/>
      <c r="G60" s="55"/>
      <c r="H60" s="55"/>
      <c r="I60" s="55"/>
    </row>
    <row r="61">
      <c r="A61" s="55"/>
      <c r="B61" s="55"/>
      <c r="C61" s="55"/>
      <c r="D61" s="55"/>
      <c r="E61" s="55"/>
      <c r="F61" s="55"/>
      <c r="G61" s="55"/>
      <c r="H61" s="55"/>
      <c r="I61" s="55"/>
    </row>
    <row r="62">
      <c r="A62" s="55"/>
      <c r="B62" s="53" t="s">
        <v>1532</v>
      </c>
      <c r="C62" s="55"/>
      <c r="D62" s="55"/>
      <c r="E62" s="55"/>
      <c r="F62" s="55"/>
      <c r="G62" s="55"/>
      <c r="H62" s="55"/>
      <c r="I62" s="55"/>
    </row>
    <row r="63">
      <c r="A63" s="55"/>
      <c r="B63" s="4" t="s">
        <v>1533</v>
      </c>
      <c r="C63" s="55"/>
      <c r="D63" s="55"/>
      <c r="E63" s="55"/>
      <c r="F63" s="55"/>
      <c r="G63" s="55"/>
      <c r="H63" s="55"/>
      <c r="I63" s="55"/>
    </row>
    <row r="64">
      <c r="A64" s="55"/>
      <c r="B64" s="55"/>
      <c r="C64" s="55"/>
      <c r="D64" s="55"/>
      <c r="E64" s="55"/>
      <c r="F64" s="55"/>
      <c r="G64" s="55"/>
      <c r="H64" s="55"/>
      <c r="I64" s="55"/>
    </row>
    <row r="65">
      <c r="A65" s="55"/>
      <c r="B65" s="55"/>
      <c r="C65" s="55"/>
      <c r="D65" s="55"/>
      <c r="E65" s="55"/>
      <c r="F65" s="55"/>
      <c r="G65" s="55"/>
      <c r="H65" s="55"/>
      <c r="I65" s="55"/>
    </row>
    <row r="66">
      <c r="A66" s="55"/>
      <c r="B66" s="55"/>
      <c r="C66" s="55"/>
      <c r="D66" s="55"/>
      <c r="E66" s="55"/>
      <c r="F66" s="55"/>
      <c r="G66" s="55"/>
      <c r="H66" s="55"/>
      <c r="I66" s="55"/>
    </row>
    <row r="67">
      <c r="A67" s="55"/>
      <c r="B67" s="55"/>
      <c r="C67" s="55"/>
      <c r="D67" s="55"/>
      <c r="E67" s="55"/>
      <c r="F67" s="55"/>
      <c r="G67" s="55"/>
      <c r="H67" s="55"/>
      <c r="I67" s="55"/>
    </row>
    <row r="68">
      <c r="A68" s="55"/>
      <c r="B68" s="55"/>
      <c r="C68" s="55"/>
      <c r="D68" s="55"/>
      <c r="E68" s="55"/>
      <c r="F68" s="55"/>
      <c r="G68" s="55"/>
      <c r="H68" s="55"/>
      <c r="I68" s="55"/>
    </row>
    <row r="69">
      <c r="A69" s="55"/>
      <c r="B69" s="55"/>
      <c r="C69" s="55"/>
      <c r="D69" s="55"/>
      <c r="E69" s="55"/>
      <c r="F69" s="55"/>
      <c r="G69" s="55"/>
      <c r="H69" s="55"/>
      <c r="I69" s="55"/>
    </row>
    <row r="70">
      <c r="A70" s="55"/>
      <c r="B70" s="55"/>
      <c r="C70" s="55"/>
      <c r="D70" s="55"/>
      <c r="E70" s="55"/>
      <c r="F70" s="55"/>
      <c r="G70" s="55"/>
      <c r="H70" s="55"/>
      <c r="I70" s="55"/>
    </row>
    <row r="71">
      <c r="A71" s="55"/>
      <c r="B71" s="55"/>
      <c r="C71" s="55"/>
      <c r="D71" s="55"/>
      <c r="E71" s="55"/>
      <c r="F71" s="55"/>
      <c r="G71" s="55"/>
      <c r="H71" s="55"/>
      <c r="I71" s="55"/>
    </row>
    <row r="72">
      <c r="A72" s="55"/>
      <c r="B72" s="55"/>
      <c r="C72" s="55"/>
      <c r="D72" s="55"/>
      <c r="E72" s="55"/>
      <c r="F72" s="55"/>
      <c r="G72" s="55"/>
      <c r="H72" s="55"/>
      <c r="I72" s="55"/>
    </row>
    <row r="73">
      <c r="A73" s="55"/>
      <c r="B73" s="55"/>
      <c r="C73" s="55"/>
      <c r="D73" s="55"/>
      <c r="E73" s="55"/>
      <c r="F73" s="55"/>
      <c r="G73" s="55"/>
      <c r="H73" s="55"/>
      <c r="I73" s="55"/>
    </row>
    <row r="74">
      <c r="A74" s="55"/>
      <c r="B74" s="55"/>
      <c r="C74" s="55"/>
      <c r="D74" s="55"/>
      <c r="E74" s="55"/>
      <c r="F74" s="55"/>
      <c r="G74" s="55"/>
      <c r="H74" s="55"/>
      <c r="I74" s="55"/>
    </row>
    <row r="75">
      <c r="A75" s="55"/>
      <c r="B75" s="55"/>
      <c r="C75" s="55"/>
      <c r="D75" s="55"/>
      <c r="E75" s="55"/>
      <c r="F75" s="55"/>
      <c r="G75" s="55"/>
      <c r="H75" s="55"/>
      <c r="I75" s="55"/>
    </row>
    <row r="76">
      <c r="A76" s="55"/>
      <c r="B76" s="55"/>
      <c r="C76" s="55"/>
      <c r="D76" s="55"/>
      <c r="E76" s="55"/>
      <c r="F76" s="55"/>
      <c r="G76" s="55"/>
      <c r="H76" s="55"/>
      <c r="I76" s="55"/>
    </row>
    <row r="77">
      <c r="A77" s="55"/>
      <c r="B77" s="55"/>
      <c r="C77" s="55"/>
      <c r="D77" s="55"/>
      <c r="E77" s="55"/>
      <c r="F77" s="55"/>
      <c r="G77" s="55"/>
      <c r="H77" s="55"/>
      <c r="I77" s="55"/>
    </row>
    <row r="78">
      <c r="A78" s="55"/>
      <c r="B78" s="55"/>
      <c r="C78" s="55"/>
      <c r="D78" s="55"/>
      <c r="E78" s="55"/>
      <c r="F78" s="55"/>
      <c r="G78" s="55"/>
      <c r="H78" s="55"/>
      <c r="I78" s="55"/>
    </row>
    <row r="79">
      <c r="A79" s="55"/>
      <c r="B79" s="55"/>
      <c r="C79" s="55"/>
      <c r="D79" s="55"/>
      <c r="E79" s="55"/>
      <c r="F79" s="55"/>
      <c r="G79" s="55"/>
      <c r="H79" s="55"/>
      <c r="I79" s="55"/>
    </row>
    <row r="80">
      <c r="A80" s="55"/>
      <c r="B80" s="55"/>
      <c r="C80" s="55"/>
      <c r="D80" s="55"/>
      <c r="E80" s="55"/>
      <c r="F80" s="55"/>
      <c r="G80" s="55"/>
      <c r="H80" s="55"/>
      <c r="I80" s="55"/>
    </row>
    <row r="81">
      <c r="A81" s="55"/>
      <c r="B81" s="55"/>
      <c r="C81" s="55"/>
      <c r="D81" s="55"/>
      <c r="E81" s="55"/>
      <c r="F81" s="55"/>
      <c r="G81" s="55"/>
      <c r="H81" s="55"/>
      <c r="I81" s="55"/>
    </row>
    <row r="82">
      <c r="A82" s="55"/>
      <c r="B82" s="55"/>
      <c r="C82" s="55"/>
      <c r="D82" s="55"/>
      <c r="E82" s="55"/>
      <c r="F82" s="55"/>
      <c r="G82" s="55"/>
      <c r="H82" s="55"/>
      <c r="I82" s="55"/>
    </row>
    <row r="83">
      <c r="A83" s="55"/>
      <c r="B83" s="55"/>
      <c r="C83" s="55"/>
      <c r="D83" s="55"/>
      <c r="E83" s="55"/>
      <c r="F83" s="55"/>
      <c r="G83" s="55"/>
      <c r="H83" s="55"/>
      <c r="I83" s="55"/>
    </row>
    <row r="84">
      <c r="A84" s="55"/>
      <c r="B84" s="55"/>
      <c r="C84" s="55"/>
      <c r="D84" s="55"/>
      <c r="E84" s="55"/>
      <c r="F84" s="55"/>
      <c r="G84" s="55"/>
      <c r="H84" s="55"/>
      <c r="I84" s="55"/>
    </row>
    <row r="85">
      <c r="A85" s="55"/>
      <c r="B85" s="55"/>
      <c r="C85" s="55"/>
      <c r="D85" s="55"/>
      <c r="E85" s="55"/>
      <c r="F85" s="55"/>
      <c r="G85" s="55"/>
      <c r="H85" s="55"/>
      <c r="I85" s="55"/>
    </row>
    <row r="86">
      <c r="A86" s="55"/>
      <c r="B86" s="55"/>
      <c r="C86" s="55"/>
      <c r="D86" s="55"/>
      <c r="E86" s="55"/>
      <c r="F86" s="55"/>
      <c r="G86" s="55"/>
      <c r="H86" s="55"/>
      <c r="I86" s="55"/>
    </row>
    <row r="87">
      <c r="A87" s="55"/>
      <c r="B87" s="55"/>
      <c r="C87" s="55"/>
      <c r="D87" s="55"/>
      <c r="E87" s="55"/>
      <c r="F87" s="55"/>
      <c r="G87" s="55"/>
      <c r="H87" s="55"/>
      <c r="I87" s="55"/>
    </row>
    <row r="88">
      <c r="A88" s="55"/>
      <c r="B88" s="55"/>
      <c r="C88" s="55"/>
      <c r="D88" s="55"/>
      <c r="E88" s="55"/>
      <c r="F88" s="55"/>
      <c r="G88" s="55"/>
      <c r="H88" s="55"/>
      <c r="I88" s="55"/>
    </row>
    <row r="89">
      <c r="A89" s="55"/>
      <c r="B89" s="55"/>
      <c r="C89" s="55"/>
      <c r="D89" s="55"/>
      <c r="E89" s="55"/>
      <c r="F89" s="55"/>
      <c r="G89" s="55"/>
      <c r="H89" s="55"/>
      <c r="I89" s="55"/>
    </row>
    <row r="90">
      <c r="A90" s="55"/>
      <c r="B90" s="55"/>
      <c r="C90" s="55"/>
      <c r="D90" s="55"/>
      <c r="E90" s="55"/>
      <c r="F90" s="55"/>
      <c r="G90" s="55"/>
      <c r="H90" s="55"/>
      <c r="I90" s="55"/>
    </row>
    <row r="91">
      <c r="A91" s="55"/>
      <c r="B91" s="55"/>
      <c r="C91" s="55"/>
      <c r="D91" s="55"/>
      <c r="E91" s="55"/>
      <c r="F91" s="55"/>
      <c r="G91" s="55"/>
      <c r="H91" s="55"/>
      <c r="I91" s="55"/>
    </row>
    <row r="92">
      <c r="A92" s="55"/>
      <c r="B92" s="55"/>
      <c r="C92" s="55"/>
      <c r="D92" s="55"/>
      <c r="E92" s="55"/>
      <c r="F92" s="55"/>
      <c r="G92" s="55"/>
      <c r="H92" s="55"/>
      <c r="I92" s="55"/>
    </row>
    <row r="93">
      <c r="A93" s="55"/>
      <c r="B93" s="55"/>
      <c r="C93" s="55"/>
      <c r="D93" s="55"/>
      <c r="E93" s="55"/>
      <c r="F93" s="55"/>
      <c r="G93" s="55"/>
      <c r="H93" s="55"/>
      <c r="I93" s="55"/>
    </row>
    <row r="94">
      <c r="A94" s="55"/>
      <c r="B94" s="55"/>
      <c r="C94" s="55"/>
      <c r="D94" s="55"/>
      <c r="E94" s="55"/>
      <c r="F94" s="55"/>
      <c r="G94" s="55"/>
      <c r="H94" s="55"/>
      <c r="I94" s="55"/>
    </row>
    <row r="95">
      <c r="A95" s="55"/>
      <c r="B95" s="55"/>
      <c r="C95" s="55"/>
      <c r="D95" s="55"/>
      <c r="E95" s="55"/>
      <c r="F95" s="55"/>
      <c r="G95" s="55"/>
      <c r="H95" s="55"/>
      <c r="I95" s="55"/>
    </row>
    <row r="96">
      <c r="A96" s="55"/>
      <c r="B96" s="55"/>
      <c r="C96" s="55"/>
      <c r="D96" s="55"/>
      <c r="E96" s="55"/>
      <c r="F96" s="55"/>
      <c r="G96" s="55"/>
      <c r="H96" s="55"/>
      <c r="I96" s="55"/>
    </row>
    <row r="97">
      <c r="A97" s="55"/>
      <c r="B97" s="55"/>
      <c r="C97" s="55"/>
      <c r="D97" s="55"/>
      <c r="E97" s="55"/>
      <c r="F97" s="55"/>
      <c r="G97" s="55"/>
      <c r="H97" s="55"/>
      <c r="I97" s="55"/>
    </row>
    <row r="98">
      <c r="A98" s="55"/>
      <c r="B98" s="55"/>
      <c r="C98" s="55"/>
      <c r="D98" s="55"/>
      <c r="E98" s="55"/>
      <c r="F98" s="55"/>
      <c r="G98" s="55"/>
      <c r="H98" s="55"/>
      <c r="I98" s="55"/>
    </row>
    <row r="99">
      <c r="A99" s="55"/>
      <c r="B99" s="55"/>
      <c r="C99" s="55"/>
      <c r="D99" s="55"/>
      <c r="E99" s="55"/>
      <c r="F99" s="55"/>
      <c r="G99" s="55"/>
      <c r="H99" s="55"/>
      <c r="I99" s="55"/>
    </row>
    <row r="100">
      <c r="A100" s="55"/>
      <c r="B100" s="55"/>
      <c r="C100" s="55"/>
      <c r="D100" s="55"/>
      <c r="E100" s="55"/>
      <c r="F100" s="55"/>
      <c r="G100" s="55"/>
      <c r="H100" s="55"/>
      <c r="I100" s="55"/>
    </row>
    <row r="101">
      <c r="A101" s="55"/>
      <c r="B101" s="55"/>
      <c r="C101" s="55"/>
      <c r="D101" s="55"/>
      <c r="E101" s="55"/>
      <c r="F101" s="55"/>
      <c r="G101" s="55"/>
      <c r="H101" s="55"/>
      <c r="I101" s="55"/>
    </row>
    <row r="102">
      <c r="A102" s="55"/>
      <c r="B102" s="55"/>
      <c r="C102" s="55"/>
      <c r="D102" s="55"/>
      <c r="E102" s="55"/>
      <c r="F102" s="55"/>
      <c r="G102" s="55"/>
      <c r="H102" s="55"/>
      <c r="I102" s="55"/>
    </row>
    <row r="103">
      <c r="A103" s="55"/>
      <c r="B103" s="55"/>
      <c r="C103" s="55"/>
      <c r="D103" s="55"/>
      <c r="E103" s="55"/>
      <c r="F103" s="55"/>
      <c r="G103" s="55"/>
      <c r="H103" s="55"/>
      <c r="I103" s="55"/>
    </row>
    <row r="104">
      <c r="A104" s="55"/>
      <c r="B104" s="55"/>
      <c r="C104" s="55"/>
      <c r="D104" s="55"/>
      <c r="E104" s="55"/>
      <c r="F104" s="55"/>
      <c r="G104" s="55"/>
      <c r="H104" s="55"/>
      <c r="I104" s="55"/>
    </row>
    <row r="105">
      <c r="A105" s="55"/>
      <c r="B105" s="55"/>
      <c r="C105" s="55"/>
      <c r="D105" s="55"/>
      <c r="E105" s="55"/>
      <c r="F105" s="55"/>
      <c r="G105" s="55"/>
      <c r="H105" s="55"/>
      <c r="I105" s="55"/>
    </row>
    <row r="106">
      <c r="A106" s="55"/>
      <c r="B106" s="55"/>
      <c r="C106" s="55"/>
      <c r="D106" s="55"/>
      <c r="E106" s="55"/>
      <c r="F106" s="55"/>
      <c r="G106" s="55"/>
      <c r="H106" s="55"/>
      <c r="I106" s="55"/>
    </row>
    <row r="107">
      <c r="A107" s="55"/>
      <c r="B107" s="55"/>
      <c r="C107" s="55"/>
      <c r="D107" s="55"/>
      <c r="E107" s="55"/>
      <c r="F107" s="55"/>
      <c r="G107" s="55"/>
      <c r="H107" s="55"/>
      <c r="I107" s="55"/>
    </row>
    <row r="108">
      <c r="A108" s="55"/>
      <c r="B108" s="55"/>
      <c r="C108" s="55"/>
      <c r="D108" s="55"/>
      <c r="E108" s="55"/>
      <c r="F108" s="55"/>
      <c r="G108" s="55"/>
      <c r="H108" s="55"/>
      <c r="I108" s="55"/>
    </row>
    <row r="109">
      <c r="A109" s="55"/>
      <c r="B109" s="55"/>
      <c r="C109" s="55"/>
      <c r="D109" s="55"/>
      <c r="E109" s="55"/>
      <c r="F109" s="55"/>
      <c r="G109" s="55"/>
      <c r="H109" s="55"/>
      <c r="I109" s="55"/>
    </row>
    <row r="110">
      <c r="A110" s="55"/>
      <c r="B110" s="55"/>
      <c r="C110" s="55"/>
      <c r="D110" s="55"/>
      <c r="E110" s="55"/>
      <c r="F110" s="55"/>
      <c r="G110" s="55"/>
      <c r="H110" s="55"/>
      <c r="I110" s="55"/>
    </row>
    <row r="111">
      <c r="A111" s="55"/>
      <c r="B111" s="55"/>
      <c r="C111" s="55"/>
      <c r="D111" s="55"/>
      <c r="E111" s="55"/>
      <c r="F111" s="55"/>
      <c r="G111" s="55"/>
      <c r="H111" s="55"/>
      <c r="I111" s="55"/>
    </row>
    <row r="112">
      <c r="A112" s="55"/>
      <c r="B112" s="55"/>
      <c r="C112" s="55"/>
      <c r="D112" s="55"/>
      <c r="E112" s="55"/>
      <c r="F112" s="55"/>
      <c r="G112" s="55"/>
      <c r="H112" s="55"/>
      <c r="I112" s="55"/>
    </row>
    <row r="113">
      <c r="A113" s="55"/>
      <c r="B113" s="55"/>
      <c r="C113" s="55"/>
      <c r="D113" s="55"/>
      <c r="E113" s="55"/>
      <c r="F113" s="55"/>
      <c r="G113" s="55"/>
      <c r="H113" s="55"/>
      <c r="I113" s="55"/>
    </row>
    <row r="114">
      <c r="A114" s="55"/>
      <c r="B114" s="55"/>
      <c r="C114" s="55"/>
      <c r="D114" s="55"/>
      <c r="E114" s="55"/>
      <c r="F114" s="55"/>
      <c r="G114" s="55"/>
      <c r="H114" s="55"/>
      <c r="I114" s="55"/>
    </row>
    <row r="115">
      <c r="A115" s="55"/>
      <c r="B115" s="55"/>
      <c r="C115" s="55"/>
      <c r="D115" s="55"/>
      <c r="E115" s="55"/>
      <c r="F115" s="55"/>
      <c r="G115" s="55"/>
      <c r="H115" s="55"/>
      <c r="I115" s="55"/>
    </row>
    <row r="116">
      <c r="A116" s="55"/>
      <c r="B116" s="55"/>
      <c r="C116" s="55"/>
      <c r="D116" s="55"/>
      <c r="E116" s="55"/>
      <c r="F116" s="55"/>
      <c r="G116" s="55"/>
      <c r="H116" s="55"/>
      <c r="I116" s="55"/>
    </row>
    <row r="117">
      <c r="A117" s="55"/>
      <c r="B117" s="55"/>
      <c r="C117" s="55"/>
      <c r="D117" s="55"/>
      <c r="E117" s="55"/>
      <c r="F117" s="55"/>
      <c r="G117" s="55"/>
      <c r="H117" s="55"/>
      <c r="I117" s="55"/>
    </row>
    <row r="118">
      <c r="A118" s="55"/>
      <c r="B118" s="55"/>
      <c r="C118" s="55"/>
      <c r="D118" s="55"/>
      <c r="E118" s="55"/>
      <c r="F118" s="55"/>
      <c r="G118" s="55"/>
      <c r="H118" s="55"/>
      <c r="I118" s="55"/>
    </row>
    <row r="119">
      <c r="A119" s="55"/>
      <c r="B119" s="55"/>
      <c r="C119" s="55"/>
      <c r="D119" s="55"/>
      <c r="E119" s="55"/>
      <c r="F119" s="55"/>
      <c r="G119" s="55"/>
      <c r="H119" s="55"/>
      <c r="I119" s="55"/>
    </row>
    <row r="120">
      <c r="A120" s="55"/>
      <c r="B120" s="55"/>
      <c r="C120" s="55"/>
      <c r="D120" s="55"/>
      <c r="E120" s="55"/>
      <c r="F120" s="55"/>
      <c r="G120" s="55"/>
      <c r="H120" s="55"/>
      <c r="I120" s="55"/>
    </row>
    <row r="121">
      <c r="A121" s="55"/>
      <c r="B121" s="55"/>
      <c r="C121" s="55"/>
      <c r="D121" s="55"/>
      <c r="E121" s="55"/>
      <c r="F121" s="55"/>
      <c r="G121" s="55"/>
      <c r="H121" s="55"/>
      <c r="I121" s="55"/>
    </row>
    <row r="122">
      <c r="A122" s="55"/>
      <c r="B122" s="55"/>
      <c r="C122" s="55"/>
      <c r="D122" s="55"/>
      <c r="E122" s="55"/>
      <c r="F122" s="55"/>
      <c r="G122" s="55"/>
      <c r="H122" s="55"/>
      <c r="I122" s="55"/>
    </row>
    <row r="123">
      <c r="A123" s="55"/>
      <c r="B123" s="55"/>
      <c r="C123" s="55"/>
      <c r="D123" s="55"/>
      <c r="E123" s="55"/>
      <c r="F123" s="55"/>
      <c r="G123" s="55"/>
      <c r="H123" s="55"/>
      <c r="I123" s="55"/>
    </row>
    <row r="124">
      <c r="A124" s="55"/>
      <c r="B124" s="55"/>
      <c r="C124" s="55"/>
      <c r="D124" s="55"/>
      <c r="E124" s="55"/>
      <c r="F124" s="55"/>
      <c r="G124" s="55"/>
      <c r="H124" s="55"/>
      <c r="I124" s="55"/>
    </row>
    <row r="125">
      <c r="A125" s="55"/>
      <c r="B125" s="55"/>
      <c r="C125" s="55"/>
      <c r="D125" s="55"/>
      <c r="E125" s="55"/>
      <c r="F125" s="55"/>
      <c r="G125" s="55"/>
      <c r="H125" s="55"/>
      <c r="I125" s="55"/>
    </row>
    <row r="126">
      <c r="A126" s="55"/>
      <c r="B126" s="55"/>
      <c r="C126" s="55"/>
      <c r="D126" s="55"/>
      <c r="E126" s="55"/>
      <c r="F126" s="55"/>
      <c r="G126" s="55"/>
      <c r="H126" s="55"/>
      <c r="I126" s="55"/>
    </row>
    <row r="127">
      <c r="A127" s="55"/>
      <c r="B127" s="55"/>
      <c r="C127" s="55"/>
      <c r="D127" s="55"/>
      <c r="E127" s="55"/>
      <c r="F127" s="55"/>
      <c r="G127" s="55"/>
      <c r="H127" s="55"/>
      <c r="I127" s="55"/>
    </row>
    <row r="128">
      <c r="A128" s="55"/>
      <c r="B128" s="55"/>
      <c r="C128" s="55"/>
      <c r="D128" s="55"/>
      <c r="E128" s="55"/>
      <c r="F128" s="55"/>
      <c r="G128" s="55"/>
      <c r="H128" s="55"/>
      <c r="I128" s="55"/>
    </row>
    <row r="129">
      <c r="A129" s="55"/>
      <c r="B129" s="55"/>
      <c r="C129" s="55"/>
      <c r="D129" s="55"/>
      <c r="E129" s="55"/>
      <c r="F129" s="55"/>
      <c r="G129" s="55"/>
      <c r="H129" s="55"/>
      <c r="I129" s="55"/>
    </row>
    <row r="130">
      <c r="A130" s="55"/>
      <c r="B130" s="55"/>
      <c r="C130" s="55"/>
      <c r="D130" s="55"/>
      <c r="E130" s="55"/>
      <c r="F130" s="55"/>
      <c r="G130" s="55"/>
      <c r="H130" s="55"/>
      <c r="I130" s="55"/>
    </row>
    <row r="131">
      <c r="A131" s="55"/>
      <c r="B131" s="55"/>
      <c r="C131" s="55"/>
      <c r="D131" s="55"/>
      <c r="E131" s="55"/>
      <c r="F131" s="55"/>
      <c r="G131" s="55"/>
      <c r="H131" s="55"/>
      <c r="I131" s="55"/>
    </row>
    <row r="132">
      <c r="A132" s="55"/>
      <c r="B132" s="55"/>
      <c r="C132" s="55"/>
      <c r="D132" s="55"/>
      <c r="E132" s="55"/>
      <c r="F132" s="55"/>
      <c r="G132" s="55"/>
      <c r="H132" s="55"/>
      <c r="I132" s="55"/>
    </row>
    <row r="133">
      <c r="A133" s="55"/>
      <c r="B133" s="55"/>
      <c r="C133" s="55"/>
      <c r="D133" s="55"/>
      <c r="E133" s="55"/>
      <c r="F133" s="55"/>
      <c r="G133" s="55"/>
      <c r="H133" s="55"/>
      <c r="I133" s="55"/>
    </row>
    <row r="134">
      <c r="A134" s="55"/>
      <c r="B134" s="55"/>
      <c r="C134" s="55"/>
      <c r="D134" s="55"/>
      <c r="E134" s="55"/>
      <c r="F134" s="55"/>
      <c r="G134" s="55"/>
      <c r="H134" s="55"/>
      <c r="I134" s="55"/>
    </row>
    <row r="135">
      <c r="A135" s="55"/>
      <c r="B135" s="55"/>
      <c r="C135" s="55"/>
      <c r="D135" s="55"/>
      <c r="E135" s="55"/>
      <c r="F135" s="55"/>
      <c r="G135" s="55"/>
      <c r="H135" s="55"/>
      <c r="I135" s="55"/>
    </row>
    <row r="136">
      <c r="A136" s="55"/>
      <c r="B136" s="55"/>
      <c r="C136" s="55"/>
      <c r="D136" s="55"/>
      <c r="E136" s="55"/>
      <c r="F136" s="55"/>
      <c r="G136" s="55"/>
      <c r="H136" s="55"/>
      <c r="I136" s="55"/>
    </row>
    <row r="137">
      <c r="A137" s="55"/>
      <c r="B137" s="55"/>
      <c r="C137" s="55"/>
      <c r="D137" s="55"/>
      <c r="E137" s="55"/>
      <c r="F137" s="55"/>
      <c r="G137" s="55"/>
      <c r="H137" s="55"/>
      <c r="I137" s="55"/>
    </row>
    <row r="138">
      <c r="A138" s="55"/>
      <c r="B138" s="55"/>
      <c r="C138" s="55"/>
      <c r="D138" s="55"/>
      <c r="E138" s="55"/>
      <c r="F138" s="55"/>
      <c r="G138" s="55"/>
      <c r="H138" s="55"/>
      <c r="I138" s="55"/>
    </row>
    <row r="139">
      <c r="A139" s="55"/>
      <c r="B139" s="55"/>
      <c r="C139" s="55"/>
      <c r="D139" s="55"/>
      <c r="E139" s="55"/>
      <c r="F139" s="55"/>
      <c r="G139" s="55"/>
      <c r="H139" s="55"/>
      <c r="I139" s="55"/>
    </row>
    <row r="140">
      <c r="A140" s="55"/>
      <c r="B140" s="55"/>
      <c r="C140" s="55"/>
      <c r="D140" s="55"/>
      <c r="E140" s="55"/>
      <c r="F140" s="55"/>
      <c r="G140" s="55"/>
      <c r="H140" s="55"/>
      <c r="I140" s="55"/>
    </row>
    <row r="141">
      <c r="A141" s="55"/>
      <c r="B141" s="55"/>
      <c r="C141" s="55"/>
      <c r="D141" s="55"/>
      <c r="E141" s="55"/>
      <c r="F141" s="55"/>
      <c r="G141" s="55"/>
      <c r="H141" s="55"/>
      <c r="I141" s="55"/>
    </row>
    <row r="142">
      <c r="A142" s="55"/>
      <c r="B142" s="55"/>
      <c r="C142" s="55"/>
      <c r="D142" s="55"/>
      <c r="E142" s="55"/>
      <c r="F142" s="55"/>
      <c r="G142" s="55"/>
      <c r="H142" s="55"/>
      <c r="I142" s="55"/>
    </row>
    <row r="143">
      <c r="A143" s="55"/>
      <c r="B143" s="55"/>
      <c r="C143" s="55"/>
      <c r="D143" s="55"/>
      <c r="E143" s="55"/>
      <c r="F143" s="55"/>
      <c r="G143" s="55"/>
      <c r="H143" s="55"/>
      <c r="I143" s="55"/>
    </row>
    <row r="144">
      <c r="A144" s="55"/>
      <c r="B144" s="55"/>
      <c r="C144" s="55"/>
      <c r="D144" s="55"/>
      <c r="E144" s="55"/>
      <c r="F144" s="55"/>
      <c r="G144" s="55"/>
      <c r="H144" s="55"/>
      <c r="I144" s="55"/>
    </row>
    <row r="145">
      <c r="A145" s="55"/>
      <c r="B145" s="55"/>
      <c r="C145" s="55"/>
      <c r="D145" s="55"/>
      <c r="E145" s="55"/>
      <c r="F145" s="55"/>
      <c r="G145" s="55"/>
      <c r="H145" s="55"/>
      <c r="I145" s="55"/>
    </row>
    <row r="146">
      <c r="A146" s="55"/>
      <c r="B146" s="55"/>
      <c r="C146" s="55"/>
      <c r="D146" s="55"/>
      <c r="E146" s="55"/>
      <c r="F146" s="55"/>
      <c r="G146" s="55"/>
      <c r="H146" s="55"/>
      <c r="I146" s="55"/>
    </row>
    <row r="147">
      <c r="A147" s="55"/>
      <c r="B147" s="55"/>
      <c r="C147" s="55"/>
      <c r="D147" s="55"/>
      <c r="E147" s="55"/>
      <c r="F147" s="55"/>
      <c r="G147" s="55"/>
      <c r="H147" s="55"/>
      <c r="I147" s="55"/>
    </row>
    <row r="148">
      <c r="A148" s="55"/>
      <c r="B148" s="55"/>
      <c r="C148" s="55"/>
      <c r="D148" s="55"/>
      <c r="E148" s="55"/>
      <c r="F148" s="55"/>
      <c r="G148" s="55"/>
      <c r="H148" s="55"/>
      <c r="I148" s="55"/>
    </row>
    <row r="149">
      <c r="A149" s="55"/>
      <c r="B149" s="55"/>
      <c r="C149" s="55"/>
      <c r="D149" s="55"/>
      <c r="E149" s="55"/>
      <c r="F149" s="55"/>
      <c r="G149" s="55"/>
      <c r="H149" s="55"/>
      <c r="I149" s="55"/>
    </row>
    <row r="150">
      <c r="A150" s="55"/>
      <c r="B150" s="55"/>
      <c r="C150" s="55"/>
      <c r="D150" s="55"/>
      <c r="E150" s="55"/>
      <c r="F150" s="55"/>
      <c r="G150" s="55"/>
      <c r="H150" s="55"/>
      <c r="I150" s="55"/>
    </row>
    <row r="151">
      <c r="A151" s="55"/>
      <c r="B151" s="55"/>
      <c r="C151" s="55"/>
      <c r="D151" s="55"/>
      <c r="E151" s="55"/>
      <c r="F151" s="55"/>
      <c r="G151" s="55"/>
      <c r="H151" s="55"/>
      <c r="I151" s="55"/>
    </row>
    <row r="152">
      <c r="A152" s="55"/>
      <c r="B152" s="55"/>
      <c r="C152" s="55"/>
      <c r="D152" s="55"/>
      <c r="E152" s="55"/>
      <c r="F152" s="55"/>
      <c r="G152" s="55"/>
      <c r="H152" s="55"/>
      <c r="I152" s="55"/>
    </row>
    <row r="153">
      <c r="A153" s="55"/>
      <c r="B153" s="55"/>
      <c r="C153" s="55"/>
      <c r="D153" s="55"/>
      <c r="E153" s="55"/>
      <c r="F153" s="55"/>
      <c r="G153" s="55"/>
      <c r="H153" s="55"/>
      <c r="I153" s="55"/>
    </row>
    <row r="154">
      <c r="A154" s="55"/>
      <c r="B154" s="55"/>
      <c r="C154" s="55"/>
      <c r="D154" s="55"/>
      <c r="E154" s="55"/>
      <c r="F154" s="55"/>
      <c r="G154" s="55"/>
      <c r="H154" s="55"/>
      <c r="I154" s="55"/>
    </row>
    <row r="155">
      <c r="A155" s="55"/>
      <c r="B155" s="55"/>
      <c r="C155" s="55"/>
      <c r="D155" s="55"/>
      <c r="E155" s="55"/>
      <c r="F155" s="55"/>
      <c r="G155" s="55"/>
      <c r="H155" s="55"/>
      <c r="I155" s="55"/>
    </row>
    <row r="156">
      <c r="A156" s="55"/>
      <c r="B156" s="55"/>
      <c r="C156" s="55"/>
      <c r="D156" s="55"/>
      <c r="E156" s="55"/>
      <c r="F156" s="55"/>
      <c r="G156" s="55"/>
      <c r="H156" s="55"/>
      <c r="I156" s="55"/>
    </row>
    <row r="157">
      <c r="A157" s="55"/>
      <c r="B157" s="55"/>
      <c r="C157" s="55"/>
      <c r="D157" s="55"/>
      <c r="E157" s="55"/>
      <c r="F157" s="55"/>
      <c r="G157" s="55"/>
      <c r="H157" s="55"/>
      <c r="I157" s="55"/>
    </row>
    <row r="158">
      <c r="A158" s="55"/>
      <c r="B158" s="55"/>
      <c r="C158" s="55"/>
      <c r="D158" s="55"/>
      <c r="E158" s="55"/>
      <c r="F158" s="55"/>
      <c r="G158" s="55"/>
      <c r="H158" s="55"/>
      <c r="I158" s="55"/>
    </row>
    <row r="159">
      <c r="A159" s="55"/>
      <c r="B159" s="55"/>
      <c r="C159" s="55"/>
      <c r="D159" s="55"/>
      <c r="E159" s="55"/>
      <c r="F159" s="55"/>
      <c r="G159" s="55"/>
      <c r="H159" s="55"/>
      <c r="I159" s="55"/>
    </row>
    <row r="160">
      <c r="A160" s="55"/>
      <c r="B160" s="55"/>
      <c r="C160" s="55"/>
      <c r="D160" s="55"/>
      <c r="E160" s="55"/>
      <c r="F160" s="55"/>
      <c r="G160" s="55"/>
      <c r="H160" s="55"/>
      <c r="I160" s="55"/>
    </row>
    <row r="161">
      <c r="A161" s="55"/>
      <c r="B161" s="55"/>
      <c r="C161" s="55"/>
      <c r="D161" s="55"/>
      <c r="E161" s="55"/>
      <c r="F161" s="55"/>
      <c r="G161" s="55"/>
      <c r="H161" s="55"/>
      <c r="I161" s="55"/>
    </row>
    <row r="162">
      <c r="A162" s="55"/>
      <c r="B162" s="55"/>
      <c r="C162" s="55"/>
      <c r="D162" s="55"/>
      <c r="E162" s="55"/>
      <c r="F162" s="55"/>
      <c r="G162" s="55"/>
      <c r="H162" s="55"/>
      <c r="I162" s="55"/>
    </row>
    <row r="163">
      <c r="A163" s="55"/>
      <c r="B163" s="55"/>
      <c r="C163" s="55"/>
      <c r="D163" s="55"/>
      <c r="E163" s="55"/>
      <c r="F163" s="55"/>
      <c r="G163" s="55"/>
      <c r="H163" s="55"/>
      <c r="I163" s="55"/>
    </row>
    <row r="164">
      <c r="A164" s="55"/>
      <c r="B164" s="55"/>
      <c r="C164" s="55"/>
      <c r="D164" s="55"/>
      <c r="E164" s="55"/>
      <c r="F164" s="55"/>
      <c r="G164" s="55"/>
      <c r="H164" s="55"/>
      <c r="I164" s="55"/>
    </row>
    <row r="165">
      <c r="A165" s="55"/>
      <c r="B165" s="55"/>
      <c r="C165" s="55"/>
      <c r="D165" s="55"/>
      <c r="E165" s="55"/>
      <c r="F165" s="55"/>
      <c r="G165" s="55"/>
      <c r="H165" s="55"/>
      <c r="I165" s="55"/>
    </row>
    <row r="166">
      <c r="A166" s="55"/>
      <c r="B166" s="55"/>
      <c r="C166" s="55"/>
      <c r="D166" s="55"/>
      <c r="E166" s="55"/>
      <c r="F166" s="55"/>
      <c r="G166" s="55"/>
      <c r="H166" s="55"/>
      <c r="I166" s="55"/>
    </row>
    <row r="167">
      <c r="A167" s="55"/>
      <c r="B167" s="55"/>
      <c r="C167" s="55"/>
      <c r="D167" s="55"/>
      <c r="E167" s="55"/>
      <c r="F167" s="55"/>
      <c r="G167" s="55"/>
      <c r="H167" s="55"/>
      <c r="I167" s="55"/>
    </row>
    <row r="168">
      <c r="A168" s="55"/>
      <c r="B168" s="55"/>
      <c r="C168" s="55"/>
      <c r="D168" s="55"/>
      <c r="E168" s="55"/>
      <c r="F168" s="55"/>
      <c r="G168" s="55"/>
      <c r="H168" s="55"/>
      <c r="I168" s="55"/>
    </row>
    <row r="169">
      <c r="A169" s="55"/>
      <c r="B169" s="55"/>
      <c r="C169" s="55"/>
      <c r="D169" s="55"/>
      <c r="E169" s="55"/>
      <c r="F169" s="55"/>
      <c r="G169" s="55"/>
      <c r="H169" s="55"/>
      <c r="I169" s="55"/>
    </row>
    <row r="170">
      <c r="A170" s="55"/>
      <c r="B170" s="55"/>
      <c r="C170" s="55"/>
      <c r="D170" s="55"/>
      <c r="E170" s="55"/>
      <c r="F170" s="55"/>
      <c r="G170" s="55"/>
      <c r="H170" s="55"/>
      <c r="I170" s="55"/>
    </row>
    <row r="171">
      <c r="A171" s="55"/>
      <c r="B171" s="55"/>
      <c r="C171" s="55"/>
      <c r="D171" s="55"/>
      <c r="E171" s="55"/>
      <c r="F171" s="55"/>
      <c r="G171" s="55"/>
      <c r="H171" s="55"/>
      <c r="I171" s="55"/>
    </row>
    <row r="172">
      <c r="A172" s="55"/>
      <c r="B172" s="55"/>
      <c r="C172" s="55"/>
      <c r="D172" s="55"/>
      <c r="E172" s="55"/>
      <c r="F172" s="55"/>
      <c r="G172" s="55"/>
      <c r="H172" s="55"/>
      <c r="I172" s="55"/>
    </row>
    <row r="173">
      <c r="A173" s="55"/>
      <c r="B173" s="55"/>
      <c r="C173" s="55"/>
      <c r="D173" s="55"/>
      <c r="E173" s="55"/>
      <c r="F173" s="55"/>
      <c r="G173" s="55"/>
      <c r="H173" s="55"/>
      <c r="I173" s="55"/>
    </row>
    <row r="174">
      <c r="A174" s="55"/>
      <c r="B174" s="55"/>
      <c r="C174" s="55"/>
      <c r="D174" s="55"/>
      <c r="E174" s="55"/>
      <c r="F174" s="55"/>
      <c r="G174" s="55"/>
      <c r="H174" s="55"/>
      <c r="I174" s="55"/>
    </row>
    <row r="175">
      <c r="A175" s="55"/>
      <c r="B175" s="55"/>
      <c r="C175" s="55"/>
      <c r="D175" s="55"/>
      <c r="E175" s="55"/>
      <c r="F175" s="55"/>
      <c r="G175" s="55"/>
      <c r="H175" s="55"/>
      <c r="I175" s="55"/>
    </row>
    <row r="176">
      <c r="A176" s="55"/>
      <c r="B176" s="55"/>
      <c r="C176" s="55"/>
      <c r="D176" s="55"/>
      <c r="E176" s="55"/>
      <c r="F176" s="55"/>
      <c r="G176" s="55"/>
      <c r="H176" s="55"/>
      <c r="I176" s="55"/>
    </row>
    <row r="177">
      <c r="A177" s="55"/>
      <c r="B177" s="55"/>
      <c r="C177" s="55"/>
      <c r="D177" s="55"/>
      <c r="E177" s="55"/>
      <c r="F177" s="55"/>
      <c r="G177" s="55"/>
      <c r="H177" s="55"/>
      <c r="I177" s="55"/>
    </row>
    <row r="178">
      <c r="A178" s="55"/>
      <c r="B178" s="55"/>
      <c r="C178" s="55"/>
      <c r="D178" s="55"/>
      <c r="E178" s="55"/>
      <c r="F178" s="55"/>
      <c r="G178" s="55"/>
      <c r="H178" s="55"/>
      <c r="I178" s="55"/>
    </row>
    <row r="179">
      <c r="A179" s="55"/>
      <c r="B179" s="55"/>
      <c r="C179" s="55"/>
      <c r="D179" s="55"/>
      <c r="E179" s="55"/>
      <c r="F179" s="55"/>
      <c r="G179" s="55"/>
      <c r="H179" s="55"/>
      <c r="I179" s="55"/>
    </row>
    <row r="180">
      <c r="A180" s="55"/>
      <c r="B180" s="55"/>
      <c r="C180" s="55"/>
      <c r="D180" s="55"/>
      <c r="E180" s="55"/>
      <c r="F180" s="55"/>
      <c r="G180" s="55"/>
      <c r="H180" s="55"/>
      <c r="I180" s="55"/>
    </row>
    <row r="181">
      <c r="A181" s="55"/>
      <c r="B181" s="55"/>
      <c r="C181" s="55"/>
      <c r="D181" s="55"/>
      <c r="E181" s="55"/>
      <c r="F181" s="55"/>
      <c r="G181" s="55"/>
      <c r="H181" s="55"/>
      <c r="I181" s="55"/>
    </row>
    <row r="182">
      <c r="A182" s="55"/>
      <c r="B182" s="55"/>
      <c r="C182" s="55"/>
      <c r="D182" s="55"/>
      <c r="E182" s="55"/>
      <c r="F182" s="55"/>
      <c r="G182" s="55"/>
      <c r="H182" s="55"/>
      <c r="I182" s="55"/>
    </row>
    <row r="183">
      <c r="A183" s="55"/>
      <c r="B183" s="55"/>
      <c r="C183" s="55"/>
      <c r="D183" s="55"/>
      <c r="E183" s="55"/>
      <c r="F183" s="55"/>
      <c r="G183" s="55"/>
      <c r="H183" s="55"/>
      <c r="I183" s="55"/>
    </row>
    <row r="184">
      <c r="A184" s="55"/>
      <c r="B184" s="55"/>
      <c r="C184" s="55"/>
      <c r="D184" s="55"/>
      <c r="E184" s="55"/>
      <c r="F184" s="55"/>
      <c r="G184" s="55"/>
      <c r="H184" s="55"/>
      <c r="I184" s="55"/>
    </row>
    <row r="185">
      <c r="A185" s="55"/>
      <c r="B185" s="55"/>
      <c r="C185" s="55"/>
      <c r="D185" s="55"/>
      <c r="E185" s="55"/>
      <c r="F185" s="55"/>
      <c r="G185" s="55"/>
      <c r="H185" s="55"/>
      <c r="I185" s="55"/>
    </row>
    <row r="186">
      <c r="A186" s="55"/>
      <c r="B186" s="55"/>
      <c r="C186" s="55"/>
      <c r="D186" s="55"/>
      <c r="E186" s="55"/>
      <c r="F186" s="55"/>
      <c r="G186" s="55"/>
      <c r="H186" s="55"/>
      <c r="I186" s="55"/>
    </row>
    <row r="187">
      <c r="A187" s="55"/>
      <c r="B187" s="55"/>
      <c r="C187" s="55"/>
      <c r="D187" s="55"/>
      <c r="E187" s="55"/>
      <c r="F187" s="55"/>
      <c r="G187" s="55"/>
      <c r="H187" s="55"/>
      <c r="I187" s="55"/>
    </row>
    <row r="188">
      <c r="A188" s="55"/>
      <c r="B188" s="55"/>
      <c r="C188" s="55"/>
      <c r="D188" s="55"/>
      <c r="E188" s="55"/>
      <c r="F188" s="55"/>
      <c r="G188" s="55"/>
      <c r="H188" s="55"/>
      <c r="I188" s="55"/>
    </row>
    <row r="189">
      <c r="A189" s="55"/>
      <c r="B189" s="55"/>
      <c r="C189" s="55"/>
      <c r="D189" s="55"/>
      <c r="E189" s="55"/>
      <c r="F189" s="55"/>
      <c r="G189" s="55"/>
      <c r="H189" s="55"/>
      <c r="I189" s="55"/>
    </row>
    <row r="190">
      <c r="A190" s="55"/>
      <c r="B190" s="55"/>
      <c r="C190" s="55"/>
      <c r="D190" s="55"/>
      <c r="E190" s="55"/>
      <c r="F190" s="55"/>
      <c r="G190" s="55"/>
      <c r="H190" s="55"/>
      <c r="I190" s="55"/>
    </row>
    <row r="191">
      <c r="A191" s="55"/>
      <c r="B191" s="55"/>
      <c r="C191" s="55"/>
      <c r="D191" s="55"/>
      <c r="E191" s="55"/>
      <c r="F191" s="55"/>
      <c r="G191" s="55"/>
      <c r="H191" s="55"/>
      <c r="I191" s="55"/>
    </row>
    <row r="192">
      <c r="A192" s="55"/>
      <c r="B192" s="55"/>
      <c r="C192" s="55"/>
      <c r="D192" s="55"/>
      <c r="E192" s="55"/>
      <c r="F192" s="55"/>
      <c r="G192" s="55"/>
      <c r="H192" s="55"/>
      <c r="I192" s="55"/>
    </row>
    <row r="193">
      <c r="A193" s="55"/>
      <c r="B193" s="55"/>
      <c r="C193" s="55"/>
      <c r="D193" s="55"/>
      <c r="E193" s="55"/>
      <c r="F193" s="55"/>
      <c r="G193" s="55"/>
      <c r="H193" s="55"/>
      <c r="I193" s="55"/>
    </row>
    <row r="194">
      <c r="A194" s="55"/>
      <c r="B194" s="55"/>
      <c r="C194" s="55"/>
      <c r="D194" s="55"/>
      <c r="E194" s="55"/>
      <c r="F194" s="55"/>
      <c r="G194" s="55"/>
      <c r="H194" s="55"/>
      <c r="I194" s="55"/>
    </row>
    <row r="195">
      <c r="A195" s="55"/>
      <c r="B195" s="55"/>
      <c r="C195" s="55"/>
      <c r="D195" s="55"/>
      <c r="E195" s="55"/>
      <c r="F195" s="55"/>
      <c r="G195" s="55"/>
      <c r="H195" s="55"/>
      <c r="I195" s="55"/>
    </row>
    <row r="196">
      <c r="A196" s="55"/>
      <c r="B196" s="55"/>
      <c r="C196" s="55"/>
      <c r="D196" s="55"/>
      <c r="E196" s="55"/>
      <c r="F196" s="55"/>
      <c r="G196" s="55"/>
      <c r="H196" s="55"/>
      <c r="I196" s="55"/>
    </row>
    <row r="197">
      <c r="A197" s="55"/>
      <c r="B197" s="55"/>
      <c r="C197" s="55"/>
      <c r="D197" s="55"/>
      <c r="E197" s="55"/>
      <c r="F197" s="55"/>
      <c r="G197" s="55"/>
      <c r="H197" s="55"/>
      <c r="I197" s="55"/>
    </row>
    <row r="198">
      <c r="A198" s="55"/>
      <c r="B198" s="55"/>
      <c r="C198" s="55"/>
      <c r="D198" s="55"/>
      <c r="E198" s="55"/>
      <c r="F198" s="55"/>
      <c r="G198" s="55"/>
      <c r="H198" s="55"/>
      <c r="I198" s="55"/>
    </row>
    <row r="199">
      <c r="A199" s="55"/>
      <c r="B199" s="55"/>
      <c r="C199" s="55"/>
      <c r="D199" s="55"/>
      <c r="E199" s="55"/>
      <c r="F199" s="55"/>
      <c r="G199" s="55"/>
      <c r="H199" s="55"/>
      <c r="I199" s="55"/>
    </row>
    <row r="200">
      <c r="A200" s="55"/>
      <c r="B200" s="55"/>
      <c r="C200" s="55"/>
      <c r="D200" s="55"/>
      <c r="E200" s="55"/>
      <c r="F200" s="55"/>
      <c r="G200" s="55"/>
      <c r="H200" s="55"/>
      <c r="I200" s="55"/>
    </row>
    <row r="201">
      <c r="A201" s="55"/>
      <c r="B201" s="55"/>
      <c r="C201" s="55"/>
      <c r="D201" s="55"/>
      <c r="E201" s="55"/>
      <c r="F201" s="55"/>
      <c r="G201" s="55"/>
      <c r="H201" s="55"/>
      <c r="I201" s="55"/>
    </row>
    <row r="202">
      <c r="A202" s="55"/>
      <c r="B202" s="55"/>
      <c r="C202" s="55"/>
      <c r="D202" s="55"/>
      <c r="E202" s="55"/>
      <c r="F202" s="55"/>
      <c r="G202" s="55"/>
      <c r="H202" s="55"/>
      <c r="I202" s="55"/>
    </row>
    <row r="203">
      <c r="A203" s="55"/>
      <c r="B203" s="55"/>
      <c r="C203" s="55"/>
      <c r="D203" s="55"/>
      <c r="E203" s="55"/>
      <c r="F203" s="55"/>
      <c r="G203" s="55"/>
      <c r="H203" s="55"/>
      <c r="I203" s="55"/>
    </row>
    <row r="204">
      <c r="A204" s="55"/>
      <c r="B204" s="55"/>
      <c r="C204" s="55"/>
      <c r="D204" s="55"/>
      <c r="E204" s="55"/>
      <c r="F204" s="55"/>
      <c r="G204" s="55"/>
      <c r="H204" s="55"/>
      <c r="I204" s="55"/>
    </row>
    <row r="205">
      <c r="A205" s="55"/>
      <c r="B205" s="55"/>
      <c r="C205" s="55"/>
      <c r="D205" s="55"/>
      <c r="E205" s="55"/>
      <c r="F205" s="55"/>
      <c r="G205" s="55"/>
      <c r="H205" s="55"/>
      <c r="I205" s="55"/>
    </row>
    <row r="206">
      <c r="A206" s="55"/>
      <c r="B206" s="55"/>
      <c r="C206" s="55"/>
      <c r="D206" s="55"/>
      <c r="E206" s="55"/>
      <c r="F206" s="55"/>
      <c r="G206" s="55"/>
      <c r="H206" s="55"/>
      <c r="I206" s="55"/>
    </row>
    <row r="207">
      <c r="A207" s="55"/>
      <c r="B207" s="55"/>
      <c r="C207" s="55"/>
      <c r="D207" s="55"/>
      <c r="E207" s="55"/>
      <c r="F207" s="55"/>
      <c r="G207" s="55"/>
      <c r="H207" s="55"/>
      <c r="I207" s="55"/>
    </row>
    <row r="208">
      <c r="A208" s="55"/>
      <c r="B208" s="55"/>
      <c r="C208" s="55"/>
      <c r="D208" s="55"/>
      <c r="E208" s="55"/>
      <c r="F208" s="55"/>
      <c r="G208" s="55"/>
      <c r="H208" s="55"/>
      <c r="I208" s="55"/>
    </row>
    <row r="209">
      <c r="A209" s="55"/>
      <c r="B209" s="55"/>
      <c r="C209" s="55"/>
      <c r="D209" s="55"/>
      <c r="E209" s="55"/>
      <c r="F209" s="55"/>
      <c r="G209" s="55"/>
      <c r="H209" s="55"/>
      <c r="I209" s="55"/>
    </row>
    <row r="210">
      <c r="A210" s="55"/>
      <c r="B210" s="55"/>
      <c r="C210" s="55"/>
      <c r="D210" s="55"/>
      <c r="E210" s="55"/>
      <c r="F210" s="55"/>
      <c r="G210" s="55"/>
      <c r="H210" s="55"/>
      <c r="I210" s="55"/>
    </row>
    <row r="211">
      <c r="A211" s="55"/>
      <c r="B211" s="55"/>
      <c r="C211" s="55"/>
      <c r="D211" s="55"/>
      <c r="E211" s="55"/>
      <c r="F211" s="55"/>
      <c r="G211" s="55"/>
      <c r="H211" s="55"/>
      <c r="I211" s="55"/>
    </row>
    <row r="212">
      <c r="A212" s="55"/>
      <c r="B212" s="55"/>
      <c r="C212" s="55"/>
      <c r="D212" s="55"/>
      <c r="E212" s="55"/>
      <c r="F212" s="55"/>
      <c r="G212" s="55"/>
      <c r="H212" s="55"/>
      <c r="I212" s="55"/>
    </row>
    <row r="213">
      <c r="A213" s="55"/>
      <c r="B213" s="55"/>
      <c r="C213" s="55"/>
      <c r="D213" s="55"/>
      <c r="E213" s="55"/>
      <c r="F213" s="55"/>
      <c r="G213" s="55"/>
      <c r="H213" s="55"/>
      <c r="I213" s="55"/>
    </row>
    <row r="214">
      <c r="A214" s="55"/>
      <c r="B214" s="55"/>
      <c r="C214" s="55"/>
      <c r="D214" s="55"/>
      <c r="E214" s="55"/>
      <c r="F214" s="55"/>
      <c r="G214" s="55"/>
      <c r="H214" s="55"/>
      <c r="I214" s="55"/>
    </row>
    <row r="215">
      <c r="A215" s="55"/>
      <c r="B215" s="55"/>
      <c r="C215" s="55"/>
      <c r="D215" s="55"/>
      <c r="E215" s="55"/>
      <c r="F215" s="55"/>
      <c r="G215" s="55"/>
      <c r="H215" s="55"/>
      <c r="I215" s="55"/>
    </row>
    <row r="216">
      <c r="A216" s="55"/>
      <c r="B216" s="55"/>
      <c r="C216" s="55"/>
      <c r="D216" s="55"/>
      <c r="E216" s="55"/>
      <c r="F216" s="55"/>
      <c r="G216" s="55"/>
      <c r="H216" s="55"/>
      <c r="I216" s="55"/>
    </row>
    <row r="217">
      <c r="A217" s="55"/>
      <c r="B217" s="55"/>
      <c r="C217" s="55"/>
      <c r="D217" s="55"/>
      <c r="E217" s="55"/>
      <c r="F217" s="55"/>
      <c r="G217" s="55"/>
      <c r="H217" s="55"/>
      <c r="I217" s="55"/>
    </row>
    <row r="218">
      <c r="A218" s="55"/>
      <c r="B218" s="55"/>
      <c r="C218" s="55"/>
      <c r="D218" s="55"/>
      <c r="E218" s="55"/>
      <c r="F218" s="55"/>
      <c r="G218" s="55"/>
      <c r="H218" s="55"/>
      <c r="I218" s="55"/>
    </row>
    <row r="219">
      <c r="A219" s="55"/>
      <c r="B219" s="55"/>
      <c r="C219" s="55"/>
      <c r="D219" s="55"/>
      <c r="E219" s="55"/>
      <c r="F219" s="55"/>
      <c r="G219" s="55"/>
      <c r="H219" s="55"/>
      <c r="I219" s="55"/>
    </row>
    <row r="220">
      <c r="A220" s="55"/>
      <c r="B220" s="55"/>
      <c r="C220" s="55"/>
      <c r="D220" s="55"/>
      <c r="E220" s="55"/>
      <c r="F220" s="55"/>
      <c r="G220" s="55"/>
      <c r="H220" s="55"/>
      <c r="I220" s="55"/>
    </row>
    <row r="221">
      <c r="A221" s="55"/>
      <c r="B221" s="55"/>
      <c r="C221" s="55"/>
      <c r="D221" s="55"/>
      <c r="E221" s="55"/>
      <c r="F221" s="55"/>
      <c r="G221" s="55"/>
      <c r="H221" s="55"/>
      <c r="I221" s="55"/>
    </row>
    <row r="222">
      <c r="A222" s="55"/>
      <c r="B222" s="55"/>
      <c r="C222" s="55"/>
      <c r="D222" s="55"/>
      <c r="E222" s="55"/>
      <c r="F222" s="55"/>
      <c r="G222" s="55"/>
      <c r="H222" s="55"/>
      <c r="I222" s="55"/>
    </row>
    <row r="223">
      <c r="A223" s="55"/>
      <c r="B223" s="55"/>
      <c r="C223" s="55"/>
      <c r="D223" s="55"/>
      <c r="E223" s="55"/>
      <c r="F223" s="55"/>
      <c r="G223" s="55"/>
      <c r="H223" s="55"/>
      <c r="I223" s="55"/>
    </row>
    <row r="224">
      <c r="A224" s="55"/>
      <c r="B224" s="55"/>
      <c r="C224" s="55"/>
      <c r="D224" s="55"/>
      <c r="E224" s="55"/>
      <c r="F224" s="55"/>
      <c r="G224" s="55"/>
      <c r="H224" s="55"/>
      <c r="I224" s="55"/>
    </row>
    <row r="225">
      <c r="A225" s="55"/>
      <c r="B225" s="55"/>
      <c r="C225" s="55"/>
      <c r="D225" s="55"/>
      <c r="E225" s="55"/>
      <c r="F225" s="55"/>
      <c r="G225" s="55"/>
      <c r="H225" s="55"/>
      <c r="I225" s="55"/>
    </row>
    <row r="226">
      <c r="A226" s="55"/>
      <c r="B226" s="55"/>
      <c r="C226" s="55"/>
      <c r="D226" s="55"/>
      <c r="E226" s="55"/>
      <c r="F226" s="55"/>
      <c r="G226" s="55"/>
      <c r="H226" s="55"/>
      <c r="I226" s="55"/>
    </row>
    <row r="227">
      <c r="A227" s="55"/>
      <c r="B227" s="55"/>
      <c r="C227" s="55"/>
      <c r="D227" s="55"/>
      <c r="E227" s="55"/>
      <c r="F227" s="55"/>
      <c r="G227" s="55"/>
      <c r="H227" s="55"/>
      <c r="I227" s="55"/>
    </row>
    <row r="228">
      <c r="A228" s="55"/>
      <c r="B228" s="55"/>
      <c r="C228" s="55"/>
      <c r="D228" s="55"/>
      <c r="E228" s="55"/>
      <c r="F228" s="55"/>
      <c r="G228" s="55"/>
      <c r="H228" s="55"/>
      <c r="I228" s="55"/>
    </row>
    <row r="229">
      <c r="A229" s="55"/>
      <c r="B229" s="55"/>
      <c r="C229" s="55"/>
      <c r="D229" s="55"/>
      <c r="E229" s="55"/>
      <c r="F229" s="55"/>
      <c r="G229" s="55"/>
      <c r="H229" s="55"/>
      <c r="I229" s="55"/>
    </row>
    <row r="230">
      <c r="A230" s="55"/>
      <c r="B230" s="55"/>
      <c r="C230" s="55"/>
      <c r="D230" s="55"/>
      <c r="E230" s="55"/>
      <c r="F230" s="55"/>
      <c r="G230" s="55"/>
      <c r="H230" s="55"/>
      <c r="I230" s="55"/>
    </row>
    <row r="231">
      <c r="A231" s="55"/>
      <c r="B231" s="55"/>
      <c r="C231" s="55"/>
      <c r="D231" s="55"/>
      <c r="E231" s="55"/>
      <c r="F231" s="55"/>
      <c r="G231" s="55"/>
      <c r="H231" s="55"/>
      <c r="I231" s="55"/>
    </row>
    <row r="232">
      <c r="A232" s="55"/>
      <c r="B232" s="55"/>
      <c r="C232" s="55"/>
      <c r="D232" s="55"/>
      <c r="E232" s="55"/>
      <c r="F232" s="55"/>
      <c r="G232" s="55"/>
      <c r="H232" s="55"/>
      <c r="I232" s="55"/>
    </row>
    <row r="233">
      <c r="A233" s="55"/>
      <c r="B233" s="55"/>
      <c r="C233" s="55"/>
      <c r="D233" s="55"/>
      <c r="E233" s="55"/>
      <c r="F233" s="55"/>
      <c r="G233" s="55"/>
      <c r="H233" s="55"/>
      <c r="I233" s="55"/>
    </row>
    <row r="234">
      <c r="A234" s="55"/>
      <c r="B234" s="55"/>
      <c r="C234" s="55"/>
      <c r="D234" s="55"/>
      <c r="E234" s="55"/>
      <c r="F234" s="55"/>
      <c r="G234" s="55"/>
      <c r="H234" s="55"/>
      <c r="I234" s="55"/>
    </row>
    <row r="235">
      <c r="A235" s="55"/>
      <c r="B235" s="55"/>
      <c r="C235" s="55"/>
      <c r="D235" s="55"/>
      <c r="E235" s="55"/>
      <c r="F235" s="55"/>
      <c r="G235" s="55"/>
      <c r="H235" s="55"/>
      <c r="I235" s="55"/>
    </row>
    <row r="236">
      <c r="A236" s="55"/>
      <c r="B236" s="55"/>
      <c r="C236" s="55"/>
      <c r="D236" s="55"/>
      <c r="E236" s="55"/>
      <c r="F236" s="55"/>
      <c r="G236" s="55"/>
      <c r="H236" s="55"/>
      <c r="I236" s="55"/>
    </row>
    <row r="237">
      <c r="A237" s="55"/>
      <c r="B237" s="55"/>
      <c r="C237" s="55"/>
      <c r="D237" s="55"/>
      <c r="E237" s="55"/>
      <c r="F237" s="55"/>
      <c r="G237" s="55"/>
      <c r="H237" s="55"/>
      <c r="I237" s="55"/>
    </row>
    <row r="238">
      <c r="A238" s="55"/>
      <c r="B238" s="55"/>
      <c r="C238" s="55"/>
      <c r="D238" s="55"/>
      <c r="E238" s="55"/>
      <c r="F238" s="55"/>
      <c r="G238" s="55"/>
      <c r="H238" s="55"/>
      <c r="I238" s="55"/>
    </row>
    <row r="239">
      <c r="A239" s="55"/>
      <c r="B239" s="55"/>
      <c r="C239" s="55"/>
      <c r="D239" s="55"/>
      <c r="E239" s="55"/>
      <c r="F239" s="55"/>
      <c r="G239" s="55"/>
      <c r="H239" s="55"/>
      <c r="I239" s="55"/>
    </row>
    <row r="240">
      <c r="A240" s="55"/>
      <c r="B240" s="55"/>
      <c r="C240" s="55"/>
      <c r="D240" s="55"/>
      <c r="E240" s="55"/>
      <c r="F240" s="55"/>
      <c r="G240" s="55"/>
      <c r="H240" s="55"/>
      <c r="I240" s="55"/>
    </row>
    <row r="241">
      <c r="A241" s="55"/>
      <c r="B241" s="55"/>
      <c r="C241" s="55"/>
      <c r="D241" s="55"/>
      <c r="E241" s="55"/>
      <c r="F241" s="55"/>
      <c r="G241" s="55"/>
      <c r="H241" s="55"/>
      <c r="I241" s="55"/>
    </row>
    <row r="242">
      <c r="A242" s="55"/>
      <c r="B242" s="55"/>
      <c r="C242" s="55"/>
      <c r="D242" s="55"/>
      <c r="E242" s="55"/>
      <c r="F242" s="55"/>
      <c r="G242" s="55"/>
      <c r="H242" s="55"/>
      <c r="I242" s="55"/>
    </row>
    <row r="243">
      <c r="A243" s="55"/>
      <c r="B243" s="55"/>
      <c r="C243" s="55"/>
      <c r="D243" s="55"/>
      <c r="E243" s="55"/>
      <c r="F243" s="55"/>
      <c r="G243" s="55"/>
      <c r="H243" s="55"/>
      <c r="I243" s="55"/>
    </row>
    <row r="244">
      <c r="A244" s="55"/>
      <c r="B244" s="55"/>
      <c r="C244" s="55"/>
      <c r="D244" s="55"/>
      <c r="E244" s="55"/>
      <c r="F244" s="55"/>
      <c r="G244" s="55"/>
      <c r="H244" s="55"/>
      <c r="I244" s="55"/>
    </row>
    <row r="245">
      <c r="A245" s="55"/>
      <c r="B245" s="55"/>
      <c r="C245" s="55"/>
      <c r="D245" s="55"/>
      <c r="E245" s="55"/>
      <c r="F245" s="55"/>
      <c r="G245" s="55"/>
      <c r="H245" s="55"/>
      <c r="I245" s="55"/>
    </row>
    <row r="246">
      <c r="A246" s="55"/>
      <c r="B246" s="55"/>
      <c r="C246" s="55"/>
      <c r="D246" s="55"/>
      <c r="E246" s="55"/>
      <c r="F246" s="55"/>
      <c r="G246" s="55"/>
      <c r="H246" s="55"/>
      <c r="I246" s="55"/>
    </row>
    <row r="247">
      <c r="A247" s="55"/>
      <c r="B247" s="55"/>
      <c r="C247" s="55"/>
      <c r="D247" s="55"/>
      <c r="E247" s="55"/>
      <c r="F247" s="55"/>
      <c r="G247" s="55"/>
      <c r="H247" s="55"/>
      <c r="I247" s="55"/>
    </row>
    <row r="248">
      <c r="A248" s="55"/>
      <c r="B248" s="55"/>
      <c r="C248" s="55"/>
      <c r="D248" s="55"/>
      <c r="E248" s="55"/>
      <c r="F248" s="55"/>
      <c r="G248" s="55"/>
      <c r="H248" s="55"/>
      <c r="I248" s="55"/>
    </row>
    <row r="249">
      <c r="A249" s="55"/>
      <c r="B249" s="55"/>
      <c r="C249" s="55"/>
      <c r="D249" s="55"/>
      <c r="E249" s="55"/>
      <c r="F249" s="55"/>
      <c r="G249" s="55"/>
      <c r="H249" s="55"/>
      <c r="I249" s="55"/>
    </row>
    <row r="250">
      <c r="A250" s="55"/>
      <c r="B250" s="55"/>
      <c r="C250" s="55"/>
      <c r="D250" s="55"/>
      <c r="E250" s="55"/>
      <c r="F250" s="55"/>
      <c r="G250" s="55"/>
      <c r="H250" s="55"/>
      <c r="I250" s="55"/>
    </row>
    <row r="251">
      <c r="A251" s="55"/>
      <c r="B251" s="55"/>
      <c r="C251" s="55"/>
      <c r="D251" s="55"/>
      <c r="E251" s="55"/>
      <c r="F251" s="55"/>
      <c r="G251" s="55"/>
      <c r="H251" s="55"/>
      <c r="I251" s="55"/>
    </row>
    <row r="252">
      <c r="A252" s="55"/>
      <c r="B252" s="55"/>
      <c r="C252" s="55"/>
      <c r="D252" s="55"/>
      <c r="E252" s="55"/>
      <c r="F252" s="55"/>
      <c r="G252" s="55"/>
      <c r="H252" s="55"/>
      <c r="I252" s="55"/>
    </row>
    <row r="253">
      <c r="A253" s="55"/>
      <c r="B253" s="55"/>
      <c r="C253" s="55"/>
      <c r="D253" s="55"/>
      <c r="E253" s="55"/>
      <c r="F253" s="55"/>
      <c r="G253" s="55"/>
      <c r="H253" s="55"/>
      <c r="I253" s="55"/>
    </row>
    <row r="254">
      <c r="A254" s="55"/>
      <c r="B254" s="55"/>
      <c r="C254" s="55"/>
      <c r="D254" s="55"/>
      <c r="E254" s="55"/>
      <c r="F254" s="55"/>
      <c r="G254" s="55"/>
      <c r="H254" s="55"/>
      <c r="I254" s="55"/>
    </row>
    <row r="255">
      <c r="A255" s="55"/>
      <c r="B255" s="55"/>
      <c r="C255" s="55"/>
      <c r="D255" s="55"/>
      <c r="E255" s="55"/>
      <c r="F255" s="55"/>
      <c r="G255" s="55"/>
      <c r="H255" s="55"/>
      <c r="I255" s="55"/>
    </row>
    <row r="256">
      <c r="A256" s="55"/>
      <c r="B256" s="55"/>
      <c r="C256" s="55"/>
      <c r="D256" s="55"/>
      <c r="E256" s="55"/>
      <c r="F256" s="55"/>
      <c r="G256" s="55"/>
      <c r="H256" s="55"/>
      <c r="I256" s="55"/>
    </row>
    <row r="257">
      <c r="A257" s="55"/>
      <c r="B257" s="55"/>
      <c r="C257" s="55"/>
      <c r="D257" s="55"/>
      <c r="E257" s="55"/>
      <c r="F257" s="55"/>
      <c r="G257" s="55"/>
      <c r="H257" s="55"/>
      <c r="I257" s="55"/>
    </row>
    <row r="258">
      <c r="A258" s="55"/>
      <c r="B258" s="55"/>
      <c r="C258" s="55"/>
      <c r="D258" s="55"/>
      <c r="E258" s="55"/>
      <c r="F258" s="55"/>
      <c r="G258" s="55"/>
      <c r="H258" s="55"/>
      <c r="I258" s="55"/>
    </row>
    <row r="259">
      <c r="A259" s="55"/>
      <c r="B259" s="55"/>
      <c r="C259" s="55"/>
      <c r="D259" s="55"/>
      <c r="E259" s="55"/>
      <c r="F259" s="55"/>
      <c r="G259" s="55"/>
      <c r="H259" s="55"/>
      <c r="I259" s="55"/>
    </row>
    <row r="260">
      <c r="A260" s="55"/>
      <c r="B260" s="55"/>
      <c r="C260" s="55"/>
      <c r="D260" s="55"/>
      <c r="E260" s="55"/>
      <c r="F260" s="55"/>
      <c r="G260" s="55"/>
      <c r="H260" s="55"/>
      <c r="I260" s="55"/>
    </row>
    <row r="261">
      <c r="A261" s="55"/>
      <c r="B261" s="55"/>
      <c r="C261" s="55"/>
      <c r="D261" s="55"/>
      <c r="E261" s="55"/>
      <c r="F261" s="55"/>
      <c r="G261" s="55"/>
      <c r="H261" s="55"/>
      <c r="I261" s="55"/>
    </row>
    <row r="262">
      <c r="A262" s="55"/>
      <c r="B262" s="55"/>
      <c r="C262" s="55"/>
      <c r="D262" s="55"/>
      <c r="E262" s="55"/>
      <c r="F262" s="55"/>
      <c r="G262" s="55"/>
      <c r="H262" s="55"/>
      <c r="I262" s="55"/>
    </row>
    <row r="263">
      <c r="A263" s="55"/>
      <c r="B263" s="55"/>
      <c r="C263" s="55"/>
      <c r="D263" s="55"/>
      <c r="E263" s="55"/>
      <c r="F263" s="55"/>
      <c r="G263" s="55"/>
      <c r="H263" s="55"/>
      <c r="I263" s="55"/>
    </row>
    <row r="264">
      <c r="A264" s="55"/>
      <c r="B264" s="55"/>
      <c r="C264" s="55"/>
      <c r="D264" s="55"/>
      <c r="E264" s="55"/>
      <c r="F264" s="55"/>
      <c r="G264" s="55"/>
      <c r="H264" s="55"/>
      <c r="I264" s="55"/>
    </row>
    <row r="265">
      <c r="A265" s="55"/>
      <c r="B265" s="55"/>
      <c r="C265" s="55"/>
      <c r="D265" s="55"/>
      <c r="E265" s="55"/>
      <c r="F265" s="55"/>
      <c r="G265" s="55"/>
      <c r="H265" s="55"/>
      <c r="I265" s="55"/>
    </row>
    <row r="266">
      <c r="A266" s="55"/>
      <c r="B266" s="55"/>
      <c r="C266" s="55"/>
      <c r="D266" s="55"/>
      <c r="E266" s="55"/>
      <c r="F266" s="55"/>
      <c r="G266" s="55"/>
      <c r="H266" s="55"/>
      <c r="I266" s="55"/>
    </row>
    <row r="267">
      <c r="A267" s="55"/>
      <c r="B267" s="55"/>
      <c r="C267" s="55"/>
      <c r="D267" s="55"/>
      <c r="E267" s="55"/>
      <c r="F267" s="55"/>
      <c r="G267" s="55"/>
      <c r="H267" s="55"/>
      <c r="I267" s="55"/>
    </row>
    <row r="268">
      <c r="A268" s="55"/>
      <c r="B268" s="55"/>
      <c r="C268" s="55"/>
      <c r="D268" s="55"/>
      <c r="E268" s="55"/>
      <c r="F268" s="55"/>
      <c r="G268" s="55"/>
      <c r="H268" s="55"/>
      <c r="I268" s="55"/>
    </row>
    <row r="269">
      <c r="A269" s="55"/>
      <c r="B269" s="55"/>
      <c r="C269" s="55"/>
      <c r="D269" s="55"/>
      <c r="E269" s="55"/>
      <c r="F269" s="55"/>
      <c r="G269" s="55"/>
      <c r="H269" s="55"/>
      <c r="I269" s="55"/>
    </row>
    <row r="270">
      <c r="A270" s="55"/>
      <c r="B270" s="55"/>
      <c r="C270" s="55"/>
      <c r="D270" s="55"/>
      <c r="E270" s="55"/>
      <c r="F270" s="55"/>
      <c r="G270" s="55"/>
      <c r="H270" s="55"/>
      <c r="I270" s="55"/>
    </row>
    <row r="271">
      <c r="A271" s="55"/>
      <c r="B271" s="55"/>
      <c r="C271" s="55"/>
      <c r="D271" s="55"/>
      <c r="E271" s="55"/>
      <c r="F271" s="55"/>
      <c r="G271" s="55"/>
      <c r="H271" s="55"/>
      <c r="I271" s="55"/>
    </row>
    <row r="272">
      <c r="A272" s="55"/>
      <c r="B272" s="55"/>
      <c r="C272" s="55"/>
      <c r="D272" s="55"/>
      <c r="E272" s="55"/>
      <c r="F272" s="55"/>
      <c r="G272" s="55"/>
      <c r="H272" s="55"/>
      <c r="I272" s="55"/>
    </row>
    <row r="273">
      <c r="A273" s="55"/>
      <c r="B273" s="55"/>
      <c r="C273" s="55"/>
      <c r="D273" s="55"/>
      <c r="E273" s="55"/>
      <c r="F273" s="55"/>
      <c r="G273" s="55"/>
      <c r="H273" s="55"/>
      <c r="I273" s="55"/>
    </row>
    <row r="274">
      <c r="A274" s="55"/>
      <c r="B274" s="55"/>
      <c r="C274" s="55"/>
      <c r="D274" s="55"/>
      <c r="E274" s="55"/>
      <c r="F274" s="55"/>
      <c r="G274" s="55"/>
      <c r="H274" s="55"/>
      <c r="I274" s="55"/>
    </row>
    <row r="275">
      <c r="A275" s="55"/>
      <c r="B275" s="55"/>
      <c r="C275" s="55"/>
      <c r="D275" s="55"/>
      <c r="E275" s="55"/>
      <c r="F275" s="55"/>
      <c r="G275" s="55"/>
      <c r="H275" s="55"/>
      <c r="I275" s="55"/>
    </row>
    <row r="276">
      <c r="A276" s="55"/>
      <c r="B276" s="55"/>
      <c r="C276" s="55"/>
      <c r="D276" s="55"/>
      <c r="E276" s="55"/>
      <c r="F276" s="55"/>
      <c r="G276" s="55"/>
      <c r="H276" s="55"/>
      <c r="I276" s="55"/>
    </row>
    <row r="277">
      <c r="A277" s="55"/>
      <c r="B277" s="55"/>
      <c r="C277" s="55"/>
      <c r="D277" s="55"/>
      <c r="E277" s="55"/>
      <c r="F277" s="55"/>
      <c r="G277" s="55"/>
      <c r="H277" s="55"/>
      <c r="I277" s="55"/>
    </row>
    <row r="278">
      <c r="A278" s="55"/>
      <c r="B278" s="55"/>
      <c r="C278" s="55"/>
      <c r="D278" s="55"/>
      <c r="E278" s="55"/>
      <c r="F278" s="55"/>
      <c r="G278" s="55"/>
      <c r="H278" s="55"/>
      <c r="I278" s="55"/>
    </row>
    <row r="279">
      <c r="A279" s="55"/>
      <c r="B279" s="55"/>
      <c r="C279" s="55"/>
      <c r="D279" s="55"/>
      <c r="E279" s="55"/>
      <c r="F279" s="55"/>
      <c r="G279" s="55"/>
      <c r="H279" s="55"/>
      <c r="I279" s="55"/>
    </row>
    <row r="280">
      <c r="A280" s="55"/>
      <c r="B280" s="55"/>
      <c r="C280" s="55"/>
      <c r="D280" s="55"/>
      <c r="E280" s="55"/>
      <c r="F280" s="55"/>
      <c r="G280" s="55"/>
      <c r="H280" s="55"/>
      <c r="I280" s="55"/>
    </row>
    <row r="281">
      <c r="A281" s="55"/>
      <c r="B281" s="55"/>
      <c r="C281" s="55"/>
      <c r="D281" s="55"/>
      <c r="E281" s="55"/>
      <c r="F281" s="55"/>
      <c r="G281" s="55"/>
      <c r="H281" s="55"/>
      <c r="I281" s="55"/>
    </row>
    <row r="282">
      <c r="A282" s="55"/>
      <c r="B282" s="55"/>
      <c r="C282" s="55"/>
      <c r="D282" s="55"/>
      <c r="E282" s="55"/>
      <c r="F282" s="55"/>
      <c r="G282" s="55"/>
      <c r="H282" s="55"/>
      <c r="I282" s="55"/>
    </row>
    <row r="283">
      <c r="A283" s="55"/>
      <c r="B283" s="55"/>
      <c r="C283" s="55"/>
      <c r="D283" s="55"/>
      <c r="E283" s="55"/>
      <c r="F283" s="55"/>
      <c r="G283" s="55"/>
      <c r="H283" s="55"/>
      <c r="I283" s="55"/>
    </row>
    <row r="284">
      <c r="A284" s="55"/>
      <c r="B284" s="55"/>
      <c r="C284" s="55"/>
      <c r="D284" s="55"/>
      <c r="E284" s="55"/>
      <c r="F284" s="55"/>
      <c r="G284" s="55"/>
      <c r="H284" s="55"/>
      <c r="I284" s="55"/>
    </row>
    <row r="285">
      <c r="A285" s="55"/>
      <c r="B285" s="55"/>
      <c r="C285" s="55"/>
      <c r="D285" s="55"/>
      <c r="E285" s="55"/>
      <c r="F285" s="55"/>
      <c r="G285" s="55"/>
      <c r="H285" s="55"/>
      <c r="I285" s="55"/>
    </row>
    <row r="286">
      <c r="A286" s="55"/>
      <c r="B286" s="55"/>
      <c r="C286" s="55"/>
      <c r="D286" s="55"/>
      <c r="E286" s="55"/>
      <c r="F286" s="55"/>
      <c r="G286" s="55"/>
      <c r="H286" s="55"/>
      <c r="I286" s="55"/>
    </row>
    <row r="287">
      <c r="A287" s="55"/>
      <c r="B287" s="55"/>
      <c r="C287" s="55"/>
      <c r="D287" s="55"/>
      <c r="E287" s="55"/>
      <c r="F287" s="55"/>
      <c r="G287" s="55"/>
      <c r="H287" s="55"/>
      <c r="I287" s="55"/>
    </row>
    <row r="288">
      <c r="A288" s="55"/>
      <c r="B288" s="55"/>
      <c r="C288" s="55"/>
      <c r="D288" s="55"/>
      <c r="E288" s="55"/>
      <c r="F288" s="55"/>
      <c r="G288" s="55"/>
      <c r="H288" s="55"/>
      <c r="I288" s="55"/>
    </row>
    <row r="289">
      <c r="A289" s="55"/>
      <c r="B289" s="55"/>
      <c r="C289" s="55"/>
      <c r="D289" s="55"/>
      <c r="E289" s="55"/>
      <c r="F289" s="55"/>
      <c r="G289" s="55"/>
      <c r="H289" s="55"/>
      <c r="I289" s="55"/>
    </row>
    <row r="290">
      <c r="A290" s="55"/>
      <c r="B290" s="55"/>
      <c r="C290" s="55"/>
      <c r="D290" s="55"/>
      <c r="E290" s="55"/>
      <c r="F290" s="55"/>
      <c r="G290" s="55"/>
      <c r="H290" s="55"/>
      <c r="I290" s="55"/>
    </row>
    <row r="291">
      <c r="A291" s="55"/>
      <c r="B291" s="55"/>
      <c r="C291" s="55"/>
      <c r="D291" s="55"/>
      <c r="E291" s="55"/>
      <c r="F291" s="55"/>
      <c r="G291" s="55"/>
      <c r="H291" s="55"/>
      <c r="I291" s="55"/>
    </row>
    <row r="292">
      <c r="A292" s="55"/>
      <c r="B292" s="55"/>
      <c r="C292" s="55"/>
      <c r="D292" s="55"/>
      <c r="E292" s="55"/>
      <c r="F292" s="55"/>
      <c r="G292" s="55"/>
      <c r="H292" s="55"/>
      <c r="I292" s="55"/>
    </row>
    <row r="293">
      <c r="A293" s="55"/>
      <c r="B293" s="55"/>
      <c r="C293" s="55"/>
      <c r="D293" s="55"/>
      <c r="E293" s="55"/>
      <c r="F293" s="55"/>
      <c r="G293" s="55"/>
      <c r="H293" s="55"/>
      <c r="I293" s="55"/>
    </row>
    <row r="294">
      <c r="A294" s="55"/>
      <c r="B294" s="55"/>
      <c r="C294" s="55"/>
      <c r="D294" s="55"/>
      <c r="E294" s="55"/>
      <c r="F294" s="55"/>
      <c r="G294" s="55"/>
      <c r="H294" s="55"/>
      <c r="I294" s="55"/>
    </row>
    <row r="295">
      <c r="A295" s="55"/>
      <c r="B295" s="55"/>
      <c r="C295" s="55"/>
      <c r="D295" s="55"/>
      <c r="E295" s="55"/>
      <c r="F295" s="55"/>
      <c r="G295" s="55"/>
      <c r="H295" s="55"/>
      <c r="I295" s="55"/>
    </row>
    <row r="296">
      <c r="A296" s="55"/>
      <c r="B296" s="55"/>
      <c r="C296" s="55"/>
      <c r="D296" s="55"/>
      <c r="E296" s="55"/>
      <c r="F296" s="55"/>
      <c r="G296" s="55"/>
      <c r="H296" s="55"/>
      <c r="I296" s="55"/>
    </row>
    <row r="297">
      <c r="A297" s="55"/>
      <c r="B297" s="55"/>
      <c r="C297" s="55"/>
      <c r="D297" s="55"/>
      <c r="E297" s="55"/>
      <c r="F297" s="55"/>
      <c r="G297" s="55"/>
      <c r="H297" s="55"/>
      <c r="I297" s="55"/>
    </row>
    <row r="298">
      <c r="A298" s="55"/>
      <c r="B298" s="55"/>
      <c r="C298" s="55"/>
      <c r="D298" s="55"/>
      <c r="E298" s="55"/>
      <c r="F298" s="55"/>
      <c r="G298" s="55"/>
      <c r="H298" s="55"/>
      <c r="I298" s="55"/>
    </row>
    <row r="299">
      <c r="A299" s="55"/>
      <c r="B299" s="55"/>
      <c r="C299" s="55"/>
      <c r="D299" s="55"/>
      <c r="E299" s="55"/>
      <c r="F299" s="55"/>
      <c r="G299" s="55"/>
      <c r="H299" s="55"/>
      <c r="I299" s="55"/>
    </row>
    <row r="300">
      <c r="A300" s="55"/>
      <c r="B300" s="55"/>
      <c r="C300" s="55"/>
      <c r="D300" s="55"/>
      <c r="E300" s="55"/>
      <c r="F300" s="55"/>
      <c r="G300" s="55"/>
      <c r="H300" s="55"/>
      <c r="I300" s="55"/>
    </row>
    <row r="301">
      <c r="A301" s="55"/>
      <c r="B301" s="55"/>
      <c r="C301" s="55"/>
      <c r="D301" s="55"/>
      <c r="E301" s="55"/>
      <c r="F301" s="55"/>
      <c r="G301" s="55"/>
      <c r="H301" s="55"/>
      <c r="I301" s="55"/>
    </row>
    <row r="302">
      <c r="A302" s="55"/>
      <c r="B302" s="55"/>
      <c r="C302" s="55"/>
      <c r="D302" s="55"/>
      <c r="E302" s="55"/>
      <c r="F302" s="55"/>
      <c r="G302" s="55"/>
      <c r="H302" s="55"/>
      <c r="I302" s="55"/>
    </row>
    <row r="303">
      <c r="A303" s="55"/>
      <c r="B303" s="55"/>
      <c r="C303" s="55"/>
      <c r="D303" s="55"/>
      <c r="E303" s="55"/>
      <c r="F303" s="55"/>
      <c r="G303" s="55"/>
      <c r="H303" s="55"/>
      <c r="I303" s="55"/>
    </row>
    <row r="304">
      <c r="A304" s="55"/>
      <c r="B304" s="55"/>
      <c r="C304" s="55"/>
      <c r="D304" s="55"/>
      <c r="E304" s="55"/>
      <c r="F304" s="55"/>
      <c r="G304" s="55"/>
      <c r="H304" s="55"/>
      <c r="I304" s="55"/>
    </row>
    <row r="305">
      <c r="A305" s="55"/>
      <c r="B305" s="55"/>
      <c r="C305" s="55"/>
      <c r="D305" s="55"/>
      <c r="E305" s="55"/>
      <c r="F305" s="55"/>
      <c r="G305" s="55"/>
      <c r="H305" s="55"/>
      <c r="I305" s="55"/>
    </row>
    <row r="306">
      <c r="A306" s="55"/>
      <c r="B306" s="55"/>
      <c r="C306" s="55"/>
      <c r="D306" s="55"/>
      <c r="E306" s="55"/>
      <c r="F306" s="55"/>
      <c r="G306" s="55"/>
      <c r="H306" s="55"/>
      <c r="I306" s="55"/>
    </row>
    <row r="307">
      <c r="A307" s="55"/>
      <c r="B307" s="55"/>
      <c r="C307" s="55"/>
      <c r="D307" s="55"/>
      <c r="E307" s="55"/>
      <c r="F307" s="55"/>
      <c r="G307" s="55"/>
      <c r="H307" s="55"/>
      <c r="I307" s="55"/>
    </row>
    <row r="308">
      <c r="A308" s="55"/>
      <c r="B308" s="55"/>
      <c r="C308" s="55"/>
      <c r="D308" s="55"/>
      <c r="E308" s="55"/>
      <c r="F308" s="55"/>
      <c r="G308" s="55"/>
      <c r="H308" s="55"/>
      <c r="I308" s="55"/>
    </row>
    <row r="309">
      <c r="A309" s="55"/>
      <c r="B309" s="55"/>
      <c r="C309" s="55"/>
      <c r="D309" s="55"/>
      <c r="E309" s="55"/>
      <c r="F309" s="55"/>
      <c r="G309" s="55"/>
      <c r="H309" s="55"/>
      <c r="I309" s="55"/>
    </row>
    <row r="310">
      <c r="A310" s="55"/>
      <c r="B310" s="55"/>
      <c r="C310" s="55"/>
      <c r="D310" s="55"/>
      <c r="E310" s="55"/>
      <c r="F310" s="55"/>
      <c r="G310" s="55"/>
      <c r="H310" s="55"/>
      <c r="I310" s="55"/>
    </row>
    <row r="311">
      <c r="A311" s="55"/>
      <c r="B311" s="55"/>
      <c r="C311" s="55"/>
      <c r="D311" s="55"/>
      <c r="E311" s="55"/>
      <c r="F311" s="55"/>
      <c r="G311" s="55"/>
      <c r="H311" s="55"/>
      <c r="I311" s="55"/>
    </row>
    <row r="312">
      <c r="A312" s="55"/>
      <c r="B312" s="55"/>
      <c r="C312" s="55"/>
      <c r="D312" s="55"/>
      <c r="E312" s="55"/>
      <c r="F312" s="55"/>
      <c r="G312" s="55"/>
      <c r="H312" s="55"/>
      <c r="I312" s="55"/>
    </row>
    <row r="313">
      <c r="A313" s="55"/>
      <c r="B313" s="55"/>
      <c r="C313" s="55"/>
      <c r="D313" s="55"/>
      <c r="E313" s="55"/>
      <c r="F313" s="55"/>
      <c r="G313" s="55"/>
      <c r="H313" s="55"/>
      <c r="I313" s="55"/>
    </row>
    <row r="314">
      <c r="A314" s="55"/>
      <c r="B314" s="55"/>
      <c r="C314" s="55"/>
      <c r="D314" s="55"/>
      <c r="E314" s="55"/>
      <c r="F314" s="55"/>
      <c r="G314" s="55"/>
      <c r="H314" s="55"/>
      <c r="I314" s="55"/>
    </row>
    <row r="315">
      <c r="A315" s="55"/>
      <c r="B315" s="55"/>
      <c r="C315" s="55"/>
      <c r="D315" s="55"/>
      <c r="E315" s="55"/>
      <c r="F315" s="55"/>
      <c r="G315" s="55"/>
      <c r="H315" s="55"/>
      <c r="I315" s="55"/>
    </row>
    <row r="316">
      <c r="A316" s="55"/>
      <c r="B316" s="55"/>
      <c r="C316" s="55"/>
      <c r="D316" s="55"/>
      <c r="E316" s="55"/>
      <c r="F316" s="55"/>
      <c r="G316" s="55"/>
      <c r="H316" s="55"/>
      <c r="I316" s="55"/>
    </row>
    <row r="317">
      <c r="A317" s="55"/>
      <c r="B317" s="55"/>
      <c r="C317" s="55"/>
      <c r="D317" s="55"/>
      <c r="E317" s="55"/>
      <c r="F317" s="55"/>
      <c r="G317" s="55"/>
      <c r="H317" s="55"/>
      <c r="I317" s="55"/>
    </row>
    <row r="318">
      <c r="A318" s="55"/>
      <c r="B318" s="55"/>
      <c r="C318" s="55"/>
      <c r="D318" s="55"/>
      <c r="E318" s="55"/>
      <c r="F318" s="55"/>
      <c r="G318" s="55"/>
      <c r="H318" s="55"/>
      <c r="I318" s="55"/>
    </row>
    <row r="319">
      <c r="A319" s="55"/>
      <c r="B319" s="55"/>
      <c r="C319" s="55"/>
      <c r="D319" s="55"/>
      <c r="E319" s="55"/>
      <c r="F319" s="55"/>
      <c r="G319" s="55"/>
      <c r="H319" s="55"/>
      <c r="I319" s="55"/>
    </row>
    <row r="320">
      <c r="A320" s="55"/>
      <c r="B320" s="55"/>
      <c r="C320" s="55"/>
      <c r="D320" s="55"/>
      <c r="E320" s="55"/>
      <c r="F320" s="55"/>
      <c r="G320" s="55"/>
      <c r="H320" s="55"/>
      <c r="I320" s="55"/>
    </row>
    <row r="321">
      <c r="A321" s="55"/>
      <c r="B321" s="55"/>
      <c r="C321" s="55"/>
      <c r="D321" s="55"/>
      <c r="E321" s="55"/>
      <c r="F321" s="55"/>
      <c r="G321" s="55"/>
      <c r="H321" s="55"/>
      <c r="I321" s="55"/>
    </row>
    <row r="322">
      <c r="A322" s="55"/>
      <c r="B322" s="55"/>
      <c r="C322" s="55"/>
      <c r="D322" s="55"/>
      <c r="E322" s="55"/>
      <c r="F322" s="55"/>
      <c r="G322" s="55"/>
      <c r="H322" s="55"/>
      <c r="I322" s="55"/>
    </row>
    <row r="323">
      <c r="A323" s="55"/>
      <c r="B323" s="55"/>
      <c r="C323" s="55"/>
      <c r="D323" s="55"/>
      <c r="E323" s="55"/>
      <c r="F323" s="55"/>
      <c r="G323" s="55"/>
      <c r="H323" s="55"/>
      <c r="I323" s="55"/>
    </row>
    <row r="324">
      <c r="A324" s="55"/>
      <c r="B324" s="55"/>
      <c r="C324" s="55"/>
      <c r="D324" s="55"/>
      <c r="E324" s="55"/>
      <c r="F324" s="55"/>
      <c r="G324" s="55"/>
      <c r="H324" s="55"/>
      <c r="I324" s="55"/>
    </row>
    <row r="325">
      <c r="A325" s="55"/>
      <c r="B325" s="55"/>
      <c r="C325" s="55"/>
      <c r="D325" s="55"/>
      <c r="E325" s="55"/>
      <c r="F325" s="55"/>
      <c r="G325" s="55"/>
      <c r="H325" s="55"/>
      <c r="I325" s="55"/>
    </row>
    <row r="326">
      <c r="A326" s="55"/>
      <c r="B326" s="55"/>
      <c r="C326" s="55"/>
      <c r="D326" s="55"/>
      <c r="E326" s="55"/>
      <c r="F326" s="55"/>
      <c r="G326" s="55"/>
      <c r="H326" s="55"/>
      <c r="I326" s="55"/>
    </row>
    <row r="327">
      <c r="A327" s="55"/>
      <c r="B327" s="55"/>
      <c r="C327" s="55"/>
      <c r="D327" s="55"/>
      <c r="E327" s="55"/>
      <c r="F327" s="55"/>
      <c r="G327" s="55"/>
      <c r="H327" s="55"/>
      <c r="I327" s="55"/>
    </row>
    <row r="328">
      <c r="A328" s="55"/>
      <c r="B328" s="55"/>
      <c r="C328" s="55"/>
      <c r="D328" s="55"/>
      <c r="E328" s="55"/>
      <c r="F328" s="55"/>
      <c r="G328" s="55"/>
      <c r="H328" s="55"/>
      <c r="I328" s="55"/>
    </row>
    <row r="329">
      <c r="A329" s="55"/>
      <c r="B329" s="55"/>
      <c r="C329" s="55"/>
      <c r="D329" s="55"/>
      <c r="E329" s="55"/>
      <c r="F329" s="55"/>
      <c r="G329" s="55"/>
      <c r="H329" s="55"/>
      <c r="I329" s="55"/>
    </row>
    <row r="330">
      <c r="A330" s="55"/>
      <c r="B330" s="55"/>
      <c r="C330" s="55"/>
      <c r="D330" s="55"/>
      <c r="E330" s="55"/>
      <c r="F330" s="55"/>
      <c r="G330" s="55"/>
      <c r="H330" s="55"/>
      <c r="I330" s="55"/>
    </row>
    <row r="331">
      <c r="A331" s="55"/>
      <c r="B331" s="55"/>
      <c r="C331" s="55"/>
      <c r="D331" s="55"/>
      <c r="E331" s="55"/>
      <c r="F331" s="55"/>
      <c r="G331" s="55"/>
      <c r="H331" s="55"/>
      <c r="I331" s="55"/>
    </row>
    <row r="332">
      <c r="A332" s="55"/>
      <c r="B332" s="55"/>
      <c r="C332" s="55"/>
      <c r="D332" s="55"/>
      <c r="E332" s="55"/>
      <c r="F332" s="55"/>
      <c r="G332" s="55"/>
      <c r="H332" s="55"/>
      <c r="I332" s="55"/>
    </row>
    <row r="333">
      <c r="A333" s="55"/>
      <c r="B333" s="55"/>
      <c r="C333" s="55"/>
      <c r="D333" s="55"/>
      <c r="E333" s="55"/>
      <c r="F333" s="55"/>
      <c r="G333" s="55"/>
      <c r="H333" s="55"/>
      <c r="I333" s="55"/>
    </row>
    <row r="334">
      <c r="A334" s="55"/>
      <c r="B334" s="55"/>
      <c r="C334" s="55"/>
      <c r="D334" s="55"/>
      <c r="E334" s="55"/>
      <c r="F334" s="55"/>
      <c r="G334" s="55"/>
      <c r="H334" s="55"/>
      <c r="I334" s="55"/>
    </row>
    <row r="335">
      <c r="A335" s="55"/>
      <c r="B335" s="55"/>
      <c r="C335" s="55"/>
      <c r="D335" s="55"/>
      <c r="E335" s="55"/>
      <c r="F335" s="55"/>
      <c r="G335" s="55"/>
      <c r="H335" s="55"/>
      <c r="I335" s="55"/>
    </row>
    <row r="336">
      <c r="A336" s="55"/>
      <c r="B336" s="55"/>
      <c r="C336" s="55"/>
      <c r="D336" s="55"/>
      <c r="E336" s="55"/>
      <c r="F336" s="55"/>
      <c r="G336" s="55"/>
      <c r="H336" s="55"/>
      <c r="I336" s="55"/>
    </row>
    <row r="337">
      <c r="A337" s="55"/>
      <c r="B337" s="55"/>
      <c r="C337" s="55"/>
      <c r="D337" s="55"/>
      <c r="E337" s="55"/>
      <c r="F337" s="55"/>
      <c r="G337" s="55"/>
      <c r="H337" s="55"/>
      <c r="I337" s="55"/>
    </row>
    <row r="338">
      <c r="A338" s="55"/>
      <c r="B338" s="55"/>
      <c r="C338" s="55"/>
      <c r="D338" s="55"/>
      <c r="E338" s="55"/>
      <c r="F338" s="55"/>
      <c r="G338" s="55"/>
      <c r="H338" s="55"/>
      <c r="I338" s="55"/>
    </row>
    <row r="339">
      <c r="A339" s="55"/>
      <c r="B339" s="55"/>
      <c r="C339" s="55"/>
      <c r="D339" s="55"/>
      <c r="E339" s="55"/>
      <c r="F339" s="55"/>
      <c r="G339" s="55"/>
      <c r="H339" s="55"/>
      <c r="I339" s="55"/>
    </row>
    <row r="340">
      <c r="A340" s="55"/>
      <c r="B340" s="55"/>
      <c r="C340" s="55"/>
      <c r="D340" s="55"/>
      <c r="E340" s="55"/>
      <c r="F340" s="55"/>
      <c r="G340" s="55"/>
      <c r="H340" s="55"/>
      <c r="I340" s="55"/>
    </row>
    <row r="341">
      <c r="A341" s="55"/>
      <c r="B341" s="55"/>
      <c r="C341" s="55"/>
      <c r="D341" s="55"/>
      <c r="E341" s="55"/>
      <c r="F341" s="55"/>
      <c r="G341" s="55"/>
      <c r="H341" s="55"/>
      <c r="I341" s="55"/>
    </row>
    <row r="342">
      <c r="A342" s="55"/>
      <c r="B342" s="55"/>
      <c r="C342" s="55"/>
      <c r="D342" s="55"/>
      <c r="E342" s="55"/>
      <c r="F342" s="55"/>
      <c r="G342" s="55"/>
      <c r="H342" s="55"/>
      <c r="I342" s="55"/>
    </row>
    <row r="343">
      <c r="A343" s="55"/>
      <c r="B343" s="55"/>
      <c r="C343" s="55"/>
      <c r="D343" s="55"/>
      <c r="E343" s="55"/>
      <c r="F343" s="55"/>
      <c r="G343" s="55"/>
      <c r="H343" s="55"/>
      <c r="I343" s="55"/>
    </row>
    <row r="344">
      <c r="A344" s="55"/>
      <c r="B344" s="55"/>
      <c r="C344" s="55"/>
      <c r="D344" s="55"/>
      <c r="E344" s="55"/>
      <c r="F344" s="55"/>
      <c r="G344" s="55"/>
      <c r="H344" s="55"/>
      <c r="I344" s="55"/>
    </row>
    <row r="345">
      <c r="A345" s="55"/>
      <c r="B345" s="55"/>
      <c r="C345" s="55"/>
      <c r="D345" s="55"/>
      <c r="E345" s="55"/>
      <c r="F345" s="55"/>
      <c r="G345" s="55"/>
      <c r="H345" s="55"/>
      <c r="I345" s="55"/>
    </row>
    <row r="346">
      <c r="A346" s="55"/>
      <c r="B346" s="55"/>
      <c r="C346" s="55"/>
      <c r="D346" s="55"/>
      <c r="E346" s="55"/>
      <c r="F346" s="55"/>
      <c r="G346" s="55"/>
      <c r="H346" s="55"/>
      <c r="I346" s="55"/>
    </row>
    <row r="347">
      <c r="A347" s="55"/>
      <c r="B347" s="55"/>
      <c r="C347" s="55"/>
      <c r="D347" s="55"/>
      <c r="E347" s="55"/>
      <c r="F347" s="55"/>
      <c r="G347" s="55"/>
      <c r="H347" s="55"/>
      <c r="I347" s="55"/>
    </row>
    <row r="348">
      <c r="A348" s="55"/>
      <c r="B348" s="55"/>
      <c r="C348" s="55"/>
      <c r="D348" s="55"/>
      <c r="E348" s="55"/>
      <c r="F348" s="55"/>
      <c r="G348" s="55"/>
      <c r="H348" s="55"/>
      <c r="I348" s="55"/>
    </row>
    <row r="349">
      <c r="A349" s="55"/>
      <c r="B349" s="55"/>
      <c r="C349" s="55"/>
      <c r="D349" s="55"/>
      <c r="E349" s="55"/>
      <c r="F349" s="55"/>
      <c r="G349" s="55"/>
      <c r="H349" s="55"/>
      <c r="I349" s="55"/>
    </row>
    <row r="350">
      <c r="A350" s="55"/>
      <c r="B350" s="55"/>
      <c r="C350" s="55"/>
      <c r="D350" s="55"/>
      <c r="E350" s="55"/>
      <c r="F350" s="55"/>
      <c r="G350" s="55"/>
      <c r="H350" s="55"/>
      <c r="I350" s="55"/>
    </row>
    <row r="351">
      <c r="A351" s="55"/>
      <c r="B351" s="55"/>
      <c r="C351" s="55"/>
      <c r="D351" s="55"/>
      <c r="E351" s="55"/>
      <c r="F351" s="55"/>
      <c r="G351" s="55"/>
      <c r="H351" s="55"/>
      <c r="I351" s="55"/>
    </row>
    <row r="352">
      <c r="A352" s="55"/>
      <c r="B352" s="55"/>
      <c r="C352" s="55"/>
      <c r="D352" s="55"/>
      <c r="E352" s="55"/>
      <c r="F352" s="55"/>
      <c r="G352" s="55"/>
      <c r="H352" s="55"/>
      <c r="I352" s="55"/>
    </row>
    <row r="353">
      <c r="A353" s="55"/>
      <c r="B353" s="55"/>
      <c r="C353" s="55"/>
      <c r="D353" s="55"/>
      <c r="E353" s="55"/>
      <c r="F353" s="55"/>
      <c r="G353" s="55"/>
      <c r="H353" s="55"/>
      <c r="I353" s="55"/>
    </row>
    <row r="354">
      <c r="A354" s="55"/>
      <c r="B354" s="55"/>
      <c r="C354" s="55"/>
      <c r="D354" s="55"/>
      <c r="E354" s="55"/>
      <c r="F354" s="55"/>
      <c r="G354" s="55"/>
      <c r="H354" s="55"/>
      <c r="I354" s="55"/>
    </row>
    <row r="355">
      <c r="A355" s="55"/>
      <c r="B355" s="55"/>
      <c r="C355" s="55"/>
      <c r="D355" s="55"/>
      <c r="E355" s="55"/>
      <c r="F355" s="55"/>
      <c r="G355" s="55"/>
      <c r="H355" s="55"/>
      <c r="I355" s="55"/>
    </row>
    <row r="356">
      <c r="A356" s="55"/>
      <c r="B356" s="55"/>
      <c r="C356" s="55"/>
      <c r="D356" s="55"/>
      <c r="E356" s="55"/>
      <c r="F356" s="55"/>
      <c r="G356" s="55"/>
      <c r="H356" s="55"/>
      <c r="I356" s="55"/>
    </row>
    <row r="357">
      <c r="A357" s="55"/>
      <c r="B357" s="55"/>
      <c r="C357" s="55"/>
      <c r="D357" s="55"/>
      <c r="E357" s="55"/>
      <c r="F357" s="55"/>
      <c r="G357" s="55"/>
      <c r="H357" s="55"/>
      <c r="I357" s="55"/>
    </row>
    <row r="358">
      <c r="A358" s="55"/>
      <c r="B358" s="55"/>
      <c r="C358" s="55"/>
      <c r="D358" s="55"/>
      <c r="E358" s="55"/>
      <c r="F358" s="55"/>
      <c r="G358" s="55"/>
      <c r="H358" s="55"/>
      <c r="I358" s="55"/>
    </row>
    <row r="359">
      <c r="A359" s="55"/>
      <c r="B359" s="55"/>
      <c r="C359" s="55"/>
      <c r="D359" s="55"/>
      <c r="E359" s="55"/>
      <c r="F359" s="55"/>
      <c r="G359" s="55"/>
      <c r="H359" s="55"/>
      <c r="I359" s="55"/>
    </row>
    <row r="360">
      <c r="A360" s="55"/>
      <c r="B360" s="55"/>
      <c r="C360" s="55"/>
      <c r="D360" s="55"/>
      <c r="E360" s="55"/>
      <c r="F360" s="55"/>
      <c r="G360" s="55"/>
      <c r="H360" s="55"/>
      <c r="I360" s="55"/>
    </row>
    <row r="361">
      <c r="A361" s="55"/>
      <c r="B361" s="55"/>
      <c r="C361" s="55"/>
      <c r="D361" s="55"/>
      <c r="E361" s="55"/>
      <c r="F361" s="55"/>
      <c r="G361" s="55"/>
      <c r="H361" s="55"/>
      <c r="I361" s="55"/>
    </row>
    <row r="362">
      <c r="A362" s="55"/>
      <c r="B362" s="55"/>
      <c r="C362" s="55"/>
      <c r="D362" s="55"/>
      <c r="E362" s="55"/>
      <c r="F362" s="55"/>
      <c r="G362" s="55"/>
      <c r="H362" s="55"/>
      <c r="I362" s="55"/>
    </row>
    <row r="363">
      <c r="A363" s="55"/>
      <c r="B363" s="55"/>
      <c r="C363" s="55"/>
      <c r="D363" s="55"/>
      <c r="E363" s="55"/>
      <c r="F363" s="55"/>
      <c r="G363" s="55"/>
      <c r="H363" s="55"/>
      <c r="I363" s="55"/>
    </row>
    <row r="364">
      <c r="A364" s="55"/>
      <c r="B364" s="55"/>
      <c r="C364" s="55"/>
      <c r="D364" s="55"/>
      <c r="E364" s="55"/>
      <c r="F364" s="55"/>
      <c r="G364" s="55"/>
      <c r="H364" s="55"/>
      <c r="I364" s="55"/>
    </row>
    <row r="365">
      <c r="A365" s="55"/>
      <c r="B365" s="55"/>
      <c r="C365" s="55"/>
      <c r="D365" s="55"/>
      <c r="E365" s="55"/>
      <c r="F365" s="55"/>
      <c r="G365" s="55"/>
      <c r="H365" s="55"/>
      <c r="I365" s="55"/>
    </row>
    <row r="366">
      <c r="A366" s="55"/>
      <c r="B366" s="55"/>
      <c r="C366" s="55"/>
      <c r="D366" s="55"/>
      <c r="E366" s="55"/>
      <c r="F366" s="55"/>
      <c r="G366" s="55"/>
      <c r="H366" s="55"/>
      <c r="I366" s="55"/>
    </row>
    <row r="367">
      <c r="A367" s="55"/>
      <c r="B367" s="55"/>
      <c r="C367" s="55"/>
      <c r="D367" s="55"/>
      <c r="E367" s="55"/>
      <c r="F367" s="55"/>
      <c r="G367" s="55"/>
      <c r="H367" s="55"/>
      <c r="I367" s="55"/>
    </row>
    <row r="368">
      <c r="A368" s="55"/>
      <c r="B368" s="55"/>
      <c r="C368" s="55"/>
      <c r="D368" s="55"/>
      <c r="E368" s="55"/>
      <c r="F368" s="55"/>
      <c r="G368" s="55"/>
      <c r="H368" s="55"/>
      <c r="I368" s="55"/>
    </row>
    <row r="369">
      <c r="A369" s="55"/>
      <c r="B369" s="55"/>
      <c r="C369" s="55"/>
      <c r="D369" s="55"/>
      <c r="E369" s="55"/>
      <c r="F369" s="55"/>
      <c r="G369" s="55"/>
      <c r="H369" s="55"/>
      <c r="I369" s="55"/>
    </row>
    <row r="370">
      <c r="A370" s="55"/>
      <c r="B370" s="55"/>
      <c r="C370" s="55"/>
      <c r="D370" s="55"/>
      <c r="E370" s="55"/>
      <c r="F370" s="55"/>
      <c r="G370" s="55"/>
      <c r="H370" s="55"/>
      <c r="I370" s="55"/>
    </row>
    <row r="371">
      <c r="A371" s="55"/>
      <c r="B371" s="55"/>
      <c r="C371" s="55"/>
      <c r="D371" s="55"/>
      <c r="E371" s="55"/>
      <c r="F371" s="55"/>
      <c r="G371" s="55"/>
      <c r="H371" s="55"/>
      <c r="I371" s="55"/>
    </row>
    <row r="372">
      <c r="A372" s="55"/>
      <c r="B372" s="55"/>
      <c r="C372" s="55"/>
      <c r="D372" s="55"/>
      <c r="E372" s="55"/>
      <c r="F372" s="55"/>
      <c r="G372" s="55"/>
      <c r="H372" s="55"/>
      <c r="I372" s="55"/>
    </row>
    <row r="373">
      <c r="A373" s="55"/>
      <c r="B373" s="55"/>
      <c r="C373" s="55"/>
      <c r="D373" s="55"/>
      <c r="E373" s="55"/>
      <c r="F373" s="55"/>
      <c r="G373" s="55"/>
      <c r="H373" s="55"/>
      <c r="I373" s="55"/>
    </row>
    <row r="374">
      <c r="A374" s="55"/>
      <c r="B374" s="55"/>
      <c r="C374" s="55"/>
      <c r="D374" s="55"/>
      <c r="E374" s="55"/>
      <c r="F374" s="55"/>
      <c r="G374" s="55"/>
      <c r="H374" s="55"/>
      <c r="I374" s="55"/>
    </row>
    <row r="375">
      <c r="A375" s="55"/>
      <c r="B375" s="55"/>
      <c r="C375" s="55"/>
      <c r="D375" s="55"/>
      <c r="E375" s="55"/>
      <c r="F375" s="55"/>
      <c r="G375" s="55"/>
      <c r="H375" s="55"/>
      <c r="I375" s="55"/>
    </row>
    <row r="376">
      <c r="A376" s="55"/>
      <c r="B376" s="55"/>
      <c r="C376" s="55"/>
      <c r="D376" s="55"/>
      <c r="E376" s="55"/>
      <c r="F376" s="55"/>
      <c r="G376" s="55"/>
      <c r="H376" s="55"/>
      <c r="I376" s="55"/>
    </row>
    <row r="377">
      <c r="A377" s="55"/>
      <c r="B377" s="55"/>
      <c r="C377" s="55"/>
      <c r="D377" s="55"/>
      <c r="E377" s="55"/>
      <c r="F377" s="55"/>
      <c r="G377" s="55"/>
      <c r="H377" s="55"/>
      <c r="I377" s="55"/>
    </row>
    <row r="378">
      <c r="A378" s="55"/>
      <c r="B378" s="55"/>
      <c r="C378" s="55"/>
      <c r="D378" s="55"/>
      <c r="E378" s="55"/>
      <c r="F378" s="55"/>
      <c r="G378" s="55"/>
      <c r="H378" s="55"/>
      <c r="I378" s="55"/>
    </row>
    <row r="379">
      <c r="A379" s="55"/>
      <c r="B379" s="55"/>
      <c r="C379" s="55"/>
      <c r="D379" s="55"/>
      <c r="E379" s="55"/>
      <c r="F379" s="55"/>
      <c r="G379" s="55"/>
      <c r="H379" s="55"/>
      <c r="I379" s="55"/>
    </row>
    <row r="380">
      <c r="A380" s="55"/>
      <c r="B380" s="55"/>
      <c r="C380" s="55"/>
      <c r="D380" s="55"/>
      <c r="E380" s="55"/>
      <c r="F380" s="55"/>
      <c r="G380" s="55"/>
      <c r="H380" s="55"/>
      <c r="I380" s="55"/>
    </row>
    <row r="381">
      <c r="A381" s="55"/>
      <c r="B381" s="55"/>
      <c r="C381" s="55"/>
      <c r="D381" s="55"/>
      <c r="E381" s="55"/>
      <c r="F381" s="55"/>
      <c r="G381" s="55"/>
      <c r="H381" s="55"/>
      <c r="I381" s="55"/>
    </row>
    <row r="382">
      <c r="A382" s="55"/>
      <c r="B382" s="55"/>
      <c r="C382" s="55"/>
      <c r="D382" s="55"/>
      <c r="E382" s="55"/>
      <c r="F382" s="55"/>
      <c r="G382" s="55"/>
      <c r="H382" s="55"/>
      <c r="I382" s="55"/>
    </row>
    <row r="383">
      <c r="A383" s="55"/>
      <c r="B383" s="55"/>
      <c r="C383" s="55"/>
      <c r="D383" s="55"/>
      <c r="E383" s="55"/>
      <c r="F383" s="55"/>
      <c r="G383" s="55"/>
      <c r="H383" s="55"/>
      <c r="I383" s="55"/>
    </row>
    <row r="384">
      <c r="A384" s="55"/>
      <c r="B384" s="55"/>
      <c r="C384" s="55"/>
      <c r="D384" s="55"/>
      <c r="E384" s="55"/>
      <c r="F384" s="55"/>
      <c r="G384" s="55"/>
      <c r="H384" s="55"/>
      <c r="I384" s="55"/>
    </row>
    <row r="385">
      <c r="A385" s="55"/>
      <c r="B385" s="55"/>
      <c r="C385" s="55"/>
      <c r="D385" s="55"/>
      <c r="E385" s="55"/>
      <c r="F385" s="55"/>
      <c r="G385" s="55"/>
      <c r="H385" s="55"/>
      <c r="I385" s="55"/>
    </row>
    <row r="386">
      <c r="A386" s="55"/>
      <c r="B386" s="55"/>
      <c r="C386" s="55"/>
      <c r="D386" s="55"/>
      <c r="E386" s="55"/>
      <c r="F386" s="55"/>
      <c r="G386" s="55"/>
      <c r="H386" s="55"/>
      <c r="I386" s="55"/>
    </row>
    <row r="387">
      <c r="A387" s="55"/>
      <c r="B387" s="55"/>
      <c r="C387" s="55"/>
      <c r="D387" s="55"/>
      <c r="E387" s="55"/>
      <c r="F387" s="55"/>
      <c r="G387" s="55"/>
      <c r="H387" s="55"/>
      <c r="I387" s="55"/>
    </row>
    <row r="388">
      <c r="A388" s="55"/>
      <c r="B388" s="55"/>
      <c r="C388" s="55"/>
      <c r="D388" s="55"/>
      <c r="E388" s="55"/>
      <c r="F388" s="55"/>
      <c r="G388" s="55"/>
      <c r="H388" s="55"/>
      <c r="I388" s="55"/>
    </row>
    <row r="389">
      <c r="A389" s="55"/>
      <c r="B389" s="55"/>
      <c r="C389" s="55"/>
      <c r="D389" s="55"/>
      <c r="E389" s="55"/>
      <c r="F389" s="55"/>
      <c r="G389" s="55"/>
      <c r="H389" s="55"/>
      <c r="I389" s="55"/>
    </row>
    <row r="390">
      <c r="A390" s="55"/>
      <c r="B390" s="55"/>
      <c r="C390" s="55"/>
      <c r="D390" s="55"/>
      <c r="E390" s="55"/>
      <c r="F390" s="55"/>
      <c r="G390" s="55"/>
      <c r="H390" s="55"/>
      <c r="I390" s="55"/>
    </row>
    <row r="391">
      <c r="A391" s="55"/>
      <c r="B391" s="55"/>
      <c r="C391" s="55"/>
      <c r="D391" s="55"/>
      <c r="E391" s="55"/>
      <c r="F391" s="55"/>
      <c r="G391" s="55"/>
      <c r="H391" s="55"/>
      <c r="I391" s="55"/>
    </row>
    <row r="392">
      <c r="A392" s="55"/>
      <c r="B392" s="55"/>
      <c r="C392" s="55"/>
      <c r="D392" s="55"/>
      <c r="E392" s="55"/>
      <c r="F392" s="55"/>
      <c r="G392" s="55"/>
      <c r="H392" s="55"/>
      <c r="I392" s="55"/>
    </row>
    <row r="393">
      <c r="A393" s="55"/>
      <c r="B393" s="55"/>
      <c r="C393" s="55"/>
      <c r="D393" s="55"/>
      <c r="E393" s="55"/>
      <c r="F393" s="55"/>
      <c r="G393" s="55"/>
      <c r="H393" s="55"/>
      <c r="I393" s="55"/>
    </row>
    <row r="394">
      <c r="A394" s="55"/>
      <c r="B394" s="55"/>
      <c r="C394" s="55"/>
      <c r="D394" s="55"/>
      <c r="E394" s="55"/>
      <c r="F394" s="55"/>
      <c r="G394" s="55"/>
      <c r="H394" s="55"/>
      <c r="I394" s="55"/>
    </row>
    <row r="395">
      <c r="A395" s="55"/>
      <c r="B395" s="55"/>
      <c r="C395" s="55"/>
      <c r="D395" s="55"/>
      <c r="E395" s="55"/>
      <c r="F395" s="55"/>
      <c r="G395" s="55"/>
      <c r="H395" s="55"/>
      <c r="I395" s="55"/>
    </row>
    <row r="396">
      <c r="A396" s="55"/>
      <c r="B396" s="55"/>
      <c r="C396" s="55"/>
      <c r="D396" s="55"/>
      <c r="E396" s="55"/>
      <c r="F396" s="55"/>
      <c r="G396" s="55"/>
      <c r="H396" s="55"/>
      <c r="I396" s="55"/>
    </row>
    <row r="397">
      <c r="A397" s="55"/>
      <c r="B397" s="55"/>
      <c r="C397" s="55"/>
      <c r="D397" s="55"/>
      <c r="E397" s="55"/>
      <c r="F397" s="55"/>
      <c r="G397" s="55"/>
      <c r="H397" s="55"/>
      <c r="I397" s="55"/>
    </row>
    <row r="398">
      <c r="A398" s="55"/>
      <c r="B398" s="55"/>
      <c r="C398" s="55"/>
      <c r="D398" s="55"/>
      <c r="E398" s="55"/>
      <c r="F398" s="55"/>
      <c r="G398" s="55"/>
      <c r="H398" s="55"/>
      <c r="I398" s="55"/>
    </row>
    <row r="399">
      <c r="A399" s="55"/>
      <c r="B399" s="55"/>
      <c r="C399" s="55"/>
      <c r="D399" s="55"/>
      <c r="E399" s="55"/>
      <c r="F399" s="55"/>
      <c r="G399" s="55"/>
      <c r="H399" s="55"/>
      <c r="I399" s="55"/>
    </row>
    <row r="400">
      <c r="A400" s="55"/>
      <c r="B400" s="55"/>
      <c r="C400" s="55"/>
      <c r="D400" s="55"/>
      <c r="E400" s="55"/>
      <c r="F400" s="55"/>
      <c r="G400" s="55"/>
      <c r="H400" s="55"/>
      <c r="I400" s="55"/>
    </row>
    <row r="401">
      <c r="A401" s="55"/>
      <c r="B401" s="55"/>
      <c r="C401" s="55"/>
      <c r="D401" s="55"/>
      <c r="E401" s="55"/>
      <c r="F401" s="55"/>
      <c r="G401" s="55"/>
      <c r="H401" s="55"/>
      <c r="I401" s="55"/>
    </row>
    <row r="402">
      <c r="A402" s="55"/>
      <c r="B402" s="55"/>
      <c r="C402" s="55"/>
      <c r="D402" s="55"/>
      <c r="E402" s="55"/>
      <c r="F402" s="55"/>
      <c r="G402" s="55"/>
      <c r="H402" s="55"/>
      <c r="I402" s="55"/>
    </row>
    <row r="403">
      <c r="A403" s="55"/>
      <c r="B403" s="55"/>
      <c r="C403" s="55"/>
      <c r="D403" s="55"/>
      <c r="E403" s="55"/>
      <c r="F403" s="55"/>
      <c r="G403" s="55"/>
      <c r="H403" s="55"/>
      <c r="I403" s="55"/>
    </row>
    <row r="404">
      <c r="A404" s="55"/>
      <c r="B404" s="55"/>
      <c r="C404" s="55"/>
      <c r="D404" s="55"/>
      <c r="E404" s="55"/>
      <c r="F404" s="55"/>
      <c r="G404" s="55"/>
      <c r="H404" s="55"/>
      <c r="I404" s="55"/>
    </row>
    <row r="405">
      <c r="A405" s="55"/>
      <c r="B405" s="55"/>
      <c r="C405" s="55"/>
      <c r="D405" s="55"/>
      <c r="E405" s="55"/>
      <c r="F405" s="55"/>
      <c r="G405" s="55"/>
      <c r="H405" s="55"/>
      <c r="I405" s="55"/>
    </row>
    <row r="406">
      <c r="A406" s="55"/>
      <c r="B406" s="55"/>
      <c r="C406" s="55"/>
      <c r="D406" s="55"/>
      <c r="E406" s="55"/>
      <c r="F406" s="55"/>
      <c r="G406" s="55"/>
      <c r="H406" s="55"/>
      <c r="I406" s="55"/>
    </row>
    <row r="407">
      <c r="A407" s="55"/>
      <c r="B407" s="55"/>
      <c r="C407" s="55"/>
      <c r="D407" s="55"/>
      <c r="E407" s="55"/>
      <c r="F407" s="55"/>
      <c r="G407" s="55"/>
      <c r="H407" s="55"/>
      <c r="I407" s="55"/>
    </row>
    <row r="408">
      <c r="A408" s="55"/>
      <c r="B408" s="55"/>
      <c r="C408" s="55"/>
      <c r="D408" s="55"/>
      <c r="E408" s="55"/>
      <c r="F408" s="55"/>
      <c r="G408" s="55"/>
      <c r="H408" s="55"/>
      <c r="I408" s="55"/>
    </row>
    <row r="409">
      <c r="A409" s="55"/>
      <c r="B409" s="55"/>
      <c r="C409" s="55"/>
      <c r="D409" s="55"/>
      <c r="E409" s="55"/>
      <c r="F409" s="55"/>
      <c r="G409" s="55"/>
      <c r="H409" s="55"/>
      <c r="I409" s="55"/>
    </row>
    <row r="410">
      <c r="A410" s="55"/>
      <c r="B410" s="55"/>
      <c r="C410" s="55"/>
      <c r="D410" s="55"/>
      <c r="E410" s="55"/>
      <c r="F410" s="55"/>
      <c r="G410" s="55"/>
      <c r="H410" s="55"/>
      <c r="I410" s="55"/>
    </row>
    <row r="411">
      <c r="A411" s="55"/>
      <c r="B411" s="55"/>
      <c r="C411" s="55"/>
      <c r="D411" s="55"/>
      <c r="E411" s="55"/>
      <c r="F411" s="55"/>
      <c r="G411" s="55"/>
      <c r="H411" s="55"/>
      <c r="I411" s="55"/>
    </row>
    <row r="412">
      <c r="A412" s="55"/>
      <c r="B412" s="55"/>
      <c r="C412" s="55"/>
      <c r="D412" s="55"/>
      <c r="E412" s="55"/>
      <c r="F412" s="55"/>
      <c r="G412" s="55"/>
      <c r="H412" s="55"/>
      <c r="I412" s="55"/>
    </row>
    <row r="413">
      <c r="A413" s="55"/>
      <c r="B413" s="55"/>
      <c r="C413" s="55"/>
      <c r="D413" s="55"/>
      <c r="E413" s="55"/>
      <c r="F413" s="55"/>
      <c r="G413" s="55"/>
      <c r="H413" s="55"/>
      <c r="I413" s="55"/>
    </row>
    <row r="414">
      <c r="A414" s="55"/>
      <c r="B414" s="55"/>
      <c r="C414" s="55"/>
      <c r="D414" s="55"/>
      <c r="E414" s="55"/>
      <c r="F414" s="55"/>
      <c r="G414" s="55"/>
      <c r="H414" s="55"/>
      <c r="I414" s="55"/>
    </row>
    <row r="415">
      <c r="A415" s="55"/>
      <c r="B415" s="55"/>
      <c r="C415" s="55"/>
      <c r="D415" s="55"/>
      <c r="E415" s="55"/>
      <c r="F415" s="55"/>
      <c r="G415" s="55"/>
      <c r="H415" s="55"/>
      <c r="I415" s="55"/>
    </row>
    <row r="416">
      <c r="A416" s="55"/>
      <c r="B416" s="55"/>
      <c r="C416" s="55"/>
      <c r="D416" s="55"/>
      <c r="E416" s="55"/>
      <c r="F416" s="55"/>
      <c r="G416" s="55"/>
      <c r="H416" s="55"/>
      <c r="I416" s="55"/>
    </row>
    <row r="417">
      <c r="A417" s="55"/>
      <c r="B417" s="55"/>
      <c r="C417" s="55"/>
      <c r="D417" s="55"/>
      <c r="E417" s="55"/>
      <c r="F417" s="55"/>
      <c r="G417" s="55"/>
      <c r="H417" s="55"/>
      <c r="I417" s="55"/>
    </row>
    <row r="418">
      <c r="A418" s="55"/>
      <c r="B418" s="55"/>
      <c r="C418" s="55"/>
      <c r="D418" s="55"/>
      <c r="E418" s="55"/>
      <c r="F418" s="55"/>
      <c r="G418" s="55"/>
      <c r="H418" s="55"/>
      <c r="I418" s="55"/>
    </row>
    <row r="419">
      <c r="A419" s="55"/>
      <c r="B419" s="55"/>
      <c r="C419" s="55"/>
      <c r="D419" s="55"/>
      <c r="E419" s="55"/>
      <c r="F419" s="55"/>
      <c r="G419" s="55"/>
      <c r="H419" s="55"/>
      <c r="I419" s="55"/>
    </row>
    <row r="420">
      <c r="A420" s="55"/>
      <c r="B420" s="55"/>
      <c r="C420" s="55"/>
      <c r="D420" s="55"/>
      <c r="E420" s="55"/>
      <c r="F420" s="55"/>
      <c r="G420" s="55"/>
      <c r="H420" s="55"/>
      <c r="I420" s="55"/>
    </row>
    <row r="421">
      <c r="A421" s="55"/>
      <c r="B421" s="55"/>
      <c r="C421" s="55"/>
      <c r="D421" s="55"/>
      <c r="E421" s="55"/>
      <c r="F421" s="55"/>
      <c r="G421" s="55"/>
      <c r="H421" s="55"/>
      <c r="I421" s="55"/>
    </row>
    <row r="422">
      <c r="A422" s="55"/>
      <c r="B422" s="55"/>
      <c r="C422" s="55"/>
      <c r="D422" s="55"/>
      <c r="E422" s="55"/>
      <c r="F422" s="55"/>
      <c r="G422" s="55"/>
      <c r="H422" s="55"/>
      <c r="I422" s="55"/>
    </row>
    <row r="423">
      <c r="A423" s="55"/>
      <c r="B423" s="55"/>
      <c r="C423" s="55"/>
      <c r="D423" s="55"/>
      <c r="E423" s="55"/>
      <c r="F423" s="55"/>
      <c r="G423" s="55"/>
      <c r="H423" s="55"/>
      <c r="I423" s="55"/>
    </row>
    <row r="424">
      <c r="A424" s="55"/>
      <c r="B424" s="55"/>
      <c r="C424" s="55"/>
      <c r="D424" s="55"/>
      <c r="E424" s="55"/>
      <c r="F424" s="55"/>
      <c r="G424" s="55"/>
      <c r="H424" s="55"/>
      <c r="I424" s="55"/>
    </row>
    <row r="425">
      <c r="A425" s="55"/>
      <c r="B425" s="55"/>
      <c r="C425" s="55"/>
      <c r="D425" s="55"/>
      <c r="E425" s="55"/>
      <c r="F425" s="55"/>
      <c r="G425" s="55"/>
      <c r="H425" s="55"/>
      <c r="I425" s="55"/>
    </row>
    <row r="426">
      <c r="A426" s="55"/>
      <c r="B426" s="55"/>
      <c r="C426" s="55"/>
      <c r="D426" s="55"/>
      <c r="E426" s="55"/>
      <c r="F426" s="55"/>
      <c r="G426" s="55"/>
      <c r="H426" s="55"/>
      <c r="I426" s="55"/>
    </row>
    <row r="427">
      <c r="A427" s="55"/>
      <c r="B427" s="55"/>
      <c r="C427" s="55"/>
      <c r="D427" s="55"/>
      <c r="E427" s="55"/>
      <c r="F427" s="55"/>
      <c r="G427" s="55"/>
      <c r="H427" s="55"/>
      <c r="I427" s="55"/>
    </row>
    <row r="428">
      <c r="A428" s="55"/>
      <c r="B428" s="55"/>
      <c r="C428" s="55"/>
      <c r="D428" s="55"/>
      <c r="E428" s="55"/>
      <c r="F428" s="55"/>
      <c r="G428" s="55"/>
      <c r="H428" s="55"/>
      <c r="I428" s="55"/>
    </row>
    <row r="429">
      <c r="A429" s="55"/>
      <c r="B429" s="55"/>
      <c r="C429" s="55"/>
      <c r="D429" s="55"/>
      <c r="E429" s="55"/>
      <c r="F429" s="55"/>
      <c r="G429" s="55"/>
      <c r="H429" s="55"/>
      <c r="I429" s="55"/>
    </row>
    <row r="430">
      <c r="A430" s="55"/>
      <c r="B430" s="55"/>
      <c r="C430" s="55"/>
      <c r="D430" s="55"/>
      <c r="E430" s="55"/>
      <c r="F430" s="55"/>
      <c r="G430" s="55"/>
      <c r="H430" s="55"/>
      <c r="I430" s="55"/>
    </row>
    <row r="431">
      <c r="A431" s="55"/>
      <c r="B431" s="55"/>
      <c r="C431" s="55"/>
      <c r="D431" s="55"/>
      <c r="E431" s="55"/>
      <c r="F431" s="55"/>
      <c r="G431" s="55"/>
      <c r="H431" s="55"/>
      <c r="I431" s="55"/>
    </row>
    <row r="432">
      <c r="A432" s="55"/>
      <c r="B432" s="55"/>
      <c r="C432" s="55"/>
      <c r="D432" s="55"/>
      <c r="E432" s="55"/>
      <c r="F432" s="55"/>
      <c r="G432" s="55"/>
      <c r="H432" s="55"/>
      <c r="I432" s="55"/>
    </row>
    <row r="433">
      <c r="A433" s="55"/>
      <c r="B433" s="55"/>
      <c r="C433" s="55"/>
      <c r="D433" s="55"/>
      <c r="E433" s="55"/>
      <c r="F433" s="55"/>
      <c r="G433" s="55"/>
      <c r="H433" s="55"/>
      <c r="I433" s="55"/>
    </row>
    <row r="434">
      <c r="A434" s="55"/>
      <c r="B434" s="55"/>
      <c r="C434" s="55"/>
      <c r="D434" s="55"/>
      <c r="E434" s="55"/>
      <c r="F434" s="55"/>
      <c r="G434" s="55"/>
      <c r="H434" s="55"/>
      <c r="I434" s="55"/>
    </row>
    <row r="435">
      <c r="A435" s="55"/>
      <c r="B435" s="55"/>
      <c r="C435" s="55"/>
      <c r="D435" s="55"/>
      <c r="E435" s="55"/>
      <c r="F435" s="55"/>
      <c r="G435" s="55"/>
      <c r="H435" s="55"/>
      <c r="I435" s="55"/>
    </row>
    <row r="436">
      <c r="A436" s="55"/>
      <c r="B436" s="55"/>
      <c r="C436" s="55"/>
      <c r="D436" s="55"/>
      <c r="E436" s="55"/>
      <c r="F436" s="55"/>
      <c r="G436" s="55"/>
      <c r="H436" s="55"/>
      <c r="I436" s="55"/>
    </row>
    <row r="437">
      <c r="A437" s="55"/>
      <c r="B437" s="55"/>
      <c r="C437" s="55"/>
      <c r="D437" s="55"/>
      <c r="E437" s="55"/>
      <c r="F437" s="55"/>
      <c r="G437" s="55"/>
      <c r="H437" s="55"/>
      <c r="I437" s="55"/>
    </row>
    <row r="438">
      <c r="A438" s="55"/>
      <c r="B438" s="55"/>
      <c r="C438" s="55"/>
      <c r="D438" s="55"/>
      <c r="E438" s="55"/>
      <c r="F438" s="55"/>
      <c r="G438" s="55"/>
      <c r="H438" s="55"/>
      <c r="I438" s="55"/>
    </row>
    <row r="439">
      <c r="A439" s="55"/>
      <c r="B439" s="55"/>
      <c r="C439" s="55"/>
      <c r="D439" s="55"/>
      <c r="E439" s="55"/>
      <c r="F439" s="55"/>
      <c r="G439" s="55"/>
      <c r="H439" s="55"/>
      <c r="I439" s="55"/>
    </row>
    <row r="440">
      <c r="A440" s="55"/>
      <c r="B440" s="55"/>
      <c r="C440" s="55"/>
      <c r="D440" s="55"/>
      <c r="E440" s="55"/>
      <c r="F440" s="55"/>
      <c r="G440" s="55"/>
      <c r="H440" s="55"/>
      <c r="I440" s="55"/>
    </row>
    <row r="441">
      <c r="A441" s="55"/>
      <c r="B441" s="55"/>
      <c r="C441" s="55"/>
      <c r="D441" s="55"/>
      <c r="E441" s="55"/>
      <c r="F441" s="55"/>
      <c r="G441" s="55"/>
      <c r="H441" s="55"/>
      <c r="I441" s="55"/>
    </row>
    <row r="442">
      <c r="A442" s="55"/>
      <c r="B442" s="55"/>
      <c r="C442" s="55"/>
      <c r="D442" s="55"/>
      <c r="E442" s="55"/>
      <c r="F442" s="55"/>
      <c r="G442" s="55"/>
      <c r="H442" s="55"/>
      <c r="I442" s="55"/>
    </row>
    <row r="443">
      <c r="A443" s="55"/>
      <c r="B443" s="55"/>
      <c r="C443" s="55"/>
      <c r="D443" s="55"/>
      <c r="E443" s="55"/>
      <c r="F443" s="55"/>
      <c r="G443" s="55"/>
      <c r="H443" s="55"/>
      <c r="I443" s="55"/>
    </row>
    <row r="444">
      <c r="A444" s="55"/>
      <c r="B444" s="55"/>
      <c r="C444" s="55"/>
      <c r="D444" s="55"/>
      <c r="E444" s="55"/>
      <c r="F444" s="55"/>
      <c r="G444" s="55"/>
      <c r="H444" s="55"/>
      <c r="I444" s="55"/>
    </row>
    <row r="445">
      <c r="A445" s="55"/>
      <c r="B445" s="55"/>
      <c r="C445" s="55"/>
      <c r="D445" s="55"/>
      <c r="E445" s="55"/>
      <c r="F445" s="55"/>
      <c r="G445" s="55"/>
      <c r="H445" s="55"/>
      <c r="I445" s="55"/>
    </row>
    <row r="446">
      <c r="A446" s="55"/>
      <c r="B446" s="55"/>
      <c r="C446" s="55"/>
      <c r="D446" s="55"/>
      <c r="E446" s="55"/>
      <c r="F446" s="55"/>
      <c r="G446" s="55"/>
      <c r="H446" s="55"/>
      <c r="I446" s="55"/>
    </row>
    <row r="447">
      <c r="A447" s="55"/>
      <c r="B447" s="55"/>
      <c r="C447" s="55"/>
      <c r="D447" s="55"/>
      <c r="E447" s="55"/>
      <c r="F447" s="55"/>
      <c r="G447" s="55"/>
      <c r="H447" s="55"/>
      <c r="I447" s="55"/>
    </row>
    <row r="448">
      <c r="A448" s="55"/>
      <c r="B448" s="55"/>
      <c r="C448" s="55"/>
      <c r="D448" s="55"/>
      <c r="E448" s="55"/>
      <c r="F448" s="55"/>
      <c r="G448" s="55"/>
      <c r="H448" s="55"/>
      <c r="I448" s="55"/>
    </row>
    <row r="449">
      <c r="A449" s="55"/>
      <c r="B449" s="55"/>
      <c r="C449" s="55"/>
      <c r="D449" s="55"/>
      <c r="E449" s="55"/>
      <c r="F449" s="55"/>
      <c r="G449" s="55"/>
      <c r="H449" s="55"/>
      <c r="I449" s="55"/>
    </row>
    <row r="450">
      <c r="A450" s="55"/>
      <c r="B450" s="55"/>
      <c r="C450" s="55"/>
      <c r="D450" s="55"/>
      <c r="E450" s="55"/>
      <c r="F450" s="55"/>
      <c r="G450" s="55"/>
      <c r="H450" s="55"/>
      <c r="I450" s="55"/>
    </row>
    <row r="451">
      <c r="A451" s="55"/>
      <c r="B451" s="55"/>
      <c r="C451" s="55"/>
      <c r="D451" s="55"/>
      <c r="E451" s="55"/>
      <c r="F451" s="55"/>
      <c r="G451" s="55"/>
      <c r="H451" s="55"/>
      <c r="I451" s="55"/>
    </row>
    <row r="452">
      <c r="A452" s="55"/>
      <c r="B452" s="55"/>
      <c r="C452" s="55"/>
      <c r="D452" s="55"/>
      <c r="E452" s="55"/>
      <c r="F452" s="55"/>
      <c r="G452" s="55"/>
      <c r="H452" s="55"/>
      <c r="I452" s="55"/>
    </row>
    <row r="453">
      <c r="A453" s="55"/>
      <c r="B453" s="55"/>
      <c r="C453" s="55"/>
      <c r="D453" s="55"/>
      <c r="E453" s="55"/>
      <c r="F453" s="55"/>
      <c r="G453" s="55"/>
      <c r="H453" s="55"/>
      <c r="I453" s="55"/>
    </row>
    <row r="454">
      <c r="A454" s="55"/>
      <c r="B454" s="55"/>
      <c r="C454" s="55"/>
      <c r="D454" s="55"/>
      <c r="E454" s="55"/>
      <c r="F454" s="55"/>
      <c r="G454" s="55"/>
      <c r="H454" s="55"/>
      <c r="I454" s="55"/>
    </row>
    <row r="455">
      <c r="A455" s="55"/>
      <c r="B455" s="55"/>
      <c r="C455" s="55"/>
      <c r="D455" s="55"/>
      <c r="E455" s="55"/>
      <c r="F455" s="55"/>
      <c r="G455" s="55"/>
      <c r="H455" s="55"/>
      <c r="I455" s="55"/>
    </row>
    <row r="456">
      <c r="A456" s="55"/>
      <c r="B456" s="55"/>
      <c r="C456" s="55"/>
      <c r="D456" s="55"/>
      <c r="E456" s="55"/>
      <c r="F456" s="55"/>
      <c r="G456" s="55"/>
      <c r="H456" s="55"/>
      <c r="I456" s="55"/>
    </row>
    <row r="457">
      <c r="A457" s="55"/>
      <c r="B457" s="55"/>
      <c r="C457" s="55"/>
      <c r="D457" s="55"/>
      <c r="E457" s="55"/>
      <c r="F457" s="55"/>
      <c r="G457" s="55"/>
      <c r="H457" s="55"/>
      <c r="I457" s="55"/>
    </row>
    <row r="458">
      <c r="A458" s="55"/>
      <c r="B458" s="55"/>
      <c r="C458" s="55"/>
      <c r="D458" s="55"/>
      <c r="E458" s="55"/>
      <c r="F458" s="55"/>
      <c r="G458" s="55"/>
      <c r="H458" s="55"/>
      <c r="I458" s="55"/>
    </row>
    <row r="459">
      <c r="A459" s="55"/>
      <c r="B459" s="55"/>
      <c r="C459" s="55"/>
      <c r="D459" s="55"/>
      <c r="E459" s="55"/>
      <c r="F459" s="55"/>
      <c r="G459" s="55"/>
      <c r="H459" s="55"/>
      <c r="I459" s="55"/>
    </row>
    <row r="460">
      <c r="A460" s="55"/>
      <c r="B460" s="55"/>
      <c r="C460" s="55"/>
      <c r="D460" s="55"/>
      <c r="E460" s="55"/>
      <c r="F460" s="55"/>
      <c r="G460" s="55"/>
      <c r="H460" s="55"/>
      <c r="I460" s="55"/>
    </row>
    <row r="461">
      <c r="A461" s="55"/>
      <c r="B461" s="55"/>
      <c r="C461" s="55"/>
      <c r="D461" s="55"/>
      <c r="E461" s="55"/>
      <c r="F461" s="55"/>
      <c r="G461" s="55"/>
      <c r="H461" s="55"/>
      <c r="I461" s="55"/>
    </row>
    <row r="462">
      <c r="A462" s="55"/>
      <c r="B462" s="55"/>
      <c r="C462" s="55"/>
      <c r="D462" s="55"/>
      <c r="E462" s="55"/>
      <c r="F462" s="55"/>
      <c r="G462" s="55"/>
      <c r="H462" s="55"/>
      <c r="I462" s="55"/>
    </row>
    <row r="463">
      <c r="A463" s="55"/>
      <c r="B463" s="55"/>
      <c r="C463" s="55"/>
      <c r="D463" s="55"/>
      <c r="E463" s="55"/>
      <c r="F463" s="55"/>
      <c r="G463" s="55"/>
      <c r="H463" s="55"/>
      <c r="I463" s="55"/>
    </row>
    <row r="464">
      <c r="A464" s="55"/>
      <c r="B464" s="55"/>
      <c r="C464" s="55"/>
      <c r="D464" s="55"/>
      <c r="E464" s="55"/>
      <c r="F464" s="55"/>
      <c r="G464" s="55"/>
      <c r="H464" s="55"/>
      <c r="I464" s="55"/>
    </row>
    <row r="465">
      <c r="A465" s="55"/>
      <c r="B465" s="55"/>
      <c r="C465" s="55"/>
      <c r="D465" s="55"/>
      <c r="E465" s="55"/>
      <c r="F465" s="55"/>
      <c r="G465" s="55"/>
      <c r="H465" s="55"/>
      <c r="I465" s="55"/>
    </row>
    <row r="466">
      <c r="A466" s="55"/>
      <c r="B466" s="55"/>
      <c r="C466" s="55"/>
      <c r="D466" s="55"/>
      <c r="E466" s="55"/>
      <c r="F466" s="55"/>
      <c r="G466" s="55"/>
      <c r="H466" s="55"/>
      <c r="I466" s="55"/>
    </row>
    <row r="467">
      <c r="A467" s="55"/>
      <c r="B467" s="55"/>
      <c r="C467" s="55"/>
      <c r="D467" s="55"/>
      <c r="E467" s="55"/>
      <c r="F467" s="55"/>
      <c r="G467" s="55"/>
      <c r="H467" s="55"/>
      <c r="I467" s="55"/>
    </row>
    <row r="468">
      <c r="A468" s="55"/>
      <c r="B468" s="55"/>
      <c r="C468" s="55"/>
      <c r="D468" s="55"/>
      <c r="E468" s="55"/>
      <c r="F468" s="55"/>
      <c r="G468" s="55"/>
      <c r="H468" s="55"/>
      <c r="I468" s="55"/>
    </row>
    <row r="469">
      <c r="A469" s="55"/>
      <c r="B469" s="55"/>
      <c r="C469" s="55"/>
      <c r="D469" s="55"/>
      <c r="E469" s="55"/>
      <c r="F469" s="55"/>
      <c r="G469" s="55"/>
      <c r="H469" s="55"/>
      <c r="I469" s="55"/>
    </row>
    <row r="470">
      <c r="A470" s="55"/>
      <c r="B470" s="55"/>
      <c r="C470" s="55"/>
      <c r="D470" s="55"/>
      <c r="E470" s="55"/>
      <c r="F470" s="55"/>
      <c r="G470" s="55"/>
      <c r="H470" s="55"/>
      <c r="I470" s="55"/>
    </row>
    <row r="471">
      <c r="A471" s="55"/>
      <c r="B471" s="55"/>
      <c r="C471" s="55"/>
      <c r="D471" s="55"/>
      <c r="E471" s="55"/>
      <c r="F471" s="55"/>
      <c r="G471" s="55"/>
      <c r="H471" s="55"/>
      <c r="I471" s="55"/>
    </row>
    <row r="472">
      <c r="A472" s="55"/>
      <c r="B472" s="55"/>
      <c r="C472" s="55"/>
      <c r="D472" s="55"/>
      <c r="E472" s="55"/>
      <c r="F472" s="55"/>
      <c r="G472" s="55"/>
      <c r="H472" s="55"/>
      <c r="I472" s="55"/>
    </row>
    <row r="473">
      <c r="A473" s="55"/>
      <c r="B473" s="55"/>
      <c r="C473" s="55"/>
      <c r="D473" s="55"/>
      <c r="E473" s="55"/>
      <c r="F473" s="55"/>
      <c r="G473" s="55"/>
      <c r="H473" s="55"/>
      <c r="I473" s="55"/>
    </row>
    <row r="474">
      <c r="A474" s="55"/>
      <c r="B474" s="55"/>
      <c r="C474" s="55"/>
      <c r="D474" s="55"/>
      <c r="E474" s="55"/>
      <c r="F474" s="55"/>
      <c r="G474" s="55"/>
      <c r="H474" s="55"/>
      <c r="I474" s="55"/>
    </row>
    <row r="475">
      <c r="A475" s="55"/>
      <c r="B475" s="55"/>
      <c r="C475" s="55"/>
      <c r="D475" s="55"/>
      <c r="E475" s="55"/>
      <c r="F475" s="55"/>
      <c r="G475" s="55"/>
      <c r="H475" s="55"/>
      <c r="I475" s="55"/>
    </row>
    <row r="476">
      <c r="A476" s="55"/>
      <c r="B476" s="55"/>
      <c r="C476" s="55"/>
      <c r="D476" s="55"/>
      <c r="E476" s="55"/>
      <c r="F476" s="55"/>
      <c r="G476" s="55"/>
      <c r="H476" s="55"/>
      <c r="I476" s="55"/>
    </row>
    <row r="477">
      <c r="A477" s="55"/>
      <c r="B477" s="55"/>
      <c r="C477" s="55"/>
      <c r="D477" s="55"/>
      <c r="E477" s="55"/>
      <c r="F477" s="55"/>
      <c r="G477" s="55"/>
      <c r="H477" s="55"/>
      <c r="I477" s="55"/>
    </row>
    <row r="478">
      <c r="A478" s="55"/>
      <c r="B478" s="55"/>
      <c r="C478" s="55"/>
      <c r="D478" s="55"/>
      <c r="E478" s="55"/>
      <c r="F478" s="55"/>
      <c r="G478" s="55"/>
      <c r="H478" s="55"/>
      <c r="I478" s="55"/>
    </row>
    <row r="479">
      <c r="A479" s="55"/>
      <c r="B479" s="55"/>
      <c r="C479" s="55"/>
      <c r="D479" s="55"/>
      <c r="E479" s="55"/>
      <c r="F479" s="55"/>
      <c r="G479" s="55"/>
      <c r="H479" s="55"/>
      <c r="I479" s="55"/>
    </row>
    <row r="480">
      <c r="A480" s="55"/>
      <c r="B480" s="55"/>
      <c r="C480" s="55"/>
      <c r="D480" s="55"/>
      <c r="E480" s="55"/>
      <c r="F480" s="55"/>
      <c r="G480" s="55"/>
      <c r="H480" s="55"/>
      <c r="I480" s="55"/>
    </row>
    <row r="481">
      <c r="A481" s="55"/>
      <c r="B481" s="55"/>
      <c r="C481" s="55"/>
      <c r="D481" s="55"/>
      <c r="E481" s="55"/>
      <c r="F481" s="55"/>
      <c r="G481" s="55"/>
      <c r="H481" s="55"/>
      <c r="I481" s="55"/>
    </row>
    <row r="482">
      <c r="A482" s="55"/>
      <c r="B482" s="55"/>
      <c r="C482" s="55"/>
      <c r="D482" s="55"/>
      <c r="E482" s="55"/>
      <c r="F482" s="55"/>
      <c r="G482" s="55"/>
      <c r="H482" s="55"/>
      <c r="I482" s="55"/>
    </row>
    <row r="483">
      <c r="A483" s="55"/>
      <c r="B483" s="55"/>
      <c r="C483" s="55"/>
      <c r="D483" s="55"/>
      <c r="E483" s="55"/>
      <c r="F483" s="55"/>
      <c r="G483" s="55"/>
      <c r="H483" s="55"/>
      <c r="I483" s="55"/>
    </row>
    <row r="484">
      <c r="A484" s="55"/>
      <c r="B484" s="55"/>
      <c r="C484" s="55"/>
      <c r="D484" s="55"/>
      <c r="E484" s="55"/>
      <c r="F484" s="55"/>
      <c r="G484" s="55"/>
      <c r="H484" s="55"/>
      <c r="I484" s="55"/>
    </row>
    <row r="485">
      <c r="A485" s="55"/>
      <c r="B485" s="55"/>
      <c r="C485" s="55"/>
      <c r="D485" s="55"/>
      <c r="E485" s="55"/>
      <c r="F485" s="55"/>
      <c r="G485" s="55"/>
      <c r="H485" s="55"/>
      <c r="I485" s="55"/>
    </row>
    <row r="486">
      <c r="A486" s="55"/>
      <c r="B486" s="55"/>
      <c r="C486" s="55"/>
      <c r="D486" s="55"/>
      <c r="E486" s="55"/>
      <c r="F486" s="55"/>
      <c r="G486" s="55"/>
      <c r="H486" s="55"/>
      <c r="I486" s="55"/>
    </row>
    <row r="487">
      <c r="A487" s="55"/>
      <c r="B487" s="55"/>
      <c r="C487" s="55"/>
      <c r="D487" s="55"/>
      <c r="E487" s="55"/>
      <c r="F487" s="55"/>
      <c r="G487" s="55"/>
      <c r="H487" s="55"/>
      <c r="I487" s="55"/>
    </row>
    <row r="488">
      <c r="A488" s="55"/>
      <c r="B488" s="55"/>
      <c r="C488" s="55"/>
      <c r="D488" s="55"/>
      <c r="E488" s="55"/>
      <c r="F488" s="55"/>
      <c r="G488" s="55"/>
      <c r="H488" s="55"/>
      <c r="I488" s="55"/>
    </row>
    <row r="489">
      <c r="A489" s="55"/>
      <c r="B489" s="55"/>
      <c r="C489" s="55"/>
      <c r="D489" s="55"/>
      <c r="E489" s="55"/>
      <c r="F489" s="55"/>
      <c r="G489" s="55"/>
      <c r="H489" s="55"/>
      <c r="I489" s="55"/>
    </row>
    <row r="490">
      <c r="A490" s="55"/>
      <c r="B490" s="55"/>
      <c r="C490" s="55"/>
      <c r="D490" s="55"/>
      <c r="E490" s="55"/>
      <c r="F490" s="55"/>
      <c r="G490" s="55"/>
      <c r="H490" s="55"/>
      <c r="I490" s="55"/>
    </row>
    <row r="491">
      <c r="A491" s="55"/>
      <c r="B491" s="55"/>
      <c r="C491" s="55"/>
      <c r="D491" s="55"/>
      <c r="E491" s="55"/>
      <c r="F491" s="55"/>
      <c r="G491" s="55"/>
      <c r="H491" s="55"/>
      <c r="I491" s="55"/>
    </row>
    <row r="492">
      <c r="A492" s="55"/>
      <c r="B492" s="55"/>
      <c r="C492" s="55"/>
      <c r="D492" s="55"/>
      <c r="E492" s="55"/>
      <c r="F492" s="55"/>
      <c r="G492" s="55"/>
      <c r="H492" s="55"/>
      <c r="I492" s="55"/>
    </row>
    <row r="493">
      <c r="A493" s="55"/>
      <c r="B493" s="55"/>
      <c r="C493" s="55"/>
      <c r="D493" s="55"/>
      <c r="E493" s="55"/>
      <c r="F493" s="55"/>
      <c r="G493" s="55"/>
      <c r="H493" s="55"/>
      <c r="I493" s="55"/>
    </row>
    <row r="494">
      <c r="A494" s="55"/>
      <c r="B494" s="55"/>
      <c r="C494" s="55"/>
      <c r="D494" s="55"/>
      <c r="E494" s="55"/>
      <c r="F494" s="55"/>
      <c r="G494" s="55"/>
      <c r="H494" s="55"/>
      <c r="I494" s="55"/>
    </row>
    <row r="495">
      <c r="A495" s="55"/>
      <c r="B495" s="55"/>
      <c r="C495" s="55"/>
      <c r="D495" s="55"/>
      <c r="E495" s="55"/>
      <c r="F495" s="55"/>
      <c r="G495" s="55"/>
      <c r="H495" s="55"/>
      <c r="I495" s="55"/>
    </row>
    <row r="496">
      <c r="A496" s="55"/>
      <c r="B496" s="55"/>
      <c r="C496" s="55"/>
      <c r="D496" s="55"/>
      <c r="E496" s="55"/>
      <c r="F496" s="55"/>
      <c r="G496" s="55"/>
      <c r="H496" s="55"/>
      <c r="I496" s="55"/>
    </row>
    <row r="497">
      <c r="A497" s="55"/>
      <c r="B497" s="55"/>
      <c r="C497" s="55"/>
      <c r="D497" s="55"/>
      <c r="E497" s="55"/>
      <c r="F497" s="55"/>
      <c r="G497" s="55"/>
      <c r="H497" s="55"/>
      <c r="I497" s="55"/>
    </row>
    <row r="498">
      <c r="A498" s="55"/>
      <c r="B498" s="55"/>
      <c r="C498" s="55"/>
      <c r="D498" s="55"/>
      <c r="E498" s="55"/>
      <c r="F498" s="55"/>
      <c r="G498" s="55"/>
      <c r="H498" s="55"/>
      <c r="I498" s="55"/>
    </row>
    <row r="499">
      <c r="A499" s="55"/>
      <c r="B499" s="55"/>
      <c r="C499" s="55"/>
      <c r="D499" s="55"/>
      <c r="E499" s="55"/>
      <c r="F499" s="55"/>
      <c r="G499" s="55"/>
      <c r="H499" s="55"/>
      <c r="I499" s="55"/>
    </row>
    <row r="500">
      <c r="A500" s="55"/>
      <c r="B500" s="55"/>
      <c r="C500" s="55"/>
      <c r="D500" s="55"/>
      <c r="E500" s="55"/>
      <c r="F500" s="55"/>
      <c r="G500" s="55"/>
      <c r="H500" s="55"/>
      <c r="I500" s="55"/>
    </row>
    <row r="501">
      <c r="A501" s="55"/>
      <c r="B501" s="55"/>
      <c r="C501" s="55"/>
      <c r="D501" s="55"/>
      <c r="E501" s="55"/>
      <c r="F501" s="55"/>
      <c r="G501" s="55"/>
      <c r="H501" s="55"/>
      <c r="I501" s="55"/>
    </row>
    <row r="502">
      <c r="A502" s="55"/>
      <c r="B502" s="55"/>
      <c r="C502" s="55"/>
      <c r="D502" s="55"/>
      <c r="E502" s="55"/>
      <c r="F502" s="55"/>
      <c r="G502" s="55"/>
      <c r="H502" s="55"/>
      <c r="I502" s="55"/>
    </row>
    <row r="503">
      <c r="A503" s="55"/>
      <c r="B503" s="55"/>
      <c r="C503" s="55"/>
      <c r="D503" s="55"/>
      <c r="E503" s="55"/>
      <c r="F503" s="55"/>
      <c r="G503" s="55"/>
      <c r="H503" s="55"/>
      <c r="I503" s="55"/>
    </row>
    <row r="504">
      <c r="A504" s="55"/>
      <c r="B504" s="55"/>
      <c r="C504" s="55"/>
      <c r="D504" s="55"/>
      <c r="E504" s="55"/>
      <c r="F504" s="55"/>
      <c r="G504" s="55"/>
      <c r="H504" s="55"/>
      <c r="I504" s="55"/>
    </row>
    <row r="505">
      <c r="A505" s="55"/>
      <c r="B505" s="55"/>
      <c r="C505" s="55"/>
      <c r="D505" s="55"/>
      <c r="E505" s="55"/>
      <c r="F505" s="55"/>
      <c r="G505" s="55"/>
      <c r="H505" s="55"/>
      <c r="I505" s="55"/>
    </row>
    <row r="506">
      <c r="A506" s="55"/>
      <c r="B506" s="55"/>
      <c r="C506" s="55"/>
      <c r="D506" s="55"/>
      <c r="E506" s="55"/>
      <c r="F506" s="55"/>
      <c r="G506" s="55"/>
      <c r="H506" s="55"/>
      <c r="I506" s="55"/>
    </row>
    <row r="507">
      <c r="A507" s="55"/>
      <c r="B507" s="55"/>
      <c r="C507" s="55"/>
      <c r="D507" s="55"/>
      <c r="E507" s="55"/>
      <c r="F507" s="55"/>
      <c r="G507" s="55"/>
      <c r="H507" s="55"/>
      <c r="I507" s="55"/>
    </row>
    <row r="508">
      <c r="A508" s="55"/>
      <c r="B508" s="55"/>
      <c r="C508" s="55"/>
      <c r="D508" s="55"/>
      <c r="E508" s="55"/>
      <c r="F508" s="55"/>
      <c r="G508" s="55"/>
      <c r="H508" s="55"/>
      <c r="I508" s="55"/>
    </row>
    <row r="509">
      <c r="A509" s="55"/>
      <c r="B509" s="55"/>
      <c r="C509" s="55"/>
      <c r="D509" s="55"/>
      <c r="E509" s="55"/>
      <c r="F509" s="55"/>
      <c r="G509" s="55"/>
      <c r="H509" s="55"/>
      <c r="I509" s="55"/>
    </row>
    <row r="510">
      <c r="A510" s="55"/>
      <c r="B510" s="55"/>
      <c r="C510" s="55"/>
      <c r="D510" s="55"/>
      <c r="E510" s="55"/>
      <c r="F510" s="55"/>
      <c r="G510" s="55"/>
      <c r="H510" s="55"/>
      <c r="I510" s="55"/>
    </row>
    <row r="511">
      <c r="A511" s="55"/>
      <c r="B511" s="55"/>
      <c r="C511" s="55"/>
      <c r="D511" s="55"/>
      <c r="E511" s="55"/>
      <c r="F511" s="55"/>
      <c r="G511" s="55"/>
      <c r="H511" s="55"/>
      <c r="I511" s="55"/>
    </row>
    <row r="512">
      <c r="A512" s="55"/>
      <c r="B512" s="55"/>
      <c r="C512" s="55"/>
      <c r="D512" s="55"/>
      <c r="E512" s="55"/>
      <c r="F512" s="55"/>
      <c r="G512" s="55"/>
      <c r="H512" s="55"/>
      <c r="I512" s="55"/>
    </row>
    <row r="513">
      <c r="A513" s="55"/>
      <c r="B513" s="55"/>
      <c r="C513" s="55"/>
      <c r="D513" s="55"/>
      <c r="E513" s="55"/>
      <c r="F513" s="55"/>
      <c r="G513" s="55"/>
      <c r="H513" s="55"/>
      <c r="I513" s="55"/>
    </row>
    <row r="514">
      <c r="A514" s="55"/>
      <c r="B514" s="55"/>
      <c r="C514" s="55"/>
      <c r="D514" s="55"/>
      <c r="E514" s="55"/>
      <c r="F514" s="55"/>
      <c r="G514" s="55"/>
      <c r="H514" s="55"/>
      <c r="I514" s="55"/>
    </row>
    <row r="515">
      <c r="A515" s="55"/>
      <c r="B515" s="55"/>
      <c r="C515" s="55"/>
      <c r="D515" s="55"/>
      <c r="E515" s="55"/>
      <c r="F515" s="55"/>
      <c r="G515" s="55"/>
      <c r="H515" s="55"/>
      <c r="I515" s="55"/>
    </row>
    <row r="516">
      <c r="A516" s="55"/>
      <c r="B516" s="55"/>
      <c r="C516" s="55"/>
      <c r="D516" s="55"/>
      <c r="E516" s="55"/>
      <c r="F516" s="55"/>
      <c r="G516" s="55"/>
      <c r="H516" s="55"/>
      <c r="I516" s="55"/>
    </row>
    <row r="517">
      <c r="A517" s="55"/>
      <c r="B517" s="55"/>
      <c r="C517" s="55"/>
      <c r="D517" s="55"/>
      <c r="E517" s="55"/>
      <c r="F517" s="55"/>
      <c r="G517" s="55"/>
      <c r="H517" s="55"/>
      <c r="I517" s="55"/>
    </row>
    <row r="518">
      <c r="A518" s="55"/>
      <c r="B518" s="55"/>
      <c r="C518" s="55"/>
      <c r="D518" s="55"/>
      <c r="E518" s="55"/>
      <c r="F518" s="55"/>
      <c r="G518" s="55"/>
      <c r="H518" s="55"/>
      <c r="I518" s="55"/>
    </row>
    <row r="519">
      <c r="A519" s="55"/>
      <c r="B519" s="55"/>
      <c r="C519" s="55"/>
      <c r="D519" s="55"/>
      <c r="E519" s="55"/>
      <c r="F519" s="55"/>
      <c r="G519" s="55"/>
      <c r="H519" s="55"/>
      <c r="I519" s="55"/>
    </row>
    <row r="520">
      <c r="A520" s="55"/>
      <c r="B520" s="55"/>
      <c r="C520" s="55"/>
      <c r="D520" s="55"/>
      <c r="E520" s="55"/>
      <c r="F520" s="55"/>
      <c r="G520" s="55"/>
      <c r="H520" s="55"/>
      <c r="I520" s="55"/>
    </row>
    <row r="521">
      <c r="A521" s="55"/>
      <c r="B521" s="55"/>
      <c r="C521" s="55"/>
      <c r="D521" s="55"/>
      <c r="E521" s="55"/>
      <c r="F521" s="55"/>
      <c r="G521" s="55"/>
      <c r="H521" s="55"/>
      <c r="I521" s="55"/>
    </row>
    <row r="522">
      <c r="A522" s="55"/>
      <c r="B522" s="55"/>
      <c r="C522" s="55"/>
      <c r="D522" s="55"/>
      <c r="E522" s="55"/>
      <c r="F522" s="55"/>
      <c r="G522" s="55"/>
      <c r="H522" s="55"/>
      <c r="I522" s="55"/>
    </row>
    <row r="523">
      <c r="A523" s="55"/>
      <c r="B523" s="55"/>
      <c r="C523" s="55"/>
      <c r="D523" s="55"/>
      <c r="E523" s="55"/>
      <c r="F523" s="55"/>
      <c r="G523" s="55"/>
      <c r="H523" s="55"/>
      <c r="I523" s="55"/>
    </row>
    <row r="524">
      <c r="A524" s="55"/>
      <c r="B524" s="55"/>
      <c r="C524" s="55"/>
      <c r="D524" s="55"/>
      <c r="E524" s="55"/>
      <c r="F524" s="55"/>
      <c r="G524" s="55"/>
      <c r="H524" s="55"/>
      <c r="I524" s="55"/>
    </row>
    <row r="525">
      <c r="A525" s="55"/>
      <c r="B525" s="55"/>
      <c r="C525" s="55"/>
      <c r="D525" s="55"/>
      <c r="E525" s="55"/>
      <c r="F525" s="55"/>
      <c r="G525" s="55"/>
      <c r="H525" s="55"/>
      <c r="I525" s="55"/>
    </row>
    <row r="526">
      <c r="A526" s="55"/>
      <c r="B526" s="55"/>
      <c r="C526" s="55"/>
      <c r="D526" s="55"/>
      <c r="E526" s="55"/>
      <c r="F526" s="55"/>
      <c r="G526" s="55"/>
      <c r="H526" s="55"/>
      <c r="I526" s="55"/>
    </row>
    <row r="527">
      <c r="A527" s="55"/>
      <c r="B527" s="55"/>
      <c r="C527" s="55"/>
      <c r="D527" s="55"/>
      <c r="E527" s="55"/>
      <c r="F527" s="55"/>
      <c r="G527" s="55"/>
      <c r="H527" s="55"/>
      <c r="I527" s="55"/>
    </row>
    <row r="528">
      <c r="A528" s="55"/>
      <c r="B528" s="55"/>
      <c r="C528" s="55"/>
      <c r="D528" s="55"/>
      <c r="E528" s="55"/>
      <c r="F528" s="55"/>
      <c r="G528" s="55"/>
      <c r="H528" s="55"/>
      <c r="I528" s="55"/>
    </row>
    <row r="529">
      <c r="A529" s="55"/>
      <c r="B529" s="55"/>
      <c r="C529" s="55"/>
      <c r="D529" s="55"/>
      <c r="E529" s="55"/>
      <c r="F529" s="55"/>
      <c r="G529" s="55"/>
      <c r="H529" s="55"/>
      <c r="I529" s="55"/>
    </row>
    <row r="530">
      <c r="A530" s="55"/>
      <c r="B530" s="55"/>
      <c r="C530" s="55"/>
      <c r="D530" s="55"/>
      <c r="E530" s="55"/>
      <c r="F530" s="55"/>
      <c r="G530" s="55"/>
      <c r="H530" s="55"/>
      <c r="I530" s="55"/>
    </row>
    <row r="531">
      <c r="A531" s="55"/>
      <c r="B531" s="55"/>
      <c r="C531" s="55"/>
      <c r="D531" s="55"/>
      <c r="E531" s="55"/>
      <c r="F531" s="55"/>
      <c r="G531" s="55"/>
      <c r="H531" s="55"/>
      <c r="I531" s="55"/>
    </row>
    <row r="532">
      <c r="A532" s="55"/>
      <c r="B532" s="55"/>
      <c r="C532" s="55"/>
      <c r="D532" s="55"/>
      <c r="E532" s="55"/>
      <c r="F532" s="55"/>
      <c r="G532" s="55"/>
      <c r="H532" s="55"/>
      <c r="I532" s="55"/>
    </row>
    <row r="533">
      <c r="A533" s="55"/>
      <c r="B533" s="55"/>
      <c r="C533" s="55"/>
      <c r="D533" s="55"/>
      <c r="E533" s="55"/>
      <c r="F533" s="55"/>
      <c r="G533" s="55"/>
      <c r="H533" s="55"/>
      <c r="I533" s="55"/>
    </row>
    <row r="534">
      <c r="A534" s="55"/>
      <c r="B534" s="55"/>
      <c r="C534" s="55"/>
      <c r="D534" s="55"/>
      <c r="E534" s="55"/>
      <c r="F534" s="55"/>
      <c r="G534" s="55"/>
      <c r="H534" s="55"/>
      <c r="I534" s="55"/>
    </row>
    <row r="535">
      <c r="A535" s="55"/>
      <c r="B535" s="55"/>
      <c r="C535" s="55"/>
      <c r="D535" s="55"/>
      <c r="E535" s="55"/>
      <c r="F535" s="55"/>
      <c r="G535" s="55"/>
      <c r="H535" s="55"/>
      <c r="I535" s="55"/>
    </row>
    <row r="536">
      <c r="A536" s="55"/>
      <c r="B536" s="55"/>
      <c r="C536" s="55"/>
      <c r="D536" s="55"/>
      <c r="E536" s="55"/>
      <c r="F536" s="55"/>
      <c r="G536" s="55"/>
      <c r="H536" s="55"/>
      <c r="I536" s="55"/>
    </row>
    <row r="537">
      <c r="A537" s="55"/>
      <c r="B537" s="55"/>
      <c r="C537" s="55"/>
      <c r="D537" s="55"/>
      <c r="E537" s="55"/>
      <c r="F537" s="55"/>
      <c r="G537" s="55"/>
      <c r="H537" s="55"/>
      <c r="I537" s="55"/>
    </row>
    <row r="538">
      <c r="A538" s="55"/>
      <c r="B538" s="55"/>
      <c r="C538" s="55"/>
      <c r="D538" s="55"/>
      <c r="E538" s="55"/>
      <c r="F538" s="55"/>
      <c r="G538" s="55"/>
      <c r="H538" s="55"/>
      <c r="I538" s="55"/>
    </row>
    <row r="539">
      <c r="A539" s="55"/>
      <c r="B539" s="55"/>
      <c r="C539" s="55"/>
      <c r="D539" s="55"/>
      <c r="E539" s="55"/>
      <c r="F539" s="55"/>
      <c r="G539" s="55"/>
      <c r="H539" s="55"/>
      <c r="I539" s="55"/>
    </row>
    <row r="540">
      <c r="A540" s="55"/>
      <c r="B540" s="55"/>
      <c r="C540" s="55"/>
      <c r="D540" s="55"/>
      <c r="E540" s="55"/>
      <c r="F540" s="55"/>
      <c r="G540" s="55"/>
      <c r="H540" s="55"/>
      <c r="I540" s="55"/>
    </row>
    <row r="541">
      <c r="A541" s="55"/>
      <c r="B541" s="55"/>
      <c r="C541" s="55"/>
      <c r="D541" s="55"/>
      <c r="E541" s="55"/>
      <c r="F541" s="55"/>
      <c r="G541" s="55"/>
      <c r="H541" s="55"/>
      <c r="I541" s="55"/>
    </row>
    <row r="542">
      <c r="A542" s="55"/>
      <c r="B542" s="55"/>
      <c r="C542" s="55"/>
      <c r="D542" s="55"/>
      <c r="E542" s="55"/>
      <c r="F542" s="55"/>
      <c r="G542" s="55"/>
      <c r="H542" s="55"/>
      <c r="I542" s="55"/>
    </row>
    <row r="543">
      <c r="A543" s="55"/>
      <c r="B543" s="55"/>
      <c r="C543" s="55"/>
      <c r="D543" s="55"/>
      <c r="E543" s="55"/>
      <c r="F543" s="55"/>
      <c r="G543" s="55"/>
      <c r="H543" s="55"/>
      <c r="I543" s="55"/>
    </row>
    <row r="544">
      <c r="A544" s="55"/>
      <c r="B544" s="55"/>
      <c r="C544" s="55"/>
      <c r="D544" s="55"/>
      <c r="E544" s="55"/>
      <c r="F544" s="55"/>
      <c r="G544" s="55"/>
      <c r="H544" s="55"/>
      <c r="I544" s="55"/>
    </row>
    <row r="545">
      <c r="A545" s="55"/>
      <c r="B545" s="55"/>
      <c r="C545" s="55"/>
      <c r="D545" s="55"/>
      <c r="E545" s="55"/>
      <c r="F545" s="55"/>
      <c r="G545" s="55"/>
      <c r="H545" s="55"/>
      <c r="I545" s="55"/>
    </row>
    <row r="546">
      <c r="A546" s="55"/>
      <c r="B546" s="55"/>
      <c r="C546" s="55"/>
      <c r="D546" s="55"/>
      <c r="E546" s="55"/>
      <c r="F546" s="55"/>
      <c r="G546" s="55"/>
      <c r="H546" s="55"/>
      <c r="I546" s="55"/>
    </row>
    <row r="547">
      <c r="A547" s="55"/>
      <c r="B547" s="55"/>
      <c r="C547" s="55"/>
      <c r="D547" s="55"/>
      <c r="E547" s="55"/>
      <c r="F547" s="55"/>
      <c r="G547" s="55"/>
      <c r="H547" s="55"/>
      <c r="I547" s="55"/>
    </row>
    <row r="548">
      <c r="A548" s="55"/>
      <c r="B548" s="55"/>
      <c r="C548" s="55"/>
      <c r="D548" s="55"/>
      <c r="E548" s="55"/>
      <c r="F548" s="55"/>
      <c r="G548" s="55"/>
      <c r="H548" s="55"/>
      <c r="I548" s="55"/>
    </row>
    <row r="549">
      <c r="A549" s="55"/>
      <c r="B549" s="55"/>
      <c r="C549" s="55"/>
      <c r="D549" s="55"/>
      <c r="E549" s="55"/>
      <c r="F549" s="55"/>
      <c r="G549" s="55"/>
      <c r="H549" s="55"/>
      <c r="I549" s="55"/>
    </row>
    <row r="550">
      <c r="A550" s="55"/>
      <c r="B550" s="55"/>
      <c r="C550" s="55"/>
      <c r="D550" s="55"/>
      <c r="E550" s="55"/>
      <c r="F550" s="55"/>
      <c r="G550" s="55"/>
      <c r="H550" s="55"/>
      <c r="I550" s="55"/>
    </row>
    <row r="551">
      <c r="A551" s="55"/>
      <c r="B551" s="55"/>
      <c r="C551" s="55"/>
      <c r="D551" s="55"/>
      <c r="E551" s="55"/>
      <c r="F551" s="55"/>
      <c r="G551" s="55"/>
      <c r="H551" s="55"/>
      <c r="I551" s="55"/>
    </row>
    <row r="552">
      <c r="A552" s="55"/>
      <c r="B552" s="55"/>
      <c r="C552" s="55"/>
      <c r="D552" s="55"/>
      <c r="E552" s="55"/>
      <c r="F552" s="55"/>
      <c r="G552" s="55"/>
      <c r="H552" s="55"/>
      <c r="I552" s="55"/>
    </row>
    <row r="553">
      <c r="A553" s="55"/>
      <c r="B553" s="55"/>
      <c r="C553" s="55"/>
      <c r="D553" s="55"/>
      <c r="E553" s="55"/>
      <c r="F553" s="55"/>
      <c r="G553" s="55"/>
      <c r="H553" s="55"/>
      <c r="I553" s="55"/>
    </row>
    <row r="554">
      <c r="A554" s="55"/>
      <c r="B554" s="55"/>
      <c r="C554" s="55"/>
      <c r="D554" s="55"/>
      <c r="E554" s="55"/>
      <c r="F554" s="55"/>
      <c r="G554" s="55"/>
      <c r="H554" s="55"/>
      <c r="I554" s="55"/>
    </row>
    <row r="555">
      <c r="A555" s="55"/>
      <c r="B555" s="55"/>
      <c r="C555" s="55"/>
      <c r="D555" s="55"/>
      <c r="E555" s="55"/>
      <c r="F555" s="55"/>
      <c r="G555" s="55"/>
      <c r="H555" s="55"/>
      <c r="I555" s="55"/>
    </row>
    <row r="556">
      <c r="A556" s="55"/>
      <c r="B556" s="55"/>
      <c r="C556" s="55"/>
      <c r="D556" s="55"/>
      <c r="E556" s="55"/>
      <c r="F556" s="55"/>
      <c r="G556" s="55"/>
      <c r="H556" s="55"/>
      <c r="I556" s="55"/>
    </row>
    <row r="557">
      <c r="A557" s="55"/>
      <c r="B557" s="55"/>
      <c r="C557" s="55"/>
      <c r="D557" s="55"/>
      <c r="E557" s="55"/>
      <c r="F557" s="55"/>
      <c r="G557" s="55"/>
      <c r="H557" s="55"/>
      <c r="I557" s="55"/>
    </row>
    <row r="558">
      <c r="A558" s="55"/>
      <c r="B558" s="55"/>
      <c r="C558" s="55"/>
      <c r="D558" s="55"/>
      <c r="E558" s="55"/>
      <c r="F558" s="55"/>
      <c r="G558" s="55"/>
      <c r="H558" s="55"/>
      <c r="I558" s="55"/>
    </row>
    <row r="559">
      <c r="A559" s="55"/>
      <c r="B559" s="55"/>
      <c r="C559" s="55"/>
      <c r="D559" s="55"/>
      <c r="E559" s="55"/>
      <c r="F559" s="55"/>
      <c r="G559" s="55"/>
      <c r="H559" s="55"/>
      <c r="I559" s="55"/>
    </row>
    <row r="560">
      <c r="A560" s="55"/>
      <c r="B560" s="55"/>
      <c r="C560" s="55"/>
      <c r="D560" s="55"/>
      <c r="E560" s="55"/>
      <c r="F560" s="55"/>
      <c r="G560" s="55"/>
      <c r="H560" s="55"/>
      <c r="I560" s="55"/>
    </row>
    <row r="561">
      <c r="A561" s="55"/>
      <c r="B561" s="55"/>
      <c r="C561" s="55"/>
      <c r="D561" s="55"/>
      <c r="E561" s="55"/>
      <c r="F561" s="55"/>
      <c r="G561" s="55"/>
      <c r="H561" s="55"/>
      <c r="I561" s="55"/>
    </row>
    <row r="562">
      <c r="A562" s="55"/>
      <c r="B562" s="55"/>
      <c r="C562" s="55"/>
      <c r="D562" s="55"/>
      <c r="E562" s="55"/>
      <c r="F562" s="55"/>
      <c r="G562" s="55"/>
      <c r="H562" s="55"/>
      <c r="I562" s="55"/>
    </row>
    <row r="563">
      <c r="A563" s="55"/>
      <c r="B563" s="55"/>
      <c r="C563" s="55"/>
      <c r="D563" s="55"/>
      <c r="E563" s="55"/>
      <c r="F563" s="55"/>
      <c r="G563" s="55"/>
      <c r="H563" s="55"/>
      <c r="I563" s="55"/>
    </row>
    <row r="564">
      <c r="A564" s="55"/>
      <c r="B564" s="55"/>
      <c r="C564" s="55"/>
      <c r="D564" s="55"/>
      <c r="E564" s="55"/>
      <c r="F564" s="55"/>
      <c r="G564" s="55"/>
      <c r="H564" s="55"/>
      <c r="I564" s="55"/>
    </row>
    <row r="565">
      <c r="A565" s="55"/>
      <c r="B565" s="55"/>
      <c r="C565" s="55"/>
      <c r="D565" s="55"/>
      <c r="E565" s="55"/>
      <c r="F565" s="55"/>
      <c r="G565" s="55"/>
      <c r="H565" s="55"/>
      <c r="I565" s="55"/>
    </row>
    <row r="566">
      <c r="A566" s="55"/>
      <c r="B566" s="55"/>
      <c r="C566" s="55"/>
      <c r="D566" s="55"/>
      <c r="E566" s="55"/>
      <c r="F566" s="55"/>
      <c r="G566" s="55"/>
      <c r="H566" s="55"/>
      <c r="I566" s="55"/>
    </row>
    <row r="567">
      <c r="A567" s="55"/>
      <c r="B567" s="55"/>
      <c r="C567" s="55"/>
      <c r="D567" s="55"/>
      <c r="E567" s="55"/>
      <c r="F567" s="55"/>
      <c r="G567" s="55"/>
      <c r="H567" s="55"/>
      <c r="I567" s="55"/>
    </row>
    <row r="568">
      <c r="A568" s="55"/>
      <c r="B568" s="55"/>
      <c r="C568" s="55"/>
      <c r="D568" s="55"/>
      <c r="E568" s="55"/>
      <c r="F568" s="55"/>
      <c r="G568" s="55"/>
      <c r="H568" s="55"/>
      <c r="I568" s="55"/>
    </row>
    <row r="569">
      <c r="A569" s="55"/>
      <c r="B569" s="55"/>
      <c r="C569" s="55"/>
      <c r="D569" s="55"/>
      <c r="E569" s="55"/>
      <c r="F569" s="55"/>
      <c r="G569" s="55"/>
      <c r="H569" s="55"/>
      <c r="I569" s="55"/>
    </row>
    <row r="570">
      <c r="A570" s="55"/>
      <c r="B570" s="55"/>
      <c r="C570" s="55"/>
      <c r="D570" s="55"/>
      <c r="E570" s="55"/>
      <c r="F570" s="55"/>
      <c r="G570" s="55"/>
      <c r="H570" s="55"/>
      <c r="I570" s="55"/>
    </row>
    <row r="571">
      <c r="A571" s="55"/>
      <c r="B571" s="55"/>
      <c r="C571" s="55"/>
      <c r="D571" s="55"/>
      <c r="E571" s="55"/>
      <c r="F571" s="55"/>
      <c r="G571" s="55"/>
      <c r="H571" s="55"/>
      <c r="I571" s="55"/>
    </row>
    <row r="572">
      <c r="A572" s="55"/>
      <c r="B572" s="55"/>
      <c r="C572" s="55"/>
      <c r="D572" s="55"/>
      <c r="E572" s="55"/>
      <c r="F572" s="55"/>
      <c r="G572" s="55"/>
      <c r="H572" s="55"/>
      <c r="I572" s="55"/>
    </row>
    <row r="573">
      <c r="A573" s="55"/>
      <c r="B573" s="55"/>
      <c r="C573" s="55"/>
      <c r="D573" s="55"/>
      <c r="E573" s="55"/>
      <c r="F573" s="55"/>
      <c r="G573" s="55"/>
      <c r="H573" s="55"/>
      <c r="I573" s="55"/>
    </row>
    <row r="574">
      <c r="A574" s="55"/>
      <c r="B574" s="55"/>
      <c r="C574" s="55"/>
      <c r="D574" s="55"/>
      <c r="E574" s="55"/>
      <c r="F574" s="55"/>
      <c r="G574" s="55"/>
      <c r="H574" s="55"/>
      <c r="I574" s="55"/>
    </row>
    <row r="575">
      <c r="A575" s="55"/>
      <c r="B575" s="55"/>
      <c r="C575" s="55"/>
      <c r="D575" s="55"/>
      <c r="E575" s="55"/>
      <c r="F575" s="55"/>
      <c r="G575" s="55"/>
      <c r="H575" s="55"/>
      <c r="I575" s="55"/>
    </row>
    <row r="576">
      <c r="A576" s="55"/>
      <c r="B576" s="55"/>
      <c r="C576" s="55"/>
      <c r="D576" s="55"/>
      <c r="E576" s="55"/>
      <c r="F576" s="55"/>
      <c r="G576" s="55"/>
      <c r="H576" s="55"/>
      <c r="I576" s="55"/>
    </row>
    <row r="577">
      <c r="A577" s="55"/>
      <c r="B577" s="55"/>
      <c r="C577" s="55"/>
      <c r="D577" s="55"/>
      <c r="E577" s="55"/>
      <c r="F577" s="55"/>
      <c r="G577" s="55"/>
      <c r="H577" s="55"/>
      <c r="I577" s="55"/>
    </row>
    <row r="578">
      <c r="A578" s="55"/>
      <c r="B578" s="55"/>
      <c r="C578" s="55"/>
      <c r="D578" s="55"/>
      <c r="E578" s="55"/>
      <c r="F578" s="55"/>
      <c r="G578" s="55"/>
      <c r="H578" s="55"/>
      <c r="I578" s="55"/>
    </row>
    <row r="579">
      <c r="A579" s="55"/>
      <c r="B579" s="55"/>
      <c r="C579" s="55"/>
      <c r="D579" s="55"/>
      <c r="E579" s="55"/>
      <c r="F579" s="55"/>
      <c r="G579" s="55"/>
      <c r="H579" s="55"/>
      <c r="I579" s="55"/>
    </row>
    <row r="580">
      <c r="A580" s="55"/>
      <c r="B580" s="55"/>
      <c r="C580" s="55"/>
      <c r="D580" s="55"/>
      <c r="E580" s="55"/>
      <c r="F580" s="55"/>
      <c r="G580" s="55"/>
      <c r="H580" s="55"/>
      <c r="I580" s="55"/>
    </row>
    <row r="581">
      <c r="A581" s="55"/>
      <c r="B581" s="55"/>
      <c r="C581" s="55"/>
      <c r="D581" s="55"/>
      <c r="E581" s="55"/>
      <c r="F581" s="55"/>
      <c r="G581" s="55"/>
      <c r="H581" s="55"/>
      <c r="I581" s="55"/>
    </row>
    <row r="582">
      <c r="A582" s="55"/>
      <c r="B582" s="55"/>
      <c r="C582" s="55"/>
      <c r="D582" s="55"/>
      <c r="E582" s="55"/>
      <c r="F582" s="55"/>
      <c r="G582" s="55"/>
      <c r="H582" s="55"/>
      <c r="I582" s="55"/>
    </row>
    <row r="583">
      <c r="A583" s="55"/>
      <c r="B583" s="55"/>
      <c r="C583" s="55"/>
      <c r="D583" s="55"/>
      <c r="E583" s="55"/>
      <c r="F583" s="55"/>
      <c r="G583" s="55"/>
      <c r="H583" s="55"/>
      <c r="I583" s="55"/>
    </row>
    <row r="584">
      <c r="A584" s="55"/>
      <c r="B584" s="55"/>
      <c r="C584" s="55"/>
      <c r="D584" s="55"/>
      <c r="E584" s="55"/>
      <c r="F584" s="55"/>
      <c r="G584" s="55"/>
      <c r="H584" s="55"/>
      <c r="I584" s="55"/>
    </row>
    <row r="585">
      <c r="A585" s="55"/>
      <c r="B585" s="55"/>
      <c r="C585" s="55"/>
      <c r="D585" s="55"/>
      <c r="E585" s="55"/>
      <c r="F585" s="55"/>
      <c r="G585" s="55"/>
      <c r="H585" s="55"/>
      <c r="I585" s="55"/>
    </row>
    <row r="586">
      <c r="A586" s="55"/>
      <c r="B586" s="55"/>
      <c r="C586" s="55"/>
      <c r="D586" s="55"/>
      <c r="E586" s="55"/>
      <c r="F586" s="55"/>
      <c r="G586" s="55"/>
      <c r="H586" s="55"/>
      <c r="I586" s="55"/>
    </row>
    <row r="587">
      <c r="A587" s="55"/>
      <c r="B587" s="55"/>
      <c r="C587" s="55"/>
      <c r="D587" s="55"/>
      <c r="E587" s="55"/>
      <c r="F587" s="55"/>
      <c r="G587" s="55"/>
      <c r="H587" s="55"/>
      <c r="I587" s="55"/>
    </row>
    <row r="588">
      <c r="A588" s="55"/>
      <c r="B588" s="55"/>
      <c r="C588" s="55"/>
      <c r="D588" s="55"/>
      <c r="E588" s="55"/>
      <c r="F588" s="55"/>
      <c r="G588" s="55"/>
      <c r="H588" s="55"/>
      <c r="I588" s="55"/>
    </row>
    <row r="589">
      <c r="A589" s="55"/>
      <c r="B589" s="55"/>
      <c r="C589" s="55"/>
      <c r="D589" s="55"/>
      <c r="E589" s="55"/>
      <c r="F589" s="55"/>
      <c r="G589" s="55"/>
      <c r="H589" s="55"/>
      <c r="I589" s="55"/>
    </row>
    <row r="590">
      <c r="A590" s="55"/>
      <c r="B590" s="55"/>
      <c r="C590" s="55"/>
      <c r="D590" s="55"/>
      <c r="E590" s="55"/>
      <c r="F590" s="55"/>
      <c r="G590" s="55"/>
      <c r="H590" s="55"/>
      <c r="I590" s="55"/>
    </row>
    <row r="591">
      <c r="A591" s="55"/>
      <c r="B591" s="55"/>
      <c r="C591" s="55"/>
      <c r="D591" s="55"/>
      <c r="E591" s="55"/>
      <c r="F591" s="55"/>
      <c r="G591" s="55"/>
      <c r="H591" s="55"/>
      <c r="I591" s="55"/>
    </row>
    <row r="592">
      <c r="A592" s="55"/>
      <c r="B592" s="55"/>
      <c r="C592" s="55"/>
      <c r="D592" s="55"/>
      <c r="E592" s="55"/>
      <c r="F592" s="55"/>
      <c r="G592" s="55"/>
      <c r="H592" s="55"/>
      <c r="I592" s="55"/>
    </row>
    <row r="593">
      <c r="A593" s="55"/>
      <c r="B593" s="55"/>
      <c r="C593" s="55"/>
      <c r="D593" s="55"/>
      <c r="E593" s="55"/>
      <c r="F593" s="55"/>
      <c r="G593" s="55"/>
      <c r="H593" s="55"/>
      <c r="I593" s="55"/>
    </row>
    <row r="594">
      <c r="A594" s="55"/>
      <c r="B594" s="55"/>
      <c r="C594" s="55"/>
      <c r="D594" s="55"/>
      <c r="E594" s="55"/>
      <c r="F594" s="55"/>
      <c r="G594" s="55"/>
      <c r="H594" s="55"/>
      <c r="I594" s="55"/>
    </row>
    <row r="595">
      <c r="A595" s="55"/>
      <c r="B595" s="55"/>
      <c r="C595" s="55"/>
      <c r="D595" s="55"/>
      <c r="E595" s="55"/>
      <c r="F595" s="55"/>
      <c r="G595" s="55"/>
      <c r="H595" s="55"/>
      <c r="I595" s="55"/>
    </row>
    <row r="596">
      <c r="A596" s="55"/>
      <c r="B596" s="55"/>
      <c r="C596" s="55"/>
      <c r="D596" s="55"/>
      <c r="E596" s="55"/>
      <c r="F596" s="55"/>
      <c r="G596" s="55"/>
      <c r="H596" s="55"/>
      <c r="I596" s="55"/>
    </row>
    <row r="597">
      <c r="A597" s="55"/>
      <c r="B597" s="55"/>
      <c r="C597" s="55"/>
      <c r="D597" s="55"/>
      <c r="E597" s="55"/>
      <c r="F597" s="55"/>
      <c r="G597" s="55"/>
      <c r="H597" s="55"/>
      <c r="I597" s="55"/>
    </row>
    <row r="598">
      <c r="A598" s="55"/>
      <c r="B598" s="55"/>
      <c r="C598" s="55"/>
      <c r="D598" s="55"/>
      <c r="E598" s="55"/>
      <c r="F598" s="55"/>
      <c r="G598" s="55"/>
      <c r="H598" s="55"/>
      <c r="I598" s="55"/>
    </row>
    <row r="599">
      <c r="A599" s="55"/>
      <c r="B599" s="55"/>
      <c r="C599" s="55"/>
      <c r="D599" s="55"/>
      <c r="E599" s="55"/>
      <c r="F599" s="55"/>
      <c r="G599" s="55"/>
      <c r="H599" s="55"/>
      <c r="I599" s="55"/>
    </row>
    <row r="600">
      <c r="A600" s="55"/>
      <c r="B600" s="55"/>
      <c r="C600" s="55"/>
      <c r="D600" s="55"/>
      <c r="E600" s="55"/>
      <c r="F600" s="55"/>
      <c r="G600" s="55"/>
      <c r="H600" s="55"/>
      <c r="I600" s="55"/>
    </row>
    <row r="601">
      <c r="A601" s="55"/>
      <c r="B601" s="55"/>
      <c r="C601" s="55"/>
      <c r="D601" s="55"/>
      <c r="E601" s="55"/>
      <c r="F601" s="55"/>
      <c r="G601" s="55"/>
      <c r="H601" s="55"/>
      <c r="I601" s="55"/>
    </row>
    <row r="602">
      <c r="A602" s="55"/>
      <c r="B602" s="55"/>
      <c r="C602" s="55"/>
      <c r="D602" s="55"/>
      <c r="E602" s="55"/>
      <c r="F602" s="55"/>
      <c r="G602" s="55"/>
      <c r="H602" s="55"/>
      <c r="I602" s="55"/>
    </row>
    <row r="603">
      <c r="A603" s="55"/>
      <c r="B603" s="55"/>
      <c r="C603" s="55"/>
      <c r="D603" s="55"/>
      <c r="E603" s="55"/>
      <c r="F603" s="55"/>
      <c r="G603" s="55"/>
      <c r="H603" s="55"/>
      <c r="I603" s="55"/>
    </row>
    <row r="604">
      <c r="A604" s="55"/>
      <c r="B604" s="55"/>
      <c r="C604" s="55"/>
      <c r="D604" s="55"/>
      <c r="E604" s="55"/>
      <c r="F604" s="55"/>
      <c r="G604" s="55"/>
      <c r="H604" s="55"/>
      <c r="I604" s="55"/>
    </row>
    <row r="605">
      <c r="A605" s="55"/>
      <c r="B605" s="55"/>
      <c r="C605" s="55"/>
      <c r="D605" s="55"/>
      <c r="E605" s="55"/>
      <c r="F605" s="55"/>
      <c r="G605" s="55"/>
      <c r="H605" s="55"/>
      <c r="I605" s="55"/>
    </row>
    <row r="606">
      <c r="A606" s="55"/>
      <c r="B606" s="55"/>
      <c r="C606" s="55"/>
      <c r="D606" s="55"/>
      <c r="E606" s="55"/>
      <c r="F606" s="55"/>
      <c r="G606" s="55"/>
      <c r="H606" s="55"/>
      <c r="I606" s="55"/>
    </row>
    <row r="607">
      <c r="A607" s="55"/>
      <c r="B607" s="55"/>
      <c r="C607" s="55"/>
      <c r="D607" s="55"/>
      <c r="E607" s="55"/>
      <c r="F607" s="55"/>
      <c r="G607" s="55"/>
      <c r="H607" s="55"/>
      <c r="I607" s="55"/>
    </row>
    <row r="608">
      <c r="A608" s="55"/>
      <c r="B608" s="55"/>
      <c r="C608" s="55"/>
      <c r="D608" s="55"/>
      <c r="E608" s="55"/>
      <c r="F608" s="55"/>
      <c r="G608" s="55"/>
      <c r="H608" s="55"/>
      <c r="I608" s="55"/>
    </row>
    <row r="609">
      <c r="A609" s="55"/>
      <c r="B609" s="55"/>
      <c r="C609" s="55"/>
      <c r="D609" s="55"/>
      <c r="E609" s="55"/>
      <c r="F609" s="55"/>
      <c r="G609" s="55"/>
      <c r="H609" s="55"/>
      <c r="I609" s="55"/>
    </row>
    <row r="610">
      <c r="A610" s="55"/>
      <c r="B610" s="55"/>
      <c r="C610" s="55"/>
      <c r="D610" s="55"/>
      <c r="E610" s="55"/>
      <c r="F610" s="55"/>
      <c r="G610" s="55"/>
      <c r="H610" s="55"/>
      <c r="I610" s="55"/>
    </row>
    <row r="611">
      <c r="A611" s="55"/>
      <c r="B611" s="55"/>
      <c r="C611" s="55"/>
      <c r="D611" s="55"/>
      <c r="E611" s="55"/>
      <c r="F611" s="55"/>
      <c r="G611" s="55"/>
      <c r="H611" s="55"/>
      <c r="I611" s="55"/>
    </row>
    <row r="612">
      <c r="A612" s="55"/>
      <c r="B612" s="55"/>
      <c r="C612" s="55"/>
      <c r="D612" s="55"/>
      <c r="E612" s="55"/>
      <c r="F612" s="55"/>
      <c r="G612" s="55"/>
      <c r="H612" s="55"/>
      <c r="I612" s="55"/>
    </row>
    <row r="613">
      <c r="A613" s="55"/>
      <c r="B613" s="55"/>
      <c r="C613" s="55"/>
      <c r="D613" s="55"/>
      <c r="E613" s="55"/>
      <c r="F613" s="55"/>
      <c r="G613" s="55"/>
      <c r="H613" s="55"/>
      <c r="I613" s="55"/>
    </row>
    <row r="614">
      <c r="A614" s="55"/>
      <c r="B614" s="55"/>
      <c r="C614" s="55"/>
      <c r="D614" s="55"/>
      <c r="E614" s="55"/>
      <c r="F614" s="55"/>
      <c r="G614" s="55"/>
      <c r="H614" s="55"/>
      <c r="I614" s="55"/>
    </row>
    <row r="615">
      <c r="A615" s="55"/>
      <c r="B615" s="55"/>
      <c r="C615" s="55"/>
      <c r="D615" s="55"/>
      <c r="E615" s="55"/>
      <c r="F615" s="55"/>
      <c r="G615" s="55"/>
      <c r="H615" s="55"/>
      <c r="I615" s="55"/>
    </row>
    <row r="616">
      <c r="A616" s="55"/>
      <c r="B616" s="55"/>
      <c r="C616" s="55"/>
      <c r="D616" s="55"/>
      <c r="E616" s="55"/>
      <c r="F616" s="55"/>
      <c r="G616" s="55"/>
      <c r="H616" s="55"/>
      <c r="I616" s="55"/>
    </row>
    <row r="617">
      <c r="A617" s="55"/>
      <c r="B617" s="55"/>
      <c r="C617" s="55"/>
      <c r="D617" s="55"/>
      <c r="E617" s="55"/>
      <c r="F617" s="55"/>
      <c r="G617" s="55"/>
      <c r="H617" s="55"/>
      <c r="I617" s="55"/>
    </row>
    <row r="618">
      <c r="A618" s="55"/>
      <c r="B618" s="55"/>
      <c r="C618" s="55"/>
      <c r="D618" s="55"/>
      <c r="E618" s="55"/>
      <c r="F618" s="55"/>
      <c r="G618" s="55"/>
      <c r="H618" s="55"/>
      <c r="I618" s="55"/>
    </row>
    <row r="619">
      <c r="A619" s="55"/>
      <c r="B619" s="55"/>
      <c r="C619" s="55"/>
      <c r="D619" s="55"/>
      <c r="E619" s="55"/>
      <c r="F619" s="55"/>
      <c r="G619" s="55"/>
      <c r="H619" s="55"/>
      <c r="I619" s="55"/>
    </row>
    <row r="620">
      <c r="A620" s="55"/>
      <c r="B620" s="55"/>
      <c r="C620" s="55"/>
      <c r="D620" s="55"/>
      <c r="E620" s="55"/>
      <c r="F620" s="55"/>
      <c r="G620" s="55"/>
      <c r="H620" s="55"/>
      <c r="I620" s="55"/>
    </row>
    <row r="621">
      <c r="A621" s="55"/>
      <c r="B621" s="55"/>
      <c r="C621" s="55"/>
      <c r="D621" s="55"/>
      <c r="E621" s="55"/>
      <c r="F621" s="55"/>
      <c r="G621" s="55"/>
      <c r="H621" s="55"/>
      <c r="I621" s="55"/>
    </row>
    <row r="622">
      <c r="A622" s="55"/>
      <c r="B622" s="55"/>
      <c r="C622" s="55"/>
      <c r="D622" s="55"/>
      <c r="E622" s="55"/>
      <c r="F622" s="55"/>
      <c r="G622" s="55"/>
      <c r="H622" s="55"/>
      <c r="I622" s="55"/>
    </row>
    <row r="623">
      <c r="A623" s="55"/>
      <c r="B623" s="55"/>
      <c r="C623" s="55"/>
      <c r="D623" s="55"/>
      <c r="E623" s="55"/>
      <c r="F623" s="55"/>
      <c r="G623" s="55"/>
      <c r="H623" s="55"/>
      <c r="I623" s="55"/>
    </row>
    <row r="624">
      <c r="A624" s="55"/>
      <c r="B624" s="55"/>
      <c r="C624" s="55"/>
      <c r="D624" s="55"/>
      <c r="E624" s="55"/>
      <c r="F624" s="55"/>
      <c r="G624" s="55"/>
      <c r="H624" s="55"/>
      <c r="I624" s="55"/>
    </row>
    <row r="625">
      <c r="A625" s="55"/>
      <c r="B625" s="55"/>
      <c r="C625" s="55"/>
      <c r="D625" s="55"/>
      <c r="E625" s="55"/>
      <c r="F625" s="55"/>
      <c r="G625" s="55"/>
      <c r="H625" s="55"/>
      <c r="I625" s="55"/>
    </row>
    <row r="626">
      <c r="A626" s="55"/>
      <c r="B626" s="55"/>
      <c r="C626" s="55"/>
      <c r="D626" s="55"/>
      <c r="E626" s="55"/>
      <c r="F626" s="55"/>
      <c r="G626" s="55"/>
      <c r="H626" s="55"/>
      <c r="I626" s="55"/>
    </row>
    <row r="627">
      <c r="A627" s="55"/>
      <c r="B627" s="55"/>
      <c r="C627" s="55"/>
      <c r="D627" s="55"/>
      <c r="E627" s="55"/>
      <c r="F627" s="55"/>
      <c r="G627" s="55"/>
      <c r="H627" s="55"/>
      <c r="I627" s="55"/>
    </row>
    <row r="628">
      <c r="A628" s="55"/>
      <c r="B628" s="55"/>
      <c r="C628" s="55"/>
      <c r="D628" s="55"/>
      <c r="E628" s="55"/>
      <c r="F628" s="55"/>
      <c r="G628" s="55"/>
      <c r="H628" s="55"/>
      <c r="I628" s="55"/>
    </row>
    <row r="629">
      <c r="A629" s="55"/>
      <c r="B629" s="55"/>
      <c r="C629" s="55"/>
      <c r="D629" s="55"/>
      <c r="E629" s="55"/>
      <c r="F629" s="55"/>
      <c r="G629" s="55"/>
      <c r="H629" s="55"/>
      <c r="I629" s="55"/>
    </row>
    <row r="630">
      <c r="A630" s="55"/>
      <c r="B630" s="55"/>
      <c r="C630" s="55"/>
      <c r="D630" s="55"/>
      <c r="E630" s="55"/>
      <c r="F630" s="55"/>
      <c r="G630" s="55"/>
      <c r="H630" s="55"/>
      <c r="I630" s="55"/>
    </row>
    <row r="631">
      <c r="A631" s="55"/>
      <c r="B631" s="55"/>
      <c r="C631" s="55"/>
      <c r="D631" s="55"/>
      <c r="E631" s="55"/>
      <c r="F631" s="55"/>
      <c r="G631" s="55"/>
      <c r="H631" s="55"/>
      <c r="I631" s="55"/>
    </row>
    <row r="632">
      <c r="A632" s="55"/>
      <c r="B632" s="55"/>
      <c r="C632" s="55"/>
      <c r="D632" s="55"/>
      <c r="E632" s="55"/>
      <c r="F632" s="55"/>
      <c r="G632" s="55"/>
      <c r="H632" s="55"/>
      <c r="I632" s="55"/>
    </row>
    <row r="633">
      <c r="A633" s="55"/>
      <c r="B633" s="55"/>
      <c r="C633" s="55"/>
      <c r="D633" s="55"/>
      <c r="E633" s="55"/>
      <c r="F633" s="55"/>
      <c r="G633" s="55"/>
      <c r="H633" s="55"/>
      <c r="I633" s="55"/>
    </row>
    <row r="634">
      <c r="A634" s="55"/>
      <c r="B634" s="55"/>
      <c r="C634" s="55"/>
      <c r="D634" s="55"/>
      <c r="E634" s="55"/>
      <c r="F634" s="55"/>
      <c r="G634" s="55"/>
      <c r="H634" s="55"/>
      <c r="I634" s="55"/>
    </row>
    <row r="635">
      <c r="A635" s="55"/>
      <c r="B635" s="55"/>
      <c r="C635" s="55"/>
      <c r="D635" s="55"/>
      <c r="E635" s="55"/>
      <c r="F635" s="55"/>
      <c r="G635" s="55"/>
      <c r="H635" s="55"/>
      <c r="I635" s="55"/>
    </row>
    <row r="636">
      <c r="A636" s="55"/>
      <c r="B636" s="55"/>
      <c r="C636" s="55"/>
      <c r="D636" s="55"/>
      <c r="E636" s="55"/>
      <c r="F636" s="55"/>
      <c r="G636" s="55"/>
      <c r="H636" s="55"/>
      <c r="I636" s="55"/>
    </row>
    <row r="637">
      <c r="A637" s="55"/>
      <c r="B637" s="55"/>
      <c r="C637" s="55"/>
      <c r="D637" s="55"/>
      <c r="E637" s="55"/>
      <c r="F637" s="55"/>
      <c r="G637" s="55"/>
      <c r="H637" s="55"/>
      <c r="I637" s="55"/>
    </row>
    <row r="638">
      <c r="A638" s="55"/>
      <c r="B638" s="55"/>
      <c r="C638" s="55"/>
      <c r="D638" s="55"/>
      <c r="E638" s="55"/>
      <c r="F638" s="55"/>
      <c r="G638" s="55"/>
      <c r="H638" s="55"/>
      <c r="I638" s="55"/>
    </row>
    <row r="639">
      <c r="A639" s="55"/>
      <c r="B639" s="55"/>
      <c r="C639" s="55"/>
      <c r="D639" s="55"/>
      <c r="E639" s="55"/>
      <c r="F639" s="55"/>
      <c r="G639" s="55"/>
      <c r="H639" s="55"/>
      <c r="I639" s="55"/>
    </row>
    <row r="640">
      <c r="A640" s="55"/>
      <c r="B640" s="55"/>
      <c r="C640" s="55"/>
      <c r="D640" s="55"/>
      <c r="E640" s="55"/>
      <c r="F640" s="55"/>
      <c r="G640" s="55"/>
      <c r="H640" s="55"/>
      <c r="I640" s="55"/>
    </row>
    <row r="641">
      <c r="A641" s="55"/>
      <c r="B641" s="55"/>
      <c r="C641" s="55"/>
      <c r="D641" s="55"/>
      <c r="E641" s="55"/>
      <c r="F641" s="55"/>
      <c r="G641" s="55"/>
      <c r="H641" s="55"/>
      <c r="I641" s="55"/>
    </row>
    <row r="642">
      <c r="A642" s="55"/>
      <c r="B642" s="55"/>
      <c r="C642" s="55"/>
      <c r="D642" s="55"/>
      <c r="E642" s="55"/>
      <c r="F642" s="55"/>
      <c r="G642" s="55"/>
      <c r="H642" s="55"/>
      <c r="I642" s="55"/>
    </row>
    <row r="643">
      <c r="A643" s="55"/>
      <c r="B643" s="55"/>
      <c r="C643" s="55"/>
      <c r="D643" s="55"/>
      <c r="E643" s="55"/>
      <c r="F643" s="55"/>
      <c r="G643" s="55"/>
      <c r="H643" s="55"/>
      <c r="I643" s="55"/>
    </row>
    <row r="644">
      <c r="A644" s="55"/>
      <c r="B644" s="55"/>
      <c r="C644" s="55"/>
      <c r="D644" s="55"/>
      <c r="E644" s="55"/>
      <c r="F644" s="55"/>
      <c r="G644" s="55"/>
      <c r="H644" s="55"/>
      <c r="I644" s="55"/>
    </row>
    <row r="645">
      <c r="A645" s="55"/>
      <c r="B645" s="55"/>
      <c r="C645" s="55"/>
      <c r="D645" s="55"/>
      <c r="E645" s="55"/>
      <c r="F645" s="55"/>
      <c r="G645" s="55"/>
      <c r="H645" s="55"/>
      <c r="I645" s="55"/>
    </row>
    <row r="646">
      <c r="A646" s="55"/>
      <c r="B646" s="55"/>
      <c r="C646" s="55"/>
      <c r="D646" s="55"/>
      <c r="E646" s="55"/>
      <c r="F646" s="55"/>
      <c r="G646" s="55"/>
      <c r="H646" s="55"/>
      <c r="I646" s="55"/>
    </row>
    <row r="647">
      <c r="A647" s="55"/>
      <c r="B647" s="55"/>
      <c r="C647" s="55"/>
      <c r="D647" s="55"/>
      <c r="E647" s="55"/>
      <c r="F647" s="55"/>
      <c r="G647" s="55"/>
      <c r="H647" s="55"/>
      <c r="I647" s="55"/>
    </row>
    <row r="648">
      <c r="A648" s="55"/>
      <c r="B648" s="55"/>
      <c r="C648" s="55"/>
      <c r="D648" s="55"/>
      <c r="E648" s="55"/>
      <c r="F648" s="55"/>
      <c r="G648" s="55"/>
      <c r="H648" s="55"/>
      <c r="I648" s="55"/>
    </row>
    <row r="649">
      <c r="A649" s="55"/>
      <c r="B649" s="55"/>
      <c r="C649" s="55"/>
      <c r="D649" s="55"/>
      <c r="E649" s="55"/>
      <c r="F649" s="55"/>
      <c r="G649" s="55"/>
      <c r="H649" s="55"/>
      <c r="I649" s="55"/>
    </row>
    <row r="650">
      <c r="A650" s="55"/>
      <c r="B650" s="55"/>
      <c r="C650" s="55"/>
      <c r="D650" s="55"/>
      <c r="E650" s="55"/>
      <c r="F650" s="55"/>
      <c r="G650" s="55"/>
      <c r="H650" s="55"/>
      <c r="I650" s="55"/>
    </row>
    <row r="651">
      <c r="A651" s="55"/>
      <c r="B651" s="55"/>
      <c r="C651" s="55"/>
      <c r="D651" s="55"/>
      <c r="E651" s="55"/>
      <c r="F651" s="55"/>
      <c r="G651" s="55"/>
      <c r="H651" s="55"/>
      <c r="I651" s="55"/>
    </row>
    <row r="652">
      <c r="A652" s="55"/>
      <c r="B652" s="55"/>
      <c r="C652" s="55"/>
      <c r="D652" s="55"/>
      <c r="E652" s="55"/>
      <c r="F652" s="55"/>
      <c r="G652" s="55"/>
      <c r="H652" s="55"/>
      <c r="I652" s="55"/>
    </row>
    <row r="653">
      <c r="A653" s="55"/>
      <c r="B653" s="55"/>
      <c r="C653" s="55"/>
      <c r="D653" s="55"/>
      <c r="E653" s="55"/>
      <c r="F653" s="55"/>
      <c r="G653" s="55"/>
      <c r="H653" s="55"/>
      <c r="I653" s="55"/>
    </row>
    <row r="654">
      <c r="A654" s="55"/>
      <c r="B654" s="55"/>
      <c r="C654" s="55"/>
      <c r="D654" s="55"/>
      <c r="E654" s="55"/>
      <c r="F654" s="55"/>
      <c r="G654" s="55"/>
      <c r="H654" s="55"/>
      <c r="I654" s="55"/>
    </row>
    <row r="655">
      <c r="A655" s="55"/>
      <c r="B655" s="55"/>
      <c r="C655" s="55"/>
      <c r="D655" s="55"/>
      <c r="E655" s="55"/>
      <c r="F655" s="55"/>
      <c r="G655" s="55"/>
      <c r="H655" s="55"/>
      <c r="I655" s="55"/>
    </row>
    <row r="656">
      <c r="A656" s="55"/>
      <c r="B656" s="55"/>
      <c r="C656" s="55"/>
      <c r="D656" s="55"/>
      <c r="E656" s="55"/>
      <c r="F656" s="55"/>
      <c r="G656" s="55"/>
      <c r="H656" s="55"/>
      <c r="I656" s="55"/>
    </row>
    <row r="657">
      <c r="A657" s="55"/>
      <c r="B657" s="55"/>
      <c r="C657" s="55"/>
      <c r="D657" s="55"/>
      <c r="E657" s="55"/>
      <c r="F657" s="55"/>
      <c r="G657" s="55"/>
      <c r="H657" s="55"/>
      <c r="I657" s="55"/>
    </row>
    <row r="658">
      <c r="A658" s="55"/>
      <c r="B658" s="55"/>
      <c r="C658" s="55"/>
      <c r="D658" s="55"/>
      <c r="E658" s="55"/>
      <c r="F658" s="55"/>
      <c r="G658" s="55"/>
      <c r="H658" s="55"/>
      <c r="I658" s="55"/>
    </row>
    <row r="659">
      <c r="A659" s="55"/>
      <c r="B659" s="55"/>
      <c r="C659" s="55"/>
      <c r="D659" s="55"/>
      <c r="E659" s="55"/>
      <c r="F659" s="55"/>
      <c r="G659" s="55"/>
      <c r="H659" s="55"/>
      <c r="I659" s="55"/>
    </row>
    <row r="660">
      <c r="A660" s="55"/>
      <c r="B660" s="55"/>
      <c r="C660" s="55"/>
      <c r="D660" s="55"/>
      <c r="E660" s="55"/>
      <c r="F660" s="55"/>
      <c r="G660" s="55"/>
      <c r="H660" s="55"/>
      <c r="I660" s="55"/>
    </row>
    <row r="661">
      <c r="A661" s="55"/>
      <c r="B661" s="55"/>
      <c r="C661" s="55"/>
      <c r="D661" s="55"/>
      <c r="E661" s="55"/>
      <c r="F661" s="55"/>
      <c r="G661" s="55"/>
      <c r="H661" s="55"/>
      <c r="I661" s="55"/>
    </row>
    <row r="662">
      <c r="A662" s="55"/>
      <c r="B662" s="55"/>
      <c r="C662" s="55"/>
      <c r="D662" s="55"/>
      <c r="E662" s="55"/>
      <c r="F662" s="55"/>
      <c r="G662" s="55"/>
      <c r="H662" s="55"/>
      <c r="I662" s="55"/>
    </row>
    <row r="663">
      <c r="A663" s="55"/>
      <c r="B663" s="55"/>
      <c r="C663" s="55"/>
      <c r="D663" s="55"/>
      <c r="E663" s="55"/>
      <c r="F663" s="55"/>
      <c r="G663" s="55"/>
      <c r="H663" s="55"/>
      <c r="I663" s="55"/>
    </row>
    <row r="664">
      <c r="A664" s="55"/>
      <c r="B664" s="55"/>
      <c r="C664" s="55"/>
      <c r="D664" s="55"/>
      <c r="E664" s="55"/>
      <c r="F664" s="55"/>
      <c r="G664" s="55"/>
      <c r="H664" s="55"/>
      <c r="I664" s="55"/>
    </row>
    <row r="665">
      <c r="A665" s="55"/>
      <c r="B665" s="55"/>
      <c r="C665" s="55"/>
      <c r="D665" s="55"/>
      <c r="E665" s="55"/>
      <c r="F665" s="55"/>
      <c r="G665" s="55"/>
      <c r="H665" s="55"/>
      <c r="I665" s="55"/>
    </row>
    <row r="666">
      <c r="A666" s="55"/>
      <c r="B666" s="55"/>
      <c r="C666" s="55"/>
      <c r="D666" s="55"/>
      <c r="E666" s="55"/>
      <c r="F666" s="55"/>
      <c r="G666" s="55"/>
      <c r="H666" s="55"/>
      <c r="I666" s="55"/>
    </row>
    <row r="667">
      <c r="A667" s="55"/>
      <c r="B667" s="55"/>
      <c r="C667" s="55"/>
      <c r="D667" s="55"/>
      <c r="E667" s="55"/>
      <c r="F667" s="55"/>
      <c r="G667" s="55"/>
      <c r="H667" s="55"/>
      <c r="I667" s="55"/>
    </row>
    <row r="668">
      <c r="A668" s="55"/>
      <c r="B668" s="55"/>
      <c r="C668" s="55"/>
      <c r="D668" s="55"/>
      <c r="E668" s="55"/>
      <c r="F668" s="55"/>
      <c r="G668" s="55"/>
      <c r="H668" s="55"/>
      <c r="I668" s="55"/>
    </row>
    <row r="669">
      <c r="A669" s="55"/>
      <c r="B669" s="55"/>
      <c r="C669" s="55"/>
      <c r="D669" s="55"/>
      <c r="E669" s="55"/>
      <c r="F669" s="55"/>
      <c r="G669" s="55"/>
      <c r="H669" s="55"/>
      <c r="I669" s="55"/>
    </row>
    <row r="670">
      <c r="A670" s="55"/>
      <c r="B670" s="55"/>
      <c r="C670" s="55"/>
      <c r="D670" s="55"/>
      <c r="E670" s="55"/>
      <c r="F670" s="55"/>
      <c r="G670" s="55"/>
      <c r="H670" s="55"/>
      <c r="I670" s="55"/>
    </row>
    <row r="671">
      <c r="A671" s="55"/>
      <c r="B671" s="55"/>
      <c r="C671" s="55"/>
      <c r="D671" s="55"/>
      <c r="E671" s="55"/>
      <c r="F671" s="55"/>
      <c r="G671" s="55"/>
      <c r="H671" s="55"/>
      <c r="I671" s="55"/>
    </row>
    <row r="672">
      <c r="A672" s="55"/>
      <c r="B672" s="55"/>
      <c r="C672" s="55"/>
      <c r="D672" s="55"/>
      <c r="E672" s="55"/>
      <c r="F672" s="55"/>
      <c r="G672" s="55"/>
      <c r="H672" s="55"/>
      <c r="I672" s="55"/>
    </row>
    <row r="673">
      <c r="A673" s="55"/>
      <c r="B673" s="55"/>
      <c r="C673" s="55"/>
      <c r="D673" s="55"/>
      <c r="E673" s="55"/>
      <c r="F673" s="55"/>
      <c r="G673" s="55"/>
      <c r="H673" s="55"/>
      <c r="I673" s="55"/>
    </row>
    <row r="674">
      <c r="A674" s="55"/>
      <c r="B674" s="55"/>
      <c r="C674" s="55"/>
      <c r="D674" s="55"/>
      <c r="E674" s="55"/>
      <c r="F674" s="55"/>
      <c r="G674" s="55"/>
      <c r="H674" s="55"/>
      <c r="I674" s="55"/>
    </row>
    <row r="675">
      <c r="A675" s="55"/>
      <c r="B675" s="55"/>
      <c r="C675" s="55"/>
      <c r="D675" s="55"/>
      <c r="E675" s="55"/>
      <c r="F675" s="55"/>
      <c r="G675" s="55"/>
      <c r="H675" s="55"/>
      <c r="I675" s="55"/>
    </row>
    <row r="676">
      <c r="A676" s="55"/>
      <c r="B676" s="55"/>
      <c r="C676" s="55"/>
      <c r="D676" s="55"/>
      <c r="E676" s="55"/>
      <c r="F676" s="55"/>
      <c r="G676" s="55"/>
      <c r="H676" s="55"/>
      <c r="I676" s="55"/>
    </row>
    <row r="677">
      <c r="A677" s="55"/>
      <c r="B677" s="55"/>
      <c r="C677" s="55"/>
      <c r="D677" s="55"/>
      <c r="E677" s="55"/>
      <c r="F677" s="55"/>
      <c r="G677" s="55"/>
      <c r="H677" s="55"/>
      <c r="I677" s="55"/>
    </row>
    <row r="678">
      <c r="A678" s="55"/>
      <c r="B678" s="55"/>
      <c r="C678" s="55"/>
      <c r="D678" s="55"/>
      <c r="E678" s="55"/>
      <c r="F678" s="55"/>
      <c r="G678" s="55"/>
      <c r="H678" s="55"/>
      <c r="I678" s="55"/>
    </row>
    <row r="679">
      <c r="A679" s="55"/>
      <c r="B679" s="55"/>
      <c r="C679" s="55"/>
      <c r="D679" s="55"/>
      <c r="E679" s="55"/>
      <c r="F679" s="55"/>
      <c r="G679" s="55"/>
      <c r="H679" s="55"/>
      <c r="I679" s="55"/>
    </row>
    <row r="680">
      <c r="A680" s="55"/>
      <c r="B680" s="55"/>
      <c r="C680" s="55"/>
      <c r="D680" s="55"/>
      <c r="E680" s="55"/>
      <c r="F680" s="55"/>
      <c r="G680" s="55"/>
      <c r="H680" s="55"/>
      <c r="I680" s="55"/>
    </row>
    <row r="681">
      <c r="A681" s="55"/>
      <c r="B681" s="55"/>
      <c r="C681" s="55"/>
      <c r="D681" s="55"/>
      <c r="E681" s="55"/>
      <c r="F681" s="55"/>
      <c r="G681" s="55"/>
      <c r="H681" s="55"/>
      <c r="I681" s="55"/>
    </row>
    <row r="682">
      <c r="A682" s="55"/>
      <c r="B682" s="55"/>
      <c r="C682" s="55"/>
      <c r="D682" s="55"/>
      <c r="E682" s="55"/>
      <c r="F682" s="55"/>
      <c r="G682" s="55"/>
      <c r="H682" s="55"/>
      <c r="I682" s="55"/>
    </row>
    <row r="683">
      <c r="A683" s="55"/>
      <c r="B683" s="55"/>
      <c r="C683" s="55"/>
      <c r="D683" s="55"/>
      <c r="E683" s="55"/>
      <c r="F683" s="55"/>
      <c r="G683" s="55"/>
      <c r="H683" s="55"/>
      <c r="I683" s="55"/>
    </row>
    <row r="684">
      <c r="A684" s="55"/>
      <c r="B684" s="55"/>
      <c r="C684" s="55"/>
      <c r="D684" s="55"/>
      <c r="E684" s="55"/>
      <c r="F684" s="55"/>
      <c r="G684" s="55"/>
      <c r="H684" s="55"/>
      <c r="I684" s="55"/>
    </row>
    <row r="685">
      <c r="A685" s="55"/>
      <c r="B685" s="55"/>
      <c r="C685" s="55"/>
      <c r="D685" s="55"/>
      <c r="E685" s="55"/>
      <c r="F685" s="55"/>
      <c r="G685" s="55"/>
      <c r="H685" s="55"/>
      <c r="I685" s="55"/>
    </row>
    <row r="686">
      <c r="A686" s="55"/>
      <c r="B686" s="55"/>
      <c r="C686" s="55"/>
      <c r="D686" s="55"/>
      <c r="E686" s="55"/>
      <c r="F686" s="55"/>
      <c r="G686" s="55"/>
      <c r="H686" s="55"/>
      <c r="I686" s="55"/>
    </row>
    <row r="687">
      <c r="A687" s="55"/>
      <c r="B687" s="55"/>
      <c r="C687" s="55"/>
      <c r="D687" s="55"/>
      <c r="E687" s="55"/>
      <c r="F687" s="55"/>
      <c r="G687" s="55"/>
      <c r="H687" s="55"/>
      <c r="I687" s="55"/>
    </row>
    <row r="688">
      <c r="A688" s="55"/>
      <c r="B688" s="55"/>
      <c r="C688" s="55"/>
      <c r="D688" s="55"/>
      <c r="E688" s="55"/>
      <c r="F688" s="55"/>
      <c r="G688" s="55"/>
      <c r="H688" s="55"/>
      <c r="I688" s="55"/>
    </row>
    <row r="689">
      <c r="A689" s="55"/>
      <c r="B689" s="55"/>
      <c r="C689" s="55"/>
      <c r="D689" s="55"/>
      <c r="E689" s="55"/>
      <c r="F689" s="55"/>
      <c r="G689" s="55"/>
      <c r="H689" s="55"/>
      <c r="I689" s="55"/>
    </row>
    <row r="690">
      <c r="A690" s="55"/>
      <c r="B690" s="55"/>
      <c r="C690" s="55"/>
      <c r="D690" s="55"/>
      <c r="E690" s="55"/>
      <c r="F690" s="55"/>
      <c r="G690" s="55"/>
      <c r="H690" s="55"/>
      <c r="I690" s="55"/>
    </row>
    <row r="691">
      <c r="A691" s="55"/>
      <c r="B691" s="55"/>
      <c r="C691" s="55"/>
      <c r="D691" s="55"/>
      <c r="E691" s="55"/>
      <c r="F691" s="55"/>
      <c r="G691" s="55"/>
      <c r="H691" s="55"/>
      <c r="I691" s="55"/>
    </row>
    <row r="692">
      <c r="A692" s="55"/>
      <c r="B692" s="55"/>
      <c r="C692" s="55"/>
      <c r="D692" s="55"/>
      <c r="E692" s="55"/>
      <c r="F692" s="55"/>
      <c r="G692" s="55"/>
      <c r="H692" s="55"/>
      <c r="I692" s="55"/>
    </row>
    <row r="693">
      <c r="A693" s="55"/>
      <c r="B693" s="55"/>
      <c r="C693" s="55"/>
      <c r="D693" s="55"/>
      <c r="E693" s="55"/>
      <c r="F693" s="55"/>
      <c r="G693" s="55"/>
      <c r="H693" s="55"/>
      <c r="I693" s="55"/>
    </row>
    <row r="694">
      <c r="A694" s="55"/>
      <c r="B694" s="55"/>
      <c r="C694" s="55"/>
      <c r="D694" s="55"/>
      <c r="E694" s="55"/>
      <c r="F694" s="55"/>
      <c r="G694" s="55"/>
      <c r="H694" s="55"/>
      <c r="I694" s="55"/>
    </row>
    <row r="695">
      <c r="A695" s="55"/>
      <c r="B695" s="55"/>
      <c r="C695" s="55"/>
      <c r="D695" s="55"/>
      <c r="E695" s="55"/>
      <c r="F695" s="55"/>
      <c r="G695" s="55"/>
      <c r="H695" s="55"/>
      <c r="I695" s="55"/>
    </row>
    <row r="696">
      <c r="A696" s="55"/>
      <c r="B696" s="55"/>
      <c r="C696" s="55"/>
      <c r="D696" s="55"/>
      <c r="E696" s="55"/>
      <c r="F696" s="55"/>
      <c r="G696" s="55"/>
      <c r="H696" s="55"/>
      <c r="I696" s="55"/>
    </row>
    <row r="697">
      <c r="A697" s="55"/>
      <c r="B697" s="55"/>
      <c r="C697" s="55"/>
      <c r="D697" s="55"/>
      <c r="E697" s="55"/>
      <c r="F697" s="55"/>
      <c r="G697" s="55"/>
      <c r="H697" s="55"/>
      <c r="I697" s="55"/>
    </row>
    <row r="698">
      <c r="A698" s="55"/>
      <c r="B698" s="55"/>
      <c r="C698" s="55"/>
      <c r="D698" s="55"/>
      <c r="E698" s="55"/>
      <c r="F698" s="55"/>
      <c r="G698" s="55"/>
      <c r="H698" s="55"/>
      <c r="I698" s="55"/>
    </row>
    <row r="699">
      <c r="A699" s="55"/>
      <c r="B699" s="55"/>
      <c r="C699" s="55"/>
      <c r="D699" s="55"/>
      <c r="E699" s="55"/>
      <c r="F699" s="55"/>
      <c r="G699" s="55"/>
      <c r="H699" s="55"/>
      <c r="I699" s="55"/>
    </row>
    <row r="700">
      <c r="A700" s="55"/>
      <c r="B700" s="55"/>
      <c r="C700" s="55"/>
      <c r="D700" s="55"/>
      <c r="E700" s="55"/>
      <c r="F700" s="55"/>
      <c r="G700" s="55"/>
      <c r="H700" s="55"/>
      <c r="I700" s="55"/>
    </row>
    <row r="701">
      <c r="A701" s="55"/>
      <c r="B701" s="55"/>
      <c r="C701" s="55"/>
      <c r="D701" s="55"/>
      <c r="E701" s="55"/>
      <c r="F701" s="55"/>
      <c r="G701" s="55"/>
      <c r="H701" s="55"/>
      <c r="I701" s="55"/>
    </row>
    <row r="702">
      <c r="A702" s="55"/>
      <c r="B702" s="55"/>
      <c r="C702" s="55"/>
      <c r="D702" s="55"/>
      <c r="E702" s="55"/>
      <c r="F702" s="55"/>
      <c r="G702" s="55"/>
      <c r="H702" s="55"/>
      <c r="I702" s="55"/>
    </row>
    <row r="703">
      <c r="A703" s="55"/>
      <c r="B703" s="55"/>
      <c r="C703" s="55"/>
      <c r="D703" s="55"/>
      <c r="E703" s="55"/>
      <c r="F703" s="55"/>
      <c r="G703" s="55"/>
      <c r="H703" s="55"/>
      <c r="I703" s="55"/>
    </row>
    <row r="704">
      <c r="A704" s="55"/>
      <c r="B704" s="55"/>
      <c r="C704" s="55"/>
      <c r="D704" s="55"/>
      <c r="E704" s="55"/>
      <c r="F704" s="55"/>
      <c r="G704" s="55"/>
      <c r="H704" s="55"/>
      <c r="I704" s="55"/>
    </row>
    <row r="705">
      <c r="A705" s="55"/>
      <c r="B705" s="55"/>
      <c r="C705" s="55"/>
      <c r="D705" s="55"/>
      <c r="E705" s="55"/>
      <c r="F705" s="55"/>
      <c r="G705" s="55"/>
      <c r="H705" s="55"/>
      <c r="I705" s="55"/>
    </row>
    <row r="706">
      <c r="A706" s="55"/>
      <c r="B706" s="55"/>
      <c r="C706" s="55"/>
      <c r="D706" s="55"/>
      <c r="E706" s="55"/>
      <c r="F706" s="55"/>
      <c r="G706" s="55"/>
      <c r="H706" s="55"/>
      <c r="I706" s="55"/>
    </row>
    <row r="707">
      <c r="A707" s="55"/>
      <c r="B707" s="55"/>
      <c r="C707" s="55"/>
      <c r="D707" s="55"/>
      <c r="E707" s="55"/>
      <c r="F707" s="55"/>
      <c r="G707" s="55"/>
      <c r="H707" s="55"/>
      <c r="I707" s="55"/>
    </row>
    <row r="708">
      <c r="A708" s="55"/>
      <c r="B708" s="55"/>
      <c r="C708" s="55"/>
      <c r="D708" s="55"/>
      <c r="E708" s="55"/>
      <c r="F708" s="55"/>
      <c r="G708" s="55"/>
      <c r="H708" s="55"/>
      <c r="I708" s="55"/>
    </row>
    <row r="709">
      <c r="A709" s="55"/>
      <c r="B709" s="55"/>
      <c r="C709" s="55"/>
      <c r="D709" s="55"/>
      <c r="E709" s="55"/>
      <c r="F709" s="55"/>
      <c r="G709" s="55"/>
      <c r="H709" s="55"/>
      <c r="I709" s="55"/>
    </row>
    <row r="710">
      <c r="A710" s="55"/>
      <c r="B710" s="55"/>
      <c r="C710" s="55"/>
      <c r="D710" s="55"/>
      <c r="E710" s="55"/>
      <c r="F710" s="55"/>
      <c r="G710" s="55"/>
      <c r="H710" s="55"/>
      <c r="I710" s="55"/>
    </row>
    <row r="711">
      <c r="A711" s="55"/>
      <c r="B711" s="55"/>
      <c r="C711" s="55"/>
      <c r="D711" s="55"/>
      <c r="E711" s="55"/>
      <c r="F711" s="55"/>
      <c r="G711" s="55"/>
      <c r="H711" s="55"/>
      <c r="I711" s="55"/>
    </row>
    <row r="712">
      <c r="A712" s="55"/>
      <c r="B712" s="55"/>
      <c r="C712" s="55"/>
      <c r="D712" s="55"/>
      <c r="E712" s="55"/>
      <c r="F712" s="55"/>
      <c r="G712" s="55"/>
      <c r="H712" s="55"/>
      <c r="I712" s="55"/>
    </row>
    <row r="713">
      <c r="A713" s="55"/>
      <c r="B713" s="55"/>
      <c r="C713" s="55"/>
      <c r="D713" s="55"/>
      <c r="E713" s="55"/>
      <c r="F713" s="55"/>
      <c r="G713" s="55"/>
      <c r="H713" s="55"/>
      <c r="I713" s="55"/>
    </row>
    <row r="714">
      <c r="A714" s="55"/>
      <c r="B714" s="55"/>
      <c r="C714" s="55"/>
      <c r="D714" s="55"/>
      <c r="E714" s="55"/>
      <c r="F714" s="55"/>
      <c r="G714" s="55"/>
      <c r="H714" s="55"/>
      <c r="I714" s="55"/>
    </row>
    <row r="715">
      <c r="A715" s="55"/>
      <c r="B715" s="55"/>
      <c r="C715" s="55"/>
      <c r="D715" s="55"/>
      <c r="E715" s="55"/>
      <c r="F715" s="55"/>
      <c r="G715" s="55"/>
      <c r="H715" s="55"/>
      <c r="I715" s="55"/>
    </row>
    <row r="716">
      <c r="A716" s="55"/>
      <c r="B716" s="55"/>
      <c r="C716" s="55"/>
      <c r="D716" s="55"/>
      <c r="E716" s="55"/>
      <c r="F716" s="55"/>
      <c r="G716" s="55"/>
      <c r="H716" s="55"/>
      <c r="I716" s="55"/>
    </row>
    <row r="717">
      <c r="A717" s="55"/>
      <c r="B717" s="55"/>
      <c r="C717" s="55"/>
      <c r="D717" s="55"/>
      <c r="E717" s="55"/>
      <c r="F717" s="55"/>
      <c r="G717" s="55"/>
      <c r="H717" s="55"/>
      <c r="I717" s="55"/>
    </row>
    <row r="718">
      <c r="A718" s="55"/>
      <c r="B718" s="55"/>
      <c r="C718" s="55"/>
      <c r="D718" s="55"/>
      <c r="E718" s="55"/>
      <c r="F718" s="55"/>
      <c r="G718" s="55"/>
      <c r="H718" s="55"/>
      <c r="I718" s="55"/>
    </row>
    <row r="719">
      <c r="A719" s="55"/>
      <c r="B719" s="55"/>
      <c r="C719" s="55"/>
      <c r="D719" s="55"/>
      <c r="E719" s="55"/>
      <c r="F719" s="55"/>
      <c r="G719" s="55"/>
      <c r="H719" s="55"/>
      <c r="I719" s="55"/>
    </row>
    <row r="720">
      <c r="A720" s="55"/>
      <c r="B720" s="55"/>
      <c r="C720" s="55"/>
      <c r="D720" s="55"/>
      <c r="E720" s="55"/>
      <c r="F720" s="55"/>
      <c r="G720" s="55"/>
      <c r="H720" s="55"/>
      <c r="I720" s="55"/>
    </row>
    <row r="721">
      <c r="A721" s="55"/>
      <c r="B721" s="55"/>
      <c r="C721" s="55"/>
      <c r="D721" s="55"/>
      <c r="E721" s="55"/>
      <c r="F721" s="55"/>
      <c r="G721" s="55"/>
      <c r="H721" s="55"/>
      <c r="I721" s="55"/>
    </row>
    <row r="722">
      <c r="A722" s="55"/>
      <c r="B722" s="55"/>
      <c r="C722" s="55"/>
      <c r="D722" s="55"/>
      <c r="E722" s="55"/>
      <c r="F722" s="55"/>
      <c r="G722" s="55"/>
      <c r="H722" s="55"/>
      <c r="I722" s="55"/>
    </row>
    <row r="723">
      <c r="A723" s="55"/>
      <c r="B723" s="55"/>
      <c r="C723" s="55"/>
      <c r="D723" s="55"/>
      <c r="E723" s="55"/>
      <c r="F723" s="55"/>
      <c r="G723" s="55"/>
      <c r="H723" s="55"/>
      <c r="I723" s="55"/>
    </row>
    <row r="724">
      <c r="A724" s="55"/>
      <c r="B724" s="55"/>
      <c r="C724" s="55"/>
      <c r="D724" s="55"/>
      <c r="E724" s="55"/>
      <c r="F724" s="55"/>
      <c r="G724" s="55"/>
      <c r="H724" s="55"/>
      <c r="I724" s="55"/>
    </row>
    <row r="725">
      <c r="A725" s="55"/>
      <c r="B725" s="55"/>
      <c r="C725" s="55"/>
      <c r="D725" s="55"/>
      <c r="E725" s="55"/>
      <c r="F725" s="55"/>
      <c r="G725" s="55"/>
      <c r="H725" s="55"/>
      <c r="I725" s="55"/>
    </row>
    <row r="726">
      <c r="A726" s="55"/>
      <c r="B726" s="55"/>
      <c r="C726" s="55"/>
      <c r="D726" s="55"/>
      <c r="E726" s="55"/>
      <c r="F726" s="55"/>
      <c r="G726" s="55"/>
      <c r="H726" s="55"/>
      <c r="I726" s="55"/>
    </row>
    <row r="727">
      <c r="A727" s="55"/>
      <c r="B727" s="55"/>
      <c r="C727" s="55"/>
      <c r="D727" s="55"/>
      <c r="E727" s="55"/>
      <c r="F727" s="55"/>
      <c r="G727" s="55"/>
      <c r="H727" s="55"/>
      <c r="I727" s="55"/>
    </row>
    <row r="728">
      <c r="A728" s="55"/>
      <c r="B728" s="55"/>
      <c r="C728" s="55"/>
      <c r="D728" s="55"/>
      <c r="E728" s="55"/>
      <c r="F728" s="55"/>
      <c r="G728" s="55"/>
      <c r="H728" s="55"/>
      <c r="I728" s="55"/>
    </row>
    <row r="729">
      <c r="A729" s="55"/>
      <c r="B729" s="55"/>
      <c r="C729" s="55"/>
      <c r="D729" s="55"/>
      <c r="E729" s="55"/>
      <c r="F729" s="55"/>
      <c r="G729" s="55"/>
      <c r="H729" s="55"/>
      <c r="I729" s="55"/>
    </row>
    <row r="730">
      <c r="A730" s="55"/>
      <c r="B730" s="55"/>
      <c r="C730" s="55"/>
      <c r="D730" s="55"/>
      <c r="E730" s="55"/>
      <c r="F730" s="55"/>
      <c r="G730" s="55"/>
      <c r="H730" s="55"/>
      <c r="I730" s="55"/>
    </row>
    <row r="731">
      <c r="A731" s="55"/>
      <c r="B731" s="55"/>
      <c r="C731" s="55"/>
      <c r="D731" s="55"/>
      <c r="E731" s="55"/>
      <c r="F731" s="55"/>
      <c r="G731" s="55"/>
      <c r="H731" s="55"/>
      <c r="I731" s="55"/>
    </row>
    <row r="732">
      <c r="A732" s="55"/>
      <c r="B732" s="55"/>
      <c r="C732" s="55"/>
      <c r="D732" s="55"/>
      <c r="E732" s="55"/>
      <c r="F732" s="55"/>
      <c r="G732" s="55"/>
      <c r="H732" s="55"/>
      <c r="I732" s="55"/>
    </row>
    <row r="733">
      <c r="A733" s="55"/>
      <c r="B733" s="55"/>
      <c r="C733" s="55"/>
      <c r="D733" s="55"/>
      <c r="E733" s="55"/>
      <c r="F733" s="55"/>
      <c r="G733" s="55"/>
      <c r="H733" s="55"/>
      <c r="I733" s="55"/>
    </row>
    <row r="734">
      <c r="A734" s="55"/>
      <c r="B734" s="55"/>
      <c r="C734" s="55"/>
      <c r="D734" s="55"/>
      <c r="E734" s="55"/>
      <c r="F734" s="55"/>
      <c r="G734" s="55"/>
      <c r="H734" s="55"/>
      <c r="I734" s="55"/>
    </row>
    <row r="735">
      <c r="A735" s="55"/>
      <c r="B735" s="55"/>
      <c r="C735" s="55"/>
      <c r="D735" s="55"/>
      <c r="E735" s="55"/>
      <c r="F735" s="55"/>
      <c r="G735" s="55"/>
      <c r="H735" s="55"/>
      <c r="I735" s="55"/>
    </row>
    <row r="736">
      <c r="A736" s="55"/>
      <c r="B736" s="55"/>
      <c r="C736" s="55"/>
      <c r="D736" s="55"/>
      <c r="E736" s="55"/>
      <c r="F736" s="55"/>
      <c r="G736" s="55"/>
      <c r="H736" s="55"/>
      <c r="I736" s="55"/>
    </row>
    <row r="737">
      <c r="A737" s="55"/>
      <c r="B737" s="55"/>
      <c r="C737" s="55"/>
      <c r="D737" s="55"/>
      <c r="E737" s="55"/>
      <c r="F737" s="55"/>
      <c r="G737" s="55"/>
      <c r="H737" s="55"/>
      <c r="I737" s="55"/>
    </row>
    <row r="738">
      <c r="A738" s="55"/>
      <c r="B738" s="55"/>
      <c r="C738" s="55"/>
      <c r="D738" s="55"/>
      <c r="E738" s="55"/>
      <c r="F738" s="55"/>
      <c r="G738" s="55"/>
      <c r="H738" s="55"/>
      <c r="I738" s="55"/>
    </row>
    <row r="739">
      <c r="A739" s="55"/>
      <c r="B739" s="55"/>
      <c r="C739" s="55"/>
      <c r="D739" s="55"/>
      <c r="E739" s="55"/>
      <c r="F739" s="55"/>
      <c r="G739" s="55"/>
      <c r="H739" s="55"/>
      <c r="I739" s="55"/>
    </row>
    <row r="740">
      <c r="A740" s="55"/>
      <c r="B740" s="55"/>
      <c r="C740" s="55"/>
      <c r="D740" s="55"/>
      <c r="E740" s="55"/>
      <c r="F740" s="55"/>
      <c r="G740" s="55"/>
      <c r="H740" s="55"/>
      <c r="I740" s="55"/>
    </row>
    <row r="741">
      <c r="A741" s="55"/>
      <c r="B741" s="55"/>
      <c r="C741" s="55"/>
      <c r="D741" s="55"/>
      <c r="E741" s="55"/>
      <c r="F741" s="55"/>
      <c r="G741" s="55"/>
      <c r="H741" s="55"/>
      <c r="I741" s="55"/>
    </row>
    <row r="742">
      <c r="A742" s="55"/>
      <c r="B742" s="55"/>
      <c r="C742" s="55"/>
      <c r="D742" s="55"/>
      <c r="E742" s="55"/>
      <c r="F742" s="55"/>
      <c r="G742" s="55"/>
      <c r="H742" s="55"/>
      <c r="I742" s="55"/>
    </row>
    <row r="743">
      <c r="A743" s="55"/>
      <c r="B743" s="55"/>
      <c r="C743" s="55"/>
      <c r="D743" s="55"/>
      <c r="E743" s="55"/>
      <c r="F743" s="55"/>
      <c r="G743" s="55"/>
      <c r="H743" s="55"/>
      <c r="I743" s="55"/>
    </row>
    <row r="744">
      <c r="A744" s="55"/>
      <c r="B744" s="55"/>
      <c r="C744" s="55"/>
      <c r="D744" s="55"/>
      <c r="E744" s="55"/>
      <c r="F744" s="55"/>
      <c r="G744" s="55"/>
      <c r="H744" s="55"/>
      <c r="I744" s="55"/>
    </row>
    <row r="745">
      <c r="A745" s="55"/>
      <c r="B745" s="55"/>
      <c r="C745" s="55"/>
      <c r="D745" s="55"/>
      <c r="E745" s="55"/>
      <c r="F745" s="55"/>
      <c r="G745" s="55"/>
      <c r="H745" s="55"/>
      <c r="I745" s="55"/>
    </row>
    <row r="746">
      <c r="A746" s="55"/>
      <c r="B746" s="55"/>
      <c r="C746" s="55"/>
      <c r="D746" s="55"/>
      <c r="E746" s="55"/>
      <c r="F746" s="55"/>
      <c r="G746" s="55"/>
      <c r="H746" s="55"/>
      <c r="I746" s="55"/>
    </row>
    <row r="747">
      <c r="A747" s="55"/>
      <c r="B747" s="55"/>
      <c r="C747" s="55"/>
      <c r="D747" s="55"/>
      <c r="E747" s="55"/>
      <c r="F747" s="55"/>
      <c r="G747" s="55"/>
      <c r="H747" s="55"/>
      <c r="I747" s="55"/>
    </row>
    <row r="748">
      <c r="A748" s="55"/>
      <c r="B748" s="55"/>
      <c r="C748" s="55"/>
      <c r="D748" s="55"/>
      <c r="E748" s="55"/>
      <c r="F748" s="55"/>
      <c r="G748" s="55"/>
      <c r="H748" s="55"/>
      <c r="I748" s="55"/>
    </row>
    <row r="749">
      <c r="A749" s="55"/>
      <c r="B749" s="55"/>
      <c r="C749" s="55"/>
      <c r="D749" s="55"/>
      <c r="E749" s="55"/>
      <c r="F749" s="55"/>
      <c r="G749" s="55"/>
      <c r="H749" s="55"/>
      <c r="I749" s="55"/>
    </row>
    <row r="750">
      <c r="A750" s="55"/>
      <c r="B750" s="55"/>
      <c r="C750" s="55"/>
      <c r="D750" s="55"/>
      <c r="E750" s="55"/>
      <c r="F750" s="55"/>
      <c r="G750" s="55"/>
      <c r="H750" s="55"/>
      <c r="I750" s="55"/>
    </row>
    <row r="751">
      <c r="A751" s="55"/>
      <c r="B751" s="55"/>
      <c r="C751" s="55"/>
      <c r="D751" s="55"/>
      <c r="E751" s="55"/>
      <c r="F751" s="55"/>
      <c r="G751" s="55"/>
      <c r="H751" s="55"/>
      <c r="I751" s="55"/>
    </row>
    <row r="752">
      <c r="A752" s="55"/>
      <c r="B752" s="55"/>
      <c r="C752" s="55"/>
      <c r="D752" s="55"/>
      <c r="E752" s="55"/>
      <c r="F752" s="55"/>
      <c r="G752" s="55"/>
      <c r="H752" s="55"/>
      <c r="I752" s="55"/>
    </row>
    <row r="753">
      <c r="A753" s="55"/>
      <c r="B753" s="55"/>
      <c r="C753" s="55"/>
      <c r="D753" s="55"/>
      <c r="E753" s="55"/>
      <c r="F753" s="55"/>
      <c r="G753" s="55"/>
      <c r="H753" s="55"/>
      <c r="I753" s="55"/>
    </row>
    <row r="754">
      <c r="A754" s="55"/>
      <c r="B754" s="55"/>
      <c r="C754" s="55"/>
      <c r="D754" s="55"/>
      <c r="E754" s="55"/>
      <c r="F754" s="55"/>
      <c r="G754" s="55"/>
      <c r="H754" s="55"/>
      <c r="I754" s="55"/>
    </row>
    <row r="755">
      <c r="A755" s="55"/>
      <c r="B755" s="55"/>
      <c r="C755" s="55"/>
      <c r="D755" s="55"/>
      <c r="E755" s="55"/>
      <c r="F755" s="55"/>
      <c r="G755" s="55"/>
      <c r="H755" s="55"/>
      <c r="I755" s="55"/>
    </row>
    <row r="756">
      <c r="A756" s="55"/>
      <c r="B756" s="55"/>
      <c r="C756" s="55"/>
      <c r="D756" s="55"/>
      <c r="E756" s="55"/>
      <c r="F756" s="55"/>
      <c r="G756" s="55"/>
      <c r="H756" s="55"/>
      <c r="I756" s="55"/>
    </row>
    <row r="757">
      <c r="A757" s="55"/>
      <c r="B757" s="55"/>
      <c r="C757" s="55"/>
      <c r="D757" s="55"/>
      <c r="E757" s="55"/>
      <c r="F757" s="55"/>
      <c r="G757" s="55"/>
      <c r="H757" s="55"/>
      <c r="I757" s="55"/>
    </row>
    <row r="758">
      <c r="A758" s="55"/>
      <c r="B758" s="55"/>
      <c r="C758" s="55"/>
      <c r="D758" s="55"/>
      <c r="E758" s="55"/>
      <c r="F758" s="55"/>
      <c r="G758" s="55"/>
      <c r="H758" s="55"/>
      <c r="I758" s="55"/>
    </row>
    <row r="759">
      <c r="A759" s="55"/>
      <c r="B759" s="55"/>
      <c r="C759" s="55"/>
      <c r="D759" s="55"/>
      <c r="E759" s="55"/>
      <c r="F759" s="55"/>
      <c r="G759" s="55"/>
      <c r="H759" s="55"/>
      <c r="I759" s="55"/>
    </row>
    <row r="760">
      <c r="A760" s="55"/>
      <c r="B760" s="55"/>
      <c r="C760" s="55"/>
      <c r="D760" s="55"/>
      <c r="E760" s="55"/>
      <c r="F760" s="55"/>
      <c r="G760" s="55"/>
      <c r="H760" s="55"/>
      <c r="I760" s="55"/>
    </row>
    <row r="761">
      <c r="A761" s="55"/>
      <c r="B761" s="55"/>
      <c r="C761" s="55"/>
      <c r="D761" s="55"/>
      <c r="E761" s="55"/>
      <c r="F761" s="55"/>
      <c r="G761" s="55"/>
      <c r="H761" s="55"/>
      <c r="I761" s="55"/>
    </row>
    <row r="762">
      <c r="A762" s="55"/>
      <c r="B762" s="55"/>
      <c r="C762" s="55"/>
      <c r="D762" s="55"/>
      <c r="E762" s="55"/>
      <c r="F762" s="55"/>
      <c r="G762" s="55"/>
      <c r="H762" s="55"/>
      <c r="I762" s="55"/>
    </row>
    <row r="763">
      <c r="A763" s="55"/>
      <c r="B763" s="55"/>
      <c r="C763" s="55"/>
      <c r="D763" s="55"/>
      <c r="E763" s="55"/>
      <c r="F763" s="55"/>
      <c r="G763" s="55"/>
      <c r="H763" s="55"/>
      <c r="I763" s="55"/>
    </row>
    <row r="764">
      <c r="A764" s="55"/>
      <c r="B764" s="55"/>
      <c r="C764" s="55"/>
      <c r="D764" s="55"/>
      <c r="E764" s="55"/>
      <c r="F764" s="55"/>
      <c r="G764" s="55"/>
      <c r="H764" s="55"/>
      <c r="I764" s="55"/>
    </row>
    <row r="765">
      <c r="A765" s="55"/>
      <c r="B765" s="55"/>
      <c r="C765" s="55"/>
      <c r="D765" s="55"/>
      <c r="E765" s="55"/>
      <c r="F765" s="55"/>
      <c r="G765" s="55"/>
      <c r="H765" s="55"/>
      <c r="I765" s="55"/>
    </row>
    <row r="766">
      <c r="A766" s="55"/>
      <c r="B766" s="55"/>
      <c r="C766" s="55"/>
      <c r="D766" s="55"/>
      <c r="E766" s="55"/>
      <c r="F766" s="55"/>
      <c r="G766" s="55"/>
      <c r="H766" s="55"/>
      <c r="I766" s="55"/>
    </row>
    <row r="767">
      <c r="A767" s="55"/>
      <c r="B767" s="55"/>
      <c r="C767" s="55"/>
      <c r="D767" s="55"/>
      <c r="E767" s="55"/>
      <c r="F767" s="55"/>
      <c r="G767" s="55"/>
      <c r="H767" s="55"/>
      <c r="I767" s="55"/>
    </row>
    <row r="768">
      <c r="A768" s="55"/>
      <c r="B768" s="55"/>
      <c r="C768" s="55"/>
      <c r="D768" s="55"/>
      <c r="E768" s="55"/>
      <c r="F768" s="55"/>
      <c r="G768" s="55"/>
      <c r="H768" s="55"/>
      <c r="I768" s="55"/>
    </row>
    <row r="769">
      <c r="A769" s="55"/>
      <c r="B769" s="55"/>
      <c r="C769" s="55"/>
      <c r="D769" s="55"/>
      <c r="E769" s="55"/>
      <c r="F769" s="55"/>
      <c r="G769" s="55"/>
      <c r="H769" s="55"/>
      <c r="I769" s="55"/>
    </row>
    <row r="770">
      <c r="A770" s="55"/>
      <c r="B770" s="55"/>
      <c r="C770" s="55"/>
      <c r="D770" s="55"/>
      <c r="E770" s="55"/>
      <c r="F770" s="55"/>
      <c r="G770" s="55"/>
      <c r="H770" s="55"/>
      <c r="I770" s="55"/>
    </row>
    <row r="771">
      <c r="A771" s="55"/>
      <c r="B771" s="55"/>
      <c r="C771" s="55"/>
      <c r="D771" s="55"/>
      <c r="E771" s="55"/>
      <c r="F771" s="55"/>
      <c r="G771" s="55"/>
      <c r="H771" s="55"/>
      <c r="I771" s="55"/>
    </row>
    <row r="772">
      <c r="A772" s="55"/>
      <c r="B772" s="55"/>
      <c r="C772" s="55"/>
      <c r="D772" s="55"/>
      <c r="E772" s="55"/>
      <c r="F772" s="55"/>
      <c r="G772" s="55"/>
      <c r="H772" s="55"/>
      <c r="I772" s="55"/>
    </row>
    <row r="773">
      <c r="A773" s="55"/>
      <c r="B773" s="55"/>
      <c r="C773" s="55"/>
      <c r="D773" s="55"/>
      <c r="E773" s="55"/>
      <c r="F773" s="55"/>
      <c r="G773" s="55"/>
      <c r="H773" s="55"/>
      <c r="I773" s="55"/>
    </row>
    <row r="774">
      <c r="A774" s="55"/>
      <c r="B774" s="55"/>
      <c r="C774" s="55"/>
      <c r="D774" s="55"/>
      <c r="E774" s="55"/>
      <c r="F774" s="55"/>
      <c r="G774" s="55"/>
      <c r="H774" s="55"/>
      <c r="I774" s="55"/>
    </row>
    <row r="775">
      <c r="A775" s="55"/>
      <c r="B775" s="55"/>
      <c r="C775" s="55"/>
      <c r="D775" s="55"/>
      <c r="E775" s="55"/>
      <c r="F775" s="55"/>
      <c r="G775" s="55"/>
      <c r="H775" s="55"/>
      <c r="I775" s="55"/>
    </row>
    <row r="776">
      <c r="A776" s="55"/>
      <c r="B776" s="55"/>
      <c r="C776" s="55"/>
      <c r="D776" s="55"/>
      <c r="E776" s="55"/>
      <c r="F776" s="55"/>
      <c r="G776" s="55"/>
      <c r="H776" s="55"/>
      <c r="I776" s="55"/>
    </row>
    <row r="777">
      <c r="A777" s="55"/>
      <c r="B777" s="55"/>
      <c r="C777" s="55"/>
      <c r="D777" s="55"/>
      <c r="E777" s="55"/>
      <c r="F777" s="55"/>
      <c r="G777" s="55"/>
      <c r="H777" s="55"/>
      <c r="I777" s="55"/>
    </row>
    <row r="778">
      <c r="A778" s="55"/>
      <c r="B778" s="55"/>
      <c r="C778" s="55"/>
      <c r="D778" s="55"/>
      <c r="E778" s="55"/>
      <c r="F778" s="55"/>
      <c r="G778" s="55"/>
      <c r="H778" s="55"/>
      <c r="I778" s="55"/>
    </row>
    <row r="779">
      <c r="A779" s="55"/>
      <c r="B779" s="55"/>
      <c r="C779" s="55"/>
      <c r="D779" s="55"/>
      <c r="E779" s="55"/>
      <c r="F779" s="55"/>
      <c r="G779" s="55"/>
      <c r="H779" s="55"/>
      <c r="I779" s="55"/>
    </row>
    <row r="780">
      <c r="A780" s="55"/>
      <c r="B780" s="55"/>
      <c r="C780" s="55"/>
      <c r="D780" s="55"/>
      <c r="E780" s="55"/>
      <c r="F780" s="55"/>
      <c r="G780" s="55"/>
      <c r="H780" s="55"/>
      <c r="I780" s="55"/>
    </row>
    <row r="781">
      <c r="A781" s="55"/>
      <c r="B781" s="55"/>
      <c r="C781" s="55"/>
      <c r="D781" s="55"/>
      <c r="E781" s="55"/>
      <c r="F781" s="55"/>
      <c r="G781" s="55"/>
      <c r="H781" s="55"/>
      <c r="I781" s="55"/>
    </row>
    <row r="782">
      <c r="A782" s="55"/>
      <c r="B782" s="55"/>
      <c r="C782" s="55"/>
      <c r="D782" s="55"/>
      <c r="E782" s="55"/>
      <c r="F782" s="55"/>
      <c r="G782" s="55"/>
      <c r="H782" s="55"/>
      <c r="I782" s="55"/>
    </row>
    <row r="783">
      <c r="A783" s="55"/>
      <c r="B783" s="55"/>
      <c r="C783" s="55"/>
      <c r="D783" s="55"/>
      <c r="E783" s="55"/>
      <c r="F783" s="55"/>
      <c r="G783" s="55"/>
      <c r="H783" s="55"/>
      <c r="I783" s="55"/>
    </row>
    <row r="784">
      <c r="A784" s="55"/>
      <c r="B784" s="55"/>
      <c r="C784" s="55"/>
      <c r="D784" s="55"/>
      <c r="E784" s="55"/>
      <c r="F784" s="55"/>
      <c r="G784" s="55"/>
      <c r="H784" s="55"/>
      <c r="I784" s="55"/>
    </row>
    <row r="785">
      <c r="A785" s="55"/>
      <c r="B785" s="55"/>
      <c r="C785" s="55"/>
      <c r="D785" s="55"/>
      <c r="E785" s="55"/>
      <c r="F785" s="55"/>
      <c r="G785" s="55"/>
      <c r="H785" s="55"/>
      <c r="I785" s="55"/>
    </row>
    <row r="786">
      <c r="A786" s="55"/>
      <c r="B786" s="55"/>
      <c r="C786" s="55"/>
      <c r="D786" s="55"/>
      <c r="E786" s="55"/>
      <c r="F786" s="55"/>
      <c r="G786" s="55"/>
      <c r="H786" s="55"/>
      <c r="I786" s="55"/>
    </row>
    <row r="787">
      <c r="A787" s="55"/>
      <c r="B787" s="55"/>
      <c r="C787" s="55"/>
      <c r="D787" s="55"/>
      <c r="E787" s="55"/>
      <c r="F787" s="55"/>
      <c r="G787" s="55"/>
      <c r="H787" s="55"/>
      <c r="I787" s="55"/>
    </row>
    <row r="788">
      <c r="A788" s="55"/>
      <c r="B788" s="55"/>
      <c r="C788" s="55"/>
      <c r="D788" s="55"/>
      <c r="E788" s="55"/>
      <c r="F788" s="55"/>
      <c r="G788" s="55"/>
      <c r="H788" s="55"/>
      <c r="I788" s="55"/>
    </row>
    <row r="789">
      <c r="A789" s="55"/>
      <c r="B789" s="55"/>
      <c r="C789" s="55"/>
      <c r="D789" s="55"/>
      <c r="E789" s="55"/>
      <c r="F789" s="55"/>
      <c r="G789" s="55"/>
      <c r="H789" s="55"/>
      <c r="I789" s="55"/>
    </row>
    <row r="790">
      <c r="A790" s="55"/>
      <c r="B790" s="55"/>
      <c r="C790" s="55"/>
      <c r="D790" s="55"/>
      <c r="E790" s="55"/>
      <c r="F790" s="55"/>
      <c r="G790" s="55"/>
      <c r="H790" s="55"/>
      <c r="I790" s="55"/>
    </row>
    <row r="791">
      <c r="A791" s="55"/>
      <c r="B791" s="55"/>
      <c r="C791" s="55"/>
      <c r="D791" s="55"/>
      <c r="E791" s="55"/>
      <c r="F791" s="55"/>
      <c r="G791" s="55"/>
      <c r="H791" s="55"/>
      <c r="I791" s="55"/>
    </row>
    <row r="792">
      <c r="A792" s="55"/>
      <c r="B792" s="55"/>
      <c r="C792" s="55"/>
      <c r="D792" s="55"/>
      <c r="E792" s="55"/>
      <c r="F792" s="55"/>
      <c r="G792" s="55"/>
      <c r="H792" s="55"/>
      <c r="I792" s="55"/>
    </row>
    <row r="793">
      <c r="A793" s="55"/>
      <c r="B793" s="55"/>
      <c r="C793" s="55"/>
      <c r="D793" s="55"/>
      <c r="E793" s="55"/>
      <c r="F793" s="55"/>
      <c r="G793" s="55"/>
      <c r="H793" s="55"/>
      <c r="I793" s="55"/>
    </row>
    <row r="794">
      <c r="A794" s="55"/>
      <c r="B794" s="55"/>
      <c r="C794" s="55"/>
      <c r="D794" s="55"/>
      <c r="E794" s="55"/>
      <c r="F794" s="55"/>
      <c r="G794" s="55"/>
      <c r="H794" s="55"/>
      <c r="I794" s="55"/>
    </row>
    <row r="795">
      <c r="A795" s="55"/>
      <c r="B795" s="55"/>
      <c r="C795" s="55"/>
      <c r="D795" s="55"/>
      <c r="E795" s="55"/>
      <c r="F795" s="55"/>
      <c r="G795" s="55"/>
      <c r="H795" s="55"/>
      <c r="I795" s="55"/>
    </row>
    <row r="796">
      <c r="A796" s="55"/>
      <c r="B796" s="55"/>
      <c r="C796" s="55"/>
      <c r="D796" s="55"/>
      <c r="E796" s="55"/>
      <c r="F796" s="55"/>
      <c r="G796" s="55"/>
      <c r="H796" s="55"/>
      <c r="I796" s="55"/>
    </row>
    <row r="797">
      <c r="A797" s="55"/>
      <c r="B797" s="55"/>
      <c r="C797" s="55"/>
      <c r="D797" s="55"/>
      <c r="E797" s="55"/>
      <c r="F797" s="55"/>
      <c r="G797" s="55"/>
      <c r="H797" s="55"/>
      <c r="I797" s="55"/>
    </row>
    <row r="798">
      <c r="A798" s="55"/>
      <c r="B798" s="55"/>
      <c r="C798" s="55"/>
      <c r="D798" s="55"/>
      <c r="E798" s="55"/>
      <c r="F798" s="55"/>
      <c r="G798" s="55"/>
      <c r="H798" s="55"/>
      <c r="I798" s="55"/>
    </row>
    <row r="799">
      <c r="A799" s="55"/>
      <c r="B799" s="55"/>
      <c r="C799" s="55"/>
      <c r="D799" s="55"/>
      <c r="E799" s="55"/>
      <c r="F799" s="55"/>
      <c r="G799" s="55"/>
      <c r="H799" s="55"/>
      <c r="I799" s="55"/>
    </row>
    <row r="800">
      <c r="A800" s="55"/>
      <c r="B800" s="55"/>
      <c r="C800" s="55"/>
      <c r="D800" s="55"/>
      <c r="E800" s="55"/>
      <c r="F800" s="55"/>
      <c r="G800" s="55"/>
      <c r="H800" s="55"/>
      <c r="I800" s="55"/>
    </row>
    <row r="801">
      <c r="A801" s="55"/>
      <c r="B801" s="55"/>
      <c r="C801" s="55"/>
      <c r="D801" s="55"/>
      <c r="E801" s="55"/>
      <c r="F801" s="55"/>
      <c r="G801" s="55"/>
      <c r="H801" s="55"/>
      <c r="I801" s="55"/>
    </row>
    <row r="802">
      <c r="A802" s="55"/>
      <c r="B802" s="55"/>
      <c r="C802" s="55"/>
      <c r="D802" s="55"/>
      <c r="E802" s="55"/>
      <c r="F802" s="55"/>
      <c r="G802" s="55"/>
      <c r="H802" s="55"/>
      <c r="I802" s="55"/>
    </row>
    <row r="803">
      <c r="A803" s="55"/>
      <c r="B803" s="55"/>
      <c r="C803" s="55"/>
      <c r="D803" s="55"/>
      <c r="E803" s="55"/>
      <c r="F803" s="55"/>
      <c r="G803" s="55"/>
      <c r="H803" s="55"/>
      <c r="I803" s="55"/>
    </row>
    <row r="804">
      <c r="A804" s="55"/>
      <c r="B804" s="55"/>
      <c r="C804" s="55"/>
      <c r="D804" s="55"/>
      <c r="E804" s="55"/>
      <c r="F804" s="55"/>
      <c r="G804" s="55"/>
      <c r="H804" s="55"/>
      <c r="I804" s="55"/>
    </row>
    <row r="805">
      <c r="A805" s="55"/>
      <c r="B805" s="55"/>
      <c r="C805" s="55"/>
      <c r="D805" s="55"/>
      <c r="E805" s="55"/>
      <c r="F805" s="55"/>
      <c r="G805" s="55"/>
      <c r="H805" s="55"/>
      <c r="I805" s="55"/>
    </row>
    <row r="806">
      <c r="A806" s="55"/>
      <c r="B806" s="55"/>
      <c r="C806" s="55"/>
      <c r="D806" s="55"/>
      <c r="E806" s="55"/>
      <c r="F806" s="55"/>
      <c r="G806" s="55"/>
      <c r="H806" s="55"/>
      <c r="I806" s="55"/>
    </row>
    <row r="807">
      <c r="A807" s="55"/>
      <c r="B807" s="55"/>
      <c r="C807" s="55"/>
      <c r="D807" s="55"/>
      <c r="E807" s="55"/>
      <c r="F807" s="55"/>
      <c r="G807" s="55"/>
      <c r="H807" s="55"/>
      <c r="I807" s="55"/>
    </row>
    <row r="808">
      <c r="A808" s="55"/>
      <c r="B808" s="55"/>
      <c r="C808" s="55"/>
      <c r="D808" s="55"/>
      <c r="E808" s="55"/>
      <c r="F808" s="55"/>
      <c r="G808" s="55"/>
      <c r="H808" s="55"/>
      <c r="I808" s="55"/>
    </row>
    <row r="809">
      <c r="A809" s="55"/>
      <c r="B809" s="55"/>
      <c r="C809" s="55"/>
      <c r="D809" s="55"/>
      <c r="E809" s="55"/>
      <c r="F809" s="55"/>
      <c r="G809" s="55"/>
      <c r="H809" s="55"/>
      <c r="I809" s="55"/>
    </row>
    <row r="810">
      <c r="A810" s="55"/>
      <c r="B810" s="55"/>
      <c r="C810" s="55"/>
      <c r="D810" s="55"/>
      <c r="E810" s="55"/>
      <c r="F810" s="55"/>
      <c r="G810" s="55"/>
      <c r="H810" s="55"/>
      <c r="I810" s="55"/>
    </row>
    <row r="811">
      <c r="A811" s="55"/>
      <c r="B811" s="55"/>
      <c r="C811" s="55"/>
      <c r="D811" s="55"/>
      <c r="E811" s="55"/>
      <c r="F811" s="55"/>
      <c r="G811" s="55"/>
      <c r="H811" s="55"/>
      <c r="I811" s="55"/>
    </row>
    <row r="812">
      <c r="A812" s="55"/>
      <c r="B812" s="55"/>
      <c r="C812" s="55"/>
      <c r="D812" s="55"/>
      <c r="E812" s="55"/>
      <c r="F812" s="55"/>
      <c r="G812" s="55"/>
      <c r="H812" s="55"/>
      <c r="I812" s="55"/>
    </row>
    <row r="813">
      <c r="A813" s="55"/>
      <c r="B813" s="55"/>
      <c r="C813" s="55"/>
      <c r="D813" s="55"/>
      <c r="E813" s="55"/>
      <c r="F813" s="55"/>
      <c r="G813" s="55"/>
      <c r="H813" s="55"/>
      <c r="I813" s="55"/>
    </row>
    <row r="814">
      <c r="A814" s="55"/>
      <c r="B814" s="55"/>
      <c r="C814" s="55"/>
      <c r="D814" s="55"/>
      <c r="E814" s="55"/>
      <c r="F814" s="55"/>
      <c r="G814" s="55"/>
      <c r="H814" s="55"/>
      <c r="I814" s="55"/>
    </row>
    <row r="815">
      <c r="A815" s="55"/>
      <c r="B815" s="55"/>
      <c r="C815" s="55"/>
      <c r="D815" s="55"/>
      <c r="E815" s="55"/>
      <c r="F815" s="55"/>
      <c r="G815" s="55"/>
      <c r="H815" s="55"/>
      <c r="I815" s="55"/>
    </row>
    <row r="816">
      <c r="A816" s="55"/>
      <c r="B816" s="55"/>
      <c r="C816" s="55"/>
      <c r="D816" s="55"/>
      <c r="E816" s="55"/>
      <c r="F816" s="55"/>
      <c r="G816" s="55"/>
      <c r="H816" s="55"/>
      <c r="I816" s="55"/>
    </row>
    <row r="817">
      <c r="A817" s="55"/>
      <c r="B817" s="55"/>
      <c r="C817" s="55"/>
      <c r="D817" s="55"/>
      <c r="E817" s="55"/>
      <c r="F817" s="55"/>
      <c r="G817" s="55"/>
      <c r="H817" s="55"/>
      <c r="I817" s="55"/>
    </row>
    <row r="818">
      <c r="A818" s="55"/>
      <c r="B818" s="55"/>
      <c r="C818" s="55"/>
      <c r="D818" s="55"/>
      <c r="E818" s="55"/>
      <c r="F818" s="55"/>
      <c r="G818" s="55"/>
      <c r="H818" s="55"/>
      <c r="I818" s="55"/>
    </row>
    <row r="819">
      <c r="A819" s="55"/>
      <c r="B819" s="55"/>
      <c r="C819" s="55"/>
      <c r="D819" s="55"/>
      <c r="E819" s="55"/>
      <c r="F819" s="55"/>
      <c r="G819" s="55"/>
      <c r="H819" s="55"/>
      <c r="I819" s="55"/>
    </row>
    <row r="820">
      <c r="A820" s="55"/>
      <c r="B820" s="55"/>
      <c r="C820" s="55"/>
      <c r="D820" s="55"/>
      <c r="E820" s="55"/>
      <c r="F820" s="55"/>
      <c r="G820" s="55"/>
      <c r="H820" s="55"/>
      <c r="I820" s="55"/>
    </row>
    <row r="821">
      <c r="A821" s="55"/>
      <c r="B821" s="55"/>
      <c r="C821" s="55"/>
      <c r="D821" s="55"/>
      <c r="E821" s="55"/>
      <c r="F821" s="55"/>
      <c r="G821" s="55"/>
      <c r="H821" s="55"/>
      <c r="I821" s="55"/>
    </row>
    <row r="822">
      <c r="A822" s="55"/>
      <c r="B822" s="55"/>
      <c r="C822" s="55"/>
      <c r="D822" s="55"/>
      <c r="E822" s="55"/>
      <c r="F822" s="55"/>
      <c r="G822" s="55"/>
      <c r="H822" s="55"/>
      <c r="I822" s="55"/>
    </row>
    <row r="823">
      <c r="A823" s="55"/>
      <c r="B823" s="55"/>
      <c r="C823" s="55"/>
      <c r="D823" s="55"/>
      <c r="E823" s="55"/>
      <c r="F823" s="55"/>
      <c r="G823" s="55"/>
      <c r="H823" s="55"/>
      <c r="I823" s="55"/>
    </row>
    <row r="824">
      <c r="A824" s="55"/>
      <c r="B824" s="55"/>
      <c r="C824" s="55"/>
      <c r="D824" s="55"/>
      <c r="E824" s="55"/>
      <c r="F824" s="55"/>
      <c r="G824" s="55"/>
      <c r="H824" s="55"/>
      <c r="I824" s="55"/>
    </row>
    <row r="825">
      <c r="A825" s="55"/>
      <c r="B825" s="55"/>
      <c r="C825" s="55"/>
      <c r="D825" s="55"/>
      <c r="E825" s="55"/>
      <c r="F825" s="55"/>
      <c r="G825" s="55"/>
      <c r="H825" s="55"/>
      <c r="I825" s="55"/>
    </row>
    <row r="826">
      <c r="A826" s="55"/>
      <c r="B826" s="55"/>
      <c r="C826" s="55"/>
      <c r="D826" s="55"/>
      <c r="E826" s="55"/>
      <c r="F826" s="55"/>
      <c r="G826" s="55"/>
      <c r="H826" s="55"/>
      <c r="I826" s="55"/>
    </row>
    <row r="827">
      <c r="A827" s="55"/>
      <c r="B827" s="55"/>
      <c r="C827" s="55"/>
      <c r="D827" s="55"/>
      <c r="E827" s="55"/>
      <c r="F827" s="55"/>
      <c r="G827" s="55"/>
      <c r="H827" s="55"/>
      <c r="I827" s="55"/>
    </row>
    <row r="828">
      <c r="A828" s="55"/>
      <c r="B828" s="55"/>
      <c r="C828" s="55"/>
      <c r="D828" s="55"/>
      <c r="E828" s="55"/>
      <c r="F828" s="55"/>
      <c r="G828" s="55"/>
      <c r="H828" s="55"/>
      <c r="I828" s="55"/>
    </row>
    <row r="829">
      <c r="A829" s="55"/>
      <c r="B829" s="55"/>
      <c r="C829" s="55"/>
      <c r="D829" s="55"/>
      <c r="E829" s="55"/>
      <c r="F829" s="55"/>
      <c r="G829" s="55"/>
      <c r="H829" s="55"/>
      <c r="I829" s="55"/>
    </row>
    <row r="830">
      <c r="A830" s="55"/>
      <c r="B830" s="55"/>
      <c r="C830" s="55"/>
      <c r="D830" s="55"/>
      <c r="E830" s="55"/>
      <c r="F830" s="55"/>
      <c r="G830" s="55"/>
      <c r="H830" s="55"/>
      <c r="I830" s="55"/>
    </row>
    <row r="831">
      <c r="A831" s="55"/>
      <c r="B831" s="55"/>
      <c r="C831" s="55"/>
      <c r="D831" s="55"/>
      <c r="E831" s="55"/>
      <c r="F831" s="55"/>
      <c r="G831" s="55"/>
      <c r="H831" s="55"/>
      <c r="I831" s="55"/>
    </row>
    <row r="832">
      <c r="A832" s="55"/>
      <c r="B832" s="55"/>
      <c r="C832" s="55"/>
      <c r="D832" s="55"/>
      <c r="E832" s="55"/>
      <c r="F832" s="55"/>
      <c r="G832" s="55"/>
      <c r="H832" s="55"/>
      <c r="I832" s="55"/>
    </row>
    <row r="833">
      <c r="A833" s="55"/>
      <c r="B833" s="55"/>
      <c r="C833" s="55"/>
      <c r="D833" s="55"/>
      <c r="E833" s="55"/>
      <c r="F833" s="55"/>
      <c r="G833" s="55"/>
      <c r="H833" s="55"/>
      <c r="I833" s="55"/>
    </row>
    <row r="834">
      <c r="A834" s="55"/>
      <c r="B834" s="55"/>
      <c r="C834" s="55"/>
      <c r="D834" s="55"/>
      <c r="E834" s="55"/>
      <c r="F834" s="55"/>
      <c r="G834" s="55"/>
      <c r="H834" s="55"/>
      <c r="I834" s="55"/>
    </row>
    <row r="835">
      <c r="A835" s="55"/>
      <c r="B835" s="55"/>
      <c r="C835" s="55"/>
      <c r="D835" s="55"/>
      <c r="E835" s="55"/>
      <c r="F835" s="55"/>
      <c r="G835" s="55"/>
      <c r="H835" s="55"/>
      <c r="I835" s="55"/>
    </row>
    <row r="836">
      <c r="A836" s="55"/>
      <c r="B836" s="55"/>
      <c r="C836" s="55"/>
      <c r="D836" s="55"/>
      <c r="E836" s="55"/>
      <c r="F836" s="55"/>
      <c r="G836" s="55"/>
      <c r="H836" s="55"/>
      <c r="I836" s="55"/>
    </row>
    <row r="837">
      <c r="A837" s="55"/>
      <c r="B837" s="55"/>
      <c r="C837" s="55"/>
      <c r="D837" s="55"/>
      <c r="E837" s="55"/>
      <c r="F837" s="55"/>
      <c r="G837" s="55"/>
      <c r="H837" s="55"/>
      <c r="I837" s="55"/>
    </row>
    <row r="838">
      <c r="A838" s="55"/>
      <c r="B838" s="55"/>
      <c r="C838" s="55"/>
      <c r="D838" s="55"/>
      <c r="E838" s="55"/>
      <c r="F838" s="55"/>
      <c r="G838" s="55"/>
      <c r="H838" s="55"/>
      <c r="I838" s="55"/>
    </row>
    <row r="839">
      <c r="A839" s="55"/>
      <c r="B839" s="55"/>
      <c r="C839" s="55"/>
      <c r="D839" s="55"/>
      <c r="E839" s="55"/>
      <c r="F839" s="55"/>
      <c r="G839" s="55"/>
      <c r="H839" s="55"/>
      <c r="I839" s="55"/>
    </row>
    <row r="840">
      <c r="A840" s="55"/>
      <c r="B840" s="55"/>
      <c r="C840" s="55"/>
      <c r="D840" s="55"/>
      <c r="E840" s="55"/>
      <c r="F840" s="55"/>
      <c r="G840" s="55"/>
      <c r="H840" s="55"/>
      <c r="I840" s="55"/>
    </row>
    <row r="841">
      <c r="A841" s="55"/>
      <c r="B841" s="55"/>
      <c r="C841" s="55"/>
      <c r="D841" s="55"/>
      <c r="E841" s="55"/>
      <c r="F841" s="55"/>
      <c r="G841" s="55"/>
      <c r="H841" s="55"/>
      <c r="I841" s="55"/>
    </row>
    <row r="842">
      <c r="A842" s="55"/>
      <c r="B842" s="55"/>
      <c r="C842" s="55"/>
      <c r="D842" s="55"/>
      <c r="E842" s="55"/>
      <c r="F842" s="55"/>
      <c r="G842" s="55"/>
      <c r="H842" s="55"/>
      <c r="I842" s="55"/>
    </row>
    <row r="843">
      <c r="A843" s="55"/>
      <c r="B843" s="55"/>
      <c r="C843" s="55"/>
      <c r="D843" s="55"/>
      <c r="E843" s="55"/>
      <c r="F843" s="55"/>
      <c r="G843" s="55"/>
      <c r="H843" s="55"/>
      <c r="I843" s="55"/>
    </row>
    <row r="844">
      <c r="A844" s="55"/>
      <c r="B844" s="55"/>
      <c r="C844" s="55"/>
      <c r="D844" s="55"/>
      <c r="E844" s="55"/>
      <c r="F844" s="55"/>
      <c r="G844" s="55"/>
      <c r="H844" s="55"/>
      <c r="I844" s="55"/>
    </row>
    <row r="845">
      <c r="A845" s="55"/>
      <c r="B845" s="55"/>
      <c r="C845" s="55"/>
      <c r="D845" s="55"/>
      <c r="E845" s="55"/>
      <c r="F845" s="55"/>
      <c r="G845" s="55"/>
      <c r="H845" s="55"/>
      <c r="I845" s="55"/>
    </row>
    <row r="846">
      <c r="A846" s="55"/>
      <c r="B846" s="55"/>
      <c r="C846" s="55"/>
      <c r="D846" s="55"/>
      <c r="E846" s="55"/>
      <c r="F846" s="55"/>
      <c r="G846" s="55"/>
      <c r="H846" s="55"/>
      <c r="I846" s="55"/>
    </row>
    <row r="847">
      <c r="A847" s="55"/>
      <c r="B847" s="55"/>
      <c r="C847" s="55"/>
      <c r="D847" s="55"/>
      <c r="E847" s="55"/>
      <c r="F847" s="55"/>
      <c r="G847" s="55"/>
      <c r="H847" s="55"/>
      <c r="I847" s="55"/>
    </row>
    <row r="848">
      <c r="A848" s="55"/>
      <c r="B848" s="55"/>
      <c r="C848" s="55"/>
      <c r="D848" s="55"/>
      <c r="E848" s="55"/>
      <c r="F848" s="55"/>
      <c r="G848" s="55"/>
      <c r="H848" s="55"/>
      <c r="I848" s="55"/>
    </row>
    <row r="849">
      <c r="A849" s="55"/>
      <c r="B849" s="55"/>
      <c r="C849" s="55"/>
      <c r="D849" s="55"/>
      <c r="E849" s="55"/>
      <c r="F849" s="55"/>
      <c r="G849" s="55"/>
      <c r="H849" s="55"/>
      <c r="I849" s="55"/>
    </row>
    <row r="850">
      <c r="A850" s="55"/>
      <c r="B850" s="55"/>
      <c r="C850" s="55"/>
      <c r="D850" s="55"/>
      <c r="E850" s="55"/>
      <c r="F850" s="55"/>
      <c r="G850" s="55"/>
      <c r="H850" s="55"/>
      <c r="I850" s="55"/>
    </row>
    <row r="851">
      <c r="A851" s="55"/>
      <c r="B851" s="55"/>
      <c r="C851" s="55"/>
      <c r="D851" s="55"/>
      <c r="E851" s="55"/>
      <c r="F851" s="55"/>
      <c r="G851" s="55"/>
      <c r="H851" s="55"/>
      <c r="I851" s="55"/>
    </row>
    <row r="852">
      <c r="A852" s="55"/>
      <c r="B852" s="55"/>
      <c r="C852" s="55"/>
      <c r="D852" s="55"/>
      <c r="E852" s="55"/>
      <c r="F852" s="55"/>
      <c r="G852" s="55"/>
      <c r="H852" s="55"/>
      <c r="I852" s="55"/>
    </row>
    <row r="853">
      <c r="A853" s="55"/>
      <c r="B853" s="55"/>
      <c r="C853" s="55"/>
      <c r="D853" s="55"/>
      <c r="E853" s="55"/>
      <c r="F853" s="55"/>
      <c r="G853" s="55"/>
      <c r="H853" s="55"/>
      <c r="I853" s="55"/>
    </row>
    <row r="854">
      <c r="A854" s="55"/>
      <c r="B854" s="55"/>
      <c r="C854" s="55"/>
      <c r="D854" s="55"/>
      <c r="E854" s="55"/>
      <c r="F854" s="55"/>
      <c r="G854" s="55"/>
      <c r="H854" s="55"/>
      <c r="I854" s="55"/>
    </row>
    <row r="855">
      <c r="A855" s="55"/>
      <c r="B855" s="55"/>
      <c r="C855" s="55"/>
      <c r="D855" s="55"/>
      <c r="E855" s="55"/>
      <c r="F855" s="55"/>
      <c r="G855" s="55"/>
      <c r="H855" s="55"/>
      <c r="I855" s="55"/>
    </row>
    <row r="856">
      <c r="A856" s="55"/>
      <c r="B856" s="55"/>
      <c r="C856" s="55"/>
      <c r="D856" s="55"/>
      <c r="E856" s="55"/>
      <c r="F856" s="55"/>
      <c r="G856" s="55"/>
      <c r="H856" s="55"/>
      <c r="I856" s="55"/>
    </row>
    <row r="857">
      <c r="A857" s="55"/>
      <c r="B857" s="55"/>
      <c r="C857" s="55"/>
      <c r="D857" s="55"/>
      <c r="E857" s="55"/>
      <c r="F857" s="55"/>
      <c r="G857" s="55"/>
      <c r="H857" s="55"/>
      <c r="I857" s="55"/>
    </row>
    <row r="858">
      <c r="A858" s="55"/>
      <c r="B858" s="55"/>
      <c r="C858" s="55"/>
      <c r="D858" s="55"/>
      <c r="E858" s="55"/>
      <c r="F858" s="55"/>
      <c r="G858" s="55"/>
      <c r="H858" s="55"/>
      <c r="I858" s="55"/>
    </row>
    <row r="859">
      <c r="A859" s="55"/>
      <c r="B859" s="55"/>
      <c r="C859" s="55"/>
      <c r="D859" s="55"/>
      <c r="E859" s="55"/>
      <c r="F859" s="55"/>
      <c r="G859" s="55"/>
      <c r="H859" s="55"/>
      <c r="I859" s="55"/>
    </row>
    <row r="860">
      <c r="A860" s="55"/>
      <c r="B860" s="55"/>
      <c r="C860" s="55"/>
      <c r="D860" s="55"/>
      <c r="E860" s="55"/>
      <c r="F860" s="55"/>
      <c r="G860" s="55"/>
      <c r="H860" s="55"/>
      <c r="I860" s="55"/>
    </row>
    <row r="861">
      <c r="A861" s="55"/>
      <c r="B861" s="55"/>
      <c r="C861" s="55"/>
      <c r="D861" s="55"/>
      <c r="E861" s="55"/>
      <c r="F861" s="55"/>
      <c r="G861" s="55"/>
      <c r="H861" s="55"/>
      <c r="I861" s="55"/>
    </row>
    <row r="862">
      <c r="A862" s="55"/>
      <c r="B862" s="55"/>
      <c r="C862" s="55"/>
      <c r="D862" s="55"/>
      <c r="E862" s="55"/>
      <c r="F862" s="55"/>
      <c r="G862" s="55"/>
      <c r="H862" s="55"/>
      <c r="I862" s="55"/>
    </row>
    <row r="863">
      <c r="A863" s="55"/>
      <c r="B863" s="55"/>
      <c r="C863" s="55"/>
      <c r="D863" s="55"/>
      <c r="E863" s="55"/>
      <c r="F863" s="55"/>
      <c r="G863" s="55"/>
      <c r="H863" s="55"/>
      <c r="I863" s="55"/>
    </row>
    <row r="864">
      <c r="A864" s="55"/>
      <c r="B864" s="55"/>
      <c r="C864" s="55"/>
      <c r="D864" s="55"/>
      <c r="E864" s="55"/>
      <c r="F864" s="55"/>
      <c r="G864" s="55"/>
      <c r="H864" s="55"/>
      <c r="I864" s="55"/>
    </row>
    <row r="865">
      <c r="A865" s="55"/>
      <c r="B865" s="55"/>
      <c r="C865" s="55"/>
      <c r="D865" s="55"/>
      <c r="E865" s="55"/>
      <c r="F865" s="55"/>
      <c r="G865" s="55"/>
      <c r="H865" s="55"/>
      <c r="I865" s="55"/>
    </row>
    <row r="866">
      <c r="A866" s="55"/>
      <c r="B866" s="55"/>
      <c r="C866" s="55"/>
      <c r="D866" s="55"/>
      <c r="E866" s="55"/>
      <c r="F866" s="55"/>
      <c r="G866" s="55"/>
      <c r="H866" s="55"/>
      <c r="I866" s="55"/>
    </row>
    <row r="867">
      <c r="A867" s="55"/>
      <c r="B867" s="55"/>
      <c r="C867" s="55"/>
      <c r="D867" s="55"/>
      <c r="E867" s="55"/>
      <c r="F867" s="55"/>
      <c r="G867" s="55"/>
      <c r="H867" s="55"/>
      <c r="I867" s="55"/>
    </row>
    <row r="868">
      <c r="A868" s="55"/>
      <c r="B868" s="55"/>
      <c r="C868" s="55"/>
      <c r="D868" s="55"/>
      <c r="E868" s="55"/>
      <c r="F868" s="55"/>
      <c r="G868" s="55"/>
      <c r="H868" s="55"/>
      <c r="I868" s="55"/>
    </row>
    <row r="869">
      <c r="A869" s="55"/>
      <c r="B869" s="55"/>
      <c r="C869" s="55"/>
      <c r="D869" s="55"/>
      <c r="E869" s="55"/>
      <c r="F869" s="55"/>
      <c r="G869" s="55"/>
      <c r="H869" s="55"/>
      <c r="I869" s="55"/>
    </row>
    <row r="870">
      <c r="A870" s="55"/>
      <c r="B870" s="55"/>
      <c r="C870" s="55"/>
      <c r="D870" s="55"/>
      <c r="E870" s="55"/>
      <c r="F870" s="55"/>
      <c r="G870" s="55"/>
      <c r="H870" s="55"/>
      <c r="I870" s="55"/>
    </row>
    <row r="871">
      <c r="A871" s="55"/>
      <c r="B871" s="55"/>
      <c r="C871" s="55"/>
      <c r="D871" s="55"/>
      <c r="E871" s="55"/>
      <c r="F871" s="55"/>
      <c r="G871" s="55"/>
      <c r="H871" s="55"/>
      <c r="I871" s="55"/>
    </row>
    <row r="872">
      <c r="A872" s="55"/>
      <c r="B872" s="55"/>
      <c r="C872" s="55"/>
      <c r="D872" s="55"/>
      <c r="E872" s="55"/>
      <c r="F872" s="55"/>
      <c r="G872" s="55"/>
      <c r="H872" s="55"/>
      <c r="I872" s="55"/>
    </row>
    <row r="873">
      <c r="A873" s="55"/>
      <c r="B873" s="55"/>
      <c r="C873" s="55"/>
      <c r="D873" s="55"/>
      <c r="E873" s="55"/>
      <c r="F873" s="55"/>
      <c r="G873" s="55"/>
      <c r="H873" s="55"/>
      <c r="I873" s="55"/>
    </row>
    <row r="874">
      <c r="A874" s="55"/>
      <c r="B874" s="55"/>
      <c r="C874" s="55"/>
      <c r="D874" s="55"/>
      <c r="E874" s="55"/>
      <c r="F874" s="55"/>
      <c r="G874" s="55"/>
      <c r="H874" s="55"/>
      <c r="I874" s="55"/>
    </row>
    <row r="875">
      <c r="A875" s="55"/>
      <c r="B875" s="55"/>
      <c r="C875" s="55"/>
      <c r="D875" s="55"/>
      <c r="E875" s="55"/>
      <c r="F875" s="55"/>
      <c r="G875" s="55"/>
      <c r="H875" s="55"/>
      <c r="I875" s="55"/>
    </row>
    <row r="876">
      <c r="A876" s="55"/>
      <c r="B876" s="55"/>
      <c r="C876" s="55"/>
      <c r="D876" s="55"/>
      <c r="E876" s="55"/>
      <c r="F876" s="55"/>
      <c r="G876" s="55"/>
      <c r="H876" s="55"/>
      <c r="I876" s="55"/>
    </row>
    <row r="877">
      <c r="A877" s="55"/>
      <c r="B877" s="55"/>
      <c r="C877" s="55"/>
      <c r="D877" s="55"/>
      <c r="E877" s="55"/>
      <c r="F877" s="55"/>
      <c r="G877" s="55"/>
      <c r="H877" s="55"/>
      <c r="I877" s="55"/>
    </row>
    <row r="878">
      <c r="A878" s="55"/>
      <c r="B878" s="55"/>
      <c r="C878" s="55"/>
      <c r="D878" s="55"/>
      <c r="E878" s="55"/>
      <c r="F878" s="55"/>
      <c r="G878" s="55"/>
      <c r="H878" s="55"/>
      <c r="I878" s="55"/>
    </row>
    <row r="879">
      <c r="A879" s="55"/>
      <c r="B879" s="55"/>
      <c r="C879" s="55"/>
      <c r="D879" s="55"/>
      <c r="E879" s="55"/>
      <c r="F879" s="55"/>
      <c r="G879" s="55"/>
      <c r="H879" s="55"/>
      <c r="I879" s="55"/>
    </row>
    <row r="880">
      <c r="A880" s="55"/>
      <c r="B880" s="55"/>
      <c r="C880" s="55"/>
      <c r="D880" s="55"/>
      <c r="E880" s="55"/>
      <c r="F880" s="55"/>
      <c r="G880" s="55"/>
      <c r="H880" s="55"/>
      <c r="I880" s="55"/>
    </row>
    <row r="881">
      <c r="A881" s="55"/>
      <c r="B881" s="55"/>
      <c r="C881" s="55"/>
      <c r="D881" s="55"/>
      <c r="E881" s="55"/>
      <c r="F881" s="55"/>
      <c r="G881" s="55"/>
      <c r="H881" s="55"/>
      <c r="I881" s="55"/>
    </row>
    <row r="882">
      <c r="A882" s="55"/>
      <c r="B882" s="55"/>
      <c r="C882" s="55"/>
      <c r="D882" s="55"/>
      <c r="E882" s="55"/>
      <c r="F882" s="55"/>
      <c r="G882" s="55"/>
      <c r="H882" s="55"/>
      <c r="I882" s="55"/>
    </row>
    <row r="883">
      <c r="A883" s="55"/>
      <c r="B883" s="55"/>
      <c r="C883" s="55"/>
      <c r="D883" s="55"/>
      <c r="E883" s="55"/>
      <c r="F883" s="55"/>
      <c r="G883" s="55"/>
      <c r="H883" s="55"/>
      <c r="I883" s="55"/>
    </row>
    <row r="884">
      <c r="A884" s="55"/>
      <c r="B884" s="55"/>
      <c r="C884" s="55"/>
      <c r="D884" s="55"/>
      <c r="E884" s="55"/>
      <c r="F884" s="55"/>
      <c r="G884" s="55"/>
      <c r="H884" s="55"/>
      <c r="I884" s="55"/>
    </row>
    <row r="885">
      <c r="A885" s="55"/>
      <c r="B885" s="55"/>
      <c r="C885" s="55"/>
      <c r="D885" s="55"/>
      <c r="E885" s="55"/>
      <c r="F885" s="55"/>
      <c r="G885" s="55"/>
      <c r="H885" s="55"/>
      <c r="I885" s="55"/>
    </row>
    <row r="886">
      <c r="A886" s="55"/>
      <c r="B886" s="55"/>
      <c r="C886" s="55"/>
      <c r="D886" s="55"/>
      <c r="E886" s="55"/>
      <c r="F886" s="55"/>
      <c r="G886" s="55"/>
      <c r="H886" s="55"/>
      <c r="I886" s="55"/>
    </row>
    <row r="887">
      <c r="A887" s="55"/>
      <c r="B887" s="55"/>
      <c r="C887" s="55"/>
      <c r="D887" s="55"/>
      <c r="E887" s="55"/>
      <c r="F887" s="55"/>
      <c r="G887" s="55"/>
      <c r="H887" s="55"/>
      <c r="I887" s="55"/>
    </row>
    <row r="888">
      <c r="A888" s="55"/>
      <c r="B888" s="55"/>
      <c r="C888" s="55"/>
      <c r="D888" s="55"/>
      <c r="E888" s="55"/>
      <c r="F888" s="55"/>
      <c r="G888" s="55"/>
      <c r="H888" s="55"/>
      <c r="I888" s="55"/>
    </row>
    <row r="889">
      <c r="A889" s="55"/>
      <c r="B889" s="55"/>
      <c r="C889" s="55"/>
      <c r="D889" s="55"/>
      <c r="E889" s="55"/>
      <c r="F889" s="55"/>
      <c r="G889" s="55"/>
      <c r="H889" s="55"/>
      <c r="I889" s="55"/>
    </row>
    <row r="890">
      <c r="A890" s="55"/>
      <c r="B890" s="55"/>
      <c r="C890" s="55"/>
      <c r="D890" s="55"/>
      <c r="E890" s="55"/>
      <c r="F890" s="55"/>
      <c r="G890" s="55"/>
      <c r="H890" s="55"/>
      <c r="I890" s="55"/>
    </row>
    <row r="891">
      <c r="A891" s="55"/>
      <c r="B891" s="55"/>
      <c r="C891" s="55"/>
      <c r="D891" s="55"/>
      <c r="E891" s="55"/>
      <c r="F891" s="55"/>
      <c r="G891" s="55"/>
      <c r="H891" s="55"/>
      <c r="I891" s="55"/>
    </row>
    <row r="892">
      <c r="A892" s="55"/>
      <c r="B892" s="55"/>
      <c r="C892" s="55"/>
      <c r="D892" s="55"/>
      <c r="E892" s="55"/>
      <c r="F892" s="55"/>
      <c r="G892" s="55"/>
      <c r="H892" s="55"/>
      <c r="I892" s="55"/>
    </row>
    <row r="893">
      <c r="A893" s="55"/>
      <c r="B893" s="55"/>
      <c r="C893" s="55"/>
      <c r="D893" s="55"/>
      <c r="E893" s="55"/>
      <c r="F893" s="55"/>
      <c r="G893" s="55"/>
      <c r="H893" s="55"/>
      <c r="I893" s="55"/>
    </row>
    <row r="894">
      <c r="A894" s="55"/>
      <c r="B894" s="55"/>
      <c r="C894" s="55"/>
      <c r="D894" s="55"/>
      <c r="E894" s="55"/>
      <c r="F894" s="55"/>
      <c r="G894" s="55"/>
      <c r="H894" s="55"/>
      <c r="I894" s="55"/>
    </row>
    <row r="895">
      <c r="A895" s="55"/>
      <c r="B895" s="55"/>
      <c r="C895" s="55"/>
      <c r="D895" s="55"/>
      <c r="E895" s="55"/>
      <c r="F895" s="55"/>
      <c r="G895" s="55"/>
      <c r="H895" s="55"/>
      <c r="I895" s="55"/>
    </row>
    <row r="896">
      <c r="A896" s="55"/>
      <c r="B896" s="55"/>
      <c r="C896" s="55"/>
      <c r="D896" s="55"/>
      <c r="E896" s="55"/>
      <c r="F896" s="55"/>
      <c r="G896" s="55"/>
      <c r="H896" s="55"/>
      <c r="I896" s="55"/>
    </row>
    <row r="897">
      <c r="A897" s="55"/>
      <c r="B897" s="55"/>
      <c r="C897" s="55"/>
      <c r="D897" s="55"/>
      <c r="E897" s="55"/>
      <c r="F897" s="55"/>
      <c r="G897" s="55"/>
      <c r="H897" s="55"/>
      <c r="I897" s="55"/>
    </row>
    <row r="898">
      <c r="A898" s="55"/>
      <c r="B898" s="55"/>
      <c r="C898" s="55"/>
      <c r="D898" s="55"/>
      <c r="E898" s="55"/>
      <c r="F898" s="55"/>
      <c r="G898" s="55"/>
      <c r="H898" s="55"/>
      <c r="I898" s="55"/>
    </row>
    <row r="899">
      <c r="A899" s="55"/>
      <c r="B899" s="55"/>
      <c r="C899" s="55"/>
      <c r="D899" s="55"/>
      <c r="E899" s="55"/>
      <c r="F899" s="55"/>
      <c r="G899" s="55"/>
      <c r="H899" s="55"/>
      <c r="I899" s="55"/>
    </row>
    <row r="900">
      <c r="A900" s="55"/>
      <c r="B900" s="55"/>
      <c r="C900" s="55"/>
      <c r="D900" s="55"/>
      <c r="E900" s="55"/>
      <c r="F900" s="55"/>
      <c r="G900" s="55"/>
      <c r="H900" s="55"/>
      <c r="I900" s="55"/>
    </row>
    <row r="901">
      <c r="A901" s="55"/>
      <c r="B901" s="55"/>
      <c r="C901" s="55"/>
      <c r="D901" s="55"/>
      <c r="E901" s="55"/>
      <c r="F901" s="55"/>
      <c r="G901" s="55"/>
      <c r="H901" s="55"/>
      <c r="I901" s="55"/>
    </row>
    <row r="902">
      <c r="A902" s="55"/>
      <c r="B902" s="55"/>
      <c r="C902" s="55"/>
      <c r="D902" s="55"/>
      <c r="E902" s="55"/>
      <c r="F902" s="55"/>
      <c r="G902" s="55"/>
      <c r="H902" s="55"/>
      <c r="I902" s="55"/>
    </row>
    <row r="903">
      <c r="A903" s="55"/>
      <c r="B903" s="55"/>
      <c r="C903" s="55"/>
      <c r="D903" s="55"/>
      <c r="E903" s="55"/>
      <c r="F903" s="55"/>
      <c r="G903" s="55"/>
      <c r="H903" s="55"/>
      <c r="I903" s="55"/>
    </row>
    <row r="904">
      <c r="A904" s="55"/>
      <c r="B904" s="55"/>
      <c r="C904" s="55"/>
      <c r="D904" s="55"/>
      <c r="E904" s="55"/>
      <c r="F904" s="55"/>
      <c r="G904" s="55"/>
      <c r="H904" s="55"/>
      <c r="I904" s="55"/>
    </row>
    <row r="905">
      <c r="A905" s="55"/>
      <c r="B905" s="55"/>
      <c r="C905" s="55"/>
      <c r="D905" s="55"/>
      <c r="E905" s="55"/>
      <c r="F905" s="55"/>
      <c r="G905" s="55"/>
      <c r="H905" s="55"/>
      <c r="I905" s="55"/>
    </row>
    <row r="906">
      <c r="A906" s="55"/>
      <c r="B906" s="55"/>
      <c r="C906" s="55"/>
      <c r="D906" s="55"/>
      <c r="E906" s="55"/>
      <c r="F906" s="55"/>
      <c r="G906" s="55"/>
      <c r="H906" s="55"/>
      <c r="I906" s="55"/>
    </row>
    <row r="907">
      <c r="A907" s="55"/>
      <c r="B907" s="55"/>
      <c r="C907" s="55"/>
      <c r="D907" s="55"/>
      <c r="E907" s="55"/>
      <c r="F907" s="55"/>
      <c r="G907" s="55"/>
      <c r="H907" s="55"/>
      <c r="I907" s="55"/>
    </row>
    <row r="908">
      <c r="A908" s="55"/>
      <c r="B908" s="55"/>
      <c r="C908" s="55"/>
      <c r="D908" s="55"/>
      <c r="E908" s="55"/>
      <c r="F908" s="55"/>
      <c r="G908" s="55"/>
      <c r="H908" s="55"/>
      <c r="I908" s="55"/>
    </row>
    <row r="909">
      <c r="A909" s="55"/>
      <c r="B909" s="55"/>
      <c r="C909" s="55"/>
      <c r="D909" s="55"/>
      <c r="E909" s="55"/>
      <c r="F909" s="55"/>
      <c r="G909" s="55"/>
      <c r="H909" s="55"/>
      <c r="I909" s="55"/>
    </row>
    <row r="910">
      <c r="A910" s="55"/>
      <c r="B910" s="55"/>
      <c r="C910" s="55"/>
      <c r="D910" s="55"/>
      <c r="E910" s="55"/>
      <c r="F910" s="55"/>
      <c r="G910" s="55"/>
      <c r="H910" s="55"/>
      <c r="I910" s="55"/>
    </row>
    <row r="911">
      <c r="A911" s="55"/>
      <c r="B911" s="55"/>
      <c r="C911" s="55"/>
      <c r="D911" s="55"/>
      <c r="E911" s="55"/>
      <c r="F911" s="55"/>
      <c r="G911" s="55"/>
      <c r="H911" s="55"/>
      <c r="I911" s="55"/>
    </row>
    <row r="912">
      <c r="A912" s="55"/>
      <c r="B912" s="55"/>
      <c r="C912" s="55"/>
      <c r="D912" s="55"/>
      <c r="E912" s="55"/>
      <c r="F912" s="55"/>
      <c r="G912" s="55"/>
      <c r="H912" s="55"/>
      <c r="I912" s="55"/>
    </row>
    <row r="913">
      <c r="A913" s="55"/>
      <c r="B913" s="55"/>
      <c r="C913" s="55"/>
      <c r="D913" s="55"/>
      <c r="E913" s="55"/>
      <c r="F913" s="55"/>
      <c r="G913" s="55"/>
      <c r="H913" s="55"/>
      <c r="I913" s="55"/>
    </row>
    <row r="914">
      <c r="A914" s="55"/>
      <c r="B914" s="55"/>
      <c r="C914" s="55"/>
      <c r="D914" s="55"/>
      <c r="E914" s="55"/>
      <c r="F914" s="55"/>
      <c r="G914" s="55"/>
      <c r="H914" s="55"/>
      <c r="I914" s="55"/>
    </row>
    <row r="915">
      <c r="A915" s="55"/>
      <c r="B915" s="55"/>
      <c r="C915" s="55"/>
      <c r="D915" s="55"/>
      <c r="E915" s="55"/>
      <c r="F915" s="55"/>
      <c r="G915" s="55"/>
      <c r="H915" s="55"/>
      <c r="I915" s="55"/>
    </row>
    <row r="916">
      <c r="A916" s="55"/>
      <c r="B916" s="55"/>
      <c r="C916" s="55"/>
      <c r="D916" s="55"/>
      <c r="E916" s="55"/>
      <c r="F916" s="55"/>
      <c r="G916" s="55"/>
      <c r="H916" s="55"/>
      <c r="I916" s="55"/>
    </row>
    <row r="917">
      <c r="A917" s="55"/>
      <c r="B917" s="55"/>
      <c r="C917" s="55"/>
      <c r="D917" s="55"/>
      <c r="E917" s="55"/>
      <c r="F917" s="55"/>
      <c r="G917" s="55"/>
      <c r="H917" s="55"/>
      <c r="I917" s="55"/>
    </row>
    <row r="918">
      <c r="A918" s="55"/>
      <c r="B918" s="55"/>
      <c r="C918" s="55"/>
      <c r="D918" s="55"/>
      <c r="E918" s="55"/>
      <c r="F918" s="55"/>
      <c r="G918" s="55"/>
      <c r="H918" s="55"/>
      <c r="I918" s="55"/>
    </row>
    <row r="919">
      <c r="A919" s="55"/>
      <c r="B919" s="55"/>
      <c r="C919" s="55"/>
      <c r="D919" s="55"/>
      <c r="E919" s="55"/>
      <c r="F919" s="55"/>
      <c r="G919" s="55"/>
      <c r="H919" s="55"/>
      <c r="I919" s="55"/>
    </row>
    <row r="920">
      <c r="A920" s="55"/>
      <c r="B920" s="55"/>
      <c r="C920" s="55"/>
      <c r="D920" s="55"/>
      <c r="E920" s="55"/>
      <c r="F920" s="55"/>
      <c r="G920" s="55"/>
      <c r="H920" s="55"/>
      <c r="I920" s="55"/>
    </row>
    <row r="921">
      <c r="A921" s="55"/>
      <c r="B921" s="55"/>
      <c r="C921" s="55"/>
      <c r="D921" s="55"/>
      <c r="E921" s="55"/>
      <c r="F921" s="55"/>
      <c r="G921" s="55"/>
      <c r="H921" s="55"/>
      <c r="I921" s="55"/>
    </row>
    <row r="922">
      <c r="A922" s="55"/>
      <c r="B922" s="55"/>
      <c r="C922" s="55"/>
      <c r="D922" s="55"/>
      <c r="E922" s="55"/>
      <c r="F922" s="55"/>
      <c r="G922" s="55"/>
      <c r="H922" s="55"/>
      <c r="I922" s="55"/>
    </row>
    <row r="923">
      <c r="A923" s="55"/>
      <c r="B923" s="55"/>
      <c r="C923" s="55"/>
      <c r="D923" s="55"/>
      <c r="E923" s="55"/>
      <c r="F923" s="55"/>
      <c r="G923" s="55"/>
      <c r="H923" s="55"/>
      <c r="I923" s="55"/>
    </row>
    <row r="924">
      <c r="A924" s="55"/>
      <c r="B924" s="55"/>
      <c r="C924" s="55"/>
      <c r="D924" s="55"/>
      <c r="E924" s="55"/>
      <c r="F924" s="55"/>
      <c r="G924" s="55"/>
      <c r="H924" s="55"/>
      <c r="I924" s="55"/>
    </row>
    <row r="925">
      <c r="A925" s="55"/>
      <c r="B925" s="55"/>
      <c r="C925" s="55"/>
      <c r="D925" s="55"/>
      <c r="E925" s="55"/>
      <c r="F925" s="55"/>
      <c r="G925" s="55"/>
      <c r="H925" s="55"/>
      <c r="I925" s="55"/>
    </row>
    <row r="926">
      <c r="A926" s="55"/>
      <c r="B926" s="55"/>
      <c r="C926" s="55"/>
      <c r="D926" s="55"/>
      <c r="E926" s="55"/>
      <c r="F926" s="55"/>
      <c r="G926" s="55"/>
      <c r="H926" s="55"/>
      <c r="I926" s="55"/>
    </row>
    <row r="927">
      <c r="A927" s="55"/>
      <c r="B927" s="55"/>
      <c r="C927" s="55"/>
      <c r="D927" s="55"/>
      <c r="E927" s="55"/>
      <c r="F927" s="55"/>
      <c r="G927" s="55"/>
      <c r="H927" s="55"/>
      <c r="I927" s="55"/>
    </row>
    <row r="928">
      <c r="A928" s="55"/>
      <c r="B928" s="55"/>
      <c r="C928" s="55"/>
      <c r="D928" s="55"/>
      <c r="E928" s="55"/>
      <c r="F928" s="55"/>
      <c r="G928" s="55"/>
      <c r="H928" s="55"/>
      <c r="I928" s="55"/>
    </row>
    <row r="929">
      <c r="A929" s="55"/>
      <c r="B929" s="55"/>
      <c r="C929" s="55"/>
      <c r="D929" s="55"/>
      <c r="E929" s="55"/>
      <c r="F929" s="55"/>
      <c r="G929" s="55"/>
      <c r="H929" s="55"/>
      <c r="I929" s="55"/>
    </row>
    <row r="930">
      <c r="A930" s="55"/>
      <c r="B930" s="55"/>
      <c r="C930" s="55"/>
      <c r="D930" s="55"/>
      <c r="E930" s="55"/>
      <c r="F930" s="55"/>
      <c r="G930" s="55"/>
      <c r="H930" s="55"/>
      <c r="I930" s="55"/>
    </row>
    <row r="931">
      <c r="A931" s="55"/>
      <c r="B931" s="55"/>
      <c r="C931" s="55"/>
      <c r="D931" s="55"/>
      <c r="E931" s="55"/>
      <c r="F931" s="55"/>
      <c r="G931" s="55"/>
      <c r="H931" s="55"/>
      <c r="I931" s="55"/>
    </row>
    <row r="932">
      <c r="A932" s="55"/>
      <c r="B932" s="55"/>
      <c r="C932" s="55"/>
      <c r="D932" s="55"/>
      <c r="E932" s="55"/>
      <c r="F932" s="55"/>
      <c r="G932" s="55"/>
      <c r="H932" s="55"/>
      <c r="I932" s="55"/>
    </row>
    <row r="933">
      <c r="A933" s="55"/>
      <c r="B933" s="55"/>
      <c r="C933" s="55"/>
      <c r="D933" s="55"/>
      <c r="E933" s="55"/>
      <c r="F933" s="55"/>
      <c r="G933" s="55"/>
      <c r="H933" s="55"/>
      <c r="I933" s="55"/>
    </row>
    <row r="934">
      <c r="A934" s="55"/>
      <c r="B934" s="55"/>
      <c r="C934" s="55"/>
      <c r="D934" s="55"/>
      <c r="E934" s="55"/>
      <c r="F934" s="55"/>
      <c r="G934" s="55"/>
      <c r="H934" s="55"/>
      <c r="I934" s="55"/>
    </row>
    <row r="935">
      <c r="A935" s="55"/>
      <c r="B935" s="55"/>
      <c r="C935" s="55"/>
      <c r="D935" s="55"/>
      <c r="E935" s="55"/>
      <c r="F935" s="55"/>
      <c r="G935" s="55"/>
      <c r="H935" s="55"/>
      <c r="I935" s="55"/>
    </row>
    <row r="936">
      <c r="A936" s="55"/>
      <c r="B936" s="55"/>
      <c r="C936" s="55"/>
      <c r="D936" s="55"/>
      <c r="E936" s="55"/>
      <c r="F936" s="55"/>
      <c r="G936" s="55"/>
      <c r="H936" s="55"/>
      <c r="I936" s="55"/>
    </row>
    <row r="937">
      <c r="A937" s="55"/>
      <c r="B937" s="55"/>
      <c r="C937" s="55"/>
      <c r="D937" s="55"/>
      <c r="E937" s="55"/>
      <c r="F937" s="55"/>
      <c r="G937" s="55"/>
      <c r="H937" s="55"/>
      <c r="I937" s="55"/>
    </row>
    <row r="938">
      <c r="A938" s="55"/>
      <c r="B938" s="55"/>
      <c r="C938" s="55"/>
      <c r="D938" s="55"/>
      <c r="E938" s="55"/>
      <c r="F938" s="55"/>
      <c r="G938" s="55"/>
      <c r="H938" s="55"/>
      <c r="I938" s="55"/>
    </row>
    <row r="939">
      <c r="A939" s="55"/>
      <c r="B939" s="55"/>
      <c r="C939" s="55"/>
      <c r="D939" s="55"/>
      <c r="E939" s="55"/>
      <c r="F939" s="55"/>
      <c r="G939" s="55"/>
      <c r="H939" s="55"/>
      <c r="I939" s="55"/>
    </row>
    <row r="940">
      <c r="A940" s="55"/>
      <c r="B940" s="55"/>
      <c r="C940" s="55"/>
      <c r="D940" s="55"/>
      <c r="E940" s="55"/>
      <c r="F940" s="55"/>
      <c r="G940" s="55"/>
      <c r="H940" s="55"/>
      <c r="I940" s="55"/>
    </row>
    <row r="941">
      <c r="A941" s="55"/>
      <c r="B941" s="55"/>
      <c r="C941" s="55"/>
      <c r="D941" s="55"/>
      <c r="E941" s="55"/>
      <c r="F941" s="55"/>
      <c r="G941" s="55"/>
      <c r="H941" s="55"/>
      <c r="I941" s="55"/>
    </row>
    <row r="942">
      <c r="A942" s="55"/>
      <c r="B942" s="55"/>
      <c r="C942" s="55"/>
      <c r="D942" s="55"/>
      <c r="E942" s="55"/>
      <c r="F942" s="55"/>
      <c r="G942" s="55"/>
      <c r="H942" s="55"/>
      <c r="I942" s="55"/>
    </row>
    <row r="943">
      <c r="A943" s="55"/>
      <c r="B943" s="55"/>
      <c r="C943" s="55"/>
      <c r="D943" s="55"/>
      <c r="E943" s="55"/>
      <c r="F943" s="55"/>
      <c r="G943" s="55"/>
      <c r="H943" s="55"/>
      <c r="I943" s="55"/>
    </row>
    <row r="944">
      <c r="A944" s="55"/>
      <c r="B944" s="55"/>
      <c r="C944" s="55"/>
      <c r="D944" s="55"/>
      <c r="E944" s="55"/>
      <c r="F944" s="55"/>
      <c r="G944" s="55"/>
      <c r="H944" s="55"/>
      <c r="I944" s="55"/>
    </row>
    <row r="945">
      <c r="A945" s="55"/>
      <c r="B945" s="55"/>
      <c r="C945" s="55"/>
      <c r="D945" s="55"/>
      <c r="E945" s="55"/>
      <c r="F945" s="55"/>
      <c r="G945" s="55"/>
      <c r="H945" s="55"/>
      <c r="I945" s="55"/>
    </row>
    <row r="946">
      <c r="A946" s="55"/>
      <c r="B946" s="55"/>
      <c r="C946" s="55"/>
      <c r="D946" s="55"/>
      <c r="E946" s="55"/>
      <c r="F946" s="55"/>
      <c r="G946" s="55"/>
      <c r="H946" s="55"/>
      <c r="I946" s="55"/>
    </row>
    <row r="947">
      <c r="A947" s="55"/>
      <c r="B947" s="55"/>
      <c r="C947" s="55"/>
      <c r="D947" s="55"/>
      <c r="E947" s="55"/>
      <c r="F947" s="55"/>
      <c r="G947" s="55"/>
      <c r="H947" s="55"/>
      <c r="I947" s="55"/>
    </row>
    <row r="948">
      <c r="A948" s="55"/>
      <c r="B948" s="55"/>
      <c r="C948" s="55"/>
      <c r="D948" s="55"/>
      <c r="E948" s="55"/>
      <c r="F948" s="55"/>
      <c r="G948" s="55"/>
      <c r="H948" s="55"/>
      <c r="I948" s="55"/>
    </row>
    <row r="949">
      <c r="A949" s="55"/>
      <c r="B949" s="55"/>
      <c r="C949" s="55"/>
      <c r="D949" s="55"/>
      <c r="E949" s="55"/>
      <c r="F949" s="55"/>
      <c r="G949" s="55"/>
      <c r="H949" s="55"/>
      <c r="I949" s="55"/>
    </row>
    <row r="950">
      <c r="A950" s="55"/>
      <c r="B950" s="55"/>
      <c r="C950" s="55"/>
      <c r="D950" s="55"/>
      <c r="E950" s="55"/>
      <c r="F950" s="55"/>
      <c r="G950" s="55"/>
      <c r="H950" s="55"/>
      <c r="I950" s="55"/>
    </row>
    <row r="951">
      <c r="A951" s="55"/>
      <c r="B951" s="55"/>
      <c r="C951" s="55"/>
      <c r="D951" s="55"/>
      <c r="E951" s="55"/>
      <c r="F951" s="55"/>
      <c r="G951" s="55"/>
      <c r="H951" s="55"/>
      <c r="I951" s="55"/>
    </row>
    <row r="952">
      <c r="A952" s="55"/>
      <c r="B952" s="55"/>
      <c r="C952" s="55"/>
      <c r="D952" s="55"/>
      <c r="E952" s="55"/>
      <c r="F952" s="55"/>
      <c r="G952" s="55"/>
      <c r="H952" s="55"/>
      <c r="I952" s="55"/>
    </row>
    <row r="953">
      <c r="A953" s="55"/>
      <c r="B953" s="55"/>
      <c r="C953" s="55"/>
      <c r="D953" s="55"/>
      <c r="E953" s="55"/>
      <c r="F953" s="55"/>
      <c r="G953" s="55"/>
      <c r="H953" s="55"/>
      <c r="I953" s="55"/>
    </row>
    <row r="954">
      <c r="A954" s="55"/>
      <c r="B954" s="55"/>
      <c r="C954" s="55"/>
      <c r="D954" s="55"/>
      <c r="E954" s="55"/>
      <c r="F954" s="55"/>
      <c r="G954" s="55"/>
      <c r="H954" s="55"/>
      <c r="I954" s="55"/>
    </row>
    <row r="955">
      <c r="A955" s="55"/>
      <c r="B955" s="55"/>
      <c r="C955" s="55"/>
      <c r="D955" s="55"/>
      <c r="E955" s="55"/>
      <c r="F955" s="55"/>
      <c r="G955" s="55"/>
      <c r="H955" s="55"/>
      <c r="I955" s="55"/>
    </row>
    <row r="956">
      <c r="A956" s="55"/>
      <c r="B956" s="55"/>
      <c r="C956" s="55"/>
      <c r="D956" s="55"/>
      <c r="E956" s="55"/>
      <c r="F956" s="55"/>
      <c r="G956" s="55"/>
      <c r="H956" s="55"/>
      <c r="I956" s="55"/>
    </row>
    <row r="957">
      <c r="A957" s="55"/>
      <c r="B957" s="55"/>
      <c r="C957" s="55"/>
      <c r="D957" s="55"/>
      <c r="E957" s="55"/>
      <c r="F957" s="55"/>
      <c r="G957" s="55"/>
      <c r="H957" s="55"/>
      <c r="I957" s="55"/>
    </row>
    <row r="958">
      <c r="A958" s="55"/>
      <c r="B958" s="55"/>
      <c r="C958" s="55"/>
      <c r="D958" s="55"/>
      <c r="E958" s="55"/>
      <c r="F958" s="55"/>
      <c r="G958" s="55"/>
      <c r="H958" s="55"/>
      <c r="I958" s="55"/>
    </row>
    <row r="959">
      <c r="A959" s="55"/>
      <c r="B959" s="55"/>
      <c r="C959" s="55"/>
      <c r="D959" s="55"/>
      <c r="E959" s="55"/>
      <c r="F959" s="55"/>
      <c r="G959" s="55"/>
      <c r="H959" s="55"/>
      <c r="I959" s="55"/>
    </row>
    <row r="960">
      <c r="A960" s="55"/>
      <c r="B960" s="55"/>
      <c r="C960" s="55"/>
      <c r="D960" s="55"/>
      <c r="E960" s="55"/>
      <c r="F960" s="55"/>
      <c r="G960" s="55"/>
      <c r="H960" s="55"/>
      <c r="I960" s="55"/>
    </row>
    <row r="961">
      <c r="A961" s="55"/>
      <c r="B961" s="55"/>
      <c r="C961" s="55"/>
      <c r="D961" s="55"/>
      <c r="E961" s="55"/>
      <c r="F961" s="55"/>
      <c r="G961" s="55"/>
      <c r="H961" s="55"/>
      <c r="I961" s="55"/>
    </row>
    <row r="962">
      <c r="A962" s="55"/>
      <c r="B962" s="55"/>
      <c r="C962" s="55"/>
      <c r="D962" s="55"/>
      <c r="E962" s="55"/>
      <c r="F962" s="55"/>
      <c r="G962" s="55"/>
      <c r="H962" s="55"/>
      <c r="I962" s="55"/>
    </row>
    <row r="963">
      <c r="A963" s="55"/>
      <c r="B963" s="55"/>
      <c r="C963" s="55"/>
      <c r="D963" s="55"/>
      <c r="E963" s="55"/>
      <c r="F963" s="55"/>
      <c r="G963" s="55"/>
      <c r="H963" s="55"/>
      <c r="I963" s="55"/>
    </row>
    <row r="964">
      <c r="A964" s="55"/>
      <c r="B964" s="55"/>
      <c r="C964" s="55"/>
      <c r="D964" s="55"/>
      <c r="E964" s="55"/>
      <c r="F964" s="55"/>
      <c r="G964" s="55"/>
      <c r="H964" s="55"/>
      <c r="I964" s="55"/>
    </row>
    <row r="965">
      <c r="A965" s="55"/>
      <c r="B965" s="55"/>
      <c r="C965" s="55"/>
      <c r="D965" s="55"/>
      <c r="E965" s="55"/>
      <c r="F965" s="55"/>
      <c r="G965" s="55"/>
      <c r="H965" s="55"/>
      <c r="I965" s="55"/>
    </row>
    <row r="966">
      <c r="A966" s="55"/>
      <c r="B966" s="55"/>
      <c r="C966" s="55"/>
      <c r="D966" s="55"/>
      <c r="E966" s="55"/>
      <c r="F966" s="55"/>
      <c r="G966" s="55"/>
      <c r="H966" s="55"/>
      <c r="I966" s="55"/>
    </row>
    <row r="967">
      <c r="A967" s="55"/>
      <c r="B967" s="55"/>
      <c r="C967" s="55"/>
      <c r="D967" s="55"/>
      <c r="E967" s="55"/>
      <c r="F967" s="55"/>
      <c r="G967" s="55"/>
      <c r="H967" s="55"/>
      <c r="I967" s="55"/>
    </row>
    <row r="968">
      <c r="A968" s="55"/>
      <c r="B968" s="55"/>
      <c r="C968" s="55"/>
      <c r="D968" s="55"/>
      <c r="E968" s="55"/>
      <c r="F968" s="55"/>
      <c r="G968" s="55"/>
      <c r="H968" s="55"/>
      <c r="I968" s="55"/>
    </row>
    <row r="969">
      <c r="A969" s="55"/>
      <c r="B969" s="55"/>
      <c r="C969" s="55"/>
      <c r="D969" s="55"/>
      <c r="E969" s="55"/>
      <c r="F969" s="55"/>
      <c r="G969" s="55"/>
      <c r="H969" s="55"/>
      <c r="I969" s="55"/>
    </row>
    <row r="970">
      <c r="A970" s="55"/>
      <c r="B970" s="55"/>
      <c r="C970" s="55"/>
      <c r="D970" s="55"/>
      <c r="E970" s="55"/>
      <c r="F970" s="55"/>
      <c r="G970" s="55"/>
      <c r="H970" s="55"/>
      <c r="I970" s="55"/>
    </row>
    <row r="971">
      <c r="A971" s="55"/>
      <c r="B971" s="55"/>
      <c r="C971" s="55"/>
      <c r="D971" s="55"/>
      <c r="E971" s="55"/>
      <c r="F971" s="55"/>
      <c r="G971" s="55"/>
      <c r="H971" s="55"/>
      <c r="I971" s="55"/>
    </row>
    <row r="972">
      <c r="A972" s="55"/>
      <c r="B972" s="55"/>
      <c r="C972" s="55"/>
      <c r="D972" s="55"/>
      <c r="E972" s="55"/>
      <c r="F972" s="55"/>
      <c r="G972" s="55"/>
      <c r="H972" s="55"/>
      <c r="I972" s="55"/>
    </row>
    <row r="973">
      <c r="A973" s="55"/>
      <c r="B973" s="55"/>
      <c r="C973" s="55"/>
      <c r="D973" s="55"/>
      <c r="E973" s="55"/>
      <c r="F973" s="55"/>
      <c r="G973" s="55"/>
      <c r="H973" s="55"/>
      <c r="I973" s="55"/>
    </row>
    <row r="974">
      <c r="A974" s="55"/>
      <c r="B974" s="55"/>
      <c r="C974" s="55"/>
      <c r="D974" s="55"/>
      <c r="E974" s="55"/>
      <c r="F974" s="55"/>
      <c r="G974" s="55"/>
      <c r="H974" s="55"/>
      <c r="I974" s="55"/>
    </row>
    <row r="975">
      <c r="A975" s="55"/>
      <c r="B975" s="55"/>
      <c r="C975" s="55"/>
      <c r="D975" s="55"/>
      <c r="E975" s="55"/>
      <c r="F975" s="55"/>
      <c r="G975" s="55"/>
      <c r="H975" s="55"/>
      <c r="I975" s="55"/>
    </row>
    <row r="976">
      <c r="A976" s="55"/>
      <c r="B976" s="55"/>
      <c r="C976" s="55"/>
      <c r="D976" s="55"/>
      <c r="E976" s="55"/>
      <c r="F976" s="55"/>
      <c r="G976" s="55"/>
      <c r="H976" s="55"/>
      <c r="I976" s="55"/>
    </row>
    <row r="977">
      <c r="A977" s="55"/>
      <c r="B977" s="55"/>
      <c r="C977" s="55"/>
      <c r="D977" s="55"/>
      <c r="E977" s="55"/>
      <c r="F977" s="55"/>
      <c r="G977" s="55"/>
      <c r="H977" s="55"/>
      <c r="I977" s="55"/>
    </row>
    <row r="978">
      <c r="A978" s="55"/>
      <c r="B978" s="55"/>
      <c r="C978" s="55"/>
      <c r="D978" s="55"/>
      <c r="E978" s="55"/>
      <c r="F978" s="55"/>
      <c r="G978" s="55"/>
      <c r="H978" s="55"/>
      <c r="I978" s="55"/>
    </row>
    <row r="979">
      <c r="A979" s="55"/>
      <c r="B979" s="55"/>
      <c r="C979" s="55"/>
      <c r="D979" s="55"/>
      <c r="E979" s="55"/>
      <c r="F979" s="55"/>
      <c r="G979" s="55"/>
      <c r="H979" s="55"/>
      <c r="I979" s="55"/>
    </row>
    <row r="980">
      <c r="A980" s="55"/>
      <c r="B980" s="55"/>
      <c r="C980" s="55"/>
      <c r="D980" s="55"/>
      <c r="E980" s="55"/>
      <c r="F980" s="55"/>
      <c r="G980" s="55"/>
      <c r="H980" s="55"/>
      <c r="I980" s="55"/>
    </row>
    <row r="981">
      <c r="A981" s="55"/>
      <c r="B981" s="55"/>
      <c r="C981" s="55"/>
      <c r="D981" s="55"/>
      <c r="E981" s="55"/>
      <c r="F981" s="55"/>
      <c r="G981" s="55"/>
      <c r="H981" s="55"/>
      <c r="I981" s="55"/>
    </row>
    <row r="982">
      <c r="A982" s="55"/>
      <c r="B982" s="55"/>
      <c r="C982" s="55"/>
      <c r="D982" s="55"/>
      <c r="E982" s="55"/>
      <c r="F982" s="55"/>
      <c r="G982" s="55"/>
      <c r="H982" s="55"/>
      <c r="I982" s="55"/>
    </row>
    <row r="983">
      <c r="A983" s="55"/>
      <c r="B983" s="55"/>
      <c r="C983" s="55"/>
      <c r="D983" s="55"/>
      <c r="E983" s="55"/>
      <c r="F983" s="55"/>
      <c r="G983" s="55"/>
      <c r="H983" s="55"/>
      <c r="I983" s="55"/>
    </row>
    <row r="984">
      <c r="A984" s="55"/>
      <c r="B984" s="55"/>
      <c r="C984" s="55"/>
      <c r="D984" s="55"/>
      <c r="E984" s="55"/>
      <c r="F984" s="55"/>
      <c r="G984" s="55"/>
      <c r="H984" s="55"/>
      <c r="I984" s="55"/>
    </row>
    <row r="985">
      <c r="A985" s="55"/>
      <c r="B985" s="55"/>
      <c r="C985" s="55"/>
      <c r="D985" s="55"/>
      <c r="E985" s="55"/>
      <c r="F985" s="55"/>
      <c r="G985" s="55"/>
      <c r="H985" s="55"/>
      <c r="I985" s="55"/>
    </row>
    <row r="986">
      <c r="A986" s="55"/>
      <c r="B986" s="55"/>
      <c r="C986" s="55"/>
      <c r="D986" s="55"/>
      <c r="E986" s="55"/>
      <c r="F986" s="55"/>
      <c r="G986" s="55"/>
      <c r="H986" s="55"/>
      <c r="I986" s="55"/>
    </row>
    <row r="987">
      <c r="A987" s="55"/>
      <c r="B987" s="55"/>
      <c r="C987" s="55"/>
      <c r="D987" s="55"/>
      <c r="E987" s="55"/>
      <c r="F987" s="55"/>
      <c r="G987" s="55"/>
      <c r="H987" s="55"/>
      <c r="I987" s="55"/>
    </row>
    <row r="988">
      <c r="A988" s="55"/>
      <c r="B988" s="55"/>
      <c r="C988" s="55"/>
      <c r="D988" s="55"/>
      <c r="E988" s="55"/>
      <c r="F988" s="55"/>
      <c r="G988" s="55"/>
      <c r="H988" s="55"/>
      <c r="I988" s="55"/>
    </row>
    <row r="989">
      <c r="A989" s="55"/>
      <c r="B989" s="55"/>
      <c r="C989" s="55"/>
      <c r="D989" s="55"/>
      <c r="E989" s="55"/>
      <c r="F989" s="55"/>
      <c r="G989" s="55"/>
      <c r="H989" s="55"/>
      <c r="I989" s="55"/>
    </row>
    <row r="990">
      <c r="A990" s="55"/>
      <c r="B990" s="55"/>
      <c r="C990" s="55"/>
      <c r="D990" s="55"/>
      <c r="E990" s="55"/>
      <c r="F990" s="55"/>
      <c r="G990" s="55"/>
      <c r="H990" s="55"/>
      <c r="I990" s="55"/>
    </row>
    <row r="991">
      <c r="A991" s="55"/>
      <c r="B991" s="55"/>
      <c r="C991" s="55"/>
      <c r="D991" s="55"/>
      <c r="E991" s="55"/>
      <c r="F991" s="55"/>
      <c r="G991" s="55"/>
      <c r="H991" s="55"/>
      <c r="I991" s="55"/>
    </row>
    <row r="992">
      <c r="A992" s="55"/>
      <c r="B992" s="55"/>
      <c r="C992" s="55"/>
      <c r="D992" s="55"/>
      <c r="E992" s="55"/>
      <c r="F992" s="55"/>
      <c r="G992" s="55"/>
      <c r="H992" s="55"/>
      <c r="I992" s="55"/>
    </row>
    <row r="993">
      <c r="A993" s="55"/>
      <c r="B993" s="55"/>
      <c r="C993" s="55"/>
      <c r="D993" s="55"/>
      <c r="E993" s="55"/>
      <c r="F993" s="55"/>
      <c r="G993" s="55"/>
      <c r="H993" s="55"/>
      <c r="I993" s="55"/>
    </row>
    <row r="994">
      <c r="A994" s="55"/>
      <c r="B994" s="55"/>
      <c r="C994" s="55"/>
      <c r="D994" s="55"/>
      <c r="E994" s="55"/>
      <c r="F994" s="55"/>
      <c r="G994" s="55"/>
      <c r="H994" s="55"/>
      <c r="I994" s="55"/>
    </row>
    <row r="995">
      <c r="A995" s="55"/>
      <c r="B995" s="55"/>
      <c r="C995" s="55"/>
      <c r="D995" s="55"/>
      <c r="E995" s="55"/>
      <c r="F995" s="55"/>
      <c r="G995" s="55"/>
      <c r="H995" s="55"/>
      <c r="I995" s="55"/>
    </row>
    <row r="996">
      <c r="A996" s="55"/>
      <c r="B996" s="55"/>
      <c r="C996" s="55"/>
      <c r="D996" s="55"/>
      <c r="E996" s="55"/>
      <c r="F996" s="55"/>
      <c r="G996" s="55"/>
      <c r="H996" s="55"/>
      <c r="I996" s="55"/>
    </row>
    <row r="997">
      <c r="A997" s="55"/>
      <c r="B997" s="55"/>
      <c r="C997" s="55"/>
      <c r="D997" s="55"/>
      <c r="E997" s="55"/>
      <c r="F997" s="55"/>
      <c r="G997" s="55"/>
      <c r="H997" s="55"/>
      <c r="I997" s="55"/>
    </row>
    <row r="998">
      <c r="A998" s="55"/>
      <c r="B998" s="55"/>
      <c r="C998" s="55"/>
      <c r="D998" s="55"/>
      <c r="E998" s="55"/>
      <c r="F998" s="55"/>
      <c r="G998" s="55"/>
      <c r="H998" s="55"/>
      <c r="I998" s="55"/>
    </row>
    <row r="999">
      <c r="A999" s="55"/>
      <c r="B999" s="55"/>
      <c r="C999" s="55"/>
      <c r="D999" s="55"/>
      <c r="E999" s="55"/>
      <c r="F999" s="55"/>
      <c r="G999" s="55"/>
      <c r="H999" s="55"/>
      <c r="I999" s="55"/>
    </row>
    <row r="1000">
      <c r="A1000" s="55"/>
      <c r="B1000" s="55"/>
      <c r="C1000" s="55"/>
      <c r="D1000" s="55"/>
      <c r="E1000" s="55"/>
      <c r="F1000" s="55"/>
      <c r="G1000" s="55"/>
      <c r="H1000" s="55"/>
      <c r="I1000" s="5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3.13"/>
    <col customWidth="1" min="3" max="6" width="21.38"/>
    <col customWidth="1" min="7" max="7" width="25.63"/>
    <col customWidth="1" min="8" max="8" width="11.38"/>
    <col customWidth="1" min="9" max="9" width="27.63"/>
  </cols>
  <sheetData>
    <row r="1">
      <c r="A1" s="430"/>
      <c r="B1" s="430"/>
      <c r="C1" s="431" t="s">
        <v>1534</v>
      </c>
      <c r="G1" s="432" t="s">
        <v>1535</v>
      </c>
      <c r="H1" s="2"/>
      <c r="I1" s="2"/>
      <c r="J1" s="2"/>
      <c r="K1" s="2"/>
      <c r="L1" s="2"/>
      <c r="M1" s="2"/>
      <c r="N1" s="2"/>
      <c r="O1" s="2"/>
      <c r="P1" s="2"/>
      <c r="Q1" s="2"/>
      <c r="R1" s="2"/>
      <c r="S1" s="2"/>
      <c r="T1" s="2"/>
      <c r="U1" s="2"/>
      <c r="V1" s="2"/>
      <c r="W1" s="2"/>
      <c r="X1" s="2"/>
      <c r="Y1" s="2"/>
      <c r="Z1" s="2"/>
    </row>
    <row r="2">
      <c r="A2" s="433" t="s">
        <v>1536</v>
      </c>
      <c r="B2" s="433" t="s">
        <v>1537</v>
      </c>
      <c r="C2" s="434" t="s">
        <v>1538</v>
      </c>
      <c r="D2" s="434" t="s">
        <v>1539</v>
      </c>
      <c r="E2" s="434" t="s">
        <v>675</v>
      </c>
      <c r="F2" s="434" t="s">
        <v>1540</v>
      </c>
      <c r="G2" s="434" t="s">
        <v>1541</v>
      </c>
      <c r="H2" s="435" t="s">
        <v>1542</v>
      </c>
      <c r="I2" s="434" t="s">
        <v>1532</v>
      </c>
      <c r="J2" s="2"/>
      <c r="K2" s="2"/>
      <c r="L2" s="2"/>
      <c r="M2" s="2"/>
      <c r="N2" s="2"/>
      <c r="O2" s="2"/>
      <c r="P2" s="2"/>
      <c r="Q2" s="2"/>
      <c r="R2" s="2"/>
      <c r="S2" s="2"/>
      <c r="T2" s="2"/>
      <c r="U2" s="2"/>
      <c r="V2" s="2"/>
      <c r="W2" s="2"/>
      <c r="X2" s="2"/>
      <c r="Y2" s="2"/>
      <c r="Z2" s="2"/>
    </row>
    <row r="3" ht="52.5" customHeight="1">
      <c r="A3" s="436"/>
      <c r="B3" s="436" t="s">
        <v>1543</v>
      </c>
      <c r="C3" s="437" t="s">
        <v>1544</v>
      </c>
      <c r="D3" s="437" t="s">
        <v>1545</v>
      </c>
      <c r="E3" s="437" t="s">
        <v>1546</v>
      </c>
      <c r="F3" s="437" t="s">
        <v>1547</v>
      </c>
      <c r="G3" s="438" t="s">
        <v>1548</v>
      </c>
      <c r="H3" s="439" t="str">
        <f t="shared" ref="H3:H4" si="1">"+20 Stone"</f>
        <v>+20 Stone</v>
      </c>
      <c r="I3" s="440" t="s">
        <v>1549</v>
      </c>
      <c r="J3" s="441"/>
      <c r="K3" s="441"/>
      <c r="L3" s="441"/>
      <c r="M3" s="441"/>
      <c r="N3" s="441"/>
      <c r="O3" s="441"/>
      <c r="P3" s="441"/>
      <c r="Q3" s="441"/>
      <c r="R3" s="441"/>
      <c r="S3" s="441"/>
      <c r="T3" s="441"/>
      <c r="U3" s="441"/>
      <c r="V3" s="441"/>
      <c r="W3" s="441"/>
      <c r="X3" s="441"/>
      <c r="Y3" s="441"/>
      <c r="Z3" s="441"/>
    </row>
    <row r="4" ht="52.5" customHeight="1">
      <c r="A4" s="436"/>
      <c r="B4" s="436" t="s">
        <v>1550</v>
      </c>
      <c r="C4" s="437" t="s">
        <v>1551</v>
      </c>
      <c r="D4" s="437" t="s">
        <v>1552</v>
      </c>
      <c r="E4" s="437" t="s">
        <v>1553</v>
      </c>
      <c r="F4" s="437" t="s">
        <v>1554</v>
      </c>
      <c r="G4" s="438" t="s">
        <v>1555</v>
      </c>
      <c r="H4" s="439" t="str">
        <f t="shared" si="1"/>
        <v>+20 Stone</v>
      </c>
      <c r="I4" s="440" t="s">
        <v>1556</v>
      </c>
      <c r="J4" s="441"/>
      <c r="K4" s="441"/>
      <c r="L4" s="441"/>
      <c r="M4" s="441"/>
      <c r="N4" s="441"/>
      <c r="O4" s="441"/>
      <c r="P4" s="441"/>
      <c r="Q4" s="441"/>
      <c r="R4" s="441"/>
      <c r="S4" s="441"/>
      <c r="T4" s="441"/>
      <c r="U4" s="441"/>
      <c r="V4" s="441"/>
      <c r="W4" s="441"/>
      <c r="X4" s="441"/>
      <c r="Y4" s="441"/>
      <c r="Z4" s="441"/>
    </row>
    <row r="5" ht="52.5" customHeight="1">
      <c r="A5" s="436"/>
      <c r="B5" s="433" t="s">
        <v>1557</v>
      </c>
      <c r="C5" s="442" t="s">
        <v>1558</v>
      </c>
      <c r="D5" s="442" t="s">
        <v>1559</v>
      </c>
      <c r="E5" s="442" t="s">
        <v>1560</v>
      </c>
      <c r="F5" s="442" t="s">
        <v>1561</v>
      </c>
      <c r="G5" s="438" t="s">
        <v>1562</v>
      </c>
      <c r="H5" s="443" t="str">
        <f>"+20 Food"</f>
        <v>+20 Food</v>
      </c>
      <c r="I5" s="440" t="s">
        <v>1563</v>
      </c>
      <c r="J5" s="441"/>
      <c r="K5" s="441"/>
      <c r="L5" s="441"/>
      <c r="M5" s="441"/>
      <c r="N5" s="441"/>
      <c r="O5" s="441"/>
      <c r="P5" s="441"/>
      <c r="Q5" s="441"/>
      <c r="R5" s="441"/>
      <c r="S5" s="441"/>
      <c r="T5" s="441"/>
      <c r="U5" s="441"/>
      <c r="V5" s="441"/>
      <c r="W5" s="441"/>
      <c r="X5" s="441"/>
      <c r="Y5" s="441"/>
      <c r="Z5" s="441"/>
    </row>
    <row r="6" ht="52.5" customHeight="1">
      <c r="A6" s="433"/>
      <c r="B6" s="433" t="s">
        <v>1564</v>
      </c>
      <c r="C6" s="444" t="s">
        <v>1565</v>
      </c>
      <c r="D6" s="444" t="s">
        <v>1566</v>
      </c>
      <c r="E6" s="444" t="s">
        <v>1567</v>
      </c>
      <c r="F6" s="444" t="s">
        <v>1568</v>
      </c>
      <c r="G6" s="438" t="s">
        <v>1569</v>
      </c>
      <c r="H6" s="445" t="str">
        <f>"+30 Wood"</f>
        <v>+30 Wood</v>
      </c>
      <c r="I6" s="438" t="s">
        <v>1570</v>
      </c>
      <c r="J6" s="2"/>
      <c r="K6" s="2"/>
      <c r="L6" s="2"/>
      <c r="M6" s="2"/>
      <c r="N6" s="2"/>
      <c r="O6" s="2"/>
      <c r="P6" s="2"/>
      <c r="Q6" s="2"/>
      <c r="R6" s="2"/>
      <c r="S6" s="2"/>
      <c r="T6" s="2"/>
      <c r="U6" s="2"/>
      <c r="V6" s="2"/>
      <c r="W6" s="2"/>
      <c r="X6" s="2"/>
      <c r="Y6" s="2"/>
      <c r="Z6" s="2"/>
    </row>
    <row r="7" ht="52.5" customHeight="1">
      <c r="A7" s="446"/>
      <c r="B7" s="433" t="s">
        <v>1571</v>
      </c>
      <c r="C7" s="447" t="s">
        <v>1572</v>
      </c>
      <c r="G7" s="438" t="s">
        <v>1573</v>
      </c>
      <c r="H7" s="443" t="str">
        <f>"+20 Food"</f>
        <v>+20 Food</v>
      </c>
      <c r="I7" s="448"/>
      <c r="J7" s="2"/>
      <c r="K7" s="2"/>
      <c r="L7" s="2"/>
      <c r="M7" s="2"/>
      <c r="N7" s="2"/>
      <c r="O7" s="2"/>
      <c r="P7" s="2"/>
      <c r="Q7" s="2"/>
      <c r="R7" s="2"/>
      <c r="S7" s="2"/>
      <c r="T7" s="2"/>
      <c r="U7" s="2"/>
      <c r="V7" s="2"/>
      <c r="W7" s="2"/>
      <c r="X7" s="2"/>
      <c r="Y7" s="2"/>
      <c r="Z7" s="2"/>
    </row>
    <row r="8" ht="52.5" customHeight="1">
      <c r="A8" s="446"/>
      <c r="B8" s="433" t="s">
        <v>1574</v>
      </c>
      <c r="C8" s="449" t="s">
        <v>1575</v>
      </c>
      <c r="G8" s="438" t="s">
        <v>1573</v>
      </c>
      <c r="H8" s="450" t="str">
        <f>"+20 Iron"</f>
        <v>+20 Iron</v>
      </c>
      <c r="I8" s="448"/>
      <c r="J8" s="2"/>
      <c r="K8" s="2"/>
      <c r="L8" s="2"/>
      <c r="M8" s="2"/>
      <c r="N8" s="2"/>
      <c r="O8" s="2"/>
      <c r="P8" s="2"/>
      <c r="Q8" s="2"/>
      <c r="R8" s="2"/>
      <c r="S8" s="2"/>
      <c r="T8" s="2"/>
      <c r="U8" s="2"/>
      <c r="V8" s="2"/>
      <c r="W8" s="2"/>
      <c r="X8" s="2"/>
      <c r="Y8" s="2"/>
      <c r="Z8" s="2"/>
    </row>
    <row r="9" ht="52.5" customHeight="1">
      <c r="A9" s="446"/>
      <c r="B9" s="433" t="s">
        <v>1576</v>
      </c>
      <c r="C9" s="451" t="s">
        <v>1577</v>
      </c>
      <c r="G9" s="438" t="s">
        <v>1578</v>
      </c>
      <c r="H9" s="439" t="str">
        <f>"+20 Stone"</f>
        <v>+20 Stone</v>
      </c>
      <c r="I9" s="448"/>
      <c r="J9" s="2"/>
      <c r="K9" s="2"/>
      <c r="L9" s="2"/>
      <c r="M9" s="2"/>
      <c r="N9" s="2"/>
      <c r="O9" s="2"/>
      <c r="P9" s="2"/>
      <c r="Q9" s="2"/>
      <c r="R9" s="2"/>
      <c r="S9" s="2"/>
      <c r="T9" s="2"/>
      <c r="U9" s="2"/>
      <c r="V9" s="2"/>
      <c r="W9" s="2"/>
      <c r="X9" s="2"/>
      <c r="Y9" s="2"/>
      <c r="Z9" s="2"/>
    </row>
    <row r="10" ht="52.5" customHeight="1">
      <c r="A10" s="446"/>
      <c r="B10" s="433" t="s">
        <v>1579</v>
      </c>
      <c r="C10" s="452" t="s">
        <v>1580</v>
      </c>
      <c r="G10" s="438" t="s">
        <v>1581</v>
      </c>
      <c r="H10" s="445" t="str">
        <f>"+20 Wood"</f>
        <v>+20 Wood</v>
      </c>
      <c r="I10" s="448"/>
      <c r="J10" s="2"/>
      <c r="K10" s="2"/>
      <c r="L10" s="2"/>
      <c r="M10" s="2"/>
      <c r="N10" s="2"/>
      <c r="O10" s="2"/>
      <c r="P10" s="2"/>
      <c r="Q10" s="2"/>
      <c r="R10" s="2"/>
      <c r="S10" s="2"/>
      <c r="T10" s="2"/>
      <c r="U10" s="2"/>
      <c r="V10" s="2"/>
      <c r="W10" s="2"/>
      <c r="X10" s="2"/>
      <c r="Y10" s="2"/>
      <c r="Z10" s="2"/>
    </row>
    <row r="11" ht="52.5" customHeight="1">
      <c r="A11" s="446"/>
      <c r="B11" s="433" t="s">
        <v>1582</v>
      </c>
      <c r="C11" s="453" t="s">
        <v>1583</v>
      </c>
      <c r="G11" s="438" t="s">
        <v>1573</v>
      </c>
      <c r="H11" s="443" t="str">
        <f t="shared" ref="H11:H14" si="2">"+20 Food"</f>
        <v>+20 Food</v>
      </c>
      <c r="I11" s="448"/>
      <c r="J11" s="2"/>
      <c r="K11" s="2"/>
      <c r="L11" s="2"/>
      <c r="M11" s="2"/>
      <c r="N11" s="2"/>
      <c r="O11" s="2"/>
      <c r="P11" s="2"/>
      <c r="Q11" s="2"/>
      <c r="R11" s="2"/>
      <c r="S11" s="2"/>
      <c r="T11" s="2"/>
      <c r="U11" s="2"/>
      <c r="V11" s="2"/>
      <c r="W11" s="2"/>
      <c r="X11" s="2"/>
      <c r="Y11" s="2"/>
      <c r="Z11" s="2"/>
    </row>
    <row r="12" ht="52.5" customHeight="1">
      <c r="A12" s="446"/>
      <c r="B12" s="433" t="s">
        <v>1584</v>
      </c>
      <c r="C12" s="453" t="s">
        <v>1585</v>
      </c>
      <c r="G12" s="438" t="s">
        <v>1586</v>
      </c>
      <c r="H12" s="443" t="str">
        <f t="shared" si="2"/>
        <v>+20 Food</v>
      </c>
      <c r="I12" s="448"/>
      <c r="J12" s="2"/>
      <c r="K12" s="2"/>
      <c r="L12" s="2"/>
      <c r="M12" s="2"/>
      <c r="N12" s="2"/>
      <c r="O12" s="2"/>
      <c r="P12" s="2"/>
      <c r="Q12" s="2"/>
      <c r="R12" s="2"/>
      <c r="S12" s="2"/>
      <c r="T12" s="2"/>
      <c r="U12" s="2"/>
      <c r="V12" s="2"/>
      <c r="W12" s="2"/>
      <c r="X12" s="2"/>
      <c r="Y12" s="2"/>
      <c r="Z12" s="2"/>
    </row>
    <row r="13" ht="52.5" customHeight="1">
      <c r="A13" s="446"/>
      <c r="B13" s="433" t="s">
        <v>1587</v>
      </c>
      <c r="C13" s="453" t="s">
        <v>1588</v>
      </c>
      <c r="G13" s="438" t="s">
        <v>1589</v>
      </c>
      <c r="H13" s="443" t="str">
        <f t="shared" si="2"/>
        <v>+20 Food</v>
      </c>
      <c r="I13" s="448"/>
      <c r="J13" s="2"/>
      <c r="K13" s="2"/>
      <c r="L13" s="2"/>
      <c r="M13" s="2"/>
      <c r="N13" s="2"/>
      <c r="O13" s="2"/>
      <c r="P13" s="2"/>
      <c r="Q13" s="2"/>
      <c r="R13" s="2"/>
      <c r="S13" s="2"/>
      <c r="T13" s="2"/>
      <c r="U13" s="2"/>
      <c r="V13" s="2"/>
      <c r="W13" s="2"/>
      <c r="X13" s="2"/>
      <c r="Y13" s="2"/>
      <c r="Z13" s="2"/>
    </row>
    <row r="14" ht="52.5" customHeight="1">
      <c r="A14" s="446"/>
      <c r="B14" s="433" t="s">
        <v>1590</v>
      </c>
      <c r="C14" s="453" t="s">
        <v>1591</v>
      </c>
      <c r="G14" s="438" t="s">
        <v>1592</v>
      </c>
      <c r="H14" s="443" t="str">
        <f t="shared" si="2"/>
        <v>+20 Food</v>
      </c>
      <c r="I14" s="448"/>
      <c r="J14" s="2"/>
      <c r="K14" s="2"/>
      <c r="L14" s="2"/>
      <c r="M14" s="2"/>
      <c r="N14" s="2"/>
      <c r="O14" s="2"/>
      <c r="P14" s="2"/>
      <c r="Q14" s="2"/>
      <c r="R14" s="2"/>
      <c r="S14" s="2"/>
      <c r="T14" s="2"/>
      <c r="U14" s="2"/>
      <c r="V14" s="2"/>
      <c r="W14" s="2"/>
      <c r="X14" s="2"/>
      <c r="Y14" s="2"/>
      <c r="Z14" s="2"/>
    </row>
    <row r="15" ht="52.5" customHeight="1">
      <c r="A15" s="446"/>
      <c r="B15" s="433" t="s">
        <v>1593</v>
      </c>
      <c r="C15" s="454" t="s">
        <v>1594</v>
      </c>
      <c r="G15" s="438" t="s">
        <v>1595</v>
      </c>
      <c r="H15" s="439" t="str">
        <f>"+20 Stone"</f>
        <v>+20 Stone</v>
      </c>
      <c r="I15" s="455" t="s">
        <v>1596</v>
      </c>
      <c r="J15" s="2"/>
      <c r="K15" s="2"/>
      <c r="L15" s="2"/>
      <c r="M15" s="2"/>
      <c r="N15" s="2"/>
      <c r="O15" s="2"/>
      <c r="P15" s="2"/>
      <c r="Q15" s="2"/>
      <c r="R15" s="2"/>
      <c r="S15" s="2"/>
      <c r="T15" s="2"/>
      <c r="U15" s="2"/>
      <c r="V15" s="2"/>
      <c r="W15" s="2"/>
      <c r="X15" s="2"/>
      <c r="Y15" s="2"/>
      <c r="Z15" s="2"/>
    </row>
    <row r="16" ht="52.5" customHeight="1">
      <c r="A16" s="446"/>
      <c r="B16" s="433" t="s">
        <v>1597</v>
      </c>
      <c r="C16" s="456" t="s">
        <v>1598</v>
      </c>
      <c r="G16" s="438" t="s">
        <v>1599</v>
      </c>
      <c r="H16" s="457" t="s">
        <v>1600</v>
      </c>
      <c r="I16" s="455" t="s">
        <v>1601</v>
      </c>
      <c r="J16" s="2"/>
      <c r="K16" s="2"/>
      <c r="L16" s="2"/>
      <c r="M16" s="2"/>
      <c r="N16" s="2"/>
      <c r="O16" s="2"/>
      <c r="P16" s="2"/>
      <c r="Q16" s="2"/>
      <c r="R16" s="2"/>
      <c r="S16" s="2"/>
      <c r="T16" s="2"/>
      <c r="U16" s="2"/>
      <c r="V16" s="2"/>
      <c r="W16" s="2"/>
      <c r="X16" s="2"/>
      <c r="Y16" s="2"/>
      <c r="Z16" s="2"/>
    </row>
    <row r="17">
      <c r="A17" s="446"/>
      <c r="B17" s="446"/>
      <c r="C17" s="458"/>
      <c r="D17" s="448"/>
      <c r="E17" s="448"/>
      <c r="F17" s="448"/>
      <c r="G17" s="448"/>
      <c r="H17" s="2"/>
      <c r="I17" s="2"/>
      <c r="J17" s="2"/>
      <c r="K17" s="2"/>
      <c r="L17" s="2"/>
      <c r="M17" s="2"/>
      <c r="N17" s="2"/>
      <c r="O17" s="2"/>
      <c r="P17" s="2"/>
      <c r="Q17" s="2"/>
      <c r="R17" s="2"/>
      <c r="S17" s="2"/>
      <c r="T17" s="2"/>
      <c r="U17" s="2"/>
      <c r="V17" s="2"/>
      <c r="W17" s="2"/>
      <c r="X17" s="2"/>
      <c r="Y17" s="2"/>
      <c r="Z17" s="2"/>
    </row>
    <row r="18">
      <c r="A18" s="446"/>
      <c r="B18" s="459"/>
      <c r="C18" s="460"/>
      <c r="G18" s="2"/>
      <c r="H18" s="2"/>
      <c r="I18" s="2"/>
      <c r="J18" s="2"/>
      <c r="K18" s="2"/>
      <c r="L18" s="2"/>
      <c r="M18" s="2"/>
      <c r="N18" s="2"/>
      <c r="O18" s="2"/>
      <c r="P18" s="2"/>
      <c r="Q18" s="2"/>
      <c r="R18" s="2"/>
      <c r="S18" s="2"/>
      <c r="T18" s="2"/>
      <c r="U18" s="2"/>
      <c r="V18" s="2"/>
      <c r="W18" s="2"/>
      <c r="X18" s="2"/>
      <c r="Y18" s="2"/>
      <c r="Z18" s="2"/>
    </row>
    <row r="19">
      <c r="A19" s="446"/>
      <c r="B19" s="459"/>
      <c r="C19" s="2"/>
      <c r="D19" s="2"/>
      <c r="E19" s="2"/>
      <c r="F19" s="2"/>
      <c r="G19" s="2"/>
      <c r="H19" s="2"/>
      <c r="I19" s="2"/>
      <c r="J19" s="2"/>
      <c r="K19" s="2"/>
      <c r="L19" s="2"/>
      <c r="M19" s="2"/>
      <c r="N19" s="2"/>
      <c r="O19" s="2"/>
      <c r="P19" s="2"/>
      <c r="Q19" s="2"/>
      <c r="R19" s="2"/>
      <c r="S19" s="2"/>
      <c r="T19" s="2"/>
      <c r="U19" s="2"/>
      <c r="V19" s="2"/>
      <c r="W19" s="2"/>
      <c r="X19" s="2"/>
      <c r="Y19" s="2"/>
      <c r="Z19" s="2"/>
    </row>
    <row r="20">
      <c r="A20" s="446"/>
      <c r="B20" s="459"/>
      <c r="C20" s="2"/>
      <c r="D20" s="2"/>
      <c r="E20" s="2"/>
      <c r="F20" s="2"/>
      <c r="G20" s="2"/>
      <c r="H20" s="2"/>
      <c r="I20" s="2"/>
      <c r="J20" s="2"/>
      <c r="K20" s="2"/>
      <c r="L20" s="2"/>
      <c r="M20" s="2"/>
      <c r="N20" s="2"/>
      <c r="O20" s="2"/>
      <c r="P20" s="2"/>
      <c r="Q20" s="2"/>
      <c r="R20" s="2"/>
      <c r="S20" s="2"/>
      <c r="T20" s="2"/>
      <c r="U20" s="2"/>
      <c r="V20" s="2"/>
      <c r="W20" s="2"/>
      <c r="X20" s="2"/>
      <c r="Y20" s="2"/>
      <c r="Z20" s="2"/>
    </row>
    <row r="21">
      <c r="A21" s="446"/>
      <c r="B21" s="459"/>
      <c r="C21" s="2"/>
      <c r="D21" s="2"/>
      <c r="E21" s="2"/>
      <c r="F21" s="2"/>
      <c r="G21" s="2"/>
      <c r="H21" s="2"/>
      <c r="I21" s="2"/>
      <c r="J21" s="2"/>
      <c r="K21" s="2"/>
      <c r="L21" s="2"/>
      <c r="M21" s="2"/>
      <c r="N21" s="2"/>
      <c r="O21" s="2"/>
      <c r="P21" s="2"/>
      <c r="Q21" s="2"/>
      <c r="R21" s="2"/>
      <c r="S21" s="2"/>
      <c r="T21" s="2"/>
      <c r="U21" s="2"/>
      <c r="V21" s="2"/>
      <c r="W21" s="2"/>
      <c r="X21" s="2"/>
      <c r="Y21" s="2"/>
      <c r="Z21" s="2"/>
    </row>
    <row r="22">
      <c r="A22" s="446"/>
      <c r="B22" s="459"/>
      <c r="C22" s="2"/>
      <c r="D22" s="2"/>
      <c r="E22" s="2"/>
      <c r="F22" s="2"/>
      <c r="G22" s="2"/>
      <c r="H22" s="2"/>
      <c r="I22" s="2"/>
      <c r="J22" s="2"/>
      <c r="K22" s="2"/>
      <c r="L22" s="2"/>
      <c r="M22" s="2"/>
      <c r="N22" s="2"/>
      <c r="O22" s="2"/>
      <c r="P22" s="2"/>
      <c r="Q22" s="2"/>
      <c r="R22" s="2"/>
      <c r="S22" s="2"/>
      <c r="T22" s="2"/>
      <c r="U22" s="2"/>
      <c r="V22" s="2"/>
      <c r="W22" s="2"/>
      <c r="X22" s="2"/>
      <c r="Y22" s="2"/>
      <c r="Z22" s="2"/>
    </row>
    <row r="23">
      <c r="A23" s="446"/>
      <c r="B23" s="459"/>
      <c r="C23" s="2"/>
      <c r="D23" s="2"/>
      <c r="E23" s="2"/>
      <c r="F23" s="2"/>
      <c r="G23" s="2"/>
      <c r="H23" s="2"/>
      <c r="I23" s="2"/>
      <c r="J23" s="2"/>
      <c r="K23" s="2"/>
      <c r="L23" s="2"/>
      <c r="M23" s="2"/>
      <c r="N23" s="2"/>
      <c r="O23" s="2"/>
      <c r="P23" s="2"/>
      <c r="Q23" s="2"/>
      <c r="R23" s="2"/>
      <c r="S23" s="2"/>
      <c r="T23" s="2"/>
      <c r="U23" s="2"/>
      <c r="V23" s="2"/>
      <c r="W23" s="2"/>
      <c r="X23" s="2"/>
      <c r="Y23" s="2"/>
      <c r="Z23" s="2"/>
    </row>
    <row r="24">
      <c r="A24" s="446"/>
      <c r="B24" s="459"/>
      <c r="C24" s="2"/>
      <c r="D24" s="2"/>
      <c r="E24" s="2"/>
      <c r="F24" s="2"/>
      <c r="G24" s="2"/>
      <c r="H24" s="461"/>
      <c r="I24" s="2"/>
      <c r="J24" s="2"/>
      <c r="K24" s="2"/>
      <c r="L24" s="2"/>
      <c r="M24" s="2"/>
      <c r="N24" s="2"/>
      <c r="O24" s="2"/>
      <c r="P24" s="2"/>
      <c r="Q24" s="2"/>
      <c r="R24" s="2"/>
      <c r="S24" s="2"/>
      <c r="T24" s="2"/>
      <c r="U24" s="2"/>
      <c r="V24" s="2"/>
      <c r="W24" s="2"/>
      <c r="X24" s="2"/>
      <c r="Y24" s="2"/>
      <c r="Z24" s="2"/>
    </row>
    <row r="25">
      <c r="A25" s="446"/>
      <c r="B25" s="459"/>
      <c r="C25" s="2"/>
      <c r="D25" s="2"/>
      <c r="E25" s="2"/>
      <c r="F25" s="2"/>
      <c r="G25" s="2"/>
      <c r="H25" s="461"/>
      <c r="I25" s="2"/>
      <c r="J25" s="2"/>
      <c r="K25" s="2"/>
      <c r="L25" s="2"/>
      <c r="M25" s="2"/>
      <c r="N25" s="2"/>
      <c r="O25" s="2"/>
      <c r="P25" s="2"/>
      <c r="Q25" s="2"/>
      <c r="R25" s="2"/>
      <c r="S25" s="2"/>
      <c r="T25" s="2"/>
      <c r="U25" s="2"/>
      <c r="V25" s="2"/>
      <c r="W25" s="2"/>
      <c r="X25" s="2"/>
      <c r="Y25" s="2"/>
      <c r="Z25" s="2"/>
    </row>
    <row r="26">
      <c r="A26" s="446"/>
      <c r="B26" s="459"/>
      <c r="C26" s="2"/>
      <c r="D26" s="2"/>
      <c r="E26" s="2"/>
      <c r="F26" s="2"/>
      <c r="G26" s="2"/>
      <c r="H26" s="461"/>
      <c r="I26" s="2"/>
      <c r="J26" s="2"/>
      <c r="K26" s="2"/>
      <c r="L26" s="2"/>
      <c r="M26" s="2"/>
      <c r="N26" s="2"/>
      <c r="O26" s="2"/>
      <c r="P26" s="2"/>
      <c r="Q26" s="2"/>
      <c r="R26" s="2"/>
      <c r="S26" s="2"/>
      <c r="T26" s="2"/>
      <c r="U26" s="2"/>
      <c r="V26" s="2"/>
      <c r="W26" s="2"/>
      <c r="X26" s="2"/>
      <c r="Y26" s="2"/>
      <c r="Z26" s="2"/>
    </row>
    <row r="27">
      <c r="A27" s="446"/>
      <c r="B27" s="459"/>
      <c r="C27" s="2"/>
      <c r="D27" s="2"/>
      <c r="E27" s="2"/>
      <c r="F27" s="2"/>
      <c r="G27" s="2"/>
      <c r="H27" s="461"/>
      <c r="I27" s="2"/>
      <c r="J27" s="2"/>
      <c r="K27" s="2"/>
      <c r="L27" s="2"/>
      <c r="M27" s="2"/>
      <c r="N27" s="2"/>
      <c r="O27" s="2"/>
      <c r="P27" s="2"/>
      <c r="Q27" s="2"/>
      <c r="R27" s="2"/>
      <c r="S27" s="2"/>
      <c r="T27" s="2"/>
      <c r="U27" s="2"/>
      <c r="V27" s="2"/>
      <c r="W27" s="2"/>
      <c r="X27" s="2"/>
      <c r="Y27" s="2"/>
      <c r="Z27" s="2"/>
    </row>
    <row r="28">
      <c r="A28" s="446"/>
      <c r="B28" s="459"/>
      <c r="C28" s="2"/>
      <c r="D28" s="2"/>
      <c r="E28" s="2"/>
      <c r="F28" s="2"/>
      <c r="G28" s="2"/>
      <c r="H28" s="461"/>
      <c r="I28" s="2"/>
      <c r="J28" s="2"/>
      <c r="K28" s="2"/>
      <c r="L28" s="2"/>
      <c r="M28" s="2"/>
      <c r="N28" s="2"/>
      <c r="O28" s="2"/>
      <c r="P28" s="2"/>
      <c r="Q28" s="2"/>
      <c r="R28" s="2"/>
      <c r="S28" s="2"/>
      <c r="T28" s="2"/>
      <c r="U28" s="2"/>
      <c r="V28" s="2"/>
      <c r="W28" s="2"/>
      <c r="X28" s="2"/>
      <c r="Y28" s="2"/>
      <c r="Z28" s="2"/>
    </row>
    <row r="29">
      <c r="A29" s="446"/>
      <c r="B29" s="459"/>
      <c r="C29" s="2"/>
      <c r="D29" s="2"/>
      <c r="E29" s="2"/>
      <c r="F29" s="2"/>
      <c r="G29" s="2"/>
      <c r="H29" s="2"/>
      <c r="I29" s="2"/>
      <c r="J29" s="2"/>
      <c r="K29" s="2"/>
      <c r="L29" s="2"/>
      <c r="M29" s="2"/>
      <c r="N29" s="2"/>
      <c r="O29" s="2"/>
      <c r="P29" s="2"/>
      <c r="Q29" s="2"/>
      <c r="R29" s="2"/>
      <c r="S29" s="2"/>
      <c r="T29" s="2"/>
      <c r="U29" s="2"/>
      <c r="V29" s="2"/>
      <c r="W29" s="2"/>
      <c r="X29" s="2"/>
      <c r="Y29" s="2"/>
      <c r="Z29" s="2"/>
    </row>
    <row r="30">
      <c r="A30" s="446"/>
      <c r="B30" s="459"/>
      <c r="C30" s="2"/>
      <c r="D30" s="2"/>
      <c r="E30" s="2"/>
      <c r="F30" s="2"/>
      <c r="G30" s="2"/>
      <c r="H30" s="461"/>
      <c r="I30" s="2"/>
      <c r="J30" s="2"/>
      <c r="K30" s="2"/>
      <c r="L30" s="2"/>
      <c r="M30" s="2"/>
      <c r="N30" s="2"/>
      <c r="O30" s="2"/>
      <c r="P30" s="2"/>
      <c r="Q30" s="2"/>
      <c r="R30" s="2"/>
      <c r="S30" s="2"/>
      <c r="T30" s="2"/>
      <c r="U30" s="2"/>
      <c r="V30" s="2"/>
      <c r="W30" s="2"/>
      <c r="X30" s="2"/>
      <c r="Y30" s="2"/>
      <c r="Z30" s="2"/>
    </row>
    <row r="31">
      <c r="A31" s="446"/>
      <c r="B31" s="459"/>
      <c r="C31" s="2"/>
      <c r="D31" s="2"/>
      <c r="E31" s="2"/>
      <c r="F31" s="2"/>
      <c r="G31" s="2"/>
      <c r="H31" s="461"/>
      <c r="I31" s="2"/>
      <c r="J31" s="2"/>
      <c r="K31" s="2"/>
      <c r="L31" s="2"/>
      <c r="M31" s="2"/>
      <c r="N31" s="2"/>
      <c r="O31" s="2"/>
      <c r="P31" s="2"/>
      <c r="Q31" s="2"/>
      <c r="R31" s="2"/>
      <c r="S31" s="2"/>
      <c r="T31" s="2"/>
      <c r="U31" s="2"/>
      <c r="V31" s="2"/>
      <c r="W31" s="2"/>
      <c r="X31" s="2"/>
      <c r="Y31" s="2"/>
      <c r="Z31" s="2"/>
    </row>
    <row r="32">
      <c r="A32" s="446"/>
      <c r="B32" s="459"/>
      <c r="C32" s="2"/>
      <c r="D32" s="2"/>
      <c r="E32" s="2"/>
      <c r="F32" s="2"/>
      <c r="G32" s="2"/>
      <c r="H32" s="461"/>
      <c r="I32" s="2"/>
      <c r="J32" s="2"/>
      <c r="K32" s="2"/>
      <c r="L32" s="2"/>
      <c r="M32" s="2"/>
      <c r="N32" s="2"/>
      <c r="O32" s="2"/>
      <c r="P32" s="2"/>
      <c r="Q32" s="2"/>
      <c r="R32" s="2"/>
      <c r="S32" s="2"/>
      <c r="T32" s="2"/>
      <c r="U32" s="2"/>
      <c r="V32" s="2"/>
      <c r="W32" s="2"/>
      <c r="X32" s="2"/>
      <c r="Y32" s="2"/>
      <c r="Z32" s="2"/>
    </row>
    <row r="33">
      <c r="A33" s="459"/>
      <c r="B33" s="459"/>
      <c r="C33" s="2"/>
      <c r="D33" s="2"/>
      <c r="E33" s="2"/>
      <c r="F33" s="2"/>
      <c r="G33" s="2"/>
      <c r="H33" s="2"/>
      <c r="I33" s="2"/>
      <c r="J33" s="2"/>
      <c r="K33" s="2"/>
      <c r="L33" s="2"/>
      <c r="M33" s="2"/>
      <c r="N33" s="2"/>
      <c r="O33" s="2"/>
      <c r="P33" s="2"/>
      <c r="Q33" s="2"/>
      <c r="R33" s="2"/>
      <c r="S33" s="2"/>
      <c r="T33" s="2"/>
      <c r="U33" s="2"/>
      <c r="V33" s="2"/>
      <c r="W33" s="2"/>
      <c r="X33" s="2"/>
      <c r="Y33" s="2"/>
      <c r="Z33" s="2"/>
    </row>
    <row r="34">
      <c r="A34" s="459"/>
      <c r="B34" s="459"/>
      <c r="C34" s="2"/>
      <c r="D34" s="2"/>
      <c r="E34" s="2"/>
      <c r="F34" s="2"/>
      <c r="G34" s="2"/>
      <c r="H34" s="2"/>
      <c r="I34" s="2"/>
      <c r="J34" s="2"/>
      <c r="K34" s="2"/>
      <c r="L34" s="2"/>
      <c r="M34" s="2"/>
      <c r="N34" s="2"/>
      <c r="O34" s="2"/>
      <c r="P34" s="2"/>
      <c r="Q34" s="2"/>
      <c r="R34" s="2"/>
      <c r="S34" s="2"/>
      <c r="T34" s="2"/>
      <c r="U34" s="2"/>
      <c r="V34" s="2"/>
      <c r="W34" s="2"/>
      <c r="X34" s="2"/>
      <c r="Y34" s="2"/>
      <c r="Z34" s="2"/>
    </row>
    <row r="35">
      <c r="A35" s="459"/>
      <c r="B35" s="459"/>
      <c r="C35" s="2"/>
      <c r="D35" s="2"/>
      <c r="E35" s="2"/>
      <c r="F35" s="2"/>
      <c r="G35" s="2"/>
      <c r="H35" s="2"/>
      <c r="I35" s="2"/>
      <c r="J35" s="2"/>
      <c r="K35" s="2"/>
      <c r="L35" s="2"/>
      <c r="M35" s="2"/>
      <c r="N35" s="2"/>
      <c r="O35" s="2"/>
      <c r="P35" s="2"/>
      <c r="Q35" s="2"/>
      <c r="R35" s="2"/>
      <c r="S35" s="2"/>
      <c r="T35" s="2"/>
      <c r="U35" s="2"/>
      <c r="V35" s="2"/>
      <c r="W35" s="2"/>
      <c r="X35" s="2"/>
      <c r="Y35" s="2"/>
      <c r="Z35" s="2"/>
    </row>
    <row r="36">
      <c r="A36" s="459"/>
      <c r="B36" s="459"/>
      <c r="C36" s="2"/>
      <c r="D36" s="2"/>
      <c r="E36" s="2"/>
      <c r="F36" s="2"/>
      <c r="G36" s="2"/>
      <c r="H36" s="2"/>
      <c r="I36" s="2"/>
      <c r="J36" s="2"/>
      <c r="K36" s="2"/>
      <c r="L36" s="2"/>
      <c r="M36" s="2"/>
      <c r="N36" s="2"/>
      <c r="O36" s="2"/>
      <c r="P36" s="2"/>
      <c r="Q36" s="2"/>
      <c r="R36" s="2"/>
      <c r="S36" s="2"/>
      <c r="T36" s="2"/>
      <c r="U36" s="2"/>
      <c r="V36" s="2"/>
      <c r="W36" s="2"/>
      <c r="X36" s="2"/>
      <c r="Y36" s="2"/>
      <c r="Z36" s="2"/>
    </row>
    <row r="37">
      <c r="A37" s="459"/>
      <c r="B37" s="459"/>
      <c r="C37" s="2"/>
      <c r="D37" s="2"/>
      <c r="E37" s="2"/>
      <c r="F37" s="2"/>
      <c r="G37" s="2"/>
      <c r="H37" s="2"/>
      <c r="I37" s="2"/>
      <c r="J37" s="2"/>
      <c r="K37" s="2"/>
      <c r="L37" s="2"/>
      <c r="M37" s="2"/>
      <c r="N37" s="2"/>
      <c r="O37" s="2"/>
      <c r="P37" s="2"/>
      <c r="Q37" s="2"/>
      <c r="R37" s="2"/>
      <c r="S37" s="2"/>
      <c r="T37" s="2"/>
      <c r="U37" s="2"/>
      <c r="V37" s="2"/>
      <c r="W37" s="2"/>
      <c r="X37" s="2"/>
      <c r="Y37" s="2"/>
      <c r="Z37" s="2"/>
    </row>
    <row r="38">
      <c r="A38" s="459"/>
      <c r="B38" s="459"/>
      <c r="C38" s="2"/>
      <c r="D38" s="2"/>
      <c r="E38" s="2"/>
      <c r="F38" s="2"/>
      <c r="G38" s="2"/>
      <c r="H38" s="2"/>
      <c r="I38" s="2"/>
      <c r="J38" s="2"/>
      <c r="K38" s="2"/>
      <c r="L38" s="2"/>
      <c r="M38" s="2"/>
      <c r="N38" s="2"/>
      <c r="O38" s="2"/>
      <c r="P38" s="2"/>
      <c r="Q38" s="2"/>
      <c r="R38" s="2"/>
      <c r="S38" s="2"/>
      <c r="T38" s="2"/>
      <c r="U38" s="2"/>
      <c r="V38" s="2"/>
      <c r="W38" s="2"/>
      <c r="X38" s="2"/>
      <c r="Y38" s="2"/>
      <c r="Z38" s="2"/>
    </row>
    <row r="39">
      <c r="A39" s="459"/>
      <c r="B39" s="459"/>
      <c r="C39" s="2"/>
      <c r="D39" s="2"/>
      <c r="E39" s="2"/>
      <c r="F39" s="2"/>
      <c r="G39" s="2"/>
      <c r="H39" s="2"/>
      <c r="I39" s="2"/>
      <c r="J39" s="2"/>
      <c r="K39" s="2"/>
      <c r="L39" s="2"/>
      <c r="M39" s="2"/>
      <c r="N39" s="2"/>
      <c r="O39" s="2"/>
      <c r="P39" s="2"/>
      <c r="Q39" s="2"/>
      <c r="R39" s="2"/>
      <c r="S39" s="2"/>
      <c r="T39" s="2"/>
      <c r="U39" s="2"/>
      <c r="V39" s="2"/>
      <c r="W39" s="2"/>
      <c r="X39" s="2"/>
      <c r="Y39" s="2"/>
      <c r="Z39" s="2"/>
    </row>
    <row r="40">
      <c r="A40" s="459"/>
      <c r="B40" s="459"/>
      <c r="C40" s="2"/>
      <c r="D40" s="2"/>
      <c r="E40" s="2"/>
      <c r="F40" s="2"/>
      <c r="G40" s="2"/>
      <c r="H40" s="2"/>
      <c r="I40" s="2"/>
      <c r="J40" s="2"/>
      <c r="K40" s="2"/>
      <c r="L40" s="2"/>
      <c r="M40" s="2"/>
      <c r="N40" s="2"/>
      <c r="O40" s="2"/>
      <c r="P40" s="2"/>
      <c r="Q40" s="2"/>
      <c r="R40" s="2"/>
      <c r="S40" s="2"/>
      <c r="T40" s="2"/>
      <c r="U40" s="2"/>
      <c r="V40" s="2"/>
      <c r="W40" s="2"/>
      <c r="X40" s="2"/>
      <c r="Y40" s="2"/>
      <c r="Z40" s="2"/>
    </row>
    <row r="41">
      <c r="A41" s="459"/>
      <c r="B41" s="459"/>
      <c r="C41" s="2"/>
      <c r="D41" s="2"/>
      <c r="E41" s="2"/>
      <c r="F41" s="2"/>
      <c r="G41" s="2"/>
      <c r="H41" s="2"/>
      <c r="I41" s="2"/>
      <c r="J41" s="2"/>
      <c r="K41" s="2"/>
      <c r="L41" s="2"/>
      <c r="M41" s="2"/>
      <c r="N41" s="2"/>
      <c r="O41" s="2"/>
      <c r="P41" s="2"/>
      <c r="Q41" s="2"/>
      <c r="R41" s="2"/>
      <c r="S41" s="2"/>
      <c r="T41" s="2"/>
      <c r="U41" s="2"/>
      <c r="V41" s="2"/>
      <c r="W41" s="2"/>
      <c r="X41" s="2"/>
      <c r="Y41" s="2"/>
      <c r="Z41" s="2"/>
    </row>
    <row r="42">
      <c r="A42" s="459"/>
      <c r="B42" s="459"/>
      <c r="C42" s="2"/>
      <c r="D42" s="2"/>
      <c r="E42" s="2"/>
      <c r="F42" s="2"/>
      <c r="G42" s="2"/>
      <c r="H42" s="2"/>
      <c r="I42" s="2"/>
      <c r="J42" s="2"/>
      <c r="K42" s="2"/>
      <c r="L42" s="2"/>
      <c r="M42" s="2"/>
      <c r="N42" s="2"/>
      <c r="O42" s="2"/>
      <c r="P42" s="2"/>
      <c r="Q42" s="2"/>
      <c r="R42" s="2"/>
      <c r="S42" s="2"/>
      <c r="T42" s="2"/>
      <c r="U42" s="2"/>
      <c r="V42" s="2"/>
      <c r="W42" s="2"/>
      <c r="X42" s="2"/>
      <c r="Y42" s="2"/>
      <c r="Z42" s="2"/>
    </row>
    <row r="43">
      <c r="A43" s="459"/>
      <c r="B43" s="459"/>
      <c r="C43" s="2"/>
      <c r="D43" s="2"/>
      <c r="E43" s="2"/>
      <c r="F43" s="2"/>
      <c r="G43" s="2"/>
      <c r="H43" s="2"/>
      <c r="I43" s="2"/>
      <c r="J43" s="2"/>
      <c r="K43" s="2"/>
      <c r="L43" s="2"/>
      <c r="M43" s="2"/>
      <c r="N43" s="2"/>
      <c r="O43" s="2"/>
      <c r="P43" s="2"/>
      <c r="Q43" s="2"/>
      <c r="R43" s="2"/>
      <c r="S43" s="2"/>
      <c r="T43" s="2"/>
      <c r="U43" s="2"/>
      <c r="V43" s="2"/>
      <c r="W43" s="2"/>
      <c r="X43" s="2"/>
      <c r="Y43" s="2"/>
      <c r="Z43" s="2"/>
    </row>
    <row r="44">
      <c r="A44" s="459"/>
      <c r="B44" s="459"/>
      <c r="C44" s="2"/>
      <c r="D44" s="2"/>
      <c r="E44" s="2"/>
      <c r="F44" s="2"/>
      <c r="G44" s="2"/>
      <c r="H44" s="2"/>
      <c r="I44" s="2"/>
      <c r="J44" s="2"/>
      <c r="K44" s="2"/>
      <c r="L44" s="2"/>
      <c r="M44" s="2"/>
      <c r="N44" s="2"/>
      <c r="O44" s="2"/>
      <c r="P44" s="2"/>
      <c r="Q44" s="2"/>
      <c r="R44" s="2"/>
      <c r="S44" s="2"/>
      <c r="T44" s="2"/>
      <c r="U44" s="2"/>
      <c r="V44" s="2"/>
      <c r="W44" s="2"/>
      <c r="X44" s="2"/>
      <c r="Y44" s="2"/>
      <c r="Z44" s="2"/>
    </row>
    <row r="45">
      <c r="A45" s="459"/>
      <c r="B45" s="459"/>
      <c r="C45" s="2"/>
      <c r="D45" s="2"/>
      <c r="E45" s="2"/>
      <c r="F45" s="2"/>
      <c r="G45" s="2"/>
      <c r="H45" s="2"/>
      <c r="I45" s="2"/>
      <c r="J45" s="2"/>
      <c r="K45" s="2"/>
      <c r="L45" s="2"/>
      <c r="M45" s="2"/>
      <c r="N45" s="2"/>
      <c r="O45" s="2"/>
      <c r="P45" s="2"/>
      <c r="Q45" s="2"/>
      <c r="R45" s="2"/>
      <c r="S45" s="2"/>
      <c r="T45" s="2"/>
      <c r="U45" s="2"/>
      <c r="V45" s="2"/>
      <c r="W45" s="2"/>
      <c r="X45" s="2"/>
      <c r="Y45" s="2"/>
      <c r="Z45" s="2"/>
    </row>
    <row r="46">
      <c r="A46" s="459"/>
      <c r="B46" s="459"/>
      <c r="C46" s="2"/>
      <c r="D46" s="2"/>
      <c r="E46" s="2"/>
      <c r="F46" s="2"/>
      <c r="G46" s="2"/>
      <c r="H46" s="2"/>
      <c r="I46" s="2"/>
      <c r="J46" s="2"/>
      <c r="K46" s="2"/>
      <c r="L46" s="2"/>
      <c r="M46" s="2"/>
      <c r="N46" s="2"/>
      <c r="O46" s="2"/>
      <c r="P46" s="2"/>
      <c r="Q46" s="2"/>
      <c r="R46" s="2"/>
      <c r="S46" s="2"/>
      <c r="T46" s="2"/>
      <c r="U46" s="2"/>
      <c r="V46" s="2"/>
      <c r="W46" s="2"/>
      <c r="X46" s="2"/>
      <c r="Y46" s="2"/>
      <c r="Z46" s="2"/>
    </row>
    <row r="47">
      <c r="A47" s="459"/>
      <c r="B47" s="459"/>
      <c r="C47" s="2"/>
      <c r="D47" s="2"/>
      <c r="E47" s="2"/>
      <c r="F47" s="2"/>
      <c r="G47" s="2"/>
      <c r="H47" s="2"/>
      <c r="I47" s="2"/>
      <c r="J47" s="2"/>
      <c r="K47" s="2"/>
      <c r="L47" s="2"/>
      <c r="M47" s="2"/>
      <c r="N47" s="2"/>
      <c r="O47" s="2"/>
      <c r="P47" s="2"/>
      <c r="Q47" s="2"/>
      <c r="R47" s="2"/>
      <c r="S47" s="2"/>
      <c r="T47" s="2"/>
      <c r="U47" s="2"/>
      <c r="V47" s="2"/>
      <c r="W47" s="2"/>
      <c r="X47" s="2"/>
      <c r="Y47" s="2"/>
      <c r="Z47" s="2"/>
    </row>
    <row r="48">
      <c r="A48" s="459"/>
      <c r="B48" s="459"/>
      <c r="C48" s="2"/>
      <c r="D48" s="2"/>
      <c r="E48" s="2"/>
      <c r="F48" s="2"/>
      <c r="G48" s="2"/>
      <c r="H48" s="2"/>
      <c r="I48" s="2"/>
      <c r="J48" s="2"/>
      <c r="K48" s="2"/>
      <c r="L48" s="2"/>
      <c r="M48" s="2"/>
      <c r="N48" s="2"/>
      <c r="O48" s="2"/>
      <c r="P48" s="2"/>
      <c r="Q48" s="2"/>
      <c r="R48" s="2"/>
      <c r="S48" s="2"/>
      <c r="T48" s="2"/>
      <c r="U48" s="2"/>
      <c r="V48" s="2"/>
      <c r="W48" s="2"/>
      <c r="X48" s="2"/>
      <c r="Y48" s="2"/>
      <c r="Z48" s="2"/>
    </row>
    <row r="49">
      <c r="A49" s="459"/>
      <c r="B49" s="459"/>
      <c r="C49" s="2"/>
      <c r="D49" s="2"/>
      <c r="E49" s="2"/>
      <c r="F49" s="2"/>
      <c r="G49" s="2"/>
      <c r="H49" s="2"/>
      <c r="I49" s="2"/>
      <c r="J49" s="2"/>
      <c r="K49" s="2"/>
      <c r="L49" s="2"/>
      <c r="M49" s="2"/>
      <c r="N49" s="2"/>
      <c r="O49" s="2"/>
      <c r="P49" s="2"/>
      <c r="Q49" s="2"/>
      <c r="R49" s="2"/>
      <c r="S49" s="2"/>
      <c r="T49" s="2"/>
      <c r="U49" s="2"/>
      <c r="V49" s="2"/>
      <c r="W49" s="2"/>
      <c r="X49" s="2"/>
      <c r="Y49" s="2"/>
      <c r="Z49" s="2"/>
    </row>
    <row r="50">
      <c r="A50" s="459"/>
      <c r="B50" s="459"/>
      <c r="C50" s="2"/>
      <c r="D50" s="2"/>
      <c r="E50" s="2"/>
      <c r="F50" s="2"/>
      <c r="G50" s="2"/>
      <c r="H50" s="2"/>
      <c r="I50" s="2"/>
      <c r="J50" s="2"/>
      <c r="K50" s="2"/>
      <c r="L50" s="2"/>
      <c r="M50" s="2"/>
      <c r="N50" s="2"/>
      <c r="O50" s="2"/>
      <c r="P50" s="2"/>
      <c r="Q50" s="2"/>
      <c r="R50" s="2"/>
      <c r="S50" s="2"/>
      <c r="T50" s="2"/>
      <c r="U50" s="2"/>
      <c r="V50" s="2"/>
      <c r="W50" s="2"/>
      <c r="X50" s="2"/>
      <c r="Y50" s="2"/>
      <c r="Z50" s="2"/>
    </row>
    <row r="51">
      <c r="A51" s="459"/>
      <c r="B51" s="459"/>
      <c r="C51" s="2"/>
      <c r="D51" s="2"/>
      <c r="E51" s="2"/>
      <c r="F51" s="2"/>
      <c r="G51" s="2"/>
      <c r="H51" s="2"/>
      <c r="I51" s="2"/>
      <c r="J51" s="2"/>
      <c r="K51" s="2"/>
      <c r="L51" s="2"/>
      <c r="M51" s="2"/>
      <c r="N51" s="2"/>
      <c r="O51" s="2"/>
      <c r="P51" s="2"/>
      <c r="Q51" s="2"/>
      <c r="R51" s="2"/>
      <c r="S51" s="2"/>
      <c r="T51" s="2"/>
      <c r="U51" s="2"/>
      <c r="V51" s="2"/>
      <c r="W51" s="2"/>
      <c r="X51" s="2"/>
      <c r="Y51" s="2"/>
      <c r="Z51" s="2"/>
    </row>
    <row r="52">
      <c r="A52" s="459"/>
      <c r="B52" s="459"/>
      <c r="C52" s="2"/>
      <c r="D52" s="2"/>
      <c r="E52" s="2"/>
      <c r="F52" s="2"/>
      <c r="G52" s="2"/>
      <c r="H52" s="2"/>
      <c r="I52" s="2"/>
      <c r="J52" s="2"/>
      <c r="K52" s="2"/>
      <c r="L52" s="2"/>
      <c r="M52" s="2"/>
      <c r="N52" s="2"/>
      <c r="O52" s="2"/>
      <c r="P52" s="2"/>
      <c r="Q52" s="2"/>
      <c r="R52" s="2"/>
      <c r="S52" s="2"/>
      <c r="T52" s="2"/>
      <c r="U52" s="2"/>
      <c r="V52" s="2"/>
      <c r="W52" s="2"/>
      <c r="X52" s="2"/>
      <c r="Y52" s="2"/>
      <c r="Z52" s="2"/>
    </row>
    <row r="53">
      <c r="A53" s="459"/>
      <c r="B53" s="459"/>
      <c r="C53" s="2"/>
      <c r="D53" s="2"/>
      <c r="E53" s="2"/>
      <c r="F53" s="2"/>
      <c r="G53" s="2"/>
      <c r="H53" s="2"/>
      <c r="I53" s="2"/>
      <c r="J53" s="2"/>
      <c r="K53" s="2"/>
      <c r="L53" s="2"/>
      <c r="M53" s="2"/>
      <c r="N53" s="2"/>
      <c r="O53" s="2"/>
      <c r="P53" s="2"/>
      <c r="Q53" s="2"/>
      <c r="R53" s="2"/>
      <c r="S53" s="2"/>
      <c r="T53" s="2"/>
      <c r="U53" s="2"/>
      <c r="V53" s="2"/>
      <c r="W53" s="2"/>
      <c r="X53" s="2"/>
      <c r="Y53" s="2"/>
      <c r="Z53" s="2"/>
    </row>
    <row r="54">
      <c r="A54" s="459"/>
      <c r="B54" s="459"/>
      <c r="C54" s="2"/>
      <c r="D54" s="2"/>
      <c r="E54" s="2"/>
      <c r="F54" s="2"/>
      <c r="G54" s="2"/>
      <c r="H54" s="2"/>
      <c r="I54" s="2"/>
      <c r="J54" s="2"/>
      <c r="K54" s="2"/>
      <c r="L54" s="2"/>
      <c r="M54" s="2"/>
      <c r="N54" s="2"/>
      <c r="O54" s="2"/>
      <c r="P54" s="2"/>
      <c r="Q54" s="2"/>
      <c r="R54" s="2"/>
      <c r="S54" s="2"/>
      <c r="T54" s="2"/>
      <c r="U54" s="2"/>
      <c r="V54" s="2"/>
      <c r="W54" s="2"/>
      <c r="X54" s="2"/>
      <c r="Y54" s="2"/>
      <c r="Z54" s="2"/>
    </row>
    <row r="55">
      <c r="A55" s="459"/>
      <c r="B55" s="459"/>
      <c r="C55" s="2"/>
      <c r="D55" s="2"/>
      <c r="E55" s="2"/>
      <c r="F55" s="2"/>
      <c r="G55" s="2"/>
      <c r="H55" s="2"/>
      <c r="I55" s="2"/>
      <c r="J55" s="2"/>
      <c r="K55" s="2"/>
      <c r="L55" s="2"/>
      <c r="M55" s="2"/>
      <c r="N55" s="2"/>
      <c r="O55" s="2"/>
      <c r="P55" s="2"/>
      <c r="Q55" s="2"/>
      <c r="R55" s="2"/>
      <c r="S55" s="2"/>
      <c r="T55" s="2"/>
      <c r="U55" s="2"/>
      <c r="V55" s="2"/>
      <c r="W55" s="2"/>
      <c r="X55" s="2"/>
      <c r="Y55" s="2"/>
      <c r="Z55" s="2"/>
    </row>
    <row r="56">
      <c r="A56" s="459"/>
      <c r="B56" s="459"/>
      <c r="C56" s="2"/>
      <c r="D56" s="2"/>
      <c r="E56" s="2"/>
      <c r="F56" s="2"/>
      <c r="G56" s="2"/>
      <c r="H56" s="2"/>
      <c r="I56" s="2"/>
      <c r="J56" s="2"/>
      <c r="K56" s="2"/>
      <c r="L56" s="2"/>
      <c r="M56" s="2"/>
      <c r="N56" s="2"/>
      <c r="O56" s="2"/>
      <c r="P56" s="2"/>
      <c r="Q56" s="2"/>
      <c r="R56" s="2"/>
      <c r="S56" s="2"/>
      <c r="T56" s="2"/>
      <c r="U56" s="2"/>
      <c r="V56" s="2"/>
      <c r="W56" s="2"/>
      <c r="X56" s="2"/>
      <c r="Y56" s="2"/>
      <c r="Z56" s="2"/>
    </row>
    <row r="57">
      <c r="A57" s="459"/>
      <c r="B57" s="459"/>
      <c r="C57" s="2"/>
      <c r="D57" s="2"/>
      <c r="E57" s="2"/>
      <c r="F57" s="2"/>
      <c r="G57" s="2"/>
      <c r="H57" s="2"/>
      <c r="I57" s="2"/>
      <c r="J57" s="2"/>
      <c r="K57" s="2"/>
      <c r="L57" s="2"/>
      <c r="M57" s="2"/>
      <c r="N57" s="2"/>
      <c r="O57" s="2"/>
      <c r="P57" s="2"/>
      <c r="Q57" s="2"/>
      <c r="R57" s="2"/>
      <c r="S57" s="2"/>
      <c r="T57" s="2"/>
      <c r="U57" s="2"/>
      <c r="V57" s="2"/>
      <c r="W57" s="2"/>
      <c r="X57" s="2"/>
      <c r="Y57" s="2"/>
      <c r="Z57" s="2"/>
    </row>
    <row r="58">
      <c r="A58" s="459"/>
      <c r="B58" s="459"/>
      <c r="C58" s="2"/>
      <c r="D58" s="2"/>
      <c r="E58" s="2"/>
      <c r="F58" s="2"/>
      <c r="G58" s="2"/>
      <c r="H58" s="2"/>
      <c r="I58" s="2"/>
      <c r="J58" s="2"/>
      <c r="K58" s="2"/>
      <c r="L58" s="2"/>
      <c r="M58" s="2"/>
      <c r="N58" s="2"/>
      <c r="O58" s="2"/>
      <c r="P58" s="2"/>
      <c r="Q58" s="2"/>
      <c r="R58" s="2"/>
      <c r="S58" s="2"/>
      <c r="T58" s="2"/>
      <c r="U58" s="2"/>
      <c r="V58" s="2"/>
      <c r="W58" s="2"/>
      <c r="X58" s="2"/>
      <c r="Y58" s="2"/>
      <c r="Z58" s="2"/>
    </row>
    <row r="59">
      <c r="A59" s="459"/>
      <c r="B59" s="459"/>
      <c r="C59" s="2"/>
      <c r="D59" s="2"/>
      <c r="E59" s="2"/>
      <c r="F59" s="2"/>
      <c r="G59" s="2"/>
      <c r="H59" s="2"/>
      <c r="I59" s="2"/>
      <c r="J59" s="2"/>
      <c r="K59" s="2"/>
      <c r="L59" s="2"/>
      <c r="M59" s="2"/>
      <c r="N59" s="2"/>
      <c r="O59" s="2"/>
      <c r="P59" s="2"/>
      <c r="Q59" s="2"/>
      <c r="R59" s="2"/>
      <c r="S59" s="2"/>
      <c r="T59" s="2"/>
      <c r="U59" s="2"/>
      <c r="V59" s="2"/>
      <c r="W59" s="2"/>
      <c r="X59" s="2"/>
      <c r="Y59" s="2"/>
      <c r="Z59" s="2"/>
    </row>
    <row r="60">
      <c r="A60" s="459"/>
      <c r="B60" s="459"/>
      <c r="C60" s="2"/>
      <c r="D60" s="2"/>
      <c r="E60" s="2"/>
      <c r="F60" s="2"/>
      <c r="G60" s="2"/>
      <c r="H60" s="2"/>
      <c r="I60" s="2"/>
      <c r="J60" s="2"/>
      <c r="K60" s="2"/>
      <c r="L60" s="2"/>
      <c r="M60" s="2"/>
      <c r="N60" s="2"/>
      <c r="O60" s="2"/>
      <c r="P60" s="2"/>
      <c r="Q60" s="2"/>
      <c r="R60" s="2"/>
      <c r="S60" s="2"/>
      <c r="T60" s="2"/>
      <c r="U60" s="2"/>
      <c r="V60" s="2"/>
      <c r="W60" s="2"/>
      <c r="X60" s="2"/>
      <c r="Y60" s="2"/>
      <c r="Z60" s="2"/>
    </row>
    <row r="61">
      <c r="A61" s="459"/>
      <c r="B61" s="459"/>
      <c r="C61" s="2"/>
      <c r="D61" s="2"/>
      <c r="E61" s="2"/>
      <c r="F61" s="2"/>
      <c r="G61" s="2"/>
      <c r="H61" s="2"/>
      <c r="I61" s="2"/>
      <c r="J61" s="2"/>
      <c r="K61" s="2"/>
      <c r="L61" s="2"/>
      <c r="M61" s="2"/>
      <c r="N61" s="2"/>
      <c r="O61" s="2"/>
      <c r="P61" s="2"/>
      <c r="Q61" s="2"/>
      <c r="R61" s="2"/>
      <c r="S61" s="2"/>
      <c r="T61" s="2"/>
      <c r="U61" s="2"/>
      <c r="V61" s="2"/>
      <c r="W61" s="2"/>
      <c r="X61" s="2"/>
      <c r="Y61" s="2"/>
      <c r="Z61" s="2"/>
    </row>
    <row r="62">
      <c r="A62" s="459"/>
      <c r="B62" s="459"/>
      <c r="C62" s="2"/>
      <c r="D62" s="2"/>
      <c r="E62" s="2"/>
      <c r="F62" s="2"/>
      <c r="G62" s="2"/>
      <c r="H62" s="2"/>
      <c r="I62" s="2"/>
      <c r="J62" s="2"/>
      <c r="K62" s="2"/>
      <c r="L62" s="2"/>
      <c r="M62" s="2"/>
      <c r="N62" s="2"/>
      <c r="O62" s="2"/>
      <c r="P62" s="2"/>
      <c r="Q62" s="2"/>
      <c r="R62" s="2"/>
      <c r="S62" s="2"/>
      <c r="T62" s="2"/>
      <c r="U62" s="2"/>
      <c r="V62" s="2"/>
      <c r="W62" s="2"/>
      <c r="X62" s="2"/>
      <c r="Y62" s="2"/>
      <c r="Z62" s="2"/>
    </row>
    <row r="63">
      <c r="A63" s="459"/>
      <c r="B63" s="459"/>
      <c r="C63" s="2"/>
      <c r="D63" s="2"/>
      <c r="E63" s="2"/>
      <c r="F63" s="2"/>
      <c r="G63" s="2"/>
      <c r="H63" s="2"/>
      <c r="I63" s="2"/>
      <c r="J63" s="2"/>
      <c r="K63" s="2"/>
      <c r="L63" s="2"/>
      <c r="M63" s="2"/>
      <c r="N63" s="2"/>
      <c r="O63" s="2"/>
      <c r="P63" s="2"/>
      <c r="Q63" s="2"/>
      <c r="R63" s="2"/>
      <c r="S63" s="2"/>
      <c r="T63" s="2"/>
      <c r="U63" s="2"/>
      <c r="V63" s="2"/>
      <c r="W63" s="2"/>
      <c r="X63" s="2"/>
      <c r="Y63" s="2"/>
      <c r="Z63" s="2"/>
    </row>
    <row r="64">
      <c r="A64" s="459"/>
      <c r="B64" s="459"/>
      <c r="C64" s="2"/>
      <c r="D64" s="2"/>
      <c r="E64" s="2"/>
      <c r="F64" s="2"/>
      <c r="G64" s="2"/>
      <c r="H64" s="2"/>
      <c r="I64" s="2"/>
      <c r="J64" s="2"/>
      <c r="K64" s="2"/>
      <c r="L64" s="2"/>
      <c r="M64" s="2"/>
      <c r="N64" s="2"/>
      <c r="O64" s="2"/>
      <c r="P64" s="2"/>
      <c r="Q64" s="2"/>
      <c r="R64" s="2"/>
      <c r="S64" s="2"/>
      <c r="T64" s="2"/>
      <c r="U64" s="2"/>
      <c r="V64" s="2"/>
      <c r="W64" s="2"/>
      <c r="X64" s="2"/>
      <c r="Y64" s="2"/>
      <c r="Z64" s="2"/>
    </row>
    <row r="65">
      <c r="A65" s="459"/>
      <c r="B65" s="459"/>
      <c r="C65" s="2"/>
      <c r="D65" s="2"/>
      <c r="E65" s="2"/>
      <c r="F65" s="2"/>
      <c r="G65" s="2"/>
      <c r="H65" s="2"/>
      <c r="I65" s="2"/>
      <c r="J65" s="2"/>
      <c r="K65" s="2"/>
      <c r="L65" s="2"/>
      <c r="M65" s="2"/>
      <c r="N65" s="2"/>
      <c r="O65" s="2"/>
      <c r="P65" s="2"/>
      <c r="Q65" s="2"/>
      <c r="R65" s="2"/>
      <c r="S65" s="2"/>
      <c r="T65" s="2"/>
      <c r="U65" s="2"/>
      <c r="V65" s="2"/>
      <c r="W65" s="2"/>
      <c r="X65" s="2"/>
      <c r="Y65" s="2"/>
      <c r="Z65" s="2"/>
    </row>
    <row r="66">
      <c r="A66" s="459"/>
      <c r="B66" s="459"/>
      <c r="C66" s="2"/>
      <c r="D66" s="2"/>
      <c r="E66" s="2"/>
      <c r="F66" s="2"/>
      <c r="G66" s="2"/>
      <c r="H66" s="2"/>
      <c r="I66" s="2"/>
      <c r="J66" s="2"/>
      <c r="K66" s="2"/>
      <c r="L66" s="2"/>
      <c r="M66" s="2"/>
      <c r="N66" s="2"/>
      <c r="O66" s="2"/>
      <c r="P66" s="2"/>
      <c r="Q66" s="2"/>
      <c r="R66" s="2"/>
      <c r="S66" s="2"/>
      <c r="T66" s="2"/>
      <c r="U66" s="2"/>
      <c r="V66" s="2"/>
      <c r="W66" s="2"/>
      <c r="X66" s="2"/>
      <c r="Y66" s="2"/>
      <c r="Z66" s="2"/>
    </row>
    <row r="67">
      <c r="A67" s="459"/>
      <c r="B67" s="459"/>
      <c r="C67" s="2"/>
      <c r="D67" s="2"/>
      <c r="E67" s="2"/>
      <c r="F67" s="2"/>
      <c r="G67" s="2"/>
      <c r="H67" s="2"/>
      <c r="I67" s="2"/>
      <c r="J67" s="2"/>
      <c r="K67" s="2"/>
      <c r="L67" s="2"/>
      <c r="M67" s="2"/>
      <c r="N67" s="2"/>
      <c r="O67" s="2"/>
      <c r="P67" s="2"/>
      <c r="Q67" s="2"/>
      <c r="R67" s="2"/>
      <c r="S67" s="2"/>
      <c r="T67" s="2"/>
      <c r="U67" s="2"/>
      <c r="V67" s="2"/>
      <c r="W67" s="2"/>
      <c r="X67" s="2"/>
      <c r="Y67" s="2"/>
      <c r="Z67" s="2"/>
    </row>
    <row r="68">
      <c r="A68" s="459"/>
      <c r="B68" s="459"/>
      <c r="C68" s="2"/>
      <c r="D68" s="2"/>
      <c r="E68" s="2"/>
      <c r="F68" s="2"/>
      <c r="G68" s="2"/>
      <c r="H68" s="2"/>
      <c r="I68" s="2"/>
      <c r="J68" s="2"/>
      <c r="K68" s="2"/>
      <c r="L68" s="2"/>
      <c r="M68" s="2"/>
      <c r="N68" s="2"/>
      <c r="O68" s="2"/>
      <c r="P68" s="2"/>
      <c r="Q68" s="2"/>
      <c r="R68" s="2"/>
      <c r="S68" s="2"/>
      <c r="T68" s="2"/>
      <c r="U68" s="2"/>
      <c r="V68" s="2"/>
      <c r="W68" s="2"/>
      <c r="X68" s="2"/>
      <c r="Y68" s="2"/>
      <c r="Z68" s="2"/>
    </row>
    <row r="69">
      <c r="A69" s="459"/>
      <c r="B69" s="459"/>
      <c r="C69" s="2"/>
      <c r="D69" s="2"/>
      <c r="E69" s="2"/>
      <c r="F69" s="2"/>
      <c r="G69" s="2"/>
      <c r="H69" s="2"/>
      <c r="I69" s="2"/>
      <c r="J69" s="2"/>
      <c r="K69" s="2"/>
      <c r="L69" s="2"/>
      <c r="M69" s="2"/>
      <c r="N69" s="2"/>
      <c r="O69" s="2"/>
      <c r="P69" s="2"/>
      <c r="Q69" s="2"/>
      <c r="R69" s="2"/>
      <c r="S69" s="2"/>
      <c r="T69" s="2"/>
      <c r="U69" s="2"/>
      <c r="V69" s="2"/>
      <c r="W69" s="2"/>
      <c r="X69" s="2"/>
      <c r="Y69" s="2"/>
      <c r="Z69" s="2"/>
    </row>
    <row r="70">
      <c r="A70" s="459"/>
      <c r="B70" s="459"/>
      <c r="C70" s="2"/>
      <c r="D70" s="2"/>
      <c r="E70" s="2"/>
      <c r="F70" s="2"/>
      <c r="G70" s="2"/>
      <c r="H70" s="2"/>
      <c r="I70" s="2"/>
      <c r="J70" s="2"/>
      <c r="K70" s="2"/>
      <c r="L70" s="2"/>
      <c r="M70" s="2"/>
      <c r="N70" s="2"/>
      <c r="O70" s="2"/>
      <c r="P70" s="2"/>
      <c r="Q70" s="2"/>
      <c r="R70" s="2"/>
      <c r="S70" s="2"/>
      <c r="T70" s="2"/>
      <c r="U70" s="2"/>
      <c r="V70" s="2"/>
      <c r="W70" s="2"/>
      <c r="X70" s="2"/>
      <c r="Y70" s="2"/>
      <c r="Z70" s="2"/>
    </row>
    <row r="71">
      <c r="A71" s="459"/>
      <c r="B71" s="459"/>
      <c r="C71" s="2"/>
      <c r="D71" s="2"/>
      <c r="E71" s="2"/>
      <c r="F71" s="2"/>
      <c r="G71" s="2"/>
      <c r="H71" s="2"/>
      <c r="I71" s="2"/>
      <c r="J71" s="2"/>
      <c r="K71" s="2"/>
      <c r="L71" s="2"/>
      <c r="M71" s="2"/>
      <c r="N71" s="2"/>
      <c r="O71" s="2"/>
      <c r="P71" s="2"/>
      <c r="Q71" s="2"/>
      <c r="R71" s="2"/>
      <c r="S71" s="2"/>
      <c r="T71" s="2"/>
      <c r="U71" s="2"/>
      <c r="V71" s="2"/>
      <c r="W71" s="2"/>
      <c r="X71" s="2"/>
      <c r="Y71" s="2"/>
      <c r="Z71" s="2"/>
    </row>
    <row r="72">
      <c r="A72" s="459"/>
      <c r="B72" s="459"/>
      <c r="C72" s="2"/>
      <c r="D72" s="2"/>
      <c r="E72" s="2"/>
      <c r="F72" s="2"/>
      <c r="G72" s="2"/>
      <c r="H72" s="2"/>
      <c r="I72" s="2"/>
      <c r="J72" s="2"/>
      <c r="K72" s="2"/>
      <c r="L72" s="2"/>
      <c r="M72" s="2"/>
      <c r="N72" s="2"/>
      <c r="O72" s="2"/>
      <c r="P72" s="2"/>
      <c r="Q72" s="2"/>
      <c r="R72" s="2"/>
      <c r="S72" s="2"/>
      <c r="T72" s="2"/>
      <c r="U72" s="2"/>
      <c r="V72" s="2"/>
      <c r="W72" s="2"/>
      <c r="X72" s="2"/>
      <c r="Y72" s="2"/>
      <c r="Z72" s="2"/>
    </row>
    <row r="73">
      <c r="A73" s="459"/>
      <c r="B73" s="459"/>
      <c r="C73" s="2"/>
      <c r="D73" s="2"/>
      <c r="E73" s="2"/>
      <c r="F73" s="2"/>
      <c r="G73" s="2"/>
      <c r="H73" s="2"/>
      <c r="I73" s="2"/>
      <c r="J73" s="2"/>
      <c r="K73" s="2"/>
      <c r="L73" s="2"/>
      <c r="M73" s="2"/>
      <c r="N73" s="2"/>
      <c r="O73" s="2"/>
      <c r="P73" s="2"/>
      <c r="Q73" s="2"/>
      <c r="R73" s="2"/>
      <c r="S73" s="2"/>
      <c r="T73" s="2"/>
      <c r="U73" s="2"/>
      <c r="V73" s="2"/>
      <c r="W73" s="2"/>
      <c r="X73" s="2"/>
      <c r="Y73" s="2"/>
      <c r="Z73" s="2"/>
    </row>
    <row r="74">
      <c r="A74" s="459"/>
      <c r="B74" s="459"/>
      <c r="C74" s="2"/>
      <c r="D74" s="2"/>
      <c r="E74" s="2"/>
      <c r="F74" s="2"/>
      <c r="G74" s="2"/>
      <c r="H74" s="2"/>
      <c r="I74" s="2"/>
      <c r="J74" s="2"/>
      <c r="K74" s="2"/>
      <c r="L74" s="2"/>
      <c r="M74" s="2"/>
      <c r="N74" s="2"/>
      <c r="O74" s="2"/>
      <c r="P74" s="2"/>
      <c r="Q74" s="2"/>
      <c r="R74" s="2"/>
      <c r="S74" s="2"/>
      <c r="T74" s="2"/>
      <c r="U74" s="2"/>
      <c r="V74" s="2"/>
      <c r="W74" s="2"/>
      <c r="X74" s="2"/>
      <c r="Y74" s="2"/>
      <c r="Z74" s="2"/>
    </row>
    <row r="75">
      <c r="A75" s="459"/>
      <c r="B75" s="459"/>
      <c r="C75" s="2"/>
      <c r="D75" s="2"/>
      <c r="E75" s="2"/>
      <c r="F75" s="2"/>
      <c r="G75" s="2"/>
      <c r="H75" s="2"/>
      <c r="I75" s="2"/>
      <c r="J75" s="2"/>
      <c r="K75" s="2"/>
      <c r="L75" s="2"/>
      <c r="M75" s="2"/>
      <c r="N75" s="2"/>
      <c r="O75" s="2"/>
      <c r="P75" s="2"/>
      <c r="Q75" s="2"/>
      <c r="R75" s="2"/>
      <c r="S75" s="2"/>
      <c r="T75" s="2"/>
      <c r="U75" s="2"/>
      <c r="V75" s="2"/>
      <c r="W75" s="2"/>
      <c r="X75" s="2"/>
      <c r="Y75" s="2"/>
      <c r="Z75" s="2"/>
    </row>
    <row r="76">
      <c r="A76" s="459"/>
      <c r="B76" s="459"/>
      <c r="C76" s="2"/>
      <c r="D76" s="2"/>
      <c r="E76" s="2"/>
      <c r="F76" s="2"/>
      <c r="G76" s="2"/>
      <c r="H76" s="2"/>
      <c r="I76" s="2"/>
      <c r="J76" s="2"/>
      <c r="K76" s="2"/>
      <c r="L76" s="2"/>
      <c r="M76" s="2"/>
      <c r="N76" s="2"/>
      <c r="O76" s="2"/>
      <c r="P76" s="2"/>
      <c r="Q76" s="2"/>
      <c r="R76" s="2"/>
      <c r="S76" s="2"/>
      <c r="T76" s="2"/>
      <c r="U76" s="2"/>
      <c r="V76" s="2"/>
      <c r="W76" s="2"/>
      <c r="X76" s="2"/>
      <c r="Y76" s="2"/>
      <c r="Z76" s="2"/>
    </row>
    <row r="77">
      <c r="A77" s="459"/>
      <c r="B77" s="459"/>
      <c r="C77" s="2"/>
      <c r="D77" s="2"/>
      <c r="E77" s="2"/>
      <c r="F77" s="2"/>
      <c r="G77" s="2"/>
      <c r="H77" s="2"/>
      <c r="I77" s="2"/>
      <c r="J77" s="2"/>
      <c r="K77" s="2"/>
      <c r="L77" s="2"/>
      <c r="M77" s="2"/>
      <c r="N77" s="2"/>
      <c r="O77" s="2"/>
      <c r="P77" s="2"/>
      <c r="Q77" s="2"/>
      <c r="R77" s="2"/>
      <c r="S77" s="2"/>
      <c r="T77" s="2"/>
      <c r="U77" s="2"/>
      <c r="V77" s="2"/>
      <c r="W77" s="2"/>
      <c r="X77" s="2"/>
      <c r="Y77" s="2"/>
      <c r="Z77" s="2"/>
    </row>
    <row r="78">
      <c r="A78" s="459"/>
      <c r="B78" s="459"/>
      <c r="C78" s="2"/>
      <c r="D78" s="2"/>
      <c r="E78" s="2"/>
      <c r="F78" s="2"/>
      <c r="G78" s="2"/>
      <c r="H78" s="2"/>
      <c r="I78" s="2"/>
      <c r="J78" s="2"/>
      <c r="K78" s="2"/>
      <c r="L78" s="2"/>
      <c r="M78" s="2"/>
      <c r="N78" s="2"/>
      <c r="O78" s="2"/>
      <c r="P78" s="2"/>
      <c r="Q78" s="2"/>
      <c r="R78" s="2"/>
      <c r="S78" s="2"/>
      <c r="T78" s="2"/>
      <c r="U78" s="2"/>
      <c r="V78" s="2"/>
      <c r="W78" s="2"/>
      <c r="X78" s="2"/>
      <c r="Y78" s="2"/>
      <c r="Z78" s="2"/>
    </row>
    <row r="79">
      <c r="A79" s="459"/>
      <c r="B79" s="459"/>
      <c r="C79" s="2"/>
      <c r="D79" s="2"/>
      <c r="E79" s="2"/>
      <c r="F79" s="2"/>
      <c r="G79" s="2"/>
      <c r="H79" s="2"/>
      <c r="I79" s="2"/>
      <c r="J79" s="2"/>
      <c r="K79" s="2"/>
      <c r="L79" s="2"/>
      <c r="M79" s="2"/>
      <c r="N79" s="2"/>
      <c r="O79" s="2"/>
      <c r="P79" s="2"/>
      <c r="Q79" s="2"/>
      <c r="R79" s="2"/>
      <c r="S79" s="2"/>
      <c r="T79" s="2"/>
      <c r="U79" s="2"/>
      <c r="V79" s="2"/>
      <c r="W79" s="2"/>
      <c r="X79" s="2"/>
      <c r="Y79" s="2"/>
      <c r="Z79" s="2"/>
    </row>
    <row r="80">
      <c r="A80" s="459"/>
      <c r="B80" s="459"/>
      <c r="C80" s="2"/>
      <c r="D80" s="2"/>
      <c r="E80" s="2"/>
      <c r="F80" s="2"/>
      <c r="G80" s="2"/>
      <c r="H80" s="2"/>
      <c r="I80" s="2"/>
      <c r="J80" s="2"/>
      <c r="K80" s="2"/>
      <c r="L80" s="2"/>
      <c r="M80" s="2"/>
      <c r="N80" s="2"/>
      <c r="O80" s="2"/>
      <c r="P80" s="2"/>
      <c r="Q80" s="2"/>
      <c r="R80" s="2"/>
      <c r="S80" s="2"/>
      <c r="T80" s="2"/>
      <c r="U80" s="2"/>
      <c r="V80" s="2"/>
      <c r="W80" s="2"/>
      <c r="X80" s="2"/>
      <c r="Y80" s="2"/>
      <c r="Z80" s="2"/>
    </row>
    <row r="81">
      <c r="A81" s="459"/>
      <c r="B81" s="459"/>
      <c r="C81" s="2"/>
      <c r="D81" s="2"/>
      <c r="E81" s="2"/>
      <c r="F81" s="2"/>
      <c r="G81" s="2"/>
      <c r="H81" s="2"/>
      <c r="I81" s="2"/>
      <c r="J81" s="2"/>
      <c r="K81" s="2"/>
      <c r="L81" s="2"/>
      <c r="M81" s="2"/>
      <c r="N81" s="2"/>
      <c r="O81" s="2"/>
      <c r="P81" s="2"/>
      <c r="Q81" s="2"/>
      <c r="R81" s="2"/>
      <c r="S81" s="2"/>
      <c r="T81" s="2"/>
      <c r="U81" s="2"/>
      <c r="V81" s="2"/>
      <c r="W81" s="2"/>
      <c r="X81" s="2"/>
      <c r="Y81" s="2"/>
      <c r="Z81" s="2"/>
    </row>
    <row r="82">
      <c r="A82" s="459"/>
      <c r="B82" s="459"/>
      <c r="C82" s="2"/>
      <c r="D82" s="2"/>
      <c r="E82" s="2"/>
      <c r="F82" s="2"/>
      <c r="G82" s="2"/>
      <c r="H82" s="2"/>
      <c r="I82" s="2"/>
      <c r="J82" s="2"/>
      <c r="K82" s="2"/>
      <c r="L82" s="2"/>
      <c r="M82" s="2"/>
      <c r="N82" s="2"/>
      <c r="O82" s="2"/>
      <c r="P82" s="2"/>
      <c r="Q82" s="2"/>
      <c r="R82" s="2"/>
      <c r="S82" s="2"/>
      <c r="T82" s="2"/>
      <c r="U82" s="2"/>
      <c r="V82" s="2"/>
      <c r="W82" s="2"/>
      <c r="X82" s="2"/>
      <c r="Y82" s="2"/>
      <c r="Z82" s="2"/>
    </row>
    <row r="83">
      <c r="A83" s="459"/>
      <c r="B83" s="459"/>
      <c r="C83" s="2"/>
      <c r="D83" s="2"/>
      <c r="E83" s="2"/>
      <c r="F83" s="2"/>
      <c r="G83" s="2"/>
      <c r="H83" s="2"/>
      <c r="I83" s="2"/>
      <c r="J83" s="2"/>
      <c r="K83" s="2"/>
      <c r="L83" s="2"/>
      <c r="M83" s="2"/>
      <c r="N83" s="2"/>
      <c r="O83" s="2"/>
      <c r="P83" s="2"/>
      <c r="Q83" s="2"/>
      <c r="R83" s="2"/>
      <c r="S83" s="2"/>
      <c r="T83" s="2"/>
      <c r="U83" s="2"/>
      <c r="V83" s="2"/>
      <c r="W83" s="2"/>
      <c r="X83" s="2"/>
      <c r="Y83" s="2"/>
      <c r="Z83" s="2"/>
    </row>
    <row r="84">
      <c r="A84" s="459"/>
      <c r="B84" s="459"/>
      <c r="C84" s="2"/>
      <c r="D84" s="2"/>
      <c r="E84" s="2"/>
      <c r="F84" s="2"/>
      <c r="G84" s="2"/>
      <c r="H84" s="2"/>
      <c r="I84" s="2"/>
      <c r="J84" s="2"/>
      <c r="K84" s="2"/>
      <c r="L84" s="2"/>
      <c r="M84" s="2"/>
      <c r="N84" s="2"/>
      <c r="O84" s="2"/>
      <c r="P84" s="2"/>
      <c r="Q84" s="2"/>
      <c r="R84" s="2"/>
      <c r="S84" s="2"/>
      <c r="T84" s="2"/>
      <c r="U84" s="2"/>
      <c r="V84" s="2"/>
      <c r="W84" s="2"/>
      <c r="X84" s="2"/>
      <c r="Y84" s="2"/>
      <c r="Z84" s="2"/>
    </row>
    <row r="85">
      <c r="A85" s="459"/>
      <c r="B85" s="459"/>
      <c r="C85" s="2"/>
      <c r="D85" s="2"/>
      <c r="E85" s="2"/>
      <c r="F85" s="2"/>
      <c r="G85" s="2"/>
      <c r="H85" s="2"/>
      <c r="I85" s="2"/>
      <c r="J85" s="2"/>
      <c r="K85" s="2"/>
      <c r="L85" s="2"/>
      <c r="M85" s="2"/>
      <c r="N85" s="2"/>
      <c r="O85" s="2"/>
      <c r="P85" s="2"/>
      <c r="Q85" s="2"/>
      <c r="R85" s="2"/>
      <c r="S85" s="2"/>
      <c r="T85" s="2"/>
      <c r="U85" s="2"/>
      <c r="V85" s="2"/>
      <c r="W85" s="2"/>
      <c r="X85" s="2"/>
      <c r="Y85" s="2"/>
      <c r="Z85" s="2"/>
    </row>
    <row r="86">
      <c r="A86" s="459"/>
      <c r="B86" s="459"/>
      <c r="C86" s="2"/>
      <c r="D86" s="2"/>
      <c r="E86" s="2"/>
      <c r="F86" s="2"/>
      <c r="G86" s="2"/>
      <c r="H86" s="2"/>
      <c r="I86" s="2"/>
      <c r="J86" s="2"/>
      <c r="K86" s="2"/>
      <c r="L86" s="2"/>
      <c r="M86" s="2"/>
      <c r="N86" s="2"/>
      <c r="O86" s="2"/>
      <c r="P86" s="2"/>
      <c r="Q86" s="2"/>
      <c r="R86" s="2"/>
      <c r="S86" s="2"/>
      <c r="T86" s="2"/>
      <c r="U86" s="2"/>
      <c r="V86" s="2"/>
      <c r="W86" s="2"/>
      <c r="X86" s="2"/>
      <c r="Y86" s="2"/>
      <c r="Z86" s="2"/>
    </row>
    <row r="87">
      <c r="A87" s="459"/>
      <c r="B87" s="459"/>
      <c r="C87" s="2"/>
      <c r="D87" s="2"/>
      <c r="E87" s="2"/>
      <c r="F87" s="2"/>
      <c r="G87" s="2"/>
      <c r="H87" s="2"/>
      <c r="I87" s="2"/>
      <c r="J87" s="2"/>
      <c r="K87" s="2"/>
      <c r="L87" s="2"/>
      <c r="M87" s="2"/>
      <c r="N87" s="2"/>
      <c r="O87" s="2"/>
      <c r="P87" s="2"/>
      <c r="Q87" s="2"/>
      <c r="R87" s="2"/>
      <c r="S87" s="2"/>
      <c r="T87" s="2"/>
      <c r="U87" s="2"/>
      <c r="V87" s="2"/>
      <c r="W87" s="2"/>
      <c r="X87" s="2"/>
      <c r="Y87" s="2"/>
      <c r="Z87" s="2"/>
    </row>
    <row r="88">
      <c r="A88" s="459"/>
      <c r="B88" s="459"/>
      <c r="C88" s="2"/>
      <c r="D88" s="2"/>
      <c r="E88" s="2"/>
      <c r="F88" s="2"/>
      <c r="G88" s="2"/>
      <c r="H88" s="2"/>
      <c r="I88" s="2"/>
      <c r="J88" s="2"/>
      <c r="K88" s="2"/>
      <c r="L88" s="2"/>
      <c r="M88" s="2"/>
      <c r="N88" s="2"/>
      <c r="O88" s="2"/>
      <c r="P88" s="2"/>
      <c r="Q88" s="2"/>
      <c r="R88" s="2"/>
      <c r="S88" s="2"/>
      <c r="T88" s="2"/>
      <c r="U88" s="2"/>
      <c r="V88" s="2"/>
      <c r="W88" s="2"/>
      <c r="X88" s="2"/>
      <c r="Y88" s="2"/>
      <c r="Z88" s="2"/>
    </row>
    <row r="89">
      <c r="A89" s="459"/>
      <c r="B89" s="459"/>
      <c r="C89" s="2"/>
      <c r="D89" s="2"/>
      <c r="E89" s="2"/>
      <c r="F89" s="2"/>
      <c r="G89" s="2"/>
      <c r="H89" s="2"/>
      <c r="I89" s="2"/>
      <c r="J89" s="2"/>
      <c r="K89" s="2"/>
      <c r="L89" s="2"/>
      <c r="M89" s="2"/>
      <c r="N89" s="2"/>
      <c r="O89" s="2"/>
      <c r="P89" s="2"/>
      <c r="Q89" s="2"/>
      <c r="R89" s="2"/>
      <c r="S89" s="2"/>
      <c r="T89" s="2"/>
      <c r="U89" s="2"/>
      <c r="V89" s="2"/>
      <c r="W89" s="2"/>
      <c r="X89" s="2"/>
      <c r="Y89" s="2"/>
      <c r="Z89" s="2"/>
    </row>
    <row r="90">
      <c r="A90" s="459"/>
      <c r="B90" s="459"/>
      <c r="C90" s="2"/>
      <c r="D90" s="2"/>
      <c r="E90" s="2"/>
      <c r="F90" s="2"/>
      <c r="G90" s="2"/>
      <c r="H90" s="2"/>
      <c r="I90" s="2"/>
      <c r="J90" s="2"/>
      <c r="K90" s="2"/>
      <c r="L90" s="2"/>
      <c r="M90" s="2"/>
      <c r="N90" s="2"/>
      <c r="O90" s="2"/>
      <c r="P90" s="2"/>
      <c r="Q90" s="2"/>
      <c r="R90" s="2"/>
      <c r="S90" s="2"/>
      <c r="T90" s="2"/>
      <c r="U90" s="2"/>
      <c r="V90" s="2"/>
      <c r="W90" s="2"/>
      <c r="X90" s="2"/>
      <c r="Y90" s="2"/>
      <c r="Z90" s="2"/>
    </row>
    <row r="91">
      <c r="A91" s="459"/>
      <c r="B91" s="459"/>
      <c r="C91" s="2"/>
      <c r="D91" s="2"/>
      <c r="E91" s="2"/>
      <c r="F91" s="2"/>
      <c r="G91" s="2"/>
      <c r="H91" s="2"/>
      <c r="I91" s="2"/>
      <c r="J91" s="2"/>
      <c r="K91" s="2"/>
      <c r="L91" s="2"/>
      <c r="M91" s="2"/>
      <c r="N91" s="2"/>
      <c r="O91" s="2"/>
      <c r="P91" s="2"/>
      <c r="Q91" s="2"/>
      <c r="R91" s="2"/>
      <c r="S91" s="2"/>
      <c r="T91" s="2"/>
      <c r="U91" s="2"/>
      <c r="V91" s="2"/>
      <c r="W91" s="2"/>
      <c r="X91" s="2"/>
      <c r="Y91" s="2"/>
      <c r="Z91" s="2"/>
    </row>
    <row r="92">
      <c r="A92" s="459"/>
      <c r="B92" s="459"/>
      <c r="C92" s="2"/>
      <c r="D92" s="2"/>
      <c r="E92" s="2"/>
      <c r="F92" s="2"/>
      <c r="G92" s="2"/>
      <c r="H92" s="2"/>
      <c r="I92" s="2"/>
      <c r="J92" s="2"/>
      <c r="K92" s="2"/>
      <c r="L92" s="2"/>
      <c r="M92" s="2"/>
      <c r="N92" s="2"/>
      <c r="O92" s="2"/>
      <c r="P92" s="2"/>
      <c r="Q92" s="2"/>
      <c r="R92" s="2"/>
      <c r="S92" s="2"/>
      <c r="T92" s="2"/>
      <c r="U92" s="2"/>
      <c r="V92" s="2"/>
      <c r="W92" s="2"/>
      <c r="X92" s="2"/>
      <c r="Y92" s="2"/>
      <c r="Z92" s="2"/>
    </row>
    <row r="93">
      <c r="A93" s="459"/>
      <c r="B93" s="459"/>
      <c r="C93" s="2"/>
      <c r="D93" s="2"/>
      <c r="E93" s="2"/>
      <c r="F93" s="2"/>
      <c r="G93" s="2"/>
      <c r="H93" s="2"/>
      <c r="I93" s="2"/>
      <c r="J93" s="2"/>
      <c r="K93" s="2"/>
      <c r="L93" s="2"/>
      <c r="M93" s="2"/>
      <c r="N93" s="2"/>
      <c r="O93" s="2"/>
      <c r="P93" s="2"/>
      <c r="Q93" s="2"/>
      <c r="R93" s="2"/>
      <c r="S93" s="2"/>
      <c r="T93" s="2"/>
      <c r="U93" s="2"/>
      <c r="V93" s="2"/>
      <c r="W93" s="2"/>
      <c r="X93" s="2"/>
      <c r="Y93" s="2"/>
      <c r="Z93" s="2"/>
    </row>
    <row r="94">
      <c r="A94" s="459"/>
      <c r="B94" s="459"/>
      <c r="C94" s="2"/>
      <c r="D94" s="2"/>
      <c r="E94" s="2"/>
      <c r="F94" s="2"/>
      <c r="G94" s="2"/>
      <c r="H94" s="2"/>
      <c r="I94" s="2"/>
      <c r="J94" s="2"/>
      <c r="K94" s="2"/>
      <c r="L94" s="2"/>
      <c r="M94" s="2"/>
      <c r="N94" s="2"/>
      <c r="O94" s="2"/>
      <c r="P94" s="2"/>
      <c r="Q94" s="2"/>
      <c r="R94" s="2"/>
      <c r="S94" s="2"/>
      <c r="T94" s="2"/>
      <c r="U94" s="2"/>
      <c r="V94" s="2"/>
      <c r="W94" s="2"/>
      <c r="X94" s="2"/>
      <c r="Y94" s="2"/>
      <c r="Z94" s="2"/>
    </row>
    <row r="95">
      <c r="A95" s="459"/>
      <c r="B95" s="459"/>
      <c r="C95" s="2"/>
      <c r="D95" s="2"/>
      <c r="E95" s="2"/>
      <c r="F95" s="2"/>
      <c r="G95" s="2"/>
      <c r="H95" s="2"/>
      <c r="I95" s="2"/>
      <c r="J95" s="2"/>
      <c r="K95" s="2"/>
      <c r="L95" s="2"/>
      <c r="M95" s="2"/>
      <c r="N95" s="2"/>
      <c r="O95" s="2"/>
      <c r="P95" s="2"/>
      <c r="Q95" s="2"/>
      <c r="R95" s="2"/>
      <c r="S95" s="2"/>
      <c r="T95" s="2"/>
      <c r="U95" s="2"/>
      <c r="V95" s="2"/>
      <c r="W95" s="2"/>
      <c r="X95" s="2"/>
      <c r="Y95" s="2"/>
      <c r="Z95" s="2"/>
    </row>
    <row r="96">
      <c r="A96" s="459"/>
      <c r="B96" s="459"/>
      <c r="C96" s="2"/>
      <c r="D96" s="2"/>
      <c r="E96" s="2"/>
      <c r="F96" s="2"/>
      <c r="G96" s="2"/>
      <c r="H96" s="2"/>
      <c r="I96" s="2"/>
      <c r="J96" s="2"/>
      <c r="K96" s="2"/>
      <c r="L96" s="2"/>
      <c r="M96" s="2"/>
      <c r="N96" s="2"/>
      <c r="O96" s="2"/>
      <c r="P96" s="2"/>
      <c r="Q96" s="2"/>
      <c r="R96" s="2"/>
      <c r="S96" s="2"/>
      <c r="T96" s="2"/>
      <c r="U96" s="2"/>
      <c r="V96" s="2"/>
      <c r="W96" s="2"/>
      <c r="X96" s="2"/>
      <c r="Y96" s="2"/>
      <c r="Z96" s="2"/>
    </row>
    <row r="97">
      <c r="A97" s="459"/>
      <c r="B97" s="459"/>
      <c r="C97" s="2"/>
      <c r="D97" s="2"/>
      <c r="E97" s="2"/>
      <c r="F97" s="2"/>
      <c r="G97" s="2"/>
      <c r="H97" s="2"/>
      <c r="I97" s="2"/>
      <c r="J97" s="2"/>
      <c r="K97" s="2"/>
      <c r="L97" s="2"/>
      <c r="M97" s="2"/>
      <c r="N97" s="2"/>
      <c r="O97" s="2"/>
      <c r="P97" s="2"/>
      <c r="Q97" s="2"/>
      <c r="R97" s="2"/>
      <c r="S97" s="2"/>
      <c r="T97" s="2"/>
      <c r="U97" s="2"/>
      <c r="V97" s="2"/>
      <c r="W97" s="2"/>
      <c r="X97" s="2"/>
      <c r="Y97" s="2"/>
      <c r="Z97" s="2"/>
    </row>
    <row r="98">
      <c r="A98" s="459"/>
      <c r="B98" s="459"/>
      <c r="C98" s="2"/>
      <c r="D98" s="2"/>
      <c r="E98" s="2"/>
      <c r="F98" s="2"/>
      <c r="G98" s="2"/>
      <c r="H98" s="2"/>
      <c r="I98" s="2"/>
      <c r="J98" s="2"/>
      <c r="K98" s="2"/>
      <c r="L98" s="2"/>
      <c r="M98" s="2"/>
      <c r="N98" s="2"/>
      <c r="O98" s="2"/>
      <c r="P98" s="2"/>
      <c r="Q98" s="2"/>
      <c r="R98" s="2"/>
      <c r="S98" s="2"/>
      <c r="T98" s="2"/>
      <c r="U98" s="2"/>
      <c r="V98" s="2"/>
      <c r="W98" s="2"/>
      <c r="X98" s="2"/>
      <c r="Y98" s="2"/>
      <c r="Z98" s="2"/>
    </row>
    <row r="99">
      <c r="A99" s="459"/>
      <c r="B99" s="459"/>
      <c r="C99" s="2"/>
      <c r="D99" s="2"/>
      <c r="E99" s="2"/>
      <c r="F99" s="2"/>
      <c r="G99" s="2"/>
      <c r="H99" s="2"/>
      <c r="I99" s="2"/>
      <c r="J99" s="2"/>
      <c r="K99" s="2"/>
      <c r="L99" s="2"/>
      <c r="M99" s="2"/>
      <c r="N99" s="2"/>
      <c r="O99" s="2"/>
      <c r="P99" s="2"/>
      <c r="Q99" s="2"/>
      <c r="R99" s="2"/>
      <c r="S99" s="2"/>
      <c r="T99" s="2"/>
      <c r="U99" s="2"/>
      <c r="V99" s="2"/>
      <c r="W99" s="2"/>
      <c r="X99" s="2"/>
      <c r="Y99" s="2"/>
      <c r="Z99" s="2"/>
    </row>
    <row r="100">
      <c r="A100" s="459"/>
      <c r="B100" s="459"/>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59"/>
      <c r="B101" s="459"/>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59"/>
      <c r="B102" s="459"/>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59"/>
      <c r="B103" s="459"/>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59"/>
      <c r="B104" s="459"/>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59"/>
      <c r="B105" s="459"/>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59"/>
      <c r="B106" s="459"/>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59"/>
      <c r="B107" s="459"/>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59"/>
      <c r="B108" s="459"/>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459"/>
      <c r="B109" s="459"/>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59"/>
      <c r="B110" s="459"/>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59"/>
      <c r="B111" s="459"/>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59"/>
      <c r="B112" s="459"/>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59"/>
      <c r="B113" s="459"/>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59"/>
      <c r="B114" s="459"/>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59"/>
      <c r="B115" s="459"/>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59"/>
      <c r="B116" s="459"/>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459"/>
      <c r="B117" s="459"/>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59"/>
      <c r="B118" s="459"/>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459"/>
      <c r="B119" s="459"/>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459"/>
      <c r="B120" s="459"/>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459"/>
      <c r="B121" s="459"/>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459"/>
      <c r="B122" s="459"/>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459"/>
      <c r="B123" s="459"/>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459"/>
      <c r="B124" s="459"/>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459"/>
      <c r="B125" s="459"/>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459"/>
      <c r="B126" s="459"/>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459"/>
      <c r="B127" s="459"/>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459"/>
      <c r="B128" s="459"/>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459"/>
      <c r="B129" s="459"/>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459"/>
      <c r="B130" s="459"/>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59"/>
      <c r="B131" s="459"/>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459"/>
      <c r="B132" s="459"/>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459"/>
      <c r="B133" s="459"/>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459"/>
      <c r="B134" s="459"/>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459"/>
      <c r="B135" s="459"/>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59"/>
      <c r="B136" s="459"/>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459"/>
      <c r="B137" s="459"/>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459"/>
      <c r="B138" s="459"/>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459"/>
      <c r="B139" s="459"/>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459"/>
      <c r="B140" s="459"/>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459"/>
      <c r="B141" s="459"/>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459"/>
      <c r="B142" s="459"/>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459"/>
      <c r="B143" s="459"/>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459"/>
      <c r="B144" s="459"/>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459"/>
      <c r="B145" s="459"/>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459"/>
      <c r="B146" s="459"/>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459"/>
      <c r="B147" s="459"/>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459"/>
      <c r="B148" s="459"/>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459"/>
      <c r="B149" s="459"/>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459"/>
      <c r="B150" s="459"/>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59"/>
      <c r="B151" s="459"/>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59"/>
      <c r="B152" s="459"/>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459"/>
      <c r="B153" s="459"/>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459"/>
      <c r="B154" s="459"/>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459"/>
      <c r="B155" s="459"/>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459"/>
      <c r="B156" s="459"/>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459"/>
      <c r="B157" s="459"/>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459"/>
      <c r="B158" s="459"/>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459"/>
      <c r="B159" s="459"/>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459"/>
      <c r="B160" s="459"/>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459"/>
      <c r="B161" s="459"/>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459"/>
      <c r="B162" s="459"/>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59"/>
      <c r="B163" s="459"/>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459"/>
      <c r="B164" s="459"/>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459"/>
      <c r="B165" s="459"/>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459"/>
      <c r="B166" s="459"/>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459"/>
      <c r="B167" s="459"/>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59"/>
      <c r="B168" s="459"/>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459"/>
      <c r="B169" s="459"/>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459"/>
      <c r="B170" s="459"/>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459"/>
      <c r="B171" s="459"/>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459"/>
      <c r="B172" s="459"/>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459"/>
      <c r="B173" s="459"/>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459"/>
      <c r="B174" s="459"/>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459"/>
      <c r="B175" s="459"/>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459"/>
      <c r="B176" s="459"/>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459"/>
      <c r="B177" s="459"/>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459"/>
      <c r="B178" s="459"/>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459"/>
      <c r="B179" s="459"/>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459"/>
      <c r="B180" s="459"/>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459"/>
      <c r="B181" s="459"/>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459"/>
      <c r="B182" s="459"/>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459"/>
      <c r="B183" s="459"/>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59"/>
      <c r="B184" s="459"/>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459"/>
      <c r="B185" s="459"/>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459"/>
      <c r="B186" s="459"/>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459"/>
      <c r="B187" s="459"/>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459"/>
      <c r="B188" s="459"/>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459"/>
      <c r="B189" s="459"/>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59"/>
      <c r="B190" s="459"/>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459"/>
      <c r="B191" s="459"/>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459"/>
      <c r="B192" s="459"/>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459"/>
      <c r="B193" s="459"/>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459"/>
      <c r="B194" s="459"/>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59"/>
      <c r="B195" s="459"/>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459"/>
      <c r="B196" s="459"/>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459"/>
      <c r="B197" s="459"/>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459"/>
      <c r="B198" s="459"/>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459"/>
      <c r="B199" s="459"/>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459"/>
      <c r="B200" s="459"/>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459"/>
      <c r="B201" s="459"/>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459"/>
      <c r="B202" s="459"/>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459"/>
      <c r="B203" s="459"/>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459"/>
      <c r="B204" s="459"/>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459"/>
      <c r="B205" s="459"/>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459"/>
      <c r="B206" s="459"/>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459"/>
      <c r="B207" s="459"/>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459"/>
      <c r="B208" s="459"/>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459"/>
      <c r="B209" s="459"/>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459"/>
      <c r="B210" s="459"/>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459"/>
      <c r="B211" s="459"/>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459"/>
      <c r="B212" s="459"/>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459"/>
      <c r="B213" s="459"/>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459"/>
      <c r="B214" s="459"/>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459"/>
      <c r="B215" s="459"/>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459"/>
      <c r="B216" s="459"/>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459"/>
      <c r="B217" s="459"/>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459"/>
      <c r="B218" s="459"/>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459"/>
      <c r="B219" s="459"/>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459"/>
      <c r="B220" s="459"/>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459"/>
      <c r="B221" s="459"/>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459"/>
      <c r="B222" s="459"/>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459"/>
      <c r="B223" s="459"/>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459"/>
      <c r="B224" s="459"/>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459"/>
      <c r="B225" s="459"/>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459"/>
      <c r="B226" s="459"/>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459"/>
      <c r="B227" s="459"/>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459"/>
      <c r="B228" s="459"/>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459"/>
      <c r="B229" s="459"/>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459"/>
      <c r="B230" s="459"/>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459"/>
      <c r="B231" s="459"/>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459"/>
      <c r="B232" s="459"/>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459"/>
      <c r="B233" s="459"/>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459"/>
      <c r="B234" s="459"/>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459"/>
      <c r="B235" s="459"/>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459"/>
      <c r="B236" s="459"/>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459"/>
      <c r="B237" s="459"/>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459"/>
      <c r="B238" s="459"/>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459"/>
      <c r="B239" s="459"/>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459"/>
      <c r="B240" s="459"/>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459"/>
      <c r="B241" s="459"/>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459"/>
      <c r="B242" s="459"/>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459"/>
      <c r="B243" s="459"/>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459"/>
      <c r="B244" s="459"/>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459"/>
      <c r="B245" s="459"/>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459"/>
      <c r="B246" s="459"/>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459"/>
      <c r="B247" s="459"/>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459"/>
      <c r="B248" s="459"/>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459"/>
      <c r="B249" s="459"/>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459"/>
      <c r="B250" s="459"/>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459"/>
      <c r="B251" s="459"/>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459"/>
      <c r="B252" s="459"/>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459"/>
      <c r="B253" s="459"/>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459"/>
      <c r="B254" s="459"/>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459"/>
      <c r="B255" s="459"/>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459"/>
      <c r="B256" s="459"/>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459"/>
      <c r="B257" s="459"/>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459"/>
      <c r="B258" s="459"/>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459"/>
      <c r="B259" s="459"/>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459"/>
      <c r="B260" s="459"/>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459"/>
      <c r="B261" s="459"/>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459"/>
      <c r="B262" s="459"/>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459"/>
      <c r="B263" s="459"/>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459"/>
      <c r="B264" s="459"/>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459"/>
      <c r="B265" s="459"/>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459"/>
      <c r="B266" s="459"/>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459"/>
      <c r="B267" s="459"/>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459"/>
      <c r="B268" s="459"/>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459"/>
      <c r="B269" s="459"/>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459"/>
      <c r="B270" s="459"/>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459"/>
      <c r="B271" s="459"/>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459"/>
      <c r="B272" s="459"/>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459"/>
      <c r="B273" s="459"/>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459"/>
      <c r="B274" s="459"/>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459"/>
      <c r="B275" s="459"/>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459"/>
      <c r="B276" s="459"/>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459"/>
      <c r="B277" s="459"/>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459"/>
      <c r="B278" s="459"/>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459"/>
      <c r="B279" s="459"/>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459"/>
      <c r="B280" s="459"/>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459"/>
      <c r="B281" s="459"/>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459"/>
      <c r="B282" s="459"/>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459"/>
      <c r="B283" s="459"/>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459"/>
      <c r="B284" s="459"/>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459"/>
      <c r="B285" s="459"/>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459"/>
      <c r="B286" s="459"/>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459"/>
      <c r="B287" s="459"/>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459"/>
      <c r="B288" s="459"/>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459"/>
      <c r="B289" s="459"/>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459"/>
      <c r="B290" s="459"/>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459"/>
      <c r="B291" s="459"/>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459"/>
      <c r="B292" s="459"/>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459"/>
      <c r="B293" s="459"/>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459"/>
      <c r="B294" s="459"/>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459"/>
      <c r="B295" s="459"/>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459"/>
      <c r="B296" s="459"/>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459"/>
      <c r="B297" s="459"/>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459"/>
      <c r="B298" s="459"/>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459"/>
      <c r="B299" s="459"/>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459"/>
      <c r="B300" s="459"/>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459"/>
      <c r="B301" s="459"/>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459"/>
      <c r="B302" s="459"/>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459"/>
      <c r="B303" s="459"/>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459"/>
      <c r="B304" s="459"/>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459"/>
      <c r="B305" s="459"/>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459"/>
      <c r="B306" s="459"/>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459"/>
      <c r="B307" s="459"/>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459"/>
      <c r="B308" s="459"/>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459"/>
      <c r="B309" s="459"/>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459"/>
      <c r="B310" s="459"/>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459"/>
      <c r="B311" s="459"/>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459"/>
      <c r="B312" s="459"/>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459"/>
      <c r="B313" s="459"/>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459"/>
      <c r="B314" s="459"/>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459"/>
      <c r="B315" s="459"/>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459"/>
      <c r="B316" s="459"/>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459"/>
      <c r="B317" s="459"/>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459"/>
      <c r="B318" s="459"/>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459"/>
      <c r="B319" s="459"/>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459"/>
      <c r="B320" s="459"/>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459"/>
      <c r="B321" s="459"/>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459"/>
      <c r="B322" s="459"/>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459"/>
      <c r="B323" s="459"/>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459"/>
      <c r="B324" s="459"/>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459"/>
      <c r="B325" s="459"/>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459"/>
      <c r="B326" s="459"/>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459"/>
      <c r="B327" s="459"/>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459"/>
      <c r="B328" s="459"/>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459"/>
      <c r="B329" s="459"/>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459"/>
      <c r="B330" s="459"/>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459"/>
      <c r="B331" s="459"/>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459"/>
      <c r="B332" s="459"/>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459"/>
      <c r="B333" s="459"/>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459"/>
      <c r="B334" s="459"/>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459"/>
      <c r="B335" s="459"/>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459"/>
      <c r="B336" s="459"/>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459"/>
      <c r="B337" s="459"/>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459"/>
      <c r="B338" s="459"/>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459"/>
      <c r="B339" s="459"/>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459"/>
      <c r="B340" s="459"/>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459"/>
      <c r="B341" s="459"/>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459"/>
      <c r="B342" s="459"/>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459"/>
      <c r="B343" s="459"/>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459"/>
      <c r="B344" s="459"/>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459"/>
      <c r="B345" s="459"/>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459"/>
      <c r="B346" s="459"/>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459"/>
      <c r="B347" s="459"/>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459"/>
      <c r="B348" s="459"/>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459"/>
      <c r="B349" s="459"/>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459"/>
      <c r="B350" s="459"/>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459"/>
      <c r="B351" s="459"/>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459"/>
      <c r="B352" s="459"/>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459"/>
      <c r="B353" s="459"/>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459"/>
      <c r="B354" s="459"/>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459"/>
      <c r="B355" s="459"/>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459"/>
      <c r="B356" s="459"/>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459"/>
      <c r="B357" s="459"/>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459"/>
      <c r="B358" s="459"/>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459"/>
      <c r="B359" s="459"/>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459"/>
      <c r="B360" s="459"/>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459"/>
      <c r="B361" s="459"/>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459"/>
      <c r="B362" s="459"/>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459"/>
      <c r="B363" s="459"/>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459"/>
      <c r="B364" s="459"/>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459"/>
      <c r="B365" s="459"/>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459"/>
      <c r="B366" s="459"/>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459"/>
      <c r="B367" s="459"/>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459"/>
      <c r="B368" s="459"/>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459"/>
      <c r="B369" s="459"/>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459"/>
      <c r="B370" s="459"/>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459"/>
      <c r="B371" s="459"/>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459"/>
      <c r="B372" s="459"/>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459"/>
      <c r="B373" s="459"/>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459"/>
      <c r="B374" s="459"/>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459"/>
      <c r="B375" s="459"/>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459"/>
      <c r="B376" s="459"/>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459"/>
      <c r="B377" s="459"/>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459"/>
      <c r="B378" s="459"/>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459"/>
      <c r="B379" s="459"/>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459"/>
      <c r="B380" s="459"/>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459"/>
      <c r="B381" s="459"/>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459"/>
      <c r="B382" s="459"/>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459"/>
      <c r="B383" s="459"/>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459"/>
      <c r="B384" s="459"/>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459"/>
      <c r="B385" s="459"/>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459"/>
      <c r="B386" s="459"/>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459"/>
      <c r="B387" s="459"/>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459"/>
      <c r="B388" s="459"/>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459"/>
      <c r="B389" s="459"/>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459"/>
      <c r="B390" s="459"/>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459"/>
      <c r="B391" s="459"/>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459"/>
      <c r="B392" s="459"/>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459"/>
      <c r="B393" s="459"/>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459"/>
      <c r="B394" s="459"/>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459"/>
      <c r="B395" s="459"/>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459"/>
      <c r="B396" s="459"/>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459"/>
      <c r="B397" s="459"/>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459"/>
      <c r="B398" s="459"/>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459"/>
      <c r="B399" s="459"/>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459"/>
      <c r="B400" s="459"/>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459"/>
      <c r="B401" s="459"/>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459"/>
      <c r="B402" s="459"/>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459"/>
      <c r="B403" s="459"/>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459"/>
      <c r="B404" s="459"/>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459"/>
      <c r="B405" s="459"/>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459"/>
      <c r="B406" s="459"/>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459"/>
      <c r="B407" s="459"/>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459"/>
      <c r="B408" s="459"/>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459"/>
      <c r="B409" s="459"/>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459"/>
      <c r="B410" s="459"/>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459"/>
      <c r="B411" s="459"/>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459"/>
      <c r="B412" s="459"/>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459"/>
      <c r="B413" s="459"/>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459"/>
      <c r="B414" s="459"/>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459"/>
      <c r="B415" s="459"/>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459"/>
      <c r="B416" s="459"/>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459"/>
      <c r="B417" s="459"/>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459"/>
      <c r="B418" s="459"/>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459"/>
      <c r="B419" s="459"/>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459"/>
      <c r="B420" s="459"/>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459"/>
      <c r="B421" s="459"/>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459"/>
      <c r="B422" s="459"/>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459"/>
      <c r="B423" s="459"/>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459"/>
      <c r="B424" s="459"/>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459"/>
      <c r="B425" s="459"/>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459"/>
      <c r="B426" s="459"/>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459"/>
      <c r="B427" s="459"/>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459"/>
      <c r="B428" s="459"/>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459"/>
      <c r="B429" s="459"/>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459"/>
      <c r="B430" s="459"/>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459"/>
      <c r="B431" s="459"/>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459"/>
      <c r="B432" s="459"/>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459"/>
      <c r="B433" s="459"/>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459"/>
      <c r="B434" s="459"/>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459"/>
      <c r="B435" s="459"/>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459"/>
      <c r="B436" s="459"/>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459"/>
      <c r="B437" s="459"/>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459"/>
      <c r="B438" s="459"/>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459"/>
      <c r="B439" s="459"/>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459"/>
      <c r="B440" s="459"/>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459"/>
      <c r="B441" s="459"/>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459"/>
      <c r="B442" s="459"/>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459"/>
      <c r="B443" s="459"/>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459"/>
      <c r="B444" s="459"/>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459"/>
      <c r="B445" s="459"/>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459"/>
      <c r="B446" s="459"/>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459"/>
      <c r="B447" s="459"/>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459"/>
      <c r="B448" s="459"/>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459"/>
      <c r="B449" s="459"/>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459"/>
      <c r="B450" s="459"/>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459"/>
      <c r="B451" s="459"/>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459"/>
      <c r="B452" s="459"/>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459"/>
      <c r="B453" s="459"/>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459"/>
      <c r="B454" s="459"/>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459"/>
      <c r="B455" s="459"/>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459"/>
      <c r="B456" s="459"/>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459"/>
      <c r="B457" s="459"/>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459"/>
      <c r="B458" s="459"/>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459"/>
      <c r="B459" s="459"/>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459"/>
      <c r="B460" s="459"/>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459"/>
      <c r="B461" s="459"/>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459"/>
      <c r="B462" s="459"/>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459"/>
      <c r="B463" s="459"/>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459"/>
      <c r="B464" s="459"/>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459"/>
      <c r="B465" s="459"/>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459"/>
      <c r="B466" s="459"/>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459"/>
      <c r="B467" s="459"/>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459"/>
      <c r="B468" s="459"/>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459"/>
      <c r="B469" s="459"/>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459"/>
      <c r="B470" s="459"/>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459"/>
      <c r="B471" s="459"/>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459"/>
      <c r="B472" s="459"/>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459"/>
      <c r="B473" s="459"/>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459"/>
      <c r="B474" s="459"/>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459"/>
      <c r="B475" s="459"/>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459"/>
      <c r="B476" s="459"/>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459"/>
      <c r="B477" s="459"/>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459"/>
      <c r="B478" s="459"/>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459"/>
      <c r="B479" s="459"/>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459"/>
      <c r="B480" s="459"/>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459"/>
      <c r="B481" s="459"/>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459"/>
      <c r="B482" s="459"/>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459"/>
      <c r="B483" s="459"/>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459"/>
      <c r="B484" s="459"/>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459"/>
      <c r="B485" s="459"/>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459"/>
      <c r="B486" s="459"/>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459"/>
      <c r="B487" s="459"/>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459"/>
      <c r="B488" s="459"/>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459"/>
      <c r="B489" s="459"/>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459"/>
      <c r="B490" s="459"/>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459"/>
      <c r="B491" s="459"/>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459"/>
      <c r="B492" s="459"/>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459"/>
      <c r="B493" s="459"/>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459"/>
      <c r="B494" s="459"/>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459"/>
      <c r="B495" s="459"/>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459"/>
      <c r="B496" s="459"/>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459"/>
      <c r="B497" s="459"/>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459"/>
      <c r="B498" s="459"/>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459"/>
      <c r="B499" s="459"/>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459"/>
      <c r="B500" s="459"/>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459"/>
      <c r="B501" s="459"/>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459"/>
      <c r="B502" s="459"/>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459"/>
      <c r="B503" s="459"/>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459"/>
      <c r="B504" s="459"/>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459"/>
      <c r="B505" s="459"/>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459"/>
      <c r="B506" s="459"/>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459"/>
      <c r="B507" s="459"/>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459"/>
      <c r="B508" s="459"/>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459"/>
      <c r="B509" s="459"/>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459"/>
      <c r="B510" s="459"/>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459"/>
      <c r="B511" s="459"/>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459"/>
      <c r="B512" s="459"/>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459"/>
      <c r="B513" s="459"/>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459"/>
      <c r="B514" s="459"/>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459"/>
      <c r="B515" s="459"/>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459"/>
      <c r="B516" s="459"/>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459"/>
      <c r="B517" s="459"/>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459"/>
      <c r="B518" s="459"/>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459"/>
      <c r="B519" s="459"/>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459"/>
      <c r="B520" s="459"/>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459"/>
      <c r="B521" s="459"/>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459"/>
      <c r="B522" s="459"/>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459"/>
      <c r="B523" s="459"/>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459"/>
      <c r="B524" s="459"/>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459"/>
      <c r="B525" s="459"/>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459"/>
      <c r="B526" s="459"/>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459"/>
      <c r="B527" s="459"/>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459"/>
      <c r="B528" s="459"/>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459"/>
      <c r="B529" s="459"/>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459"/>
      <c r="B530" s="459"/>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459"/>
      <c r="B531" s="459"/>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459"/>
      <c r="B532" s="459"/>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459"/>
      <c r="B533" s="459"/>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459"/>
      <c r="B534" s="459"/>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459"/>
      <c r="B535" s="459"/>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459"/>
      <c r="B536" s="459"/>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459"/>
      <c r="B537" s="459"/>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459"/>
      <c r="B538" s="459"/>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459"/>
      <c r="B539" s="459"/>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459"/>
      <c r="B540" s="459"/>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459"/>
      <c r="B541" s="459"/>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459"/>
      <c r="B542" s="459"/>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459"/>
      <c r="B543" s="459"/>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459"/>
      <c r="B544" s="459"/>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459"/>
      <c r="B545" s="459"/>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459"/>
      <c r="B546" s="459"/>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459"/>
      <c r="B547" s="459"/>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459"/>
      <c r="B548" s="459"/>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459"/>
      <c r="B549" s="459"/>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459"/>
      <c r="B550" s="459"/>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459"/>
      <c r="B551" s="459"/>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459"/>
      <c r="B552" s="459"/>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459"/>
      <c r="B553" s="459"/>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459"/>
      <c r="B554" s="459"/>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459"/>
      <c r="B555" s="459"/>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459"/>
      <c r="B556" s="459"/>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459"/>
      <c r="B557" s="459"/>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459"/>
      <c r="B558" s="459"/>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459"/>
      <c r="B559" s="459"/>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459"/>
      <c r="B560" s="459"/>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459"/>
      <c r="B561" s="459"/>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459"/>
      <c r="B562" s="459"/>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459"/>
      <c r="B563" s="459"/>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459"/>
      <c r="B564" s="459"/>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459"/>
      <c r="B565" s="459"/>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459"/>
      <c r="B566" s="459"/>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459"/>
      <c r="B567" s="459"/>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459"/>
      <c r="B568" s="459"/>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459"/>
      <c r="B569" s="459"/>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459"/>
      <c r="B570" s="459"/>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459"/>
      <c r="B571" s="459"/>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459"/>
      <c r="B572" s="459"/>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459"/>
      <c r="B573" s="459"/>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459"/>
      <c r="B574" s="459"/>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459"/>
      <c r="B575" s="459"/>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459"/>
      <c r="B576" s="459"/>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459"/>
      <c r="B577" s="459"/>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459"/>
      <c r="B578" s="459"/>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459"/>
      <c r="B579" s="459"/>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459"/>
      <c r="B580" s="459"/>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459"/>
      <c r="B581" s="459"/>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459"/>
      <c r="B582" s="459"/>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459"/>
      <c r="B583" s="459"/>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459"/>
      <c r="B584" s="459"/>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459"/>
      <c r="B585" s="459"/>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459"/>
      <c r="B586" s="459"/>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459"/>
      <c r="B587" s="459"/>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459"/>
      <c r="B588" s="459"/>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459"/>
      <c r="B589" s="459"/>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459"/>
      <c r="B590" s="459"/>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459"/>
      <c r="B591" s="459"/>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459"/>
      <c r="B592" s="459"/>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459"/>
      <c r="B593" s="459"/>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459"/>
      <c r="B594" s="459"/>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459"/>
      <c r="B595" s="459"/>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459"/>
      <c r="B596" s="459"/>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459"/>
      <c r="B597" s="459"/>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459"/>
      <c r="B598" s="459"/>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459"/>
      <c r="B599" s="459"/>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459"/>
      <c r="B600" s="459"/>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459"/>
      <c r="B601" s="459"/>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459"/>
      <c r="B602" s="459"/>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459"/>
      <c r="B603" s="459"/>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459"/>
      <c r="B604" s="459"/>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459"/>
      <c r="B605" s="459"/>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459"/>
      <c r="B606" s="459"/>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459"/>
      <c r="B607" s="459"/>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459"/>
      <c r="B608" s="459"/>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459"/>
      <c r="B609" s="459"/>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459"/>
      <c r="B610" s="459"/>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459"/>
      <c r="B611" s="459"/>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459"/>
      <c r="B612" s="459"/>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459"/>
      <c r="B613" s="459"/>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459"/>
      <c r="B614" s="459"/>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459"/>
      <c r="B615" s="459"/>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459"/>
      <c r="B616" s="459"/>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459"/>
      <c r="B617" s="459"/>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459"/>
      <c r="B618" s="459"/>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459"/>
      <c r="B619" s="459"/>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459"/>
      <c r="B620" s="459"/>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459"/>
      <c r="B621" s="459"/>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459"/>
      <c r="B622" s="459"/>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459"/>
      <c r="B623" s="459"/>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459"/>
      <c r="B624" s="459"/>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459"/>
      <c r="B625" s="459"/>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459"/>
      <c r="B626" s="459"/>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459"/>
      <c r="B627" s="459"/>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459"/>
      <c r="B628" s="459"/>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459"/>
      <c r="B629" s="459"/>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459"/>
      <c r="B630" s="459"/>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459"/>
      <c r="B631" s="459"/>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459"/>
      <c r="B632" s="459"/>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459"/>
      <c r="B633" s="459"/>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459"/>
      <c r="B634" s="459"/>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459"/>
      <c r="B635" s="459"/>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459"/>
      <c r="B636" s="459"/>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459"/>
      <c r="B637" s="459"/>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459"/>
      <c r="B638" s="459"/>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459"/>
      <c r="B639" s="459"/>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459"/>
      <c r="B640" s="459"/>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459"/>
      <c r="B641" s="459"/>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459"/>
      <c r="B642" s="459"/>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459"/>
      <c r="B643" s="459"/>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459"/>
      <c r="B644" s="459"/>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459"/>
      <c r="B645" s="459"/>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459"/>
      <c r="B646" s="459"/>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459"/>
      <c r="B647" s="459"/>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459"/>
      <c r="B648" s="459"/>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459"/>
      <c r="B649" s="459"/>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459"/>
      <c r="B650" s="459"/>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459"/>
      <c r="B651" s="459"/>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459"/>
      <c r="B652" s="459"/>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459"/>
      <c r="B653" s="459"/>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459"/>
      <c r="B654" s="459"/>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459"/>
      <c r="B655" s="459"/>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459"/>
      <c r="B656" s="459"/>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459"/>
      <c r="B657" s="459"/>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459"/>
      <c r="B658" s="459"/>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459"/>
      <c r="B659" s="459"/>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459"/>
      <c r="B660" s="459"/>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459"/>
      <c r="B661" s="459"/>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459"/>
      <c r="B662" s="459"/>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459"/>
      <c r="B663" s="459"/>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459"/>
      <c r="B664" s="459"/>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459"/>
      <c r="B665" s="459"/>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459"/>
      <c r="B666" s="459"/>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459"/>
      <c r="B667" s="459"/>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459"/>
      <c r="B668" s="459"/>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459"/>
      <c r="B669" s="459"/>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459"/>
      <c r="B670" s="459"/>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459"/>
      <c r="B671" s="459"/>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459"/>
      <c r="B672" s="459"/>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459"/>
      <c r="B673" s="459"/>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459"/>
      <c r="B674" s="459"/>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459"/>
      <c r="B675" s="459"/>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459"/>
      <c r="B676" s="459"/>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459"/>
      <c r="B677" s="459"/>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459"/>
      <c r="B678" s="459"/>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459"/>
      <c r="B679" s="459"/>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459"/>
      <c r="B680" s="459"/>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459"/>
      <c r="B681" s="459"/>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459"/>
      <c r="B682" s="459"/>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459"/>
      <c r="B683" s="459"/>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459"/>
      <c r="B684" s="459"/>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459"/>
      <c r="B685" s="459"/>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459"/>
      <c r="B686" s="459"/>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459"/>
      <c r="B687" s="459"/>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459"/>
      <c r="B688" s="459"/>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459"/>
      <c r="B689" s="459"/>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459"/>
      <c r="B690" s="459"/>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459"/>
      <c r="B691" s="459"/>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459"/>
      <c r="B692" s="459"/>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459"/>
      <c r="B693" s="459"/>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459"/>
      <c r="B694" s="459"/>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459"/>
      <c r="B695" s="459"/>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459"/>
      <c r="B696" s="459"/>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459"/>
      <c r="B697" s="459"/>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459"/>
      <c r="B698" s="459"/>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459"/>
      <c r="B699" s="459"/>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459"/>
      <c r="B700" s="459"/>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459"/>
      <c r="B701" s="459"/>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459"/>
      <c r="B702" s="459"/>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459"/>
      <c r="B703" s="459"/>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459"/>
      <c r="B704" s="459"/>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459"/>
      <c r="B705" s="459"/>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459"/>
      <c r="B706" s="459"/>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459"/>
      <c r="B707" s="459"/>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459"/>
      <c r="B708" s="459"/>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459"/>
      <c r="B709" s="459"/>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459"/>
      <c r="B710" s="459"/>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459"/>
      <c r="B711" s="459"/>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459"/>
      <c r="B712" s="459"/>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459"/>
      <c r="B713" s="459"/>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459"/>
      <c r="B714" s="459"/>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459"/>
      <c r="B715" s="459"/>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459"/>
      <c r="B716" s="459"/>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459"/>
      <c r="B717" s="459"/>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459"/>
      <c r="B718" s="459"/>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459"/>
      <c r="B719" s="459"/>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459"/>
      <c r="B720" s="459"/>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459"/>
      <c r="B721" s="459"/>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459"/>
      <c r="B722" s="459"/>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459"/>
      <c r="B723" s="459"/>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459"/>
      <c r="B724" s="459"/>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459"/>
      <c r="B725" s="459"/>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459"/>
      <c r="B726" s="459"/>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459"/>
      <c r="B727" s="459"/>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459"/>
      <c r="B728" s="459"/>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459"/>
      <c r="B729" s="459"/>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459"/>
      <c r="B730" s="459"/>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459"/>
      <c r="B731" s="459"/>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459"/>
      <c r="B732" s="459"/>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459"/>
      <c r="B733" s="459"/>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459"/>
      <c r="B734" s="459"/>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459"/>
      <c r="B735" s="459"/>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459"/>
      <c r="B736" s="459"/>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459"/>
      <c r="B737" s="459"/>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459"/>
      <c r="B738" s="459"/>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459"/>
      <c r="B739" s="459"/>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459"/>
      <c r="B740" s="459"/>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459"/>
      <c r="B741" s="459"/>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459"/>
      <c r="B742" s="459"/>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459"/>
      <c r="B743" s="459"/>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459"/>
      <c r="B744" s="459"/>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459"/>
      <c r="B745" s="459"/>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459"/>
      <c r="B746" s="459"/>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459"/>
      <c r="B747" s="459"/>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459"/>
      <c r="B748" s="459"/>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459"/>
      <c r="B749" s="459"/>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459"/>
      <c r="B750" s="459"/>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459"/>
      <c r="B751" s="459"/>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459"/>
      <c r="B752" s="459"/>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459"/>
      <c r="B753" s="459"/>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459"/>
      <c r="B754" s="459"/>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459"/>
      <c r="B755" s="459"/>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459"/>
      <c r="B756" s="459"/>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459"/>
      <c r="B757" s="459"/>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459"/>
      <c r="B758" s="459"/>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459"/>
      <c r="B759" s="459"/>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459"/>
      <c r="B760" s="459"/>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459"/>
      <c r="B761" s="459"/>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459"/>
      <c r="B762" s="459"/>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459"/>
      <c r="B763" s="459"/>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459"/>
      <c r="B764" s="459"/>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459"/>
      <c r="B765" s="459"/>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459"/>
      <c r="B766" s="459"/>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459"/>
      <c r="B767" s="459"/>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459"/>
      <c r="B768" s="459"/>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459"/>
      <c r="B769" s="459"/>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459"/>
      <c r="B770" s="459"/>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459"/>
      <c r="B771" s="459"/>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459"/>
      <c r="B772" s="459"/>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459"/>
      <c r="B773" s="459"/>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459"/>
      <c r="B774" s="459"/>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459"/>
      <c r="B775" s="459"/>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459"/>
      <c r="B776" s="459"/>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459"/>
      <c r="B777" s="459"/>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459"/>
      <c r="B778" s="459"/>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459"/>
      <c r="B779" s="459"/>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459"/>
      <c r="B780" s="459"/>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459"/>
      <c r="B781" s="459"/>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459"/>
      <c r="B782" s="459"/>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459"/>
      <c r="B783" s="459"/>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459"/>
      <c r="B784" s="459"/>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459"/>
      <c r="B785" s="459"/>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459"/>
      <c r="B786" s="459"/>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459"/>
      <c r="B787" s="459"/>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459"/>
      <c r="B788" s="459"/>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459"/>
      <c r="B789" s="459"/>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459"/>
      <c r="B790" s="459"/>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459"/>
      <c r="B791" s="459"/>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459"/>
      <c r="B792" s="459"/>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459"/>
      <c r="B793" s="459"/>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459"/>
      <c r="B794" s="459"/>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459"/>
      <c r="B795" s="459"/>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459"/>
      <c r="B796" s="459"/>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459"/>
      <c r="B797" s="459"/>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459"/>
      <c r="B798" s="459"/>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459"/>
      <c r="B799" s="459"/>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459"/>
      <c r="B800" s="459"/>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459"/>
      <c r="B801" s="459"/>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459"/>
      <c r="B802" s="459"/>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459"/>
      <c r="B803" s="459"/>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459"/>
      <c r="B804" s="459"/>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459"/>
      <c r="B805" s="459"/>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459"/>
      <c r="B806" s="459"/>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459"/>
      <c r="B807" s="459"/>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459"/>
      <c r="B808" s="459"/>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459"/>
      <c r="B809" s="459"/>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459"/>
      <c r="B810" s="459"/>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459"/>
      <c r="B811" s="459"/>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459"/>
      <c r="B812" s="459"/>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459"/>
      <c r="B813" s="459"/>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459"/>
      <c r="B814" s="459"/>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459"/>
      <c r="B815" s="459"/>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459"/>
      <c r="B816" s="459"/>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459"/>
      <c r="B817" s="459"/>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459"/>
      <c r="B818" s="459"/>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459"/>
      <c r="B819" s="459"/>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459"/>
      <c r="B820" s="459"/>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459"/>
      <c r="B821" s="459"/>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459"/>
      <c r="B822" s="459"/>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459"/>
      <c r="B823" s="459"/>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459"/>
      <c r="B824" s="459"/>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459"/>
      <c r="B825" s="459"/>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459"/>
      <c r="B826" s="459"/>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459"/>
      <c r="B827" s="459"/>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459"/>
      <c r="B828" s="459"/>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459"/>
      <c r="B829" s="459"/>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459"/>
      <c r="B830" s="459"/>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459"/>
      <c r="B831" s="459"/>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459"/>
      <c r="B832" s="459"/>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459"/>
      <c r="B833" s="459"/>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459"/>
      <c r="B834" s="459"/>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459"/>
      <c r="B835" s="459"/>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459"/>
      <c r="B836" s="459"/>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459"/>
      <c r="B837" s="459"/>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459"/>
      <c r="B838" s="459"/>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459"/>
      <c r="B839" s="459"/>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459"/>
      <c r="B840" s="459"/>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459"/>
      <c r="B841" s="459"/>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459"/>
      <c r="B842" s="459"/>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459"/>
      <c r="B843" s="459"/>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459"/>
      <c r="B844" s="459"/>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459"/>
      <c r="B845" s="459"/>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459"/>
      <c r="B846" s="459"/>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459"/>
      <c r="B847" s="459"/>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459"/>
      <c r="B848" s="459"/>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459"/>
      <c r="B849" s="459"/>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459"/>
      <c r="B850" s="459"/>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459"/>
      <c r="B851" s="459"/>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459"/>
      <c r="B852" s="459"/>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459"/>
      <c r="B853" s="459"/>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459"/>
      <c r="B854" s="459"/>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459"/>
      <c r="B855" s="459"/>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459"/>
      <c r="B856" s="459"/>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459"/>
      <c r="B857" s="459"/>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459"/>
      <c r="B858" s="459"/>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459"/>
      <c r="B859" s="459"/>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459"/>
      <c r="B860" s="459"/>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459"/>
      <c r="B861" s="459"/>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459"/>
      <c r="B862" s="459"/>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459"/>
      <c r="B863" s="459"/>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459"/>
      <c r="B864" s="459"/>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459"/>
      <c r="B865" s="459"/>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459"/>
      <c r="B866" s="459"/>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459"/>
      <c r="B867" s="459"/>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459"/>
      <c r="B868" s="459"/>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459"/>
      <c r="B869" s="459"/>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459"/>
      <c r="B870" s="459"/>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459"/>
      <c r="B871" s="459"/>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459"/>
      <c r="B872" s="459"/>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459"/>
      <c r="B873" s="459"/>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459"/>
      <c r="B874" s="459"/>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459"/>
      <c r="B875" s="459"/>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459"/>
      <c r="B876" s="459"/>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459"/>
      <c r="B877" s="459"/>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459"/>
      <c r="B878" s="459"/>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459"/>
      <c r="B879" s="459"/>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459"/>
      <c r="B880" s="459"/>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459"/>
      <c r="B881" s="459"/>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459"/>
      <c r="B882" s="459"/>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459"/>
      <c r="B883" s="459"/>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459"/>
      <c r="B884" s="459"/>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459"/>
      <c r="B885" s="459"/>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459"/>
      <c r="B886" s="459"/>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459"/>
      <c r="B887" s="459"/>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459"/>
      <c r="B888" s="459"/>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459"/>
      <c r="B889" s="459"/>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459"/>
      <c r="B890" s="459"/>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459"/>
      <c r="B891" s="459"/>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459"/>
      <c r="B892" s="459"/>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459"/>
      <c r="B893" s="459"/>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459"/>
      <c r="B894" s="459"/>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459"/>
      <c r="B895" s="459"/>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459"/>
      <c r="B896" s="459"/>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459"/>
      <c r="B897" s="459"/>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459"/>
      <c r="B898" s="459"/>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459"/>
      <c r="B899" s="459"/>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459"/>
      <c r="B900" s="459"/>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459"/>
      <c r="B901" s="459"/>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459"/>
      <c r="B902" s="459"/>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459"/>
      <c r="B903" s="459"/>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459"/>
      <c r="B904" s="459"/>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459"/>
      <c r="B905" s="459"/>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459"/>
      <c r="B906" s="459"/>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459"/>
      <c r="B907" s="459"/>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459"/>
      <c r="B908" s="459"/>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459"/>
      <c r="B909" s="459"/>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459"/>
      <c r="B910" s="459"/>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459"/>
      <c r="B911" s="459"/>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459"/>
      <c r="B912" s="459"/>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459"/>
      <c r="B913" s="459"/>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459"/>
      <c r="B914" s="459"/>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459"/>
      <c r="B915" s="459"/>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459"/>
      <c r="B916" s="459"/>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459"/>
      <c r="B917" s="459"/>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459"/>
      <c r="B918" s="459"/>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459"/>
      <c r="B919" s="459"/>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459"/>
      <c r="B920" s="459"/>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459"/>
      <c r="B921" s="459"/>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459"/>
      <c r="B922" s="459"/>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459"/>
      <c r="B923" s="459"/>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459"/>
      <c r="B924" s="459"/>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459"/>
      <c r="B925" s="459"/>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459"/>
      <c r="B926" s="459"/>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459"/>
      <c r="B927" s="459"/>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459"/>
      <c r="B928" s="459"/>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459"/>
      <c r="B929" s="459"/>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459"/>
      <c r="B930" s="459"/>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459"/>
      <c r="B931" s="459"/>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459"/>
      <c r="B932" s="459"/>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459"/>
      <c r="B933" s="459"/>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459"/>
      <c r="B934" s="459"/>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459"/>
      <c r="B935" s="459"/>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459"/>
      <c r="B936" s="459"/>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459"/>
      <c r="B937" s="459"/>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459"/>
      <c r="B938" s="459"/>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459"/>
      <c r="B939" s="459"/>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459"/>
      <c r="B940" s="459"/>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459"/>
      <c r="B941" s="459"/>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459"/>
      <c r="B942" s="459"/>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459"/>
      <c r="B943" s="459"/>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459"/>
      <c r="B944" s="459"/>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459"/>
      <c r="B945" s="459"/>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459"/>
      <c r="B946" s="459"/>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459"/>
      <c r="B947" s="459"/>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459"/>
      <c r="B948" s="459"/>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459"/>
      <c r="B949" s="459"/>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459"/>
      <c r="B950" s="459"/>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459"/>
      <c r="B951" s="459"/>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459"/>
      <c r="B952" s="459"/>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459"/>
      <c r="B953" s="459"/>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459"/>
      <c r="B954" s="459"/>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459"/>
      <c r="B955" s="459"/>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459"/>
      <c r="B956" s="459"/>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459"/>
      <c r="B957" s="459"/>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459"/>
      <c r="B958" s="459"/>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459"/>
      <c r="B959" s="459"/>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459"/>
      <c r="B960" s="459"/>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459"/>
      <c r="B961" s="459"/>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459"/>
      <c r="B962" s="459"/>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459"/>
      <c r="B963" s="459"/>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459"/>
      <c r="B964" s="459"/>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459"/>
      <c r="B965" s="459"/>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459"/>
      <c r="B966" s="459"/>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459"/>
      <c r="B967" s="459"/>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459"/>
      <c r="B968" s="459"/>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459"/>
      <c r="B969" s="459"/>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459"/>
      <c r="B970" s="459"/>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459"/>
      <c r="B971" s="459"/>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459"/>
      <c r="B972" s="459"/>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459"/>
      <c r="B973" s="459"/>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459"/>
      <c r="B974" s="459"/>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459"/>
      <c r="B975" s="459"/>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459"/>
      <c r="B976" s="459"/>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459"/>
      <c r="B977" s="459"/>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459"/>
      <c r="B978" s="459"/>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459"/>
      <c r="B979" s="459"/>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459"/>
      <c r="B980" s="459"/>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459"/>
      <c r="B981" s="459"/>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459"/>
      <c r="B982" s="459"/>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459"/>
      <c r="B983" s="459"/>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459"/>
      <c r="B984" s="459"/>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459"/>
      <c r="B985" s="459"/>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459"/>
      <c r="B986" s="459"/>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459"/>
      <c r="B987" s="459"/>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459"/>
      <c r="B988" s="459"/>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459"/>
      <c r="B989" s="459"/>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459"/>
      <c r="B990" s="459"/>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459"/>
      <c r="B991" s="459"/>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459"/>
      <c r="B992" s="459"/>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459"/>
      <c r="B993" s="459"/>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459"/>
      <c r="B994" s="459"/>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459"/>
      <c r="B995" s="459"/>
      <c r="C995" s="2"/>
      <c r="D995" s="2"/>
      <c r="E995" s="2"/>
      <c r="F995" s="2"/>
      <c r="G995" s="2"/>
      <c r="H995" s="2"/>
      <c r="I995" s="2"/>
      <c r="J995" s="2"/>
      <c r="K995" s="2"/>
      <c r="L995" s="2"/>
      <c r="M995" s="2"/>
      <c r="N995" s="2"/>
      <c r="O995" s="2"/>
      <c r="P995" s="2"/>
      <c r="Q995" s="2"/>
      <c r="R995" s="2"/>
      <c r="S995" s="2"/>
      <c r="T995" s="2"/>
      <c r="U995" s="2"/>
      <c r="V995" s="2"/>
      <c r="W995" s="2"/>
      <c r="X995" s="2"/>
      <c r="Y995" s="2"/>
      <c r="Z995" s="2"/>
    </row>
  </sheetData>
  <mergeCells count="12">
    <mergeCell ref="C12:F12"/>
    <mergeCell ref="C13:F13"/>
    <mergeCell ref="C14:F14"/>
    <mergeCell ref="C15:F15"/>
    <mergeCell ref="C16:F16"/>
    <mergeCell ref="C18:F18"/>
    <mergeCell ref="C1:F1"/>
    <mergeCell ref="C7:F7"/>
    <mergeCell ref="C8:F8"/>
    <mergeCell ref="C9:F9"/>
    <mergeCell ref="C10:F10"/>
    <mergeCell ref="C11:F1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1.75"/>
    <col customWidth="1" min="3" max="6" width="22.63"/>
    <col customWidth="1" min="7" max="7" width="23.5"/>
    <col customWidth="1" min="8" max="8" width="15.13"/>
    <col customWidth="1" min="9" max="9" width="40.38"/>
  </cols>
  <sheetData>
    <row r="1">
      <c r="A1" s="430"/>
      <c r="B1" s="462"/>
      <c r="C1" s="463" t="s">
        <v>1534</v>
      </c>
      <c r="G1" s="464" t="s">
        <v>1535</v>
      </c>
      <c r="H1" s="462"/>
      <c r="I1" s="462"/>
      <c r="J1" s="2"/>
      <c r="K1" s="2"/>
      <c r="L1" s="2"/>
      <c r="M1" s="2"/>
      <c r="N1" s="2"/>
      <c r="O1" s="2"/>
      <c r="P1" s="2"/>
      <c r="Q1" s="2"/>
      <c r="R1" s="2"/>
      <c r="S1" s="2"/>
      <c r="T1" s="2"/>
      <c r="U1" s="2"/>
      <c r="V1" s="2"/>
      <c r="W1" s="2"/>
      <c r="X1" s="2"/>
      <c r="Y1" s="2"/>
      <c r="Z1" s="2"/>
      <c r="AA1" s="2"/>
      <c r="AB1" s="2"/>
    </row>
    <row r="2">
      <c r="A2" s="433" t="s">
        <v>1536</v>
      </c>
      <c r="B2" s="465" t="s">
        <v>1537</v>
      </c>
      <c r="C2" s="466" t="s">
        <v>1538</v>
      </c>
      <c r="D2" s="466" t="s">
        <v>1539</v>
      </c>
      <c r="E2" s="466" t="s">
        <v>675</v>
      </c>
      <c r="F2" s="466" t="s">
        <v>1540</v>
      </c>
      <c r="G2" s="467" t="s">
        <v>1541</v>
      </c>
      <c r="H2" s="435" t="s">
        <v>1542</v>
      </c>
      <c r="I2" s="466" t="s">
        <v>1532</v>
      </c>
      <c r="J2" s="2"/>
      <c r="K2" s="2"/>
      <c r="L2" s="2"/>
      <c r="M2" s="2"/>
      <c r="N2" s="2"/>
      <c r="O2" s="2"/>
      <c r="P2" s="2"/>
      <c r="Q2" s="2"/>
      <c r="R2" s="2"/>
      <c r="S2" s="2"/>
      <c r="T2" s="2"/>
      <c r="U2" s="2"/>
      <c r="V2" s="2"/>
      <c r="W2" s="2"/>
      <c r="X2" s="2"/>
      <c r="Y2" s="2"/>
      <c r="Z2" s="2"/>
      <c r="AA2" s="2"/>
      <c r="AB2" s="2"/>
    </row>
    <row r="3" ht="37.5" customHeight="1">
      <c r="A3" s="433"/>
      <c r="B3" s="468" t="s">
        <v>1602</v>
      </c>
      <c r="C3" s="469" t="s">
        <v>1603</v>
      </c>
      <c r="D3" s="469" t="s">
        <v>1604</v>
      </c>
      <c r="E3" s="469" t="s">
        <v>1605</v>
      </c>
      <c r="F3" s="470" t="s">
        <v>332</v>
      </c>
      <c r="G3" s="455" t="s">
        <v>1606</v>
      </c>
      <c r="H3" s="471" t="str">
        <f>"+20/40/60 Money"</f>
        <v>+20/40/60 Money</v>
      </c>
      <c r="I3" s="2"/>
      <c r="J3" s="2"/>
      <c r="K3" s="2"/>
      <c r="L3" s="2"/>
      <c r="M3" s="2"/>
      <c r="N3" s="2"/>
      <c r="O3" s="2"/>
      <c r="P3" s="2"/>
      <c r="Q3" s="2"/>
      <c r="R3" s="2"/>
      <c r="S3" s="2"/>
      <c r="T3" s="2"/>
      <c r="U3" s="2"/>
      <c r="V3" s="2"/>
      <c r="W3" s="2"/>
      <c r="X3" s="2"/>
      <c r="Y3" s="2"/>
      <c r="Z3" s="2"/>
      <c r="AA3" s="2"/>
      <c r="AB3" s="2"/>
    </row>
    <row r="4" ht="15.0" customHeight="1">
      <c r="E4" s="472" t="str">
        <f>"+4 Cult. per each city Lux."</f>
        <v>+4 Cult. per each city Lux.</v>
      </c>
      <c r="J4" s="2"/>
      <c r="K4" s="2"/>
      <c r="L4" s="2"/>
      <c r="M4" s="2"/>
      <c r="N4" s="2"/>
      <c r="O4" s="2"/>
      <c r="P4" s="2"/>
      <c r="Q4" s="2"/>
      <c r="R4" s="2"/>
      <c r="S4" s="2"/>
      <c r="T4" s="2"/>
      <c r="U4" s="2"/>
      <c r="V4" s="2"/>
      <c r="W4" s="2"/>
      <c r="X4" s="2"/>
      <c r="Y4" s="2"/>
      <c r="Z4" s="2"/>
      <c r="AA4" s="2"/>
      <c r="AB4" s="2"/>
    </row>
    <row r="5" ht="37.5" customHeight="1">
      <c r="A5" s="433"/>
      <c r="B5" s="468" t="s">
        <v>1607</v>
      </c>
      <c r="C5" s="469" t="s">
        <v>1608</v>
      </c>
      <c r="D5" s="469" t="s">
        <v>1609</v>
      </c>
      <c r="E5" s="469" t="s">
        <v>1610</v>
      </c>
      <c r="F5" s="469" t="s">
        <v>1611</v>
      </c>
      <c r="G5" s="473" t="s">
        <v>1612</v>
      </c>
      <c r="H5" s="471" t="str">
        <f>"+10/20/40 Money"</f>
        <v>+10/20/40 Money</v>
      </c>
      <c r="I5" s="473" t="s">
        <v>1613</v>
      </c>
      <c r="J5" s="2"/>
      <c r="K5" s="2"/>
      <c r="L5" s="2"/>
      <c r="M5" s="2"/>
      <c r="N5" s="2"/>
      <c r="O5" s="2"/>
      <c r="P5" s="2"/>
      <c r="Q5" s="2"/>
      <c r="R5" s="2"/>
      <c r="S5" s="2"/>
      <c r="T5" s="2"/>
      <c r="U5" s="2"/>
      <c r="V5" s="2"/>
      <c r="W5" s="2"/>
      <c r="X5" s="2"/>
      <c r="Y5" s="2"/>
      <c r="Z5" s="2"/>
      <c r="AA5" s="2"/>
      <c r="AB5" s="2"/>
    </row>
    <row r="6" ht="15.0" customHeight="1">
      <c r="C6" s="472" t="str">
        <f t="shared" ref="C6:F6" si="1">"+20% for adj. Odeons/Baths"</f>
        <v>+20% for adj. Odeons/Baths</v>
      </c>
      <c r="D6" s="472" t="str">
        <f t="shared" si="1"/>
        <v>+20% for adj. Odeons/Baths</v>
      </c>
      <c r="E6" s="472" t="str">
        <f t="shared" si="1"/>
        <v>+20% for adj. Odeons/Baths</v>
      </c>
      <c r="F6" s="472" t="str">
        <f t="shared" si="1"/>
        <v>+20% for adj. Odeons/Baths</v>
      </c>
      <c r="J6" s="2"/>
      <c r="K6" s="2"/>
      <c r="L6" s="2"/>
      <c r="M6" s="2"/>
      <c r="N6" s="2"/>
      <c r="O6" s="2"/>
      <c r="P6" s="2"/>
      <c r="Q6" s="2"/>
      <c r="R6" s="2"/>
      <c r="S6" s="2"/>
      <c r="T6" s="2"/>
      <c r="U6" s="2"/>
      <c r="V6" s="2"/>
      <c r="W6" s="2"/>
      <c r="X6" s="2"/>
      <c r="Y6" s="2"/>
      <c r="Z6" s="2"/>
      <c r="AA6" s="2"/>
      <c r="AB6" s="2"/>
    </row>
    <row r="7" ht="37.5" customHeight="1">
      <c r="A7" s="433"/>
      <c r="B7" s="468" t="s">
        <v>1614</v>
      </c>
      <c r="C7" s="474" t="s">
        <v>1615</v>
      </c>
      <c r="D7" s="474" t="s">
        <v>1616</v>
      </c>
      <c r="E7" s="474" t="s">
        <v>1617</v>
      </c>
      <c r="F7" s="475" t="s">
        <v>1618</v>
      </c>
      <c r="G7" s="455" t="s">
        <v>1619</v>
      </c>
      <c r="H7" s="451" t="str">
        <f>"+40/50/50 Stone"</f>
        <v>+40/50/50 Stone</v>
      </c>
      <c r="I7" s="473"/>
      <c r="J7" s="2"/>
      <c r="K7" s="2"/>
      <c r="L7" s="2"/>
      <c r="M7" s="2"/>
      <c r="N7" s="2"/>
      <c r="O7" s="2"/>
      <c r="P7" s="2"/>
      <c r="Q7" s="2"/>
      <c r="R7" s="2"/>
      <c r="S7" s="2"/>
      <c r="T7" s="2"/>
      <c r="U7" s="2"/>
      <c r="V7" s="2"/>
      <c r="W7" s="2"/>
      <c r="X7" s="2"/>
      <c r="Y7" s="2"/>
      <c r="Z7" s="2"/>
      <c r="AA7" s="2"/>
      <c r="AB7" s="2"/>
    </row>
    <row r="8" ht="15.0" customHeight="1">
      <c r="E8" s="476" t="s">
        <v>1620</v>
      </c>
      <c r="J8" s="2"/>
      <c r="K8" s="2"/>
      <c r="L8" s="2"/>
      <c r="M8" s="2"/>
      <c r="N8" s="2"/>
      <c r="O8" s="2"/>
      <c r="P8" s="2"/>
      <c r="Q8" s="2"/>
      <c r="R8" s="2"/>
      <c r="S8" s="2"/>
      <c r="T8" s="2"/>
      <c r="U8" s="2"/>
      <c r="V8" s="2"/>
      <c r="W8" s="2"/>
      <c r="X8" s="2"/>
      <c r="Y8" s="2"/>
      <c r="Z8" s="2"/>
      <c r="AA8" s="2"/>
      <c r="AB8" s="2"/>
    </row>
    <row r="9" ht="37.5" customHeight="1">
      <c r="A9" s="433"/>
      <c r="B9" s="468" t="s">
        <v>1621</v>
      </c>
      <c r="C9" s="477" t="s">
        <v>332</v>
      </c>
      <c r="D9" s="478" t="s">
        <v>1622</v>
      </c>
      <c r="E9" s="478" t="s">
        <v>1623</v>
      </c>
      <c r="F9" s="478" t="s">
        <v>1624</v>
      </c>
      <c r="G9" s="473" t="s">
        <v>1625</v>
      </c>
      <c r="H9" s="479" t="str">
        <f>"+10/20/30 Science"</f>
        <v>+10/20/30 Science</v>
      </c>
      <c r="I9" s="448"/>
      <c r="J9" s="2"/>
      <c r="K9" s="2"/>
      <c r="L9" s="2"/>
      <c r="M9" s="2"/>
      <c r="N9" s="2"/>
      <c r="O9" s="2"/>
      <c r="P9" s="2"/>
      <c r="Q9" s="2"/>
      <c r="R9" s="2"/>
      <c r="S9" s="2"/>
      <c r="T9" s="2"/>
      <c r="U9" s="2"/>
      <c r="V9" s="2"/>
      <c r="W9" s="2"/>
      <c r="X9" s="2"/>
      <c r="Y9" s="2"/>
      <c r="Z9" s="2"/>
      <c r="AA9" s="2"/>
      <c r="AB9" s="2"/>
    </row>
    <row r="10" ht="15.0" customHeight="1">
      <c r="F10" s="480" t="s">
        <v>1626</v>
      </c>
      <c r="J10" s="2"/>
      <c r="K10" s="2"/>
      <c r="L10" s="2"/>
      <c r="M10" s="2"/>
      <c r="N10" s="2"/>
      <c r="O10" s="2"/>
      <c r="P10" s="2"/>
      <c r="Q10" s="2"/>
      <c r="R10" s="2"/>
      <c r="S10" s="2"/>
      <c r="T10" s="2"/>
      <c r="U10" s="2"/>
      <c r="V10" s="2"/>
      <c r="W10" s="2"/>
      <c r="X10" s="2"/>
      <c r="Y10" s="2"/>
      <c r="Z10" s="2"/>
      <c r="AA10" s="2"/>
      <c r="AB10" s="2"/>
    </row>
    <row r="11" ht="37.5" customHeight="1">
      <c r="A11" s="433"/>
      <c r="B11" s="468" t="s">
        <v>1627</v>
      </c>
      <c r="C11" s="481" t="s">
        <v>332</v>
      </c>
      <c r="D11" s="482" t="s">
        <v>1628</v>
      </c>
      <c r="E11" s="482" t="s">
        <v>1629</v>
      </c>
      <c r="F11" s="482" t="s">
        <v>1630</v>
      </c>
      <c r="G11" s="473" t="s">
        <v>1631</v>
      </c>
      <c r="H11" s="483" t="str">
        <f>"+10/20/30 Civics"</f>
        <v>+10/20/30 Civics</v>
      </c>
      <c r="I11" s="133"/>
      <c r="J11" s="2"/>
      <c r="K11" s="2"/>
      <c r="L11" s="2"/>
      <c r="M11" s="2"/>
      <c r="N11" s="2"/>
      <c r="O11" s="2"/>
      <c r="P11" s="2"/>
      <c r="Q11" s="2"/>
      <c r="R11" s="2"/>
      <c r="S11" s="2"/>
      <c r="T11" s="2"/>
      <c r="U11" s="2"/>
      <c r="V11" s="2"/>
      <c r="W11" s="2"/>
      <c r="X11" s="2"/>
      <c r="Y11" s="2"/>
      <c r="Z11" s="2"/>
      <c r="AA11" s="2"/>
      <c r="AB11" s="2"/>
    </row>
    <row r="12" ht="15.0" customHeight="1">
      <c r="F12" s="476" t="s">
        <v>1620</v>
      </c>
      <c r="J12" s="2"/>
      <c r="K12" s="2"/>
      <c r="L12" s="2"/>
      <c r="M12" s="2"/>
      <c r="N12" s="2"/>
      <c r="O12" s="2"/>
      <c r="P12" s="2"/>
      <c r="Q12" s="2"/>
      <c r="R12" s="2"/>
      <c r="S12" s="2"/>
      <c r="T12" s="2"/>
      <c r="U12" s="2"/>
      <c r="V12" s="2"/>
      <c r="W12" s="2"/>
      <c r="X12" s="2"/>
      <c r="Y12" s="2"/>
      <c r="Z12" s="2"/>
      <c r="AA12" s="2"/>
      <c r="AB12" s="2"/>
    </row>
    <row r="13" ht="37.5" customHeight="1">
      <c r="A13" s="433"/>
      <c r="B13" s="468" t="s">
        <v>1632</v>
      </c>
      <c r="C13" s="484" t="s">
        <v>1633</v>
      </c>
      <c r="D13" s="485" t="s">
        <v>332</v>
      </c>
      <c r="E13" s="485" t="s">
        <v>332</v>
      </c>
      <c r="F13" s="485" t="s">
        <v>332</v>
      </c>
      <c r="G13" s="473" t="s">
        <v>1634</v>
      </c>
      <c r="H13" s="451" t="str">
        <f>"+20 Stone"</f>
        <v>+20 Stone</v>
      </c>
      <c r="I13" s="473" t="s">
        <v>1635</v>
      </c>
      <c r="J13" s="2"/>
      <c r="K13" s="2"/>
      <c r="L13" s="2"/>
      <c r="M13" s="2"/>
      <c r="N13" s="2"/>
      <c r="O13" s="2"/>
      <c r="P13" s="2"/>
      <c r="Q13" s="2"/>
      <c r="R13" s="2"/>
      <c r="S13" s="2"/>
      <c r="T13" s="2"/>
      <c r="U13" s="2"/>
      <c r="V13" s="2"/>
      <c r="W13" s="2"/>
      <c r="X13" s="2"/>
      <c r="Y13" s="2"/>
      <c r="Z13" s="2"/>
      <c r="AA13" s="2"/>
      <c r="AB13" s="2"/>
    </row>
    <row r="14" ht="15.0" customHeight="1">
      <c r="C14" s="486" t="str">
        <f>"+20% for adj. Garrisons"</f>
        <v>+20% for adj. Garrisons</v>
      </c>
      <c r="J14" s="2"/>
      <c r="K14" s="2"/>
      <c r="L14" s="2"/>
      <c r="M14" s="2"/>
      <c r="N14" s="2"/>
      <c r="O14" s="2"/>
      <c r="P14" s="2"/>
      <c r="Q14" s="2"/>
      <c r="R14" s="2"/>
      <c r="S14" s="2"/>
      <c r="T14" s="2"/>
      <c r="U14" s="2"/>
      <c r="V14" s="2"/>
      <c r="W14" s="2"/>
      <c r="X14" s="2"/>
      <c r="Y14" s="2"/>
      <c r="Z14" s="2"/>
      <c r="AA14" s="2"/>
      <c r="AB14" s="2"/>
    </row>
    <row r="15" ht="37.5" customHeight="1">
      <c r="A15" s="433"/>
      <c r="B15" s="468" t="s">
        <v>1636</v>
      </c>
      <c r="C15" s="484" t="s">
        <v>1637</v>
      </c>
      <c r="D15" s="485" t="s">
        <v>332</v>
      </c>
      <c r="E15" s="485" t="s">
        <v>332</v>
      </c>
      <c r="F15" s="485" t="s">
        <v>332</v>
      </c>
      <c r="G15" s="133" t="s">
        <v>1638</v>
      </c>
      <c r="H15" s="445" t="str">
        <f>"+20 Wood"</f>
        <v>+20 Wood</v>
      </c>
      <c r="I15" s="473" t="s">
        <v>1639</v>
      </c>
      <c r="J15" s="2"/>
      <c r="K15" s="2"/>
      <c r="L15" s="2"/>
      <c r="M15" s="2"/>
      <c r="N15" s="2"/>
      <c r="O15" s="2"/>
      <c r="P15" s="2"/>
      <c r="Q15" s="2"/>
      <c r="R15" s="2"/>
      <c r="S15" s="2"/>
      <c r="T15" s="2"/>
      <c r="U15" s="2"/>
      <c r="V15" s="2"/>
      <c r="W15" s="2"/>
      <c r="X15" s="2"/>
      <c r="Y15" s="2"/>
      <c r="Z15" s="2"/>
      <c r="AA15" s="2"/>
      <c r="AB15" s="2"/>
    </row>
    <row r="16" ht="15.0" customHeight="1">
      <c r="C16" s="486" t="str">
        <f>"+20% for adj. Garrisons"</f>
        <v>+20% for adj. Garrisons</v>
      </c>
      <c r="J16" s="2"/>
      <c r="K16" s="2"/>
      <c r="L16" s="2"/>
      <c r="M16" s="2"/>
      <c r="N16" s="2"/>
      <c r="O16" s="2"/>
      <c r="P16" s="2"/>
      <c r="Q16" s="2"/>
      <c r="R16" s="2"/>
      <c r="S16" s="2"/>
      <c r="T16" s="2"/>
      <c r="U16" s="2"/>
      <c r="V16" s="2"/>
      <c r="W16" s="2"/>
      <c r="X16" s="2"/>
      <c r="Y16" s="2"/>
      <c r="Z16" s="2"/>
      <c r="AA16" s="2"/>
      <c r="AB16" s="2"/>
    </row>
    <row r="17" ht="37.5" customHeight="1">
      <c r="A17" s="433"/>
      <c r="B17" s="468" t="s">
        <v>1640</v>
      </c>
      <c r="C17" s="487" t="s">
        <v>1641</v>
      </c>
      <c r="D17" s="487" t="s">
        <v>1642</v>
      </c>
      <c r="E17" s="487" t="s">
        <v>1643</v>
      </c>
      <c r="F17" s="488" t="s">
        <v>332</v>
      </c>
      <c r="G17" s="473" t="s">
        <v>1644</v>
      </c>
      <c r="H17" s="489" t="str">
        <f>"+20/30/40 Culture"</f>
        <v>+20/30/40 Culture</v>
      </c>
      <c r="I17" s="133"/>
      <c r="J17" s="2"/>
      <c r="K17" s="2"/>
      <c r="L17" s="2"/>
      <c r="M17" s="2"/>
      <c r="N17" s="2"/>
      <c r="O17" s="2"/>
      <c r="P17" s="2"/>
      <c r="Q17" s="2"/>
      <c r="R17" s="2"/>
      <c r="S17" s="2"/>
      <c r="T17" s="2"/>
      <c r="U17" s="2"/>
      <c r="V17" s="2"/>
      <c r="W17" s="2"/>
      <c r="X17" s="2"/>
      <c r="Y17" s="2"/>
      <c r="Z17" s="2"/>
      <c r="AA17" s="2"/>
      <c r="AB17" s="2"/>
    </row>
    <row r="18" ht="15.0" customHeight="1">
      <c r="D18" s="490" t="s">
        <v>1645</v>
      </c>
      <c r="E18" s="490" t="s">
        <v>1646</v>
      </c>
      <c r="J18" s="2"/>
      <c r="K18" s="2"/>
      <c r="L18" s="2"/>
      <c r="M18" s="2"/>
      <c r="N18" s="2"/>
      <c r="O18" s="2"/>
      <c r="P18" s="2"/>
      <c r="Q18" s="2"/>
      <c r="R18" s="2"/>
      <c r="S18" s="2"/>
      <c r="T18" s="2"/>
      <c r="U18" s="2"/>
      <c r="V18" s="2"/>
      <c r="W18" s="2"/>
      <c r="X18" s="2"/>
      <c r="Y18" s="2"/>
      <c r="Z18" s="2"/>
      <c r="AA18" s="2"/>
      <c r="AB18" s="2"/>
    </row>
    <row r="19" ht="37.5" customHeight="1">
      <c r="A19" s="433"/>
      <c r="B19" s="468" t="s">
        <v>1647</v>
      </c>
      <c r="C19" s="491" t="s">
        <v>332</v>
      </c>
      <c r="D19" s="490" t="s">
        <v>1648</v>
      </c>
      <c r="E19" s="490" t="s">
        <v>1649</v>
      </c>
      <c r="F19" s="490" t="s">
        <v>1650</v>
      </c>
      <c r="G19" s="473" t="s">
        <v>1651</v>
      </c>
      <c r="H19" s="451" t="str">
        <f>"+20/30/40 Stone"</f>
        <v>+20/30/40 Stone</v>
      </c>
      <c r="I19" s="492"/>
      <c r="J19" s="2"/>
      <c r="K19" s="2"/>
      <c r="L19" s="2"/>
      <c r="M19" s="2"/>
      <c r="N19" s="2"/>
      <c r="O19" s="2"/>
      <c r="P19" s="2"/>
      <c r="Q19" s="2"/>
      <c r="R19" s="2"/>
      <c r="S19" s="2"/>
      <c r="T19" s="2"/>
      <c r="U19" s="2"/>
      <c r="V19" s="2"/>
      <c r="W19" s="2"/>
      <c r="X19" s="2"/>
      <c r="Y19" s="2"/>
      <c r="Z19" s="2"/>
      <c r="AA19" s="2"/>
      <c r="AB19" s="2"/>
    </row>
    <row r="20" ht="15.0" customHeight="1">
      <c r="F20" s="493" t="s">
        <v>1652</v>
      </c>
      <c r="J20" s="2"/>
      <c r="K20" s="2"/>
      <c r="L20" s="2"/>
      <c r="M20" s="2"/>
      <c r="N20" s="2"/>
      <c r="O20" s="2"/>
      <c r="P20" s="2"/>
      <c r="Q20" s="2"/>
      <c r="R20" s="2"/>
      <c r="S20" s="2"/>
      <c r="T20" s="2"/>
      <c r="U20" s="2"/>
      <c r="V20" s="2"/>
      <c r="W20" s="2"/>
      <c r="X20" s="2"/>
      <c r="Y20" s="2"/>
      <c r="Z20" s="2"/>
      <c r="AA20" s="2"/>
      <c r="AB20" s="2"/>
    </row>
    <row r="21">
      <c r="A21" s="446"/>
      <c r="B21" s="462"/>
      <c r="C21" s="462"/>
      <c r="D21" s="462"/>
      <c r="E21" s="462"/>
      <c r="F21" s="462"/>
      <c r="G21" s="462"/>
      <c r="H21" s="462"/>
      <c r="I21" s="462"/>
      <c r="J21" s="2"/>
      <c r="K21" s="2"/>
      <c r="L21" s="2"/>
      <c r="M21" s="2"/>
      <c r="N21" s="2"/>
      <c r="O21" s="2"/>
      <c r="P21" s="2"/>
      <c r="Q21" s="2"/>
      <c r="R21" s="2"/>
      <c r="S21" s="2"/>
      <c r="T21" s="2"/>
      <c r="U21" s="2"/>
      <c r="V21" s="2"/>
      <c r="W21" s="2"/>
      <c r="X21" s="2"/>
      <c r="Y21" s="2"/>
      <c r="Z21" s="2"/>
      <c r="AA21" s="2"/>
      <c r="AB21" s="2"/>
    </row>
    <row r="22">
      <c r="A22" s="446"/>
      <c r="C22" s="2"/>
      <c r="D22" s="494"/>
      <c r="E22" s="492"/>
      <c r="F22" s="2"/>
      <c r="G22" s="2"/>
      <c r="H22" s="2"/>
      <c r="I22" s="2"/>
      <c r="J22" s="2"/>
      <c r="K22" s="2"/>
      <c r="L22" s="2"/>
      <c r="M22" s="2"/>
      <c r="N22" s="2"/>
      <c r="O22" s="2"/>
      <c r="P22" s="2"/>
      <c r="Q22" s="2"/>
      <c r="R22" s="2"/>
      <c r="S22" s="2"/>
      <c r="T22" s="2"/>
      <c r="U22" s="2"/>
      <c r="V22" s="2"/>
      <c r="W22" s="2"/>
      <c r="X22" s="2"/>
      <c r="Y22" s="2"/>
      <c r="Z22" s="2"/>
      <c r="AA22" s="2"/>
      <c r="AB22" s="2"/>
    </row>
    <row r="23">
      <c r="A23" s="459"/>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459"/>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459"/>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459"/>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459"/>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459"/>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459"/>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459"/>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459"/>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459"/>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459"/>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459"/>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459"/>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459"/>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459"/>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459"/>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459"/>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459"/>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459"/>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459"/>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459"/>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459"/>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459"/>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459"/>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459"/>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459"/>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459"/>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459"/>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459"/>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459"/>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459"/>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459"/>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459"/>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459"/>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459"/>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459"/>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459"/>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459"/>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459"/>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459"/>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459"/>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459"/>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459"/>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459"/>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459"/>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459"/>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459"/>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459"/>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459"/>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459"/>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459"/>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459"/>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459"/>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459"/>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459"/>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459"/>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459"/>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459"/>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459"/>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459"/>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459"/>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459"/>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459"/>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459"/>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459"/>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459"/>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459"/>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459"/>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459"/>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459"/>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459"/>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459"/>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459"/>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459"/>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459"/>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459"/>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459"/>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459"/>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459"/>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459"/>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459"/>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459"/>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459"/>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459"/>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459"/>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45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45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459"/>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459"/>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459"/>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459"/>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459"/>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459"/>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459"/>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459"/>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459"/>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45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459"/>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459"/>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459"/>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459"/>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459"/>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459"/>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459"/>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459"/>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459"/>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45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459"/>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459"/>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459"/>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459"/>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459"/>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459"/>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459"/>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459"/>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459"/>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45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459"/>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459"/>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459"/>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459"/>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459"/>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459"/>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459"/>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459"/>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459"/>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45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459"/>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459"/>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459"/>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459"/>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459"/>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459"/>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459"/>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459"/>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459"/>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4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459"/>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459"/>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459"/>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459"/>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459"/>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459"/>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459"/>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459"/>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459"/>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45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459"/>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459"/>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459"/>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459"/>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459"/>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459"/>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459"/>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459"/>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459"/>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45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459"/>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459"/>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459"/>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459"/>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459"/>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459"/>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459"/>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459"/>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459"/>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45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459"/>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459"/>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459"/>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459"/>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459"/>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459"/>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459"/>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459"/>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459"/>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45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459"/>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459"/>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459"/>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459"/>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459"/>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459"/>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459"/>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459"/>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459"/>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45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459"/>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459"/>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459"/>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459"/>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459"/>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459"/>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459"/>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459"/>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459"/>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45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459"/>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459"/>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459"/>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459"/>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459"/>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459"/>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459"/>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459"/>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459"/>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45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459"/>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459"/>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459"/>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459"/>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459"/>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459"/>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459"/>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459"/>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459"/>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45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459"/>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459"/>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459"/>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459"/>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459"/>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459"/>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459"/>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459"/>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459"/>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45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459"/>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459"/>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459"/>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459"/>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459"/>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459"/>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459"/>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459"/>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459"/>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4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459"/>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459"/>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459"/>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459"/>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459"/>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459"/>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459"/>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459"/>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459"/>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45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459"/>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459"/>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459"/>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459"/>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459"/>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459"/>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459"/>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459"/>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459"/>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45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459"/>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459"/>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459"/>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459"/>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459"/>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459"/>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459"/>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459"/>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459"/>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45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459"/>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459"/>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459"/>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459"/>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459"/>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459"/>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459"/>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459"/>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459"/>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45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459"/>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459"/>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459"/>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459"/>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459"/>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459"/>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459"/>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459"/>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459"/>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45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459"/>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459"/>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459"/>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459"/>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459"/>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459"/>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459"/>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459"/>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459"/>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45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459"/>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459"/>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459"/>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459"/>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459"/>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459"/>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459"/>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459"/>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459"/>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45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459"/>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459"/>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459"/>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459"/>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459"/>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459"/>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459"/>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459"/>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459"/>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45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459"/>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459"/>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459"/>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459"/>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459"/>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459"/>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459"/>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459"/>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459"/>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45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459"/>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459"/>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459"/>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459"/>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459"/>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459"/>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459"/>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459"/>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459"/>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4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459"/>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459"/>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459"/>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459"/>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459"/>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459"/>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459"/>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459"/>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459"/>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45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459"/>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459"/>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459"/>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459"/>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459"/>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459"/>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459"/>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459"/>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459"/>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45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459"/>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459"/>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459"/>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459"/>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459"/>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459"/>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459"/>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459"/>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459"/>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45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459"/>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459"/>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459"/>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459"/>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459"/>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459"/>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459"/>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459"/>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459"/>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45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459"/>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459"/>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459"/>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459"/>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459"/>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459"/>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459"/>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459"/>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459"/>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45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459"/>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459"/>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459"/>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459"/>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459"/>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459"/>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459"/>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459"/>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459"/>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45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459"/>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459"/>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459"/>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459"/>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459"/>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459"/>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459"/>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459"/>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459"/>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45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459"/>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459"/>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459"/>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459"/>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459"/>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459"/>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459"/>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459"/>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459"/>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45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459"/>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459"/>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459"/>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459"/>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459"/>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459"/>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459"/>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459"/>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459"/>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45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459"/>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459"/>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459"/>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459"/>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459"/>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459"/>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459"/>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459"/>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459"/>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459"/>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459"/>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459"/>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459"/>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459"/>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459"/>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459"/>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459"/>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459"/>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45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459"/>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459"/>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459"/>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459"/>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459"/>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459"/>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459"/>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459"/>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459"/>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45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459"/>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459"/>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459"/>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459"/>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459"/>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459"/>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459"/>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459"/>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459"/>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45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459"/>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459"/>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459"/>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459"/>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459"/>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459"/>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459"/>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459"/>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459"/>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45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459"/>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459"/>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459"/>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459"/>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459"/>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459"/>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459"/>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459"/>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459"/>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45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459"/>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459"/>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459"/>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459"/>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459"/>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459"/>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459"/>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459"/>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459"/>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45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459"/>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459"/>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459"/>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459"/>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459"/>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459"/>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459"/>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459"/>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459"/>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45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459"/>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459"/>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459"/>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459"/>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459"/>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459"/>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459"/>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459"/>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459"/>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45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459"/>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459"/>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459"/>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459"/>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459"/>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459"/>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459"/>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459"/>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459"/>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45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459"/>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459"/>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459"/>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459"/>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459"/>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459"/>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459"/>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459"/>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459"/>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4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459"/>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459"/>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459"/>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459"/>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459"/>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459"/>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459"/>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459"/>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459"/>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45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459"/>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459"/>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459"/>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459"/>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459"/>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459"/>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459"/>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459"/>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459"/>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45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459"/>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459"/>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459"/>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459"/>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459"/>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459"/>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459"/>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459"/>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459"/>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45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459"/>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459"/>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459"/>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459"/>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459"/>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459"/>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459"/>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459"/>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459"/>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45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459"/>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459"/>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459"/>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459"/>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459"/>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459"/>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459"/>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459"/>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459"/>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45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459"/>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459"/>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459"/>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459"/>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459"/>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459"/>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459"/>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459"/>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459"/>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45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459"/>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459"/>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459"/>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459"/>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459"/>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459"/>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459"/>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459"/>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459"/>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45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459"/>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459"/>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459"/>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459"/>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459"/>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459"/>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459"/>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459"/>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459"/>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45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459"/>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459"/>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459"/>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459"/>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459"/>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459"/>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459"/>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459"/>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459"/>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45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459"/>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459"/>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459"/>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459"/>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459"/>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459"/>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459"/>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459"/>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459"/>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4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459"/>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459"/>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459"/>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459"/>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459"/>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459"/>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459"/>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459"/>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459"/>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45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459"/>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459"/>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459"/>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459"/>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459"/>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459"/>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459"/>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459"/>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459"/>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45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459"/>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459"/>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459"/>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459"/>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459"/>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459"/>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459"/>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459"/>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459"/>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45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459"/>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459"/>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459"/>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459"/>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459"/>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459"/>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459"/>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459"/>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459"/>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45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459"/>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459"/>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459"/>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459"/>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459"/>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459"/>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459"/>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459"/>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459"/>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45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459"/>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459"/>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459"/>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459"/>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459"/>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459"/>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459"/>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459"/>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459"/>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45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459"/>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459"/>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459"/>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459"/>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459"/>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459"/>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459"/>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459"/>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459"/>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45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459"/>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459"/>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459"/>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459"/>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459"/>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459"/>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459"/>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459"/>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459"/>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45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459"/>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459"/>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459"/>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459"/>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459"/>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459"/>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459"/>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459"/>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459"/>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45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459"/>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459"/>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459"/>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459"/>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459"/>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459"/>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459"/>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459"/>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459"/>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4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459"/>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459"/>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459"/>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459"/>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459"/>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459"/>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459"/>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459"/>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459"/>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45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459"/>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459"/>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459"/>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459"/>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459"/>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459"/>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459"/>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459"/>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459"/>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45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459"/>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459"/>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459"/>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459"/>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459"/>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459"/>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459"/>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459"/>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459"/>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45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459"/>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459"/>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459"/>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459"/>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459"/>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459"/>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459"/>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459"/>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459"/>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45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459"/>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459"/>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459"/>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459"/>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459"/>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459"/>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459"/>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459"/>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459"/>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45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459"/>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459"/>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459"/>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459"/>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459"/>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459"/>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459"/>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459"/>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459"/>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45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459"/>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459"/>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459"/>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459"/>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459"/>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459"/>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459"/>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459"/>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459"/>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45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459"/>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459"/>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459"/>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459"/>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459"/>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459"/>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459"/>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459"/>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459"/>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45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459"/>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459"/>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459"/>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459"/>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459"/>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459"/>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459"/>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459"/>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459"/>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45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459"/>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459"/>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459"/>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459"/>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459"/>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459"/>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459"/>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459"/>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459"/>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4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459"/>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459"/>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459"/>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459"/>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459"/>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459"/>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459"/>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459"/>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459"/>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45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459"/>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459"/>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459"/>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459"/>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459"/>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459"/>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459"/>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459"/>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459"/>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45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459"/>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459"/>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459"/>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459"/>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459"/>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459"/>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459"/>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459"/>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459"/>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45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459"/>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459"/>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459"/>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459"/>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459"/>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459"/>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459"/>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459"/>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459"/>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45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459"/>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459"/>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459"/>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459"/>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459"/>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459"/>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459"/>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459"/>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459"/>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45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459"/>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459"/>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459"/>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459"/>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459"/>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459"/>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459"/>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459"/>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459"/>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45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459"/>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459"/>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459"/>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459"/>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459"/>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459"/>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459"/>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459"/>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459"/>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45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459"/>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459"/>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459"/>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459"/>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459"/>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459"/>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459"/>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459"/>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459"/>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45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459"/>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459"/>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459"/>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459"/>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459"/>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459"/>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459"/>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459"/>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459"/>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45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459"/>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459"/>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459"/>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459"/>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459"/>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459"/>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459"/>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459"/>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459"/>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4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459"/>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459"/>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459"/>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459"/>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459"/>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459"/>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sheetData>
  <mergeCells count="69">
    <mergeCell ref="A9:A10"/>
    <mergeCell ref="A11:A12"/>
    <mergeCell ref="B11:B12"/>
    <mergeCell ref="C11:C12"/>
    <mergeCell ref="D11:D12"/>
    <mergeCell ref="E11:E12"/>
    <mergeCell ref="G11:G12"/>
    <mergeCell ref="B13:B14"/>
    <mergeCell ref="D13:D14"/>
    <mergeCell ref="E13:E14"/>
    <mergeCell ref="F13:F14"/>
    <mergeCell ref="G13:G14"/>
    <mergeCell ref="H13:H14"/>
    <mergeCell ref="I13:I14"/>
    <mergeCell ref="H15:H16"/>
    <mergeCell ref="I15:I16"/>
    <mergeCell ref="A13:A14"/>
    <mergeCell ref="A15:A16"/>
    <mergeCell ref="B15:B16"/>
    <mergeCell ref="D15:D16"/>
    <mergeCell ref="E15:E16"/>
    <mergeCell ref="F15:F16"/>
    <mergeCell ref="G15:G16"/>
    <mergeCell ref="H3:H4"/>
    <mergeCell ref="I3:I4"/>
    <mergeCell ref="G5:G6"/>
    <mergeCell ref="H5:H6"/>
    <mergeCell ref="I5:I6"/>
    <mergeCell ref="C1:F1"/>
    <mergeCell ref="A3:A4"/>
    <mergeCell ref="B3:B4"/>
    <mergeCell ref="G3:G4"/>
    <mergeCell ref="C3:C4"/>
    <mergeCell ref="D3:D4"/>
    <mergeCell ref="F3:F4"/>
    <mergeCell ref="G7:G8"/>
    <mergeCell ref="H7:H8"/>
    <mergeCell ref="I7:I8"/>
    <mergeCell ref="A5:A6"/>
    <mergeCell ref="B5:B6"/>
    <mergeCell ref="A7:A8"/>
    <mergeCell ref="B7:B8"/>
    <mergeCell ref="C7:C8"/>
    <mergeCell ref="D7:D8"/>
    <mergeCell ref="F7:F8"/>
    <mergeCell ref="B9:B10"/>
    <mergeCell ref="C9:C10"/>
    <mergeCell ref="D9:D10"/>
    <mergeCell ref="E9:E10"/>
    <mergeCell ref="G9:G10"/>
    <mergeCell ref="H9:H10"/>
    <mergeCell ref="I9:I10"/>
    <mergeCell ref="H11:H12"/>
    <mergeCell ref="I11:I12"/>
    <mergeCell ref="A19:A20"/>
    <mergeCell ref="B19:B20"/>
    <mergeCell ref="C19:C20"/>
    <mergeCell ref="D19:D20"/>
    <mergeCell ref="E19:E20"/>
    <mergeCell ref="G19:G20"/>
    <mergeCell ref="H19:H20"/>
    <mergeCell ref="I19:I20"/>
    <mergeCell ref="A17:A18"/>
    <mergeCell ref="B17:B18"/>
    <mergeCell ref="C17:C18"/>
    <mergeCell ref="F17:F18"/>
    <mergeCell ref="G17:G18"/>
    <mergeCell ref="H17:H18"/>
    <mergeCell ref="I17:I1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2.63"/>
    <col customWidth="1" min="3" max="3" width="27.75"/>
    <col customWidth="1" min="4" max="4" width="1.75"/>
    <col customWidth="1" min="14" max="17" width="12.13"/>
    <col customWidth="1" min="18" max="18" width="7.13"/>
    <col customWidth="1" min="19" max="19" width="90.75"/>
    <col customWidth="1" min="20" max="20" width="68.5"/>
  </cols>
  <sheetData>
    <row r="1">
      <c r="A1" s="495" t="s">
        <v>1536</v>
      </c>
      <c r="B1" s="495" t="s">
        <v>1653</v>
      </c>
      <c r="C1" s="496" t="s">
        <v>1654</v>
      </c>
      <c r="D1" s="497"/>
      <c r="E1" s="57" t="s">
        <v>6</v>
      </c>
      <c r="F1" s="498" t="s">
        <v>11</v>
      </c>
      <c r="G1" s="499" t="s">
        <v>16</v>
      </c>
      <c r="H1" s="500" t="s">
        <v>20</v>
      </c>
      <c r="I1" s="501" t="s">
        <v>24</v>
      </c>
      <c r="J1" s="502" t="s">
        <v>32</v>
      </c>
      <c r="K1" s="503" t="s">
        <v>27</v>
      </c>
      <c r="L1" s="504" t="s">
        <v>30</v>
      </c>
      <c r="M1" s="505" t="s">
        <v>34</v>
      </c>
      <c r="N1" s="506" t="s">
        <v>36</v>
      </c>
      <c r="O1" s="507" t="s">
        <v>38</v>
      </c>
      <c r="P1" s="508" t="s">
        <v>40</v>
      </c>
      <c r="Q1" s="509" t="s">
        <v>42</v>
      </c>
      <c r="R1" s="495" t="s">
        <v>1655</v>
      </c>
      <c r="S1" s="496" t="s">
        <v>1532</v>
      </c>
      <c r="T1" s="510"/>
      <c r="U1" s="510"/>
      <c r="V1" s="510"/>
      <c r="W1" s="510"/>
      <c r="X1" s="510"/>
      <c r="Y1" s="510"/>
      <c r="Z1" s="510"/>
      <c r="AA1" s="510"/>
      <c r="AB1" s="510"/>
      <c r="AC1" s="510"/>
      <c r="AD1" s="510"/>
      <c r="AE1" s="510"/>
      <c r="AF1" s="510"/>
    </row>
    <row r="2" ht="63.75" customHeight="1">
      <c r="A2" s="459"/>
      <c r="B2" s="435" t="s">
        <v>1656</v>
      </c>
      <c r="C2" s="511" t="str">
        <f>"+0.5 Orders
+20%/Adj. Farms"</f>
        <v>+0.5 Orders
+20%/Adj. Farms</v>
      </c>
      <c r="D2" s="512">
        <v>5.0</v>
      </c>
      <c r="E2" s="513" t="s">
        <v>1657</v>
      </c>
      <c r="F2" s="459"/>
      <c r="G2" s="459"/>
      <c r="H2" s="514" t="s">
        <v>1658</v>
      </c>
      <c r="I2" s="459"/>
      <c r="J2" s="459"/>
      <c r="K2" s="515" t="s">
        <v>1659</v>
      </c>
      <c r="L2" s="459"/>
      <c r="M2" s="516" t="s">
        <v>1660</v>
      </c>
      <c r="N2" s="512"/>
      <c r="O2" s="517" t="s">
        <v>1661</v>
      </c>
      <c r="P2" s="512"/>
      <c r="Q2" s="512"/>
      <c r="R2" s="435" t="s">
        <v>1662</v>
      </c>
      <c r="S2" s="518" t="s">
        <v>1663</v>
      </c>
      <c r="T2" s="459"/>
      <c r="U2" s="459"/>
      <c r="V2" s="459"/>
      <c r="W2" s="459"/>
      <c r="X2" s="459"/>
      <c r="Y2" s="459"/>
      <c r="Z2" s="459"/>
      <c r="AA2" s="459"/>
      <c r="AB2" s="459"/>
      <c r="AC2" s="459"/>
      <c r="AD2" s="459"/>
      <c r="AE2" s="459"/>
      <c r="AF2" s="459"/>
    </row>
    <row r="3" ht="63.75" customHeight="1">
      <c r="A3" s="459"/>
      <c r="B3" s="435" t="s">
        <v>642</v>
      </c>
      <c r="C3" s="519" t="str">
        <f>"+2 Training
+10 XP / Idle Infantry on Shrine"</f>
        <v>+2 Training
+10 XP / Idle Infantry on Shrine</v>
      </c>
      <c r="D3" s="512">
        <v>6.0</v>
      </c>
      <c r="E3" s="513" t="s">
        <v>1664</v>
      </c>
      <c r="F3" s="459"/>
      <c r="G3" s="459"/>
      <c r="H3" s="459"/>
      <c r="I3" s="459"/>
      <c r="J3" s="520" t="s">
        <v>1665</v>
      </c>
      <c r="K3" s="459"/>
      <c r="L3" s="521" t="s">
        <v>1666</v>
      </c>
      <c r="M3" s="516" t="s">
        <v>1667</v>
      </c>
      <c r="N3" s="522" t="s">
        <v>1668</v>
      </c>
      <c r="O3" s="512"/>
      <c r="P3" s="512"/>
      <c r="Q3" s="523" t="s">
        <v>1669</v>
      </c>
      <c r="R3" s="435" t="s">
        <v>1662</v>
      </c>
      <c r="S3" s="518" t="s">
        <v>1670</v>
      </c>
      <c r="T3" s="459"/>
      <c r="U3" s="459"/>
      <c r="V3" s="459"/>
      <c r="W3" s="459"/>
      <c r="X3" s="459"/>
      <c r="Y3" s="459"/>
      <c r="Z3" s="459"/>
      <c r="AA3" s="459"/>
      <c r="AB3" s="459"/>
      <c r="AC3" s="459"/>
      <c r="AD3" s="459"/>
      <c r="AE3" s="459"/>
      <c r="AF3" s="459"/>
    </row>
    <row r="4" ht="63.75" customHeight="1">
      <c r="A4" s="459"/>
      <c r="B4" s="435" t="s">
        <v>1671</v>
      </c>
      <c r="C4" s="524" t="str">
        <f>"+2 Civics
+1 Order/Adj. Wonder"</f>
        <v>+2 Civics
+1 Order/Adj. Wonder</v>
      </c>
      <c r="D4" s="512">
        <v>5.0</v>
      </c>
      <c r="E4" s="513" t="s">
        <v>1672</v>
      </c>
      <c r="F4" s="525" t="s">
        <v>1673</v>
      </c>
      <c r="G4" s="459"/>
      <c r="H4" s="459"/>
      <c r="I4" s="526" t="s">
        <v>1674</v>
      </c>
      <c r="J4" s="459"/>
      <c r="K4" s="459"/>
      <c r="L4" s="527"/>
      <c r="M4" s="516" t="s">
        <v>1675</v>
      </c>
      <c r="N4" s="459"/>
      <c r="O4" s="517" t="s">
        <v>1676</v>
      </c>
      <c r="P4" s="459"/>
      <c r="Q4" s="459"/>
      <c r="R4" s="435" t="s">
        <v>1662</v>
      </c>
      <c r="S4" s="528" t="str">
        <f>"+2 Base civics is nice, and if you place this right, you can get a bunch of free orders from the adjacency. Requires a little bit of foresight and luck in terms of where to put it. (Ideally it should be adjacent to adjacent to your city center and be adja"&amp;"cent to one more more hills and ideally an arid tile for Pyramids :D). But even without a perfect spot, you can get 1-2 orders from it without much effort which is great (and you will want some wonders so might as well put them next to this shrine). If yo"&amp;"u're building a civics city (e.g. Decree/Inquiry pump) you'll want Kingship in that city as well for the base civics."</f>
        <v>+2 Base civics is nice, and if you place this right, you can get a bunch of free orders from the adjacency. Requires a little bit of foresight and luck in terms of where to put it. (Ideally it should be adjacent to adjacent to your city center and be adjacent to one more more hills and ideally an arid tile for Pyramids :D). But even without a perfect spot, you can get 1-2 orders from it without much effort which is great (and you will want some wonders so might as well put them next to this shrine). If you're building a civics city (e.g. Decree/Inquiry pump) you'll want Kingship in that city as well for the base civics.</v>
      </c>
      <c r="T4" s="459"/>
      <c r="U4" s="459"/>
      <c r="V4" s="459"/>
      <c r="W4" s="459"/>
      <c r="X4" s="459"/>
      <c r="Y4" s="459"/>
      <c r="Z4" s="459"/>
      <c r="AA4" s="459"/>
      <c r="AB4" s="459"/>
      <c r="AC4" s="459"/>
      <c r="AD4" s="459"/>
      <c r="AE4" s="459"/>
      <c r="AF4" s="459"/>
    </row>
    <row r="5" ht="63.75" customHeight="1">
      <c r="A5" s="459"/>
      <c r="B5" s="435" t="s">
        <v>7</v>
      </c>
      <c r="C5" s="529" t="str">
        <f>"+1 Sci, +1 Civics/Adj. Odeon/Theatre/Amphitheater"</f>
        <v>+1 Sci, +1 Civics/Adj. Odeon/Theatre/Amphitheater</v>
      </c>
      <c r="D5" s="512">
        <v>2.0</v>
      </c>
      <c r="E5" s="459"/>
      <c r="F5" s="525" t="s">
        <v>1677</v>
      </c>
      <c r="G5" s="459"/>
      <c r="H5" s="459"/>
      <c r="I5" s="459"/>
      <c r="J5" s="459"/>
      <c r="K5" s="459"/>
      <c r="L5" s="527"/>
      <c r="M5" s="459"/>
      <c r="N5" s="459"/>
      <c r="O5" s="459"/>
      <c r="P5" s="530" t="s">
        <v>1678</v>
      </c>
      <c r="Q5" s="459"/>
      <c r="R5" s="435" t="s">
        <v>1662</v>
      </c>
      <c r="S5" s="518" t="s">
        <v>1679</v>
      </c>
      <c r="T5" s="459"/>
      <c r="U5" s="459"/>
      <c r="V5" s="459"/>
      <c r="W5" s="459"/>
      <c r="X5" s="459"/>
      <c r="Y5" s="459"/>
      <c r="Z5" s="459"/>
      <c r="AA5" s="459"/>
      <c r="AB5" s="459"/>
      <c r="AC5" s="459"/>
      <c r="AD5" s="459"/>
      <c r="AE5" s="459"/>
      <c r="AF5" s="459"/>
    </row>
    <row r="6" ht="63.75" customHeight="1">
      <c r="A6" s="459"/>
      <c r="B6" s="435" t="s">
        <v>7</v>
      </c>
      <c r="C6" s="529" t="str">
        <f>"+1 Sci, +1 Civics/Adj. Courthouse/Ministry/Palace"</f>
        <v>+1 Sci, +1 Civics/Adj. Courthouse/Ministry/Palace</v>
      </c>
      <c r="D6" s="512">
        <v>2.0</v>
      </c>
      <c r="E6" s="459"/>
      <c r="F6" s="459"/>
      <c r="G6" s="459"/>
      <c r="H6" s="459"/>
      <c r="I6" s="526" t="s">
        <v>1680</v>
      </c>
      <c r="J6" s="459"/>
      <c r="K6" s="459"/>
      <c r="L6" s="527"/>
      <c r="M6" s="459"/>
      <c r="N6" s="459"/>
      <c r="O6" s="531" t="s">
        <v>1681</v>
      </c>
      <c r="P6" s="459"/>
      <c r="Q6" s="459"/>
      <c r="R6" s="435" t="s">
        <v>15</v>
      </c>
      <c r="S6" s="518" t="s">
        <v>1682</v>
      </c>
      <c r="T6" s="459"/>
      <c r="U6" s="459"/>
      <c r="V6" s="459"/>
      <c r="W6" s="459"/>
      <c r="X6" s="459"/>
      <c r="Y6" s="459"/>
      <c r="Z6" s="459"/>
      <c r="AA6" s="459"/>
      <c r="AB6" s="459"/>
      <c r="AC6" s="459"/>
      <c r="AD6" s="459"/>
      <c r="AE6" s="459"/>
      <c r="AF6" s="459"/>
    </row>
    <row r="7" ht="63.75" customHeight="1">
      <c r="A7" s="459"/>
      <c r="B7" s="435" t="s">
        <v>1683</v>
      </c>
      <c r="C7" s="532" t="str">
        <f>"New Ranged Units: +1 Level
+20% Adj. Camps"</f>
        <v>New Ranged Units: +1 Level
+20% Adj. Camps</v>
      </c>
      <c r="D7" s="512">
        <v>4.0</v>
      </c>
      <c r="E7" s="459"/>
      <c r="F7" s="459"/>
      <c r="G7" s="459"/>
      <c r="H7" s="514" t="s">
        <v>1684</v>
      </c>
      <c r="I7" s="527"/>
      <c r="J7" s="520" t="s">
        <v>1685</v>
      </c>
      <c r="K7" s="515" t="s">
        <v>1686</v>
      </c>
      <c r="L7" s="527"/>
      <c r="M7" s="459"/>
      <c r="N7" s="459"/>
      <c r="O7" s="459"/>
      <c r="P7" s="459"/>
      <c r="Q7" s="523" t="s">
        <v>1687</v>
      </c>
      <c r="R7" s="435" t="s">
        <v>15</v>
      </c>
      <c r="S7" s="518" t="s">
        <v>1688</v>
      </c>
      <c r="T7" s="459"/>
      <c r="U7" s="459"/>
      <c r="V7" s="459"/>
      <c r="W7" s="459"/>
      <c r="X7" s="459"/>
      <c r="Y7" s="459"/>
      <c r="Z7" s="459"/>
      <c r="AA7" s="459"/>
      <c r="AB7" s="459"/>
      <c r="AC7" s="459"/>
      <c r="AD7" s="459"/>
      <c r="AE7" s="459"/>
      <c r="AF7" s="459"/>
    </row>
    <row r="8" ht="63.75" customHeight="1">
      <c r="A8" s="459"/>
      <c r="B8" s="435" t="s">
        <v>1689</v>
      </c>
      <c r="C8" s="533" t="str">
        <f>"+1 Training/Adj. Lumbermill,
+20% Adj. Mines"</f>
        <v>+1 Training/Adj. Lumbermill,
+20% Adj. Mines</v>
      </c>
      <c r="D8" s="512">
        <v>5.0</v>
      </c>
      <c r="E8" s="513" t="s">
        <v>1690</v>
      </c>
      <c r="F8" s="459"/>
      <c r="G8" s="459"/>
      <c r="H8" s="459"/>
      <c r="I8" s="527"/>
      <c r="J8" s="459"/>
      <c r="K8" s="515" t="s">
        <v>1691</v>
      </c>
      <c r="L8" s="521" t="s">
        <v>1692</v>
      </c>
      <c r="M8" s="459"/>
      <c r="N8" s="522" t="s">
        <v>1693</v>
      </c>
      <c r="O8" s="512"/>
      <c r="P8" s="530" t="s">
        <v>1694</v>
      </c>
      <c r="Q8" s="512"/>
      <c r="R8" s="435" t="s">
        <v>15</v>
      </c>
      <c r="S8" s="518" t="s">
        <v>1695</v>
      </c>
      <c r="T8" s="459"/>
      <c r="U8" s="459"/>
      <c r="V8" s="459"/>
      <c r="W8" s="459"/>
      <c r="X8" s="459"/>
      <c r="Y8" s="459"/>
      <c r="Z8" s="459"/>
      <c r="AA8" s="459"/>
      <c r="AB8" s="459"/>
      <c r="AC8" s="459"/>
      <c r="AD8" s="459"/>
      <c r="AE8" s="459"/>
      <c r="AF8" s="459"/>
    </row>
    <row r="9" ht="63.75" customHeight="1">
      <c r="A9" s="459"/>
      <c r="B9" s="435" t="s">
        <v>1696</v>
      </c>
      <c r="C9" s="534" t="str">
        <f>"+2 Growth
+20% Adj. Pastures"</f>
        <v>+2 Growth
+20% Adj. Pastures</v>
      </c>
      <c r="D9" s="512">
        <v>6.0</v>
      </c>
      <c r="E9" s="459"/>
      <c r="F9" s="525" t="s">
        <v>1697</v>
      </c>
      <c r="G9" s="474" t="s">
        <v>1698</v>
      </c>
      <c r="H9" s="459"/>
      <c r="I9" s="527"/>
      <c r="J9" s="459"/>
      <c r="K9" s="459"/>
      <c r="L9" s="521" t="s">
        <v>1699</v>
      </c>
      <c r="M9" s="516" t="s">
        <v>1700</v>
      </c>
      <c r="N9" s="522" t="s">
        <v>1701</v>
      </c>
      <c r="O9" s="512"/>
      <c r="P9" s="530" t="s">
        <v>1702</v>
      </c>
      <c r="Q9" s="512"/>
      <c r="R9" s="435" t="s">
        <v>19</v>
      </c>
      <c r="S9" s="528" t="str">
        <f>"+2 Growth can be nice in the early game, esp. if you find a good spot with pastures this can be handy, especially as Carthage which has this shrine but has no growth families."</f>
        <v>+2 Growth can be nice in the early game, esp. if you find a good spot with pastures this can be handy, especially as Carthage which has this shrine but has no growth families.</v>
      </c>
      <c r="T9" s="459"/>
      <c r="U9" s="459"/>
      <c r="V9" s="459"/>
      <c r="W9" s="459"/>
      <c r="X9" s="459"/>
      <c r="Y9" s="459"/>
      <c r="Z9" s="459"/>
      <c r="AA9" s="459"/>
      <c r="AB9" s="459"/>
      <c r="AC9" s="459"/>
      <c r="AD9" s="459"/>
      <c r="AE9" s="459"/>
      <c r="AF9" s="459"/>
    </row>
    <row r="10" ht="63.75" customHeight="1">
      <c r="A10" s="459"/>
      <c r="B10" s="435" t="s">
        <v>1703</v>
      </c>
      <c r="C10" s="535" t="str">
        <f>"+2 Cult, +100% Cult/Adj. Volcano, +50% Cult/Adj. Mountain"</f>
        <v>+2 Cult, +100% Cult/Adj. Volcano, +50% Cult/Adj. Mountain</v>
      </c>
      <c r="D10" s="512">
        <v>4.0</v>
      </c>
      <c r="E10" s="459"/>
      <c r="F10" s="525" t="s">
        <v>1704</v>
      </c>
      <c r="G10" s="459"/>
      <c r="H10" s="514" t="s">
        <v>1705</v>
      </c>
      <c r="I10" s="526" t="s">
        <v>1706</v>
      </c>
      <c r="J10" s="459"/>
      <c r="K10" s="459"/>
      <c r="L10" s="527"/>
      <c r="M10" s="459"/>
      <c r="N10" s="459"/>
      <c r="O10" s="459"/>
      <c r="P10" s="459"/>
      <c r="Q10" s="523" t="s">
        <v>1707</v>
      </c>
      <c r="R10" s="435" t="s">
        <v>19</v>
      </c>
      <c r="S10" s="518" t="s">
        <v>1708</v>
      </c>
      <c r="T10" s="459"/>
      <c r="U10" s="459"/>
      <c r="V10" s="459"/>
      <c r="W10" s="459"/>
      <c r="X10" s="459"/>
      <c r="Y10" s="459"/>
      <c r="Z10" s="459"/>
      <c r="AA10" s="459"/>
      <c r="AB10" s="459"/>
      <c r="AC10" s="459"/>
      <c r="AD10" s="459"/>
      <c r="AE10" s="459"/>
      <c r="AF10" s="459"/>
    </row>
    <row r="11" ht="63.75" customHeight="1">
      <c r="A11" s="459"/>
      <c r="B11" s="435" t="s">
        <v>1709</v>
      </c>
      <c r="C11" s="536" t="str">
        <f>"+20 Money, +2 Money/Water tiles
+20% Adj. Nets"</f>
        <v>+20 Money, +2 Money/Water tiles
+20% Adj. Nets</v>
      </c>
      <c r="D11" s="512">
        <v>5.0</v>
      </c>
      <c r="E11" s="459"/>
      <c r="F11" s="459"/>
      <c r="G11" s="474" t="s">
        <v>1710</v>
      </c>
      <c r="H11" s="459"/>
      <c r="I11" s="526" t="s">
        <v>1711</v>
      </c>
      <c r="J11" s="459"/>
      <c r="K11" s="515" t="s">
        <v>1712</v>
      </c>
      <c r="L11" s="527"/>
      <c r="M11" s="459"/>
      <c r="N11" s="522" t="s">
        <v>1713</v>
      </c>
      <c r="O11" s="512"/>
      <c r="P11" s="530" t="s">
        <v>1714</v>
      </c>
      <c r="Q11" s="512"/>
      <c r="R11" s="435" t="s">
        <v>19</v>
      </c>
      <c r="S11" s="518" t="s">
        <v>1715</v>
      </c>
      <c r="T11" s="459"/>
      <c r="U11" s="459"/>
      <c r="V11" s="459"/>
      <c r="W11" s="459"/>
      <c r="X11" s="459"/>
      <c r="Y11" s="459"/>
      <c r="Z11" s="459"/>
      <c r="AA11" s="459"/>
      <c r="AB11" s="459"/>
      <c r="AC11" s="459"/>
      <c r="AD11" s="459"/>
      <c r="AE11" s="459"/>
      <c r="AF11" s="459"/>
    </row>
    <row r="12" ht="63.75" customHeight="1">
      <c r="A12" s="459"/>
      <c r="B12" s="435" t="s">
        <v>1716</v>
      </c>
      <c r="C12" s="535" t="str">
        <f>"+2 Cult
+10 Money/Adj. Resource"</f>
        <v>+2 Cult
+10 Money/Adj. Resource</v>
      </c>
      <c r="D12" s="512">
        <v>4.0</v>
      </c>
      <c r="E12" s="459"/>
      <c r="F12" s="459"/>
      <c r="G12" s="474" t="s">
        <v>1717</v>
      </c>
      <c r="H12" s="459"/>
      <c r="I12" s="527"/>
      <c r="J12" s="520" t="s">
        <v>1718</v>
      </c>
      <c r="K12" s="459"/>
      <c r="L12" s="521" t="s">
        <v>1719</v>
      </c>
      <c r="M12" s="459"/>
      <c r="N12" s="459"/>
      <c r="O12" s="459"/>
      <c r="P12" s="459"/>
      <c r="Q12" s="523" t="s">
        <v>1720</v>
      </c>
      <c r="R12" s="435" t="s">
        <v>19</v>
      </c>
      <c r="S12" s="518" t="s">
        <v>1721</v>
      </c>
      <c r="T12" s="459"/>
      <c r="U12" s="459"/>
      <c r="V12" s="459"/>
      <c r="W12" s="459"/>
      <c r="X12" s="459"/>
      <c r="Y12" s="459"/>
      <c r="Z12" s="459"/>
      <c r="AA12" s="459"/>
      <c r="AB12" s="459"/>
      <c r="AC12" s="459"/>
      <c r="AD12" s="459"/>
      <c r="AE12" s="459"/>
      <c r="AF12" s="459"/>
    </row>
    <row r="13" ht="63.75" customHeight="1">
      <c r="A13" s="459"/>
      <c r="B13" s="435" t="s">
        <v>1722</v>
      </c>
      <c r="C13" s="534" t="s">
        <v>1723</v>
      </c>
      <c r="D13" s="512">
        <v>4.0</v>
      </c>
      <c r="E13" s="459"/>
      <c r="F13" s="459"/>
      <c r="G13" s="474" t="s">
        <v>1724</v>
      </c>
      <c r="H13" s="514" t="s">
        <v>1725</v>
      </c>
      <c r="I13" s="527"/>
      <c r="J13" s="520" t="s">
        <v>1726</v>
      </c>
      <c r="K13" s="459"/>
      <c r="L13" s="459"/>
      <c r="M13" s="459"/>
      <c r="N13" s="459"/>
      <c r="O13" s="517" t="s">
        <v>1727</v>
      </c>
      <c r="P13" s="459"/>
      <c r="Q13" s="459"/>
      <c r="R13" s="435" t="s">
        <v>19</v>
      </c>
      <c r="S13" s="518" t="s">
        <v>1728</v>
      </c>
      <c r="T13" s="459"/>
      <c r="U13" s="459"/>
      <c r="V13" s="459"/>
      <c r="W13" s="459"/>
      <c r="X13" s="459"/>
      <c r="Y13" s="459"/>
      <c r="Z13" s="459"/>
      <c r="AA13" s="459"/>
      <c r="AB13" s="459"/>
      <c r="AC13" s="459"/>
      <c r="AD13" s="459"/>
      <c r="AE13" s="459"/>
      <c r="AF13" s="459"/>
    </row>
    <row r="14" ht="63.75" customHeight="1">
      <c r="A14" s="459"/>
      <c r="B14" s="435" t="s">
        <v>43</v>
      </c>
      <c r="C14" s="537" t="str">
        <f>"+1 Happ, +1 Civics/Adj. Odeon/Theatre/Amphitheater"</f>
        <v>+1 Happ, +1 Civics/Adj. Odeon/Theatre/Amphitheater</v>
      </c>
      <c r="D14" s="512">
        <v>1.0</v>
      </c>
      <c r="E14" s="459"/>
      <c r="F14" s="459"/>
      <c r="G14" s="459"/>
      <c r="H14" s="459"/>
      <c r="I14" s="526" t="s">
        <v>1729</v>
      </c>
      <c r="J14" s="459"/>
      <c r="K14" s="459"/>
      <c r="L14" s="459"/>
      <c r="M14" s="459"/>
      <c r="N14" s="459"/>
      <c r="O14" s="459"/>
      <c r="P14" s="459"/>
      <c r="Q14" s="459"/>
      <c r="R14" s="435" t="s">
        <v>15</v>
      </c>
      <c r="S14" s="518" t="s">
        <v>1730</v>
      </c>
      <c r="T14" s="459"/>
      <c r="U14" s="459"/>
      <c r="V14" s="459"/>
      <c r="W14" s="459"/>
      <c r="X14" s="459"/>
      <c r="Y14" s="459"/>
      <c r="Z14" s="459"/>
      <c r="AA14" s="459"/>
      <c r="AB14" s="459"/>
      <c r="AC14" s="459"/>
      <c r="AD14" s="459"/>
      <c r="AE14" s="459"/>
      <c r="AF14" s="459"/>
    </row>
    <row r="15">
      <c r="A15" s="292"/>
      <c r="C15" s="55"/>
      <c r="S15" s="538"/>
    </row>
    <row r="16">
      <c r="A16" s="292"/>
      <c r="B16" s="539" t="s">
        <v>1731</v>
      </c>
      <c r="C16" s="540"/>
      <c r="S16" s="538"/>
    </row>
    <row r="17">
      <c r="A17" s="292"/>
      <c r="C17" s="55"/>
      <c r="S17" s="538"/>
    </row>
    <row r="18">
      <c r="A18" s="292"/>
      <c r="B18" s="53" t="s">
        <v>1732</v>
      </c>
      <c r="S18" s="538"/>
    </row>
    <row r="19">
      <c r="A19" s="292"/>
      <c r="B19" s="4" t="s">
        <v>1733</v>
      </c>
      <c r="S19" s="538"/>
    </row>
    <row r="20">
      <c r="A20" s="292"/>
      <c r="C20" s="55"/>
      <c r="S20" s="538"/>
    </row>
    <row r="21">
      <c r="A21" s="292"/>
      <c r="B21" s="4" t="s">
        <v>1734</v>
      </c>
      <c r="S21" s="538"/>
    </row>
    <row r="22">
      <c r="A22" s="292"/>
      <c r="C22" s="55"/>
      <c r="S22" s="538"/>
    </row>
    <row r="23">
      <c r="A23" s="292"/>
      <c r="B23" s="4" t="s">
        <v>1735</v>
      </c>
      <c r="S23" s="538"/>
    </row>
    <row r="24">
      <c r="A24" s="292"/>
      <c r="C24" s="55"/>
      <c r="S24" s="538"/>
    </row>
    <row r="25">
      <c r="A25" s="292"/>
      <c r="B25" s="4" t="s">
        <v>1736</v>
      </c>
      <c r="S25" s="538"/>
    </row>
    <row r="26">
      <c r="A26" s="292"/>
      <c r="C26" s="55"/>
      <c r="S26" s="538"/>
    </row>
    <row r="27">
      <c r="A27" s="292"/>
      <c r="C27" s="55"/>
      <c r="S27" s="538"/>
    </row>
    <row r="28">
      <c r="A28" s="292"/>
      <c r="C28" s="55"/>
      <c r="S28" s="538"/>
    </row>
    <row r="29">
      <c r="A29" s="292"/>
      <c r="C29" s="55"/>
      <c r="S29" s="538"/>
    </row>
    <row r="30">
      <c r="A30" s="292"/>
      <c r="C30" s="55"/>
      <c r="S30" s="538"/>
    </row>
    <row r="31">
      <c r="A31" s="292"/>
      <c r="C31" s="55"/>
      <c r="S31" s="538"/>
    </row>
    <row r="32">
      <c r="A32" s="292"/>
      <c r="C32" s="55"/>
      <c r="S32" s="538"/>
    </row>
    <row r="33">
      <c r="A33" s="292"/>
      <c r="C33" s="55"/>
      <c r="S33" s="538"/>
    </row>
    <row r="34">
      <c r="A34" s="292"/>
      <c r="C34" s="55"/>
      <c r="S34" s="538"/>
    </row>
    <row r="35">
      <c r="A35" s="292"/>
      <c r="C35" s="55"/>
      <c r="S35" s="538"/>
    </row>
    <row r="36">
      <c r="A36" s="292"/>
      <c r="C36" s="55"/>
      <c r="S36" s="538"/>
    </row>
    <row r="37">
      <c r="A37" s="292"/>
      <c r="C37" s="55"/>
      <c r="S37" s="538"/>
    </row>
    <row r="38">
      <c r="A38" s="292"/>
      <c r="C38" s="55"/>
      <c r="S38" s="538"/>
    </row>
    <row r="39">
      <c r="A39" s="292"/>
      <c r="C39" s="55"/>
      <c r="S39" s="538"/>
    </row>
    <row r="40">
      <c r="A40" s="292"/>
      <c r="C40" s="55"/>
      <c r="S40" s="538"/>
    </row>
    <row r="41">
      <c r="A41" s="292"/>
      <c r="C41" s="55"/>
      <c r="S41" s="538"/>
    </row>
    <row r="42">
      <c r="A42" s="292"/>
      <c r="C42" s="55"/>
      <c r="S42" s="538"/>
    </row>
    <row r="43">
      <c r="A43" s="292"/>
      <c r="C43" s="55"/>
      <c r="S43" s="538"/>
    </row>
    <row r="44">
      <c r="A44" s="292"/>
      <c r="C44" s="55"/>
      <c r="S44" s="538"/>
    </row>
    <row r="45">
      <c r="A45" s="292"/>
      <c r="C45" s="55"/>
      <c r="S45" s="538"/>
    </row>
    <row r="46">
      <c r="A46" s="292"/>
      <c r="C46" s="55"/>
      <c r="S46" s="538"/>
    </row>
    <row r="47">
      <c r="A47" s="292"/>
      <c r="C47" s="55"/>
      <c r="S47" s="538"/>
    </row>
    <row r="48">
      <c r="A48" s="292"/>
      <c r="C48" s="55"/>
      <c r="S48" s="538"/>
    </row>
    <row r="49">
      <c r="A49" s="292"/>
      <c r="C49" s="55"/>
      <c r="S49" s="538"/>
    </row>
    <row r="50">
      <c r="A50" s="292"/>
      <c r="C50" s="55"/>
      <c r="S50" s="538"/>
    </row>
    <row r="51">
      <c r="A51" s="292"/>
      <c r="C51" s="55"/>
      <c r="S51" s="538"/>
    </row>
    <row r="52">
      <c r="A52" s="292"/>
      <c r="C52" s="55"/>
      <c r="S52" s="538"/>
    </row>
    <row r="53">
      <c r="A53" s="292"/>
      <c r="C53" s="55"/>
      <c r="S53" s="538"/>
    </row>
    <row r="54">
      <c r="A54" s="292"/>
      <c r="C54" s="55"/>
      <c r="S54" s="538"/>
    </row>
    <row r="55">
      <c r="A55" s="292"/>
      <c r="C55" s="55"/>
      <c r="S55" s="538"/>
    </row>
    <row r="56">
      <c r="A56" s="292"/>
      <c r="C56" s="55"/>
      <c r="S56" s="538"/>
    </row>
    <row r="57">
      <c r="A57" s="292"/>
      <c r="C57" s="55"/>
      <c r="S57" s="538"/>
    </row>
    <row r="58">
      <c r="A58" s="292"/>
      <c r="C58" s="55"/>
      <c r="S58" s="538"/>
    </row>
    <row r="59">
      <c r="A59" s="292"/>
      <c r="C59" s="55"/>
      <c r="S59" s="538"/>
    </row>
    <row r="60">
      <c r="A60" s="292"/>
      <c r="C60" s="55"/>
      <c r="S60" s="538"/>
    </row>
    <row r="61">
      <c r="A61" s="292"/>
      <c r="C61" s="55"/>
      <c r="S61" s="538"/>
    </row>
    <row r="62">
      <c r="A62" s="292"/>
      <c r="C62" s="55"/>
      <c r="S62" s="538"/>
    </row>
    <row r="63">
      <c r="A63" s="292"/>
      <c r="C63" s="55"/>
      <c r="S63" s="538"/>
    </row>
    <row r="64">
      <c r="A64" s="292"/>
      <c r="C64" s="55"/>
      <c r="S64" s="538"/>
    </row>
    <row r="65">
      <c r="A65" s="292"/>
      <c r="C65" s="55"/>
      <c r="S65" s="538"/>
    </row>
    <row r="66">
      <c r="A66" s="292"/>
      <c r="C66" s="55"/>
      <c r="S66" s="538"/>
    </row>
    <row r="67">
      <c r="A67" s="292"/>
      <c r="C67" s="55"/>
      <c r="S67" s="538"/>
    </row>
    <row r="68">
      <c r="A68" s="292"/>
      <c r="C68" s="55"/>
      <c r="S68" s="538"/>
    </row>
    <row r="69">
      <c r="A69" s="292"/>
      <c r="C69" s="55"/>
      <c r="S69" s="538"/>
    </row>
    <row r="70">
      <c r="A70" s="292"/>
      <c r="C70" s="55"/>
      <c r="S70" s="538"/>
    </row>
    <row r="71">
      <c r="A71" s="292"/>
      <c r="C71" s="55"/>
      <c r="S71" s="538"/>
    </row>
    <row r="72">
      <c r="A72" s="292"/>
      <c r="C72" s="55"/>
      <c r="S72" s="538"/>
    </row>
    <row r="73">
      <c r="A73" s="292"/>
      <c r="C73" s="55"/>
      <c r="S73" s="538"/>
    </row>
    <row r="74">
      <c r="A74" s="292"/>
      <c r="C74" s="55"/>
      <c r="S74" s="538"/>
    </row>
    <row r="75">
      <c r="A75" s="292"/>
      <c r="C75" s="55"/>
      <c r="S75" s="538"/>
    </row>
    <row r="76">
      <c r="A76" s="292"/>
      <c r="C76" s="55"/>
      <c r="S76" s="538"/>
    </row>
    <row r="77">
      <c r="A77" s="292"/>
      <c r="C77" s="55"/>
      <c r="S77" s="538"/>
    </row>
    <row r="78">
      <c r="A78" s="292"/>
      <c r="C78" s="55"/>
      <c r="S78" s="538"/>
    </row>
    <row r="79">
      <c r="A79" s="292"/>
      <c r="C79" s="55"/>
      <c r="S79" s="538"/>
    </row>
    <row r="80">
      <c r="A80" s="292"/>
      <c r="C80" s="55"/>
      <c r="S80" s="538"/>
    </row>
    <row r="81">
      <c r="A81" s="292"/>
      <c r="C81" s="55"/>
      <c r="S81" s="538"/>
    </row>
    <row r="82">
      <c r="A82" s="292"/>
      <c r="C82" s="55"/>
      <c r="S82" s="538"/>
    </row>
    <row r="83">
      <c r="A83" s="292"/>
      <c r="C83" s="55"/>
      <c r="S83" s="538"/>
    </row>
    <row r="84">
      <c r="A84" s="292"/>
      <c r="C84" s="55"/>
      <c r="S84" s="538"/>
    </row>
    <row r="85">
      <c r="A85" s="292"/>
      <c r="C85" s="55"/>
      <c r="S85" s="538"/>
    </row>
    <row r="86">
      <c r="A86" s="292"/>
      <c r="C86" s="55"/>
      <c r="S86" s="538"/>
    </row>
    <row r="87">
      <c r="A87" s="292"/>
      <c r="C87" s="55"/>
      <c r="S87" s="538"/>
    </row>
    <row r="88">
      <c r="A88" s="292"/>
      <c r="C88" s="55"/>
      <c r="S88" s="538"/>
    </row>
    <row r="89">
      <c r="A89" s="292"/>
      <c r="C89" s="55"/>
      <c r="S89" s="538"/>
    </row>
    <row r="90">
      <c r="A90" s="292"/>
      <c r="C90" s="55"/>
      <c r="S90" s="538"/>
    </row>
    <row r="91">
      <c r="A91" s="292"/>
      <c r="C91" s="55"/>
      <c r="S91" s="538"/>
    </row>
    <row r="92">
      <c r="A92" s="292"/>
      <c r="C92" s="55"/>
      <c r="S92" s="538"/>
    </row>
    <row r="93">
      <c r="A93" s="292"/>
      <c r="C93" s="55"/>
      <c r="S93" s="538"/>
    </row>
    <row r="94">
      <c r="A94" s="292"/>
      <c r="C94" s="55"/>
      <c r="S94" s="538"/>
    </row>
    <row r="95">
      <c r="A95" s="292"/>
      <c r="C95" s="55"/>
      <c r="S95" s="538"/>
    </row>
    <row r="96">
      <c r="A96" s="292"/>
      <c r="C96" s="55"/>
      <c r="S96" s="538"/>
    </row>
    <row r="97">
      <c r="A97" s="292"/>
      <c r="C97" s="55"/>
      <c r="S97" s="538"/>
    </row>
    <row r="98">
      <c r="A98" s="292"/>
      <c r="C98" s="55"/>
      <c r="S98" s="538"/>
    </row>
    <row r="99">
      <c r="A99" s="292"/>
      <c r="C99" s="55"/>
      <c r="S99" s="538"/>
    </row>
    <row r="100">
      <c r="A100" s="292"/>
      <c r="C100" s="55"/>
      <c r="S100" s="538"/>
    </row>
    <row r="101">
      <c r="A101" s="292"/>
      <c r="C101" s="55"/>
      <c r="S101" s="538"/>
    </row>
    <row r="102">
      <c r="A102" s="292"/>
      <c r="C102" s="55"/>
      <c r="S102" s="538"/>
    </row>
    <row r="103">
      <c r="A103" s="292"/>
      <c r="C103" s="55"/>
      <c r="S103" s="538"/>
    </row>
    <row r="104">
      <c r="A104" s="292"/>
      <c r="C104" s="55"/>
      <c r="S104" s="538"/>
    </row>
    <row r="105">
      <c r="A105" s="292"/>
      <c r="C105" s="55"/>
      <c r="S105" s="538"/>
    </row>
    <row r="106">
      <c r="A106" s="292"/>
      <c r="C106" s="55"/>
      <c r="S106" s="538"/>
    </row>
    <row r="107">
      <c r="A107" s="292"/>
      <c r="C107" s="55"/>
      <c r="S107" s="538"/>
    </row>
    <row r="108">
      <c r="A108" s="292"/>
      <c r="C108" s="55"/>
      <c r="S108" s="538"/>
    </row>
    <row r="109">
      <c r="A109" s="292"/>
      <c r="C109" s="55"/>
      <c r="S109" s="538"/>
    </row>
    <row r="110">
      <c r="A110" s="292"/>
      <c r="C110" s="55"/>
      <c r="S110" s="538"/>
    </row>
    <row r="111">
      <c r="A111" s="292"/>
      <c r="C111" s="55"/>
      <c r="S111" s="538"/>
    </row>
    <row r="112">
      <c r="A112" s="292"/>
      <c r="C112" s="55"/>
      <c r="S112" s="538"/>
    </row>
    <row r="113">
      <c r="A113" s="292"/>
      <c r="C113" s="55"/>
      <c r="S113" s="538"/>
    </row>
    <row r="114">
      <c r="A114" s="292"/>
      <c r="C114" s="55"/>
      <c r="S114" s="538"/>
    </row>
    <row r="115">
      <c r="A115" s="292"/>
      <c r="C115" s="55"/>
      <c r="S115" s="538"/>
    </row>
    <row r="116">
      <c r="A116" s="292"/>
      <c r="C116" s="55"/>
      <c r="S116" s="538"/>
    </row>
    <row r="117">
      <c r="A117" s="292"/>
      <c r="C117" s="55"/>
      <c r="S117" s="538"/>
    </row>
    <row r="118">
      <c r="A118" s="292"/>
      <c r="C118" s="55"/>
      <c r="S118" s="538"/>
    </row>
    <row r="119">
      <c r="A119" s="292"/>
      <c r="C119" s="55"/>
      <c r="S119" s="538"/>
    </row>
    <row r="120">
      <c r="A120" s="292"/>
      <c r="C120" s="55"/>
      <c r="S120" s="538"/>
    </row>
    <row r="121">
      <c r="A121" s="292"/>
      <c r="C121" s="55"/>
      <c r="S121" s="538"/>
    </row>
    <row r="122">
      <c r="A122" s="292"/>
      <c r="C122" s="55"/>
      <c r="S122" s="538"/>
    </row>
    <row r="123">
      <c r="A123" s="292"/>
      <c r="C123" s="55"/>
      <c r="S123" s="538"/>
    </row>
    <row r="124">
      <c r="A124" s="292"/>
      <c r="C124" s="55"/>
      <c r="S124" s="538"/>
    </row>
    <row r="125">
      <c r="A125" s="292"/>
      <c r="C125" s="55"/>
      <c r="S125" s="538"/>
    </row>
    <row r="126">
      <c r="A126" s="292"/>
      <c r="C126" s="55"/>
      <c r="S126" s="538"/>
    </row>
    <row r="127">
      <c r="A127" s="292"/>
      <c r="C127" s="55"/>
      <c r="S127" s="538"/>
    </row>
    <row r="128">
      <c r="A128" s="292"/>
      <c r="C128" s="55"/>
      <c r="S128" s="538"/>
    </row>
    <row r="129">
      <c r="A129" s="292"/>
      <c r="C129" s="55"/>
      <c r="S129" s="538"/>
    </row>
    <row r="130">
      <c r="A130" s="292"/>
      <c r="C130" s="55"/>
      <c r="S130" s="538"/>
    </row>
    <row r="131">
      <c r="A131" s="292"/>
      <c r="C131" s="55"/>
      <c r="S131" s="538"/>
    </row>
    <row r="132">
      <c r="A132" s="292"/>
      <c r="C132" s="55"/>
      <c r="S132" s="538"/>
    </row>
    <row r="133">
      <c r="A133" s="292"/>
      <c r="C133" s="55"/>
      <c r="S133" s="538"/>
    </row>
    <row r="134">
      <c r="A134" s="292"/>
      <c r="C134" s="55"/>
      <c r="S134" s="538"/>
    </row>
    <row r="135">
      <c r="A135" s="292"/>
      <c r="C135" s="55"/>
      <c r="S135" s="538"/>
    </row>
    <row r="136">
      <c r="A136" s="292"/>
      <c r="C136" s="55"/>
      <c r="S136" s="538"/>
    </row>
    <row r="137">
      <c r="A137" s="292"/>
      <c r="C137" s="55"/>
      <c r="S137" s="538"/>
    </row>
    <row r="138">
      <c r="A138" s="292"/>
      <c r="C138" s="55"/>
      <c r="S138" s="538"/>
    </row>
    <row r="139">
      <c r="A139" s="292"/>
      <c r="C139" s="55"/>
      <c r="S139" s="538"/>
    </row>
    <row r="140">
      <c r="A140" s="292"/>
      <c r="C140" s="55"/>
      <c r="S140" s="538"/>
    </row>
    <row r="141">
      <c r="A141" s="292"/>
      <c r="C141" s="55"/>
      <c r="S141" s="538"/>
    </row>
    <row r="142">
      <c r="A142" s="292"/>
      <c r="C142" s="55"/>
      <c r="S142" s="538"/>
    </row>
    <row r="143">
      <c r="A143" s="292"/>
      <c r="C143" s="55"/>
      <c r="S143" s="538"/>
    </row>
    <row r="144">
      <c r="A144" s="292"/>
      <c r="C144" s="55"/>
      <c r="S144" s="538"/>
    </row>
    <row r="145">
      <c r="A145" s="292"/>
      <c r="C145" s="55"/>
      <c r="S145" s="538"/>
    </row>
    <row r="146">
      <c r="A146" s="292"/>
      <c r="C146" s="55"/>
      <c r="S146" s="538"/>
    </row>
    <row r="147">
      <c r="A147" s="292"/>
      <c r="C147" s="55"/>
      <c r="S147" s="538"/>
    </row>
    <row r="148">
      <c r="A148" s="292"/>
      <c r="C148" s="55"/>
      <c r="S148" s="538"/>
    </row>
    <row r="149">
      <c r="A149" s="292"/>
      <c r="C149" s="55"/>
      <c r="S149" s="538"/>
    </row>
    <row r="150">
      <c r="A150" s="292"/>
      <c r="C150" s="55"/>
      <c r="S150" s="538"/>
    </row>
    <row r="151">
      <c r="A151" s="292"/>
      <c r="C151" s="55"/>
      <c r="S151" s="538"/>
    </row>
    <row r="152">
      <c r="A152" s="292"/>
      <c r="C152" s="55"/>
      <c r="S152" s="538"/>
    </row>
    <row r="153">
      <c r="A153" s="292"/>
      <c r="C153" s="55"/>
      <c r="S153" s="538"/>
    </row>
    <row r="154">
      <c r="A154" s="292"/>
      <c r="C154" s="55"/>
      <c r="S154" s="538"/>
    </row>
    <row r="155">
      <c r="A155" s="292"/>
      <c r="C155" s="55"/>
      <c r="S155" s="538"/>
    </row>
    <row r="156">
      <c r="A156" s="292"/>
      <c r="C156" s="55"/>
      <c r="S156" s="538"/>
    </row>
    <row r="157">
      <c r="A157" s="292"/>
      <c r="C157" s="55"/>
      <c r="S157" s="538"/>
    </row>
    <row r="158">
      <c r="A158" s="292"/>
      <c r="C158" s="55"/>
      <c r="S158" s="538"/>
    </row>
    <row r="159">
      <c r="A159" s="292"/>
      <c r="C159" s="55"/>
      <c r="S159" s="538"/>
    </row>
    <row r="160">
      <c r="A160" s="292"/>
      <c r="C160" s="55"/>
      <c r="S160" s="538"/>
    </row>
    <row r="161">
      <c r="A161" s="292"/>
      <c r="C161" s="55"/>
      <c r="S161" s="538"/>
    </row>
    <row r="162">
      <c r="A162" s="292"/>
      <c r="C162" s="55"/>
      <c r="S162" s="538"/>
    </row>
    <row r="163">
      <c r="A163" s="292"/>
      <c r="C163" s="55"/>
      <c r="S163" s="538"/>
    </row>
    <row r="164">
      <c r="A164" s="292"/>
      <c r="C164" s="55"/>
      <c r="S164" s="538"/>
    </row>
    <row r="165">
      <c r="A165" s="292"/>
      <c r="C165" s="55"/>
      <c r="S165" s="538"/>
    </row>
    <row r="166">
      <c r="A166" s="292"/>
      <c r="C166" s="55"/>
      <c r="S166" s="538"/>
    </row>
    <row r="167">
      <c r="A167" s="292"/>
      <c r="C167" s="55"/>
      <c r="S167" s="538"/>
    </row>
    <row r="168">
      <c r="A168" s="292"/>
      <c r="C168" s="55"/>
      <c r="S168" s="538"/>
    </row>
    <row r="169">
      <c r="A169" s="292"/>
      <c r="C169" s="55"/>
      <c r="S169" s="538"/>
    </row>
    <row r="170">
      <c r="A170" s="292"/>
      <c r="C170" s="55"/>
      <c r="S170" s="538"/>
    </row>
    <row r="171">
      <c r="A171" s="292"/>
      <c r="C171" s="55"/>
      <c r="S171" s="538"/>
    </row>
    <row r="172">
      <c r="A172" s="292"/>
      <c r="C172" s="55"/>
      <c r="S172" s="538"/>
    </row>
    <row r="173">
      <c r="A173" s="292"/>
      <c r="C173" s="55"/>
      <c r="S173" s="538"/>
    </row>
    <row r="174">
      <c r="A174" s="292"/>
      <c r="C174" s="55"/>
      <c r="S174" s="538"/>
    </row>
    <row r="175">
      <c r="A175" s="292"/>
      <c r="C175" s="55"/>
      <c r="S175" s="538"/>
    </row>
    <row r="176">
      <c r="A176" s="292"/>
      <c r="C176" s="55"/>
      <c r="S176" s="538"/>
    </row>
    <row r="177">
      <c r="A177" s="292"/>
      <c r="C177" s="55"/>
      <c r="S177" s="538"/>
    </row>
    <row r="178">
      <c r="A178" s="292"/>
      <c r="C178" s="55"/>
      <c r="S178" s="538"/>
    </row>
    <row r="179">
      <c r="A179" s="292"/>
      <c r="C179" s="55"/>
      <c r="S179" s="538"/>
    </row>
    <row r="180">
      <c r="A180" s="292"/>
      <c r="C180" s="55"/>
      <c r="S180" s="538"/>
    </row>
    <row r="181">
      <c r="A181" s="292"/>
      <c r="C181" s="55"/>
      <c r="S181" s="538"/>
    </row>
    <row r="182">
      <c r="A182" s="292"/>
      <c r="C182" s="55"/>
      <c r="S182" s="538"/>
    </row>
    <row r="183">
      <c r="A183" s="292"/>
      <c r="C183" s="55"/>
      <c r="S183" s="538"/>
    </row>
    <row r="184">
      <c r="A184" s="292"/>
      <c r="C184" s="55"/>
      <c r="S184" s="538"/>
    </row>
    <row r="185">
      <c r="A185" s="292"/>
      <c r="C185" s="55"/>
      <c r="S185" s="538"/>
    </row>
    <row r="186">
      <c r="A186" s="292"/>
      <c r="C186" s="55"/>
      <c r="S186" s="538"/>
    </row>
    <row r="187">
      <c r="A187" s="292"/>
      <c r="C187" s="55"/>
      <c r="S187" s="538"/>
    </row>
    <row r="188">
      <c r="A188" s="292"/>
      <c r="C188" s="55"/>
      <c r="S188" s="538"/>
    </row>
    <row r="189">
      <c r="A189" s="292"/>
      <c r="C189" s="55"/>
      <c r="S189" s="538"/>
    </row>
    <row r="190">
      <c r="A190" s="292"/>
      <c r="C190" s="55"/>
      <c r="S190" s="538"/>
    </row>
    <row r="191">
      <c r="A191" s="292"/>
      <c r="C191" s="55"/>
      <c r="S191" s="538"/>
    </row>
    <row r="192">
      <c r="A192" s="292"/>
      <c r="C192" s="55"/>
      <c r="S192" s="538"/>
    </row>
    <row r="193">
      <c r="A193" s="292"/>
      <c r="C193" s="55"/>
      <c r="S193" s="538"/>
    </row>
    <row r="194">
      <c r="A194" s="292"/>
      <c r="C194" s="55"/>
      <c r="S194" s="538"/>
    </row>
    <row r="195">
      <c r="A195" s="292"/>
      <c r="C195" s="55"/>
      <c r="S195" s="538"/>
    </row>
    <row r="196">
      <c r="A196" s="292"/>
      <c r="C196" s="55"/>
      <c r="S196" s="538"/>
    </row>
    <row r="197">
      <c r="A197" s="292"/>
      <c r="C197" s="55"/>
      <c r="S197" s="538"/>
    </row>
    <row r="198">
      <c r="A198" s="292"/>
      <c r="C198" s="55"/>
      <c r="S198" s="538"/>
    </row>
    <row r="199">
      <c r="A199" s="292"/>
      <c r="C199" s="55"/>
      <c r="S199" s="538"/>
    </row>
    <row r="200">
      <c r="A200" s="292"/>
      <c r="C200" s="55"/>
      <c r="S200" s="538"/>
    </row>
    <row r="201">
      <c r="A201" s="292"/>
      <c r="C201" s="55"/>
      <c r="S201" s="538"/>
    </row>
    <row r="202">
      <c r="A202" s="292"/>
      <c r="C202" s="55"/>
      <c r="S202" s="538"/>
    </row>
    <row r="203">
      <c r="A203" s="292"/>
      <c r="C203" s="55"/>
      <c r="S203" s="538"/>
    </row>
    <row r="204">
      <c r="A204" s="292"/>
      <c r="C204" s="55"/>
      <c r="S204" s="538"/>
    </row>
    <row r="205">
      <c r="A205" s="292"/>
      <c r="C205" s="55"/>
      <c r="S205" s="538"/>
    </row>
    <row r="206">
      <c r="A206" s="292"/>
      <c r="C206" s="55"/>
      <c r="S206" s="538"/>
    </row>
    <row r="207">
      <c r="A207" s="292"/>
      <c r="C207" s="55"/>
      <c r="S207" s="538"/>
    </row>
    <row r="208">
      <c r="A208" s="292"/>
      <c r="C208" s="55"/>
      <c r="S208" s="538"/>
    </row>
    <row r="209">
      <c r="A209" s="292"/>
      <c r="C209" s="55"/>
      <c r="S209" s="538"/>
    </row>
    <row r="210">
      <c r="A210" s="292"/>
      <c r="C210" s="55"/>
      <c r="S210" s="538"/>
    </row>
    <row r="211">
      <c r="A211" s="292"/>
      <c r="C211" s="55"/>
      <c r="S211" s="538"/>
    </row>
    <row r="212">
      <c r="A212" s="292"/>
      <c r="C212" s="55"/>
      <c r="S212" s="538"/>
    </row>
    <row r="213">
      <c r="A213" s="292"/>
      <c r="C213" s="55"/>
      <c r="S213" s="538"/>
    </row>
    <row r="214">
      <c r="A214" s="292"/>
      <c r="C214" s="55"/>
      <c r="S214" s="538"/>
    </row>
    <row r="215">
      <c r="A215" s="292"/>
      <c r="C215" s="55"/>
      <c r="S215" s="538"/>
    </row>
    <row r="216">
      <c r="A216" s="292"/>
      <c r="C216" s="55"/>
      <c r="S216" s="538"/>
    </row>
    <row r="217">
      <c r="A217" s="292"/>
      <c r="C217" s="55"/>
      <c r="S217" s="538"/>
    </row>
    <row r="218">
      <c r="A218" s="292"/>
      <c r="C218" s="55"/>
      <c r="S218" s="538"/>
    </row>
    <row r="219">
      <c r="A219" s="292"/>
      <c r="C219" s="55"/>
      <c r="S219" s="538"/>
    </row>
    <row r="220">
      <c r="A220" s="292"/>
      <c r="C220" s="55"/>
      <c r="S220" s="538"/>
    </row>
    <row r="221">
      <c r="A221" s="292"/>
      <c r="C221" s="55"/>
      <c r="S221" s="538"/>
    </row>
    <row r="222">
      <c r="A222" s="292"/>
      <c r="C222" s="55"/>
      <c r="S222" s="538"/>
    </row>
    <row r="223">
      <c r="A223" s="292"/>
      <c r="C223" s="55"/>
      <c r="S223" s="538"/>
    </row>
    <row r="224">
      <c r="A224" s="292"/>
      <c r="C224" s="55"/>
      <c r="S224" s="538"/>
    </row>
    <row r="225">
      <c r="A225" s="292"/>
      <c r="C225" s="55"/>
      <c r="S225" s="538"/>
    </row>
    <row r="226">
      <c r="A226" s="292"/>
      <c r="C226" s="55"/>
      <c r="S226" s="538"/>
    </row>
    <row r="227">
      <c r="A227" s="292"/>
      <c r="C227" s="55"/>
      <c r="S227" s="538"/>
    </row>
    <row r="228">
      <c r="A228" s="292"/>
      <c r="C228" s="55"/>
      <c r="S228" s="538"/>
    </row>
    <row r="229">
      <c r="A229" s="292"/>
      <c r="C229" s="55"/>
      <c r="S229" s="538"/>
    </row>
    <row r="230">
      <c r="A230" s="292"/>
      <c r="C230" s="55"/>
      <c r="S230" s="538"/>
    </row>
    <row r="231">
      <c r="A231" s="292"/>
      <c r="C231" s="55"/>
      <c r="S231" s="538"/>
    </row>
    <row r="232">
      <c r="A232" s="292"/>
      <c r="C232" s="55"/>
      <c r="S232" s="538"/>
    </row>
    <row r="233">
      <c r="A233" s="292"/>
      <c r="C233" s="55"/>
      <c r="S233" s="538"/>
    </row>
    <row r="234">
      <c r="A234" s="292"/>
      <c r="C234" s="55"/>
      <c r="S234" s="538"/>
    </row>
    <row r="235">
      <c r="A235" s="292"/>
      <c r="C235" s="55"/>
      <c r="S235" s="538"/>
    </row>
    <row r="236">
      <c r="A236" s="292"/>
      <c r="C236" s="55"/>
      <c r="S236" s="538"/>
    </row>
    <row r="237">
      <c r="A237" s="292"/>
      <c r="C237" s="55"/>
      <c r="S237" s="538"/>
    </row>
    <row r="238">
      <c r="A238" s="292"/>
      <c r="C238" s="55"/>
      <c r="S238" s="538"/>
    </row>
    <row r="239">
      <c r="A239" s="292"/>
      <c r="C239" s="55"/>
      <c r="S239" s="538"/>
    </row>
    <row r="240">
      <c r="A240" s="292"/>
      <c r="C240" s="55"/>
      <c r="S240" s="538"/>
    </row>
    <row r="241">
      <c r="A241" s="292"/>
      <c r="C241" s="55"/>
      <c r="S241" s="538"/>
    </row>
    <row r="242">
      <c r="A242" s="292"/>
      <c r="C242" s="55"/>
      <c r="S242" s="538"/>
    </row>
    <row r="243">
      <c r="A243" s="292"/>
      <c r="C243" s="55"/>
      <c r="S243" s="538"/>
    </row>
    <row r="244">
      <c r="A244" s="292"/>
      <c r="C244" s="55"/>
      <c r="S244" s="538"/>
    </row>
    <row r="245">
      <c r="A245" s="292"/>
      <c r="C245" s="55"/>
      <c r="S245" s="538"/>
    </row>
    <row r="246">
      <c r="A246" s="292"/>
      <c r="C246" s="55"/>
      <c r="S246" s="538"/>
    </row>
    <row r="247">
      <c r="A247" s="292"/>
      <c r="C247" s="55"/>
      <c r="S247" s="538"/>
    </row>
    <row r="248">
      <c r="A248" s="292"/>
      <c r="C248" s="55"/>
      <c r="S248" s="538"/>
    </row>
    <row r="249">
      <c r="A249" s="292"/>
      <c r="C249" s="55"/>
      <c r="S249" s="538"/>
    </row>
    <row r="250">
      <c r="A250" s="292"/>
      <c r="C250" s="55"/>
      <c r="S250" s="538"/>
    </row>
    <row r="251">
      <c r="A251" s="292"/>
      <c r="C251" s="55"/>
      <c r="S251" s="538"/>
    </row>
    <row r="252">
      <c r="A252" s="292"/>
      <c r="C252" s="55"/>
      <c r="S252" s="538"/>
    </row>
    <row r="253">
      <c r="A253" s="292"/>
      <c r="C253" s="55"/>
      <c r="S253" s="538"/>
    </row>
    <row r="254">
      <c r="A254" s="292"/>
      <c r="C254" s="55"/>
      <c r="S254" s="538"/>
    </row>
    <row r="255">
      <c r="A255" s="292"/>
      <c r="C255" s="55"/>
      <c r="S255" s="538"/>
    </row>
    <row r="256">
      <c r="A256" s="292"/>
      <c r="C256" s="55"/>
      <c r="S256" s="538"/>
    </row>
    <row r="257">
      <c r="A257" s="292"/>
      <c r="C257" s="55"/>
      <c r="S257" s="538"/>
    </row>
    <row r="258">
      <c r="A258" s="292"/>
      <c r="C258" s="55"/>
      <c r="S258" s="538"/>
    </row>
    <row r="259">
      <c r="A259" s="292"/>
      <c r="C259" s="55"/>
      <c r="S259" s="538"/>
    </row>
    <row r="260">
      <c r="A260" s="292"/>
      <c r="C260" s="55"/>
      <c r="S260" s="538"/>
    </row>
    <row r="261">
      <c r="A261" s="292"/>
      <c r="C261" s="55"/>
      <c r="S261" s="538"/>
    </row>
    <row r="262">
      <c r="A262" s="292"/>
      <c r="C262" s="55"/>
      <c r="S262" s="538"/>
    </row>
    <row r="263">
      <c r="A263" s="292"/>
      <c r="C263" s="55"/>
      <c r="S263" s="538"/>
    </row>
    <row r="264">
      <c r="A264" s="292"/>
      <c r="C264" s="55"/>
      <c r="S264" s="538"/>
    </row>
    <row r="265">
      <c r="A265" s="292"/>
      <c r="C265" s="55"/>
      <c r="S265" s="538"/>
    </row>
    <row r="266">
      <c r="A266" s="292"/>
      <c r="C266" s="55"/>
      <c r="S266" s="538"/>
    </row>
    <row r="267">
      <c r="A267" s="292"/>
      <c r="C267" s="55"/>
      <c r="S267" s="538"/>
    </row>
    <row r="268">
      <c r="A268" s="292"/>
      <c r="C268" s="55"/>
      <c r="S268" s="538"/>
    </row>
    <row r="269">
      <c r="A269" s="292"/>
      <c r="C269" s="55"/>
      <c r="S269" s="538"/>
    </row>
    <row r="270">
      <c r="A270" s="292"/>
      <c r="C270" s="55"/>
      <c r="S270" s="538"/>
    </row>
    <row r="271">
      <c r="A271" s="292"/>
      <c r="C271" s="55"/>
      <c r="S271" s="538"/>
    </row>
    <row r="272">
      <c r="A272" s="292"/>
      <c r="C272" s="55"/>
      <c r="S272" s="538"/>
    </row>
    <row r="273">
      <c r="A273" s="292"/>
      <c r="C273" s="55"/>
      <c r="S273" s="538"/>
    </row>
    <row r="274">
      <c r="A274" s="292"/>
      <c r="C274" s="55"/>
      <c r="S274" s="538"/>
    </row>
    <row r="275">
      <c r="A275" s="292"/>
      <c r="C275" s="55"/>
      <c r="S275" s="538"/>
    </row>
    <row r="276">
      <c r="A276" s="292"/>
      <c r="C276" s="55"/>
      <c r="S276" s="538"/>
    </row>
    <row r="277">
      <c r="A277" s="292"/>
      <c r="C277" s="55"/>
      <c r="S277" s="538"/>
    </row>
    <row r="278">
      <c r="A278" s="292"/>
      <c r="C278" s="55"/>
      <c r="S278" s="538"/>
    </row>
    <row r="279">
      <c r="A279" s="292"/>
      <c r="C279" s="55"/>
      <c r="S279" s="538"/>
    </row>
    <row r="280">
      <c r="A280" s="292"/>
      <c r="C280" s="55"/>
      <c r="S280" s="538"/>
    </row>
    <row r="281">
      <c r="A281" s="292"/>
      <c r="C281" s="55"/>
      <c r="S281" s="538"/>
    </row>
    <row r="282">
      <c r="A282" s="292"/>
      <c r="C282" s="55"/>
      <c r="S282" s="538"/>
    </row>
    <row r="283">
      <c r="A283" s="292"/>
      <c r="C283" s="55"/>
      <c r="S283" s="538"/>
    </row>
    <row r="284">
      <c r="A284" s="292"/>
      <c r="C284" s="55"/>
      <c r="S284" s="538"/>
    </row>
    <row r="285">
      <c r="A285" s="292"/>
      <c r="C285" s="55"/>
      <c r="S285" s="538"/>
    </row>
    <row r="286">
      <c r="A286" s="292"/>
      <c r="C286" s="55"/>
      <c r="S286" s="538"/>
    </row>
    <row r="287">
      <c r="A287" s="292"/>
      <c r="C287" s="55"/>
      <c r="S287" s="538"/>
    </row>
    <row r="288">
      <c r="A288" s="292"/>
      <c r="C288" s="55"/>
      <c r="S288" s="538"/>
    </row>
    <row r="289">
      <c r="A289" s="292"/>
      <c r="C289" s="55"/>
      <c r="S289" s="538"/>
    </row>
    <row r="290">
      <c r="A290" s="292"/>
      <c r="C290" s="55"/>
      <c r="S290" s="538"/>
    </row>
    <row r="291">
      <c r="A291" s="292"/>
      <c r="C291" s="55"/>
      <c r="S291" s="538"/>
    </row>
    <row r="292">
      <c r="A292" s="292"/>
      <c r="C292" s="55"/>
      <c r="S292" s="538"/>
    </row>
    <row r="293">
      <c r="A293" s="292"/>
      <c r="C293" s="55"/>
      <c r="S293" s="538"/>
    </row>
    <row r="294">
      <c r="A294" s="292"/>
      <c r="C294" s="55"/>
      <c r="S294" s="538"/>
    </row>
    <row r="295">
      <c r="A295" s="292"/>
      <c r="C295" s="55"/>
      <c r="S295" s="538"/>
    </row>
    <row r="296">
      <c r="A296" s="292"/>
      <c r="C296" s="55"/>
      <c r="S296" s="538"/>
    </row>
    <row r="297">
      <c r="A297" s="292"/>
      <c r="C297" s="55"/>
      <c r="S297" s="538"/>
    </row>
    <row r="298">
      <c r="A298" s="292"/>
      <c r="C298" s="55"/>
      <c r="S298" s="538"/>
    </row>
    <row r="299">
      <c r="A299" s="292"/>
      <c r="C299" s="55"/>
      <c r="S299" s="538"/>
    </row>
    <row r="300">
      <c r="A300" s="292"/>
      <c r="C300" s="55"/>
      <c r="S300" s="538"/>
    </row>
    <row r="301">
      <c r="A301" s="292"/>
      <c r="C301" s="55"/>
      <c r="S301" s="538"/>
    </row>
    <row r="302">
      <c r="A302" s="292"/>
      <c r="C302" s="55"/>
      <c r="S302" s="538"/>
    </row>
    <row r="303">
      <c r="A303" s="292"/>
      <c r="C303" s="55"/>
      <c r="S303" s="538"/>
    </row>
    <row r="304">
      <c r="A304" s="292"/>
      <c r="C304" s="55"/>
      <c r="S304" s="538"/>
    </row>
    <row r="305">
      <c r="A305" s="292"/>
      <c r="C305" s="55"/>
      <c r="S305" s="538"/>
    </row>
    <row r="306">
      <c r="A306" s="292"/>
      <c r="C306" s="55"/>
      <c r="S306" s="538"/>
    </row>
    <row r="307">
      <c r="A307" s="292"/>
      <c r="C307" s="55"/>
      <c r="S307" s="538"/>
    </row>
    <row r="308">
      <c r="A308" s="292"/>
      <c r="C308" s="55"/>
      <c r="S308" s="538"/>
    </row>
    <row r="309">
      <c r="A309" s="292"/>
      <c r="C309" s="55"/>
      <c r="S309" s="538"/>
    </row>
    <row r="310">
      <c r="A310" s="292"/>
      <c r="C310" s="55"/>
      <c r="S310" s="538"/>
    </row>
    <row r="311">
      <c r="A311" s="292"/>
      <c r="C311" s="55"/>
      <c r="S311" s="538"/>
    </row>
    <row r="312">
      <c r="A312" s="292"/>
      <c r="C312" s="55"/>
      <c r="S312" s="538"/>
    </row>
    <row r="313">
      <c r="A313" s="292"/>
      <c r="C313" s="55"/>
      <c r="S313" s="538"/>
    </row>
    <row r="314">
      <c r="A314" s="292"/>
      <c r="C314" s="55"/>
      <c r="S314" s="538"/>
    </row>
    <row r="315">
      <c r="A315" s="292"/>
      <c r="C315" s="55"/>
      <c r="S315" s="538"/>
    </row>
    <row r="316">
      <c r="A316" s="292"/>
      <c r="C316" s="55"/>
      <c r="S316" s="538"/>
    </row>
    <row r="317">
      <c r="A317" s="292"/>
      <c r="C317" s="55"/>
      <c r="S317" s="538"/>
    </row>
    <row r="318">
      <c r="A318" s="292"/>
      <c r="C318" s="55"/>
      <c r="S318" s="538"/>
    </row>
    <row r="319">
      <c r="A319" s="292"/>
      <c r="C319" s="55"/>
      <c r="S319" s="538"/>
    </row>
    <row r="320">
      <c r="A320" s="292"/>
      <c r="C320" s="55"/>
      <c r="S320" s="538"/>
    </row>
    <row r="321">
      <c r="A321" s="292"/>
      <c r="C321" s="55"/>
      <c r="S321" s="538"/>
    </row>
    <row r="322">
      <c r="A322" s="292"/>
      <c r="C322" s="55"/>
      <c r="S322" s="538"/>
    </row>
    <row r="323">
      <c r="A323" s="292"/>
      <c r="C323" s="55"/>
      <c r="S323" s="538"/>
    </row>
    <row r="324">
      <c r="A324" s="292"/>
      <c r="C324" s="55"/>
      <c r="S324" s="538"/>
    </row>
    <row r="325">
      <c r="A325" s="292"/>
      <c r="C325" s="55"/>
      <c r="S325" s="538"/>
    </row>
    <row r="326">
      <c r="A326" s="292"/>
      <c r="C326" s="55"/>
      <c r="S326" s="538"/>
    </row>
    <row r="327">
      <c r="A327" s="292"/>
      <c r="C327" s="55"/>
      <c r="S327" s="538"/>
    </row>
    <row r="328">
      <c r="A328" s="292"/>
      <c r="C328" s="55"/>
      <c r="S328" s="538"/>
    </row>
    <row r="329">
      <c r="A329" s="292"/>
      <c r="C329" s="55"/>
      <c r="S329" s="538"/>
    </row>
    <row r="330">
      <c r="A330" s="292"/>
      <c r="C330" s="55"/>
      <c r="S330" s="538"/>
    </row>
    <row r="331">
      <c r="A331" s="292"/>
      <c r="C331" s="55"/>
      <c r="S331" s="538"/>
    </row>
    <row r="332">
      <c r="A332" s="292"/>
      <c r="C332" s="55"/>
      <c r="S332" s="538"/>
    </row>
    <row r="333">
      <c r="A333" s="292"/>
      <c r="C333" s="55"/>
      <c r="S333" s="538"/>
    </row>
    <row r="334">
      <c r="A334" s="292"/>
      <c r="C334" s="55"/>
      <c r="S334" s="538"/>
    </row>
    <row r="335">
      <c r="A335" s="292"/>
      <c r="C335" s="55"/>
      <c r="S335" s="538"/>
    </row>
    <row r="336">
      <c r="A336" s="292"/>
      <c r="C336" s="55"/>
      <c r="S336" s="538"/>
    </row>
    <row r="337">
      <c r="A337" s="292"/>
      <c r="C337" s="55"/>
      <c r="S337" s="538"/>
    </row>
    <row r="338">
      <c r="A338" s="292"/>
      <c r="C338" s="55"/>
      <c r="S338" s="538"/>
    </row>
    <row r="339">
      <c r="A339" s="292"/>
      <c r="C339" s="55"/>
      <c r="S339" s="538"/>
    </row>
    <row r="340">
      <c r="A340" s="292"/>
      <c r="C340" s="55"/>
      <c r="S340" s="538"/>
    </row>
    <row r="341">
      <c r="A341" s="292"/>
      <c r="C341" s="55"/>
      <c r="S341" s="538"/>
    </row>
    <row r="342">
      <c r="A342" s="292"/>
      <c r="C342" s="55"/>
      <c r="S342" s="538"/>
    </row>
    <row r="343">
      <c r="A343" s="292"/>
      <c r="C343" s="55"/>
      <c r="S343" s="538"/>
    </row>
    <row r="344">
      <c r="A344" s="292"/>
      <c r="C344" s="55"/>
      <c r="S344" s="538"/>
    </row>
    <row r="345">
      <c r="A345" s="292"/>
      <c r="C345" s="55"/>
      <c r="S345" s="538"/>
    </row>
    <row r="346">
      <c r="A346" s="292"/>
      <c r="C346" s="55"/>
      <c r="S346" s="538"/>
    </row>
    <row r="347">
      <c r="A347" s="292"/>
      <c r="C347" s="55"/>
      <c r="S347" s="538"/>
    </row>
    <row r="348">
      <c r="A348" s="292"/>
      <c r="C348" s="55"/>
      <c r="S348" s="538"/>
    </row>
    <row r="349">
      <c r="A349" s="292"/>
      <c r="C349" s="55"/>
      <c r="S349" s="538"/>
    </row>
    <row r="350">
      <c r="A350" s="292"/>
      <c r="C350" s="55"/>
      <c r="S350" s="538"/>
    </row>
    <row r="351">
      <c r="A351" s="292"/>
      <c r="C351" s="55"/>
      <c r="S351" s="538"/>
    </row>
    <row r="352">
      <c r="A352" s="292"/>
      <c r="C352" s="55"/>
      <c r="S352" s="538"/>
    </row>
    <row r="353">
      <c r="A353" s="292"/>
      <c r="C353" s="55"/>
      <c r="S353" s="538"/>
    </row>
    <row r="354">
      <c r="A354" s="292"/>
      <c r="C354" s="55"/>
      <c r="S354" s="538"/>
    </row>
    <row r="355">
      <c r="A355" s="292"/>
      <c r="C355" s="55"/>
      <c r="S355" s="538"/>
    </row>
    <row r="356">
      <c r="A356" s="292"/>
      <c r="C356" s="55"/>
      <c r="S356" s="538"/>
    </row>
    <row r="357">
      <c r="A357" s="292"/>
      <c r="C357" s="55"/>
      <c r="S357" s="538"/>
    </row>
    <row r="358">
      <c r="A358" s="292"/>
      <c r="C358" s="55"/>
      <c r="S358" s="538"/>
    </row>
    <row r="359">
      <c r="A359" s="292"/>
      <c r="C359" s="55"/>
      <c r="S359" s="538"/>
    </row>
    <row r="360">
      <c r="A360" s="292"/>
      <c r="C360" s="55"/>
      <c r="S360" s="538"/>
    </row>
    <row r="361">
      <c r="A361" s="292"/>
      <c r="C361" s="55"/>
      <c r="S361" s="538"/>
    </row>
    <row r="362">
      <c r="A362" s="292"/>
      <c r="C362" s="55"/>
      <c r="S362" s="538"/>
    </row>
    <row r="363">
      <c r="A363" s="292"/>
      <c r="C363" s="55"/>
      <c r="S363" s="538"/>
    </row>
    <row r="364">
      <c r="A364" s="292"/>
      <c r="C364" s="55"/>
      <c r="S364" s="538"/>
    </row>
    <row r="365">
      <c r="A365" s="292"/>
      <c r="C365" s="55"/>
      <c r="S365" s="538"/>
    </row>
    <row r="366">
      <c r="A366" s="292"/>
      <c r="C366" s="55"/>
      <c r="S366" s="538"/>
    </row>
    <row r="367">
      <c r="A367" s="292"/>
      <c r="C367" s="55"/>
      <c r="S367" s="538"/>
    </row>
    <row r="368">
      <c r="A368" s="292"/>
      <c r="C368" s="55"/>
      <c r="S368" s="538"/>
    </row>
    <row r="369">
      <c r="A369" s="292"/>
      <c r="C369" s="55"/>
      <c r="S369" s="538"/>
    </row>
    <row r="370">
      <c r="A370" s="292"/>
      <c r="C370" s="55"/>
      <c r="S370" s="538"/>
    </row>
    <row r="371">
      <c r="A371" s="292"/>
      <c r="C371" s="55"/>
      <c r="S371" s="538"/>
    </row>
    <row r="372">
      <c r="A372" s="292"/>
      <c r="C372" s="55"/>
      <c r="S372" s="538"/>
    </row>
    <row r="373">
      <c r="A373" s="292"/>
      <c r="C373" s="55"/>
      <c r="S373" s="538"/>
    </row>
    <row r="374">
      <c r="A374" s="292"/>
      <c r="C374" s="55"/>
      <c r="S374" s="538"/>
    </row>
    <row r="375">
      <c r="A375" s="292"/>
      <c r="C375" s="55"/>
      <c r="S375" s="538"/>
    </row>
    <row r="376">
      <c r="A376" s="292"/>
      <c r="C376" s="55"/>
      <c r="S376" s="538"/>
    </row>
    <row r="377">
      <c r="A377" s="292"/>
      <c r="C377" s="55"/>
      <c r="S377" s="538"/>
    </row>
    <row r="378">
      <c r="A378" s="292"/>
      <c r="C378" s="55"/>
      <c r="S378" s="538"/>
    </row>
    <row r="379">
      <c r="A379" s="292"/>
      <c r="C379" s="55"/>
      <c r="S379" s="538"/>
    </row>
    <row r="380">
      <c r="A380" s="292"/>
      <c r="C380" s="55"/>
      <c r="S380" s="538"/>
    </row>
    <row r="381">
      <c r="A381" s="292"/>
      <c r="C381" s="55"/>
      <c r="S381" s="538"/>
    </row>
    <row r="382">
      <c r="A382" s="292"/>
      <c r="C382" s="55"/>
      <c r="S382" s="538"/>
    </row>
    <row r="383">
      <c r="A383" s="292"/>
      <c r="C383" s="55"/>
      <c r="S383" s="538"/>
    </row>
    <row r="384">
      <c r="A384" s="292"/>
      <c r="C384" s="55"/>
      <c r="S384" s="538"/>
    </row>
    <row r="385">
      <c r="A385" s="292"/>
      <c r="C385" s="55"/>
      <c r="S385" s="538"/>
    </row>
    <row r="386">
      <c r="A386" s="292"/>
      <c r="C386" s="55"/>
      <c r="S386" s="538"/>
    </row>
    <row r="387">
      <c r="A387" s="292"/>
      <c r="C387" s="55"/>
      <c r="S387" s="538"/>
    </row>
    <row r="388">
      <c r="A388" s="292"/>
      <c r="C388" s="55"/>
      <c r="S388" s="538"/>
    </row>
    <row r="389">
      <c r="A389" s="292"/>
      <c r="C389" s="55"/>
      <c r="S389" s="538"/>
    </row>
    <row r="390">
      <c r="A390" s="292"/>
      <c r="C390" s="55"/>
      <c r="S390" s="538"/>
    </row>
    <row r="391">
      <c r="A391" s="292"/>
      <c r="C391" s="55"/>
      <c r="S391" s="538"/>
    </row>
    <row r="392">
      <c r="A392" s="292"/>
      <c r="C392" s="55"/>
      <c r="S392" s="538"/>
    </row>
    <row r="393">
      <c r="A393" s="292"/>
      <c r="C393" s="55"/>
      <c r="S393" s="538"/>
    </row>
    <row r="394">
      <c r="A394" s="292"/>
      <c r="C394" s="55"/>
      <c r="S394" s="538"/>
    </row>
    <row r="395">
      <c r="A395" s="292"/>
      <c r="C395" s="55"/>
      <c r="S395" s="538"/>
    </row>
    <row r="396">
      <c r="A396" s="292"/>
      <c r="C396" s="55"/>
      <c r="S396" s="538"/>
    </row>
    <row r="397">
      <c r="A397" s="292"/>
      <c r="C397" s="55"/>
      <c r="S397" s="538"/>
    </row>
    <row r="398">
      <c r="A398" s="292"/>
      <c r="C398" s="55"/>
      <c r="S398" s="538"/>
    </row>
    <row r="399">
      <c r="A399" s="292"/>
      <c r="C399" s="55"/>
      <c r="S399" s="538"/>
    </row>
    <row r="400">
      <c r="A400" s="292"/>
      <c r="C400" s="55"/>
      <c r="S400" s="538"/>
    </row>
    <row r="401">
      <c r="A401" s="292"/>
      <c r="C401" s="55"/>
      <c r="S401" s="538"/>
    </row>
    <row r="402">
      <c r="A402" s="292"/>
      <c r="C402" s="55"/>
      <c r="S402" s="538"/>
    </row>
    <row r="403">
      <c r="A403" s="292"/>
      <c r="C403" s="55"/>
      <c r="S403" s="538"/>
    </row>
    <row r="404">
      <c r="A404" s="292"/>
      <c r="C404" s="55"/>
      <c r="S404" s="538"/>
    </row>
    <row r="405">
      <c r="A405" s="292"/>
      <c r="C405" s="55"/>
      <c r="S405" s="538"/>
    </row>
    <row r="406">
      <c r="A406" s="292"/>
      <c r="C406" s="55"/>
      <c r="S406" s="538"/>
    </row>
    <row r="407">
      <c r="A407" s="292"/>
      <c r="C407" s="55"/>
      <c r="S407" s="538"/>
    </row>
    <row r="408">
      <c r="A408" s="292"/>
      <c r="C408" s="55"/>
      <c r="S408" s="538"/>
    </row>
    <row r="409">
      <c r="A409" s="292"/>
      <c r="C409" s="55"/>
      <c r="S409" s="538"/>
    </row>
    <row r="410">
      <c r="A410" s="292"/>
      <c r="C410" s="55"/>
      <c r="S410" s="538"/>
    </row>
    <row r="411">
      <c r="A411" s="292"/>
      <c r="C411" s="55"/>
      <c r="S411" s="538"/>
    </row>
    <row r="412">
      <c r="A412" s="292"/>
      <c r="C412" s="55"/>
      <c r="S412" s="538"/>
    </row>
    <row r="413">
      <c r="A413" s="292"/>
      <c r="C413" s="55"/>
      <c r="S413" s="538"/>
    </row>
    <row r="414">
      <c r="A414" s="292"/>
      <c r="C414" s="55"/>
      <c r="S414" s="538"/>
    </row>
    <row r="415">
      <c r="A415" s="292"/>
      <c r="C415" s="55"/>
      <c r="S415" s="538"/>
    </row>
    <row r="416">
      <c r="A416" s="292"/>
      <c r="C416" s="55"/>
      <c r="S416" s="538"/>
    </row>
    <row r="417">
      <c r="A417" s="292"/>
      <c r="C417" s="55"/>
      <c r="S417" s="538"/>
    </row>
    <row r="418">
      <c r="A418" s="292"/>
      <c r="C418" s="55"/>
      <c r="S418" s="538"/>
    </row>
    <row r="419">
      <c r="A419" s="292"/>
      <c r="C419" s="55"/>
      <c r="S419" s="538"/>
    </row>
    <row r="420">
      <c r="A420" s="292"/>
      <c r="C420" s="55"/>
      <c r="S420" s="538"/>
    </row>
    <row r="421">
      <c r="A421" s="292"/>
      <c r="C421" s="55"/>
      <c r="S421" s="538"/>
    </row>
    <row r="422">
      <c r="A422" s="292"/>
      <c r="C422" s="55"/>
      <c r="S422" s="538"/>
    </row>
    <row r="423">
      <c r="A423" s="292"/>
      <c r="C423" s="55"/>
      <c r="S423" s="538"/>
    </row>
    <row r="424">
      <c r="A424" s="292"/>
      <c r="C424" s="55"/>
      <c r="S424" s="538"/>
    </row>
    <row r="425">
      <c r="A425" s="292"/>
      <c r="C425" s="55"/>
      <c r="S425" s="538"/>
    </row>
    <row r="426">
      <c r="A426" s="292"/>
      <c r="C426" s="55"/>
      <c r="S426" s="538"/>
    </row>
    <row r="427">
      <c r="A427" s="292"/>
      <c r="C427" s="55"/>
      <c r="S427" s="538"/>
    </row>
    <row r="428">
      <c r="A428" s="292"/>
      <c r="C428" s="55"/>
      <c r="S428" s="538"/>
    </row>
    <row r="429">
      <c r="A429" s="292"/>
      <c r="C429" s="55"/>
      <c r="S429" s="538"/>
    </row>
    <row r="430">
      <c r="A430" s="292"/>
      <c r="C430" s="55"/>
      <c r="S430" s="538"/>
    </row>
    <row r="431">
      <c r="A431" s="292"/>
      <c r="C431" s="55"/>
      <c r="S431" s="538"/>
    </row>
    <row r="432">
      <c r="A432" s="292"/>
      <c r="C432" s="55"/>
      <c r="S432" s="538"/>
    </row>
    <row r="433">
      <c r="A433" s="292"/>
      <c r="C433" s="55"/>
      <c r="S433" s="538"/>
    </row>
    <row r="434">
      <c r="A434" s="292"/>
      <c r="C434" s="55"/>
      <c r="S434" s="538"/>
    </row>
    <row r="435">
      <c r="A435" s="292"/>
      <c r="C435" s="55"/>
      <c r="S435" s="538"/>
    </row>
    <row r="436">
      <c r="A436" s="292"/>
      <c r="C436" s="55"/>
      <c r="S436" s="538"/>
    </row>
    <row r="437">
      <c r="A437" s="292"/>
      <c r="C437" s="55"/>
      <c r="S437" s="538"/>
    </row>
    <row r="438">
      <c r="A438" s="292"/>
      <c r="C438" s="55"/>
      <c r="S438" s="538"/>
    </row>
    <row r="439">
      <c r="A439" s="292"/>
      <c r="C439" s="55"/>
      <c r="S439" s="538"/>
    </row>
    <row r="440">
      <c r="A440" s="292"/>
      <c r="C440" s="55"/>
      <c r="S440" s="538"/>
    </row>
    <row r="441">
      <c r="A441" s="292"/>
      <c r="C441" s="55"/>
      <c r="S441" s="538"/>
    </row>
    <row r="442">
      <c r="A442" s="292"/>
      <c r="C442" s="55"/>
      <c r="S442" s="538"/>
    </row>
    <row r="443">
      <c r="A443" s="292"/>
      <c r="C443" s="55"/>
      <c r="S443" s="538"/>
    </row>
    <row r="444">
      <c r="A444" s="292"/>
      <c r="C444" s="55"/>
      <c r="S444" s="538"/>
    </row>
    <row r="445">
      <c r="A445" s="292"/>
      <c r="C445" s="55"/>
      <c r="S445" s="538"/>
    </row>
    <row r="446">
      <c r="A446" s="292"/>
      <c r="C446" s="55"/>
      <c r="S446" s="538"/>
    </row>
    <row r="447">
      <c r="A447" s="292"/>
      <c r="C447" s="55"/>
      <c r="S447" s="538"/>
    </row>
    <row r="448">
      <c r="A448" s="292"/>
      <c r="C448" s="55"/>
      <c r="S448" s="538"/>
    </row>
    <row r="449">
      <c r="A449" s="292"/>
      <c r="C449" s="55"/>
      <c r="S449" s="538"/>
    </row>
    <row r="450">
      <c r="A450" s="292"/>
      <c r="C450" s="55"/>
      <c r="S450" s="538"/>
    </row>
    <row r="451">
      <c r="A451" s="292"/>
      <c r="C451" s="55"/>
      <c r="S451" s="538"/>
    </row>
    <row r="452">
      <c r="A452" s="292"/>
      <c r="C452" s="55"/>
      <c r="S452" s="538"/>
    </row>
    <row r="453">
      <c r="A453" s="292"/>
      <c r="C453" s="55"/>
      <c r="S453" s="538"/>
    </row>
    <row r="454">
      <c r="A454" s="292"/>
      <c r="C454" s="55"/>
      <c r="S454" s="538"/>
    </row>
    <row r="455">
      <c r="A455" s="292"/>
      <c r="C455" s="55"/>
      <c r="S455" s="538"/>
    </row>
    <row r="456">
      <c r="A456" s="292"/>
      <c r="C456" s="55"/>
      <c r="S456" s="538"/>
    </row>
    <row r="457">
      <c r="A457" s="292"/>
      <c r="C457" s="55"/>
      <c r="S457" s="538"/>
    </row>
    <row r="458">
      <c r="A458" s="292"/>
      <c r="C458" s="55"/>
      <c r="S458" s="538"/>
    </row>
    <row r="459">
      <c r="A459" s="292"/>
      <c r="C459" s="55"/>
      <c r="S459" s="538"/>
    </row>
    <row r="460">
      <c r="A460" s="292"/>
      <c r="C460" s="55"/>
      <c r="S460" s="538"/>
    </row>
    <row r="461">
      <c r="A461" s="292"/>
      <c r="C461" s="55"/>
      <c r="S461" s="538"/>
    </row>
    <row r="462">
      <c r="A462" s="292"/>
      <c r="C462" s="55"/>
      <c r="S462" s="538"/>
    </row>
    <row r="463">
      <c r="A463" s="292"/>
      <c r="C463" s="55"/>
      <c r="S463" s="538"/>
    </row>
    <row r="464">
      <c r="A464" s="292"/>
      <c r="C464" s="55"/>
      <c r="S464" s="538"/>
    </row>
    <row r="465">
      <c r="A465" s="292"/>
      <c r="C465" s="55"/>
      <c r="S465" s="538"/>
    </row>
    <row r="466">
      <c r="A466" s="292"/>
      <c r="C466" s="55"/>
      <c r="S466" s="538"/>
    </row>
    <row r="467">
      <c r="A467" s="292"/>
      <c r="C467" s="55"/>
      <c r="S467" s="538"/>
    </row>
    <row r="468">
      <c r="A468" s="292"/>
      <c r="C468" s="55"/>
      <c r="S468" s="538"/>
    </row>
    <row r="469">
      <c r="A469" s="292"/>
      <c r="C469" s="55"/>
      <c r="S469" s="538"/>
    </row>
    <row r="470">
      <c r="A470" s="292"/>
      <c r="C470" s="55"/>
      <c r="S470" s="538"/>
    </row>
    <row r="471">
      <c r="A471" s="292"/>
      <c r="C471" s="55"/>
      <c r="S471" s="538"/>
    </row>
    <row r="472">
      <c r="A472" s="292"/>
      <c r="C472" s="55"/>
      <c r="S472" s="538"/>
    </row>
    <row r="473">
      <c r="A473" s="292"/>
      <c r="C473" s="55"/>
      <c r="S473" s="538"/>
    </row>
    <row r="474">
      <c r="A474" s="292"/>
      <c r="C474" s="55"/>
      <c r="S474" s="538"/>
    </row>
    <row r="475">
      <c r="A475" s="292"/>
      <c r="C475" s="55"/>
      <c r="S475" s="538"/>
    </row>
    <row r="476">
      <c r="A476" s="292"/>
      <c r="C476" s="55"/>
      <c r="S476" s="538"/>
    </row>
    <row r="477">
      <c r="A477" s="292"/>
      <c r="C477" s="55"/>
      <c r="S477" s="538"/>
    </row>
    <row r="478">
      <c r="A478" s="292"/>
      <c r="C478" s="55"/>
      <c r="S478" s="538"/>
    </row>
    <row r="479">
      <c r="A479" s="292"/>
      <c r="C479" s="55"/>
      <c r="S479" s="538"/>
    </row>
    <row r="480">
      <c r="A480" s="292"/>
      <c r="C480" s="55"/>
      <c r="S480" s="538"/>
    </row>
    <row r="481">
      <c r="A481" s="292"/>
      <c r="C481" s="55"/>
      <c r="S481" s="538"/>
    </row>
    <row r="482">
      <c r="A482" s="292"/>
      <c r="C482" s="55"/>
      <c r="S482" s="538"/>
    </row>
    <row r="483">
      <c r="A483" s="292"/>
      <c r="C483" s="55"/>
      <c r="S483" s="538"/>
    </row>
    <row r="484">
      <c r="A484" s="292"/>
      <c r="C484" s="55"/>
      <c r="S484" s="538"/>
    </row>
    <row r="485">
      <c r="A485" s="292"/>
      <c r="C485" s="55"/>
      <c r="S485" s="538"/>
    </row>
    <row r="486">
      <c r="A486" s="292"/>
      <c r="C486" s="55"/>
      <c r="S486" s="538"/>
    </row>
    <row r="487">
      <c r="A487" s="292"/>
      <c r="C487" s="55"/>
      <c r="S487" s="538"/>
    </row>
    <row r="488">
      <c r="A488" s="292"/>
      <c r="C488" s="55"/>
      <c r="S488" s="538"/>
    </row>
    <row r="489">
      <c r="A489" s="292"/>
      <c r="C489" s="55"/>
      <c r="S489" s="538"/>
    </row>
    <row r="490">
      <c r="A490" s="292"/>
      <c r="C490" s="55"/>
      <c r="S490" s="538"/>
    </row>
    <row r="491">
      <c r="A491" s="292"/>
      <c r="C491" s="55"/>
      <c r="S491" s="538"/>
    </row>
    <row r="492">
      <c r="A492" s="292"/>
      <c r="C492" s="55"/>
      <c r="S492" s="538"/>
    </row>
    <row r="493">
      <c r="A493" s="292"/>
      <c r="C493" s="55"/>
      <c r="S493" s="538"/>
    </row>
    <row r="494">
      <c r="A494" s="292"/>
      <c r="C494" s="55"/>
      <c r="S494" s="538"/>
    </row>
    <row r="495">
      <c r="A495" s="292"/>
      <c r="C495" s="55"/>
      <c r="S495" s="538"/>
    </row>
    <row r="496">
      <c r="A496" s="292"/>
      <c r="C496" s="55"/>
      <c r="S496" s="538"/>
    </row>
    <row r="497">
      <c r="A497" s="292"/>
      <c r="C497" s="55"/>
      <c r="S497" s="538"/>
    </row>
    <row r="498">
      <c r="A498" s="292"/>
      <c r="C498" s="55"/>
      <c r="S498" s="538"/>
    </row>
    <row r="499">
      <c r="A499" s="292"/>
      <c r="C499" s="55"/>
      <c r="S499" s="538"/>
    </row>
    <row r="500">
      <c r="A500" s="292"/>
      <c r="C500" s="55"/>
      <c r="S500" s="538"/>
    </row>
    <row r="501">
      <c r="A501" s="292"/>
      <c r="C501" s="55"/>
      <c r="S501" s="538"/>
    </row>
    <row r="502">
      <c r="A502" s="292"/>
      <c r="C502" s="55"/>
      <c r="S502" s="538"/>
    </row>
    <row r="503">
      <c r="A503" s="292"/>
      <c r="C503" s="55"/>
      <c r="S503" s="538"/>
    </row>
    <row r="504">
      <c r="A504" s="292"/>
      <c r="C504" s="55"/>
      <c r="S504" s="538"/>
    </row>
    <row r="505">
      <c r="A505" s="292"/>
      <c r="C505" s="55"/>
      <c r="S505" s="538"/>
    </row>
    <row r="506">
      <c r="A506" s="292"/>
      <c r="C506" s="55"/>
      <c r="S506" s="538"/>
    </row>
    <row r="507">
      <c r="A507" s="292"/>
      <c r="C507" s="55"/>
      <c r="S507" s="538"/>
    </row>
    <row r="508">
      <c r="A508" s="292"/>
      <c r="C508" s="55"/>
      <c r="S508" s="538"/>
    </row>
    <row r="509">
      <c r="A509" s="292"/>
      <c r="C509" s="55"/>
      <c r="S509" s="538"/>
    </row>
    <row r="510">
      <c r="A510" s="292"/>
      <c r="C510" s="55"/>
      <c r="S510" s="538"/>
    </row>
    <row r="511">
      <c r="A511" s="292"/>
      <c r="C511" s="55"/>
      <c r="S511" s="538"/>
    </row>
    <row r="512">
      <c r="A512" s="292"/>
      <c r="C512" s="55"/>
      <c r="S512" s="538"/>
    </row>
    <row r="513">
      <c r="A513" s="292"/>
      <c r="C513" s="55"/>
      <c r="S513" s="538"/>
    </row>
    <row r="514">
      <c r="A514" s="292"/>
      <c r="C514" s="55"/>
      <c r="S514" s="538"/>
    </row>
    <row r="515">
      <c r="A515" s="292"/>
      <c r="C515" s="55"/>
      <c r="S515" s="538"/>
    </row>
    <row r="516">
      <c r="A516" s="292"/>
      <c r="C516" s="55"/>
      <c r="S516" s="538"/>
    </row>
    <row r="517">
      <c r="A517" s="292"/>
      <c r="C517" s="55"/>
      <c r="S517" s="538"/>
    </row>
    <row r="518">
      <c r="A518" s="292"/>
      <c r="C518" s="55"/>
      <c r="S518" s="538"/>
    </row>
    <row r="519">
      <c r="A519" s="292"/>
      <c r="C519" s="55"/>
      <c r="S519" s="538"/>
    </row>
    <row r="520">
      <c r="A520" s="292"/>
      <c r="C520" s="55"/>
      <c r="S520" s="538"/>
    </row>
    <row r="521">
      <c r="A521" s="292"/>
      <c r="C521" s="55"/>
      <c r="S521" s="538"/>
    </row>
    <row r="522">
      <c r="A522" s="292"/>
      <c r="C522" s="55"/>
      <c r="S522" s="538"/>
    </row>
    <row r="523">
      <c r="A523" s="292"/>
      <c r="C523" s="55"/>
      <c r="S523" s="538"/>
    </row>
    <row r="524">
      <c r="A524" s="292"/>
      <c r="C524" s="55"/>
      <c r="S524" s="538"/>
    </row>
    <row r="525">
      <c r="A525" s="292"/>
      <c r="C525" s="55"/>
      <c r="S525" s="538"/>
    </row>
    <row r="526">
      <c r="A526" s="292"/>
      <c r="C526" s="55"/>
      <c r="S526" s="538"/>
    </row>
    <row r="527">
      <c r="A527" s="292"/>
      <c r="C527" s="55"/>
      <c r="S527" s="538"/>
    </row>
    <row r="528">
      <c r="A528" s="292"/>
      <c r="C528" s="55"/>
      <c r="S528" s="538"/>
    </row>
    <row r="529">
      <c r="A529" s="292"/>
      <c r="C529" s="55"/>
      <c r="S529" s="538"/>
    </row>
    <row r="530">
      <c r="A530" s="292"/>
      <c r="C530" s="55"/>
      <c r="S530" s="538"/>
    </row>
    <row r="531">
      <c r="A531" s="292"/>
      <c r="C531" s="55"/>
      <c r="S531" s="538"/>
    </row>
    <row r="532">
      <c r="A532" s="292"/>
      <c r="C532" s="55"/>
      <c r="S532" s="538"/>
    </row>
    <row r="533">
      <c r="A533" s="292"/>
      <c r="C533" s="55"/>
      <c r="S533" s="538"/>
    </row>
    <row r="534">
      <c r="A534" s="292"/>
      <c r="C534" s="55"/>
      <c r="S534" s="538"/>
    </row>
    <row r="535">
      <c r="A535" s="292"/>
      <c r="C535" s="55"/>
      <c r="S535" s="538"/>
    </row>
    <row r="536">
      <c r="A536" s="292"/>
      <c r="C536" s="55"/>
      <c r="S536" s="538"/>
    </row>
    <row r="537">
      <c r="A537" s="292"/>
      <c r="C537" s="55"/>
      <c r="S537" s="538"/>
    </row>
    <row r="538">
      <c r="A538" s="292"/>
      <c r="C538" s="55"/>
      <c r="S538" s="538"/>
    </row>
    <row r="539">
      <c r="A539" s="292"/>
      <c r="C539" s="55"/>
      <c r="S539" s="538"/>
    </row>
    <row r="540">
      <c r="A540" s="292"/>
      <c r="C540" s="55"/>
      <c r="S540" s="538"/>
    </row>
    <row r="541">
      <c r="A541" s="292"/>
      <c r="C541" s="55"/>
      <c r="S541" s="538"/>
    </row>
    <row r="542">
      <c r="A542" s="292"/>
      <c r="C542" s="55"/>
      <c r="S542" s="538"/>
    </row>
    <row r="543">
      <c r="A543" s="292"/>
      <c r="C543" s="55"/>
      <c r="S543" s="538"/>
    </row>
    <row r="544">
      <c r="A544" s="292"/>
      <c r="C544" s="55"/>
      <c r="S544" s="538"/>
    </row>
    <row r="545">
      <c r="A545" s="292"/>
      <c r="C545" s="55"/>
      <c r="S545" s="538"/>
    </row>
    <row r="546">
      <c r="A546" s="292"/>
      <c r="C546" s="55"/>
      <c r="S546" s="538"/>
    </row>
    <row r="547">
      <c r="A547" s="292"/>
      <c r="C547" s="55"/>
      <c r="S547" s="538"/>
    </row>
    <row r="548">
      <c r="A548" s="292"/>
      <c r="C548" s="55"/>
      <c r="S548" s="538"/>
    </row>
    <row r="549">
      <c r="A549" s="292"/>
      <c r="C549" s="55"/>
      <c r="S549" s="538"/>
    </row>
    <row r="550">
      <c r="A550" s="292"/>
      <c r="C550" s="55"/>
      <c r="S550" s="538"/>
    </row>
    <row r="551">
      <c r="A551" s="292"/>
      <c r="C551" s="55"/>
      <c r="S551" s="538"/>
    </row>
    <row r="552">
      <c r="A552" s="292"/>
      <c r="C552" s="55"/>
      <c r="S552" s="538"/>
    </row>
    <row r="553">
      <c r="A553" s="292"/>
      <c r="C553" s="55"/>
      <c r="S553" s="538"/>
    </row>
    <row r="554">
      <c r="A554" s="292"/>
      <c r="C554" s="55"/>
      <c r="S554" s="538"/>
    </row>
    <row r="555">
      <c r="A555" s="292"/>
      <c r="C555" s="55"/>
      <c r="S555" s="538"/>
    </row>
    <row r="556">
      <c r="A556" s="292"/>
      <c r="C556" s="55"/>
      <c r="S556" s="538"/>
    </row>
    <row r="557">
      <c r="A557" s="292"/>
      <c r="C557" s="55"/>
      <c r="S557" s="538"/>
    </row>
    <row r="558">
      <c r="A558" s="292"/>
      <c r="C558" s="55"/>
      <c r="S558" s="538"/>
    </row>
    <row r="559">
      <c r="A559" s="292"/>
      <c r="C559" s="55"/>
      <c r="S559" s="538"/>
    </row>
    <row r="560">
      <c r="A560" s="292"/>
      <c r="C560" s="55"/>
      <c r="S560" s="538"/>
    </row>
    <row r="561">
      <c r="A561" s="292"/>
      <c r="C561" s="55"/>
      <c r="S561" s="538"/>
    </row>
    <row r="562">
      <c r="A562" s="292"/>
      <c r="C562" s="55"/>
      <c r="S562" s="538"/>
    </row>
    <row r="563">
      <c r="A563" s="292"/>
      <c r="C563" s="55"/>
      <c r="S563" s="538"/>
    </row>
    <row r="564">
      <c r="A564" s="292"/>
      <c r="C564" s="55"/>
      <c r="S564" s="538"/>
    </row>
    <row r="565">
      <c r="A565" s="292"/>
      <c r="C565" s="55"/>
      <c r="S565" s="538"/>
    </row>
    <row r="566">
      <c r="A566" s="292"/>
      <c r="C566" s="55"/>
      <c r="S566" s="538"/>
    </row>
    <row r="567">
      <c r="A567" s="292"/>
      <c r="C567" s="55"/>
      <c r="S567" s="538"/>
    </row>
    <row r="568">
      <c r="A568" s="292"/>
      <c r="C568" s="55"/>
      <c r="S568" s="538"/>
    </row>
    <row r="569">
      <c r="A569" s="292"/>
      <c r="C569" s="55"/>
      <c r="S569" s="538"/>
    </row>
    <row r="570">
      <c r="A570" s="292"/>
      <c r="C570" s="55"/>
      <c r="S570" s="538"/>
    </row>
    <row r="571">
      <c r="A571" s="292"/>
      <c r="C571" s="55"/>
      <c r="S571" s="538"/>
    </row>
    <row r="572">
      <c r="A572" s="292"/>
      <c r="C572" s="55"/>
      <c r="S572" s="538"/>
    </row>
    <row r="573">
      <c r="A573" s="292"/>
      <c r="C573" s="55"/>
      <c r="S573" s="538"/>
    </row>
    <row r="574">
      <c r="A574" s="292"/>
      <c r="C574" s="55"/>
      <c r="S574" s="538"/>
    </row>
    <row r="575">
      <c r="A575" s="292"/>
      <c r="C575" s="55"/>
      <c r="S575" s="538"/>
    </row>
    <row r="576">
      <c r="A576" s="292"/>
      <c r="C576" s="55"/>
      <c r="S576" s="538"/>
    </row>
    <row r="577">
      <c r="A577" s="292"/>
      <c r="C577" s="55"/>
      <c r="S577" s="538"/>
    </row>
    <row r="578">
      <c r="A578" s="292"/>
      <c r="C578" s="55"/>
      <c r="S578" s="538"/>
    </row>
    <row r="579">
      <c r="A579" s="292"/>
      <c r="C579" s="55"/>
      <c r="S579" s="538"/>
    </row>
    <row r="580">
      <c r="A580" s="292"/>
      <c r="C580" s="55"/>
      <c r="S580" s="538"/>
    </row>
    <row r="581">
      <c r="A581" s="292"/>
      <c r="C581" s="55"/>
      <c r="S581" s="538"/>
    </row>
    <row r="582">
      <c r="A582" s="292"/>
      <c r="C582" s="55"/>
      <c r="S582" s="538"/>
    </row>
    <row r="583">
      <c r="A583" s="292"/>
      <c r="C583" s="55"/>
      <c r="S583" s="538"/>
    </row>
    <row r="584">
      <c r="A584" s="292"/>
      <c r="C584" s="55"/>
      <c r="S584" s="538"/>
    </row>
    <row r="585">
      <c r="A585" s="292"/>
      <c r="C585" s="55"/>
      <c r="S585" s="538"/>
    </row>
    <row r="586">
      <c r="A586" s="292"/>
      <c r="C586" s="55"/>
      <c r="S586" s="538"/>
    </row>
    <row r="587">
      <c r="A587" s="292"/>
      <c r="C587" s="55"/>
      <c r="S587" s="538"/>
    </row>
    <row r="588">
      <c r="A588" s="292"/>
      <c r="C588" s="55"/>
      <c r="S588" s="538"/>
    </row>
    <row r="589">
      <c r="A589" s="292"/>
      <c r="C589" s="55"/>
      <c r="S589" s="538"/>
    </row>
    <row r="590">
      <c r="A590" s="292"/>
      <c r="C590" s="55"/>
      <c r="S590" s="538"/>
    </row>
    <row r="591">
      <c r="A591" s="292"/>
      <c r="C591" s="55"/>
      <c r="S591" s="538"/>
    </row>
    <row r="592">
      <c r="A592" s="292"/>
      <c r="C592" s="55"/>
      <c r="S592" s="538"/>
    </row>
    <row r="593">
      <c r="A593" s="292"/>
      <c r="C593" s="55"/>
      <c r="S593" s="538"/>
    </row>
    <row r="594">
      <c r="A594" s="292"/>
      <c r="C594" s="55"/>
      <c r="S594" s="538"/>
    </row>
    <row r="595">
      <c r="A595" s="292"/>
      <c r="C595" s="55"/>
      <c r="S595" s="538"/>
    </row>
    <row r="596">
      <c r="A596" s="292"/>
      <c r="C596" s="55"/>
      <c r="S596" s="538"/>
    </row>
    <row r="597">
      <c r="A597" s="292"/>
      <c r="C597" s="55"/>
      <c r="S597" s="538"/>
    </row>
    <row r="598">
      <c r="A598" s="292"/>
      <c r="C598" s="55"/>
      <c r="S598" s="538"/>
    </row>
    <row r="599">
      <c r="A599" s="292"/>
      <c r="C599" s="55"/>
      <c r="S599" s="538"/>
    </row>
    <row r="600">
      <c r="A600" s="292"/>
      <c r="C600" s="55"/>
      <c r="S600" s="538"/>
    </row>
    <row r="601">
      <c r="A601" s="292"/>
      <c r="C601" s="55"/>
      <c r="S601" s="538"/>
    </row>
    <row r="602">
      <c r="A602" s="292"/>
      <c r="C602" s="55"/>
      <c r="S602" s="538"/>
    </row>
    <row r="603">
      <c r="A603" s="292"/>
      <c r="C603" s="55"/>
      <c r="S603" s="538"/>
    </row>
    <row r="604">
      <c r="A604" s="292"/>
      <c r="C604" s="55"/>
      <c r="S604" s="538"/>
    </row>
    <row r="605">
      <c r="A605" s="292"/>
      <c r="C605" s="55"/>
      <c r="S605" s="538"/>
    </row>
    <row r="606">
      <c r="A606" s="292"/>
      <c r="C606" s="55"/>
      <c r="S606" s="538"/>
    </row>
    <row r="607">
      <c r="A607" s="292"/>
      <c r="C607" s="55"/>
      <c r="S607" s="538"/>
    </row>
    <row r="608">
      <c r="A608" s="292"/>
      <c r="C608" s="55"/>
      <c r="S608" s="538"/>
    </row>
    <row r="609">
      <c r="A609" s="292"/>
      <c r="C609" s="55"/>
      <c r="S609" s="538"/>
    </row>
    <row r="610">
      <c r="A610" s="292"/>
      <c r="C610" s="55"/>
      <c r="S610" s="538"/>
    </row>
    <row r="611">
      <c r="A611" s="292"/>
      <c r="C611" s="55"/>
      <c r="S611" s="538"/>
    </row>
    <row r="612">
      <c r="A612" s="292"/>
      <c r="C612" s="55"/>
      <c r="S612" s="538"/>
    </row>
    <row r="613">
      <c r="A613" s="292"/>
      <c r="C613" s="55"/>
      <c r="S613" s="538"/>
    </row>
    <row r="614">
      <c r="A614" s="292"/>
      <c r="C614" s="55"/>
      <c r="S614" s="538"/>
    </row>
    <row r="615">
      <c r="A615" s="292"/>
      <c r="C615" s="55"/>
      <c r="S615" s="538"/>
    </row>
    <row r="616">
      <c r="A616" s="292"/>
      <c r="C616" s="55"/>
      <c r="S616" s="538"/>
    </row>
    <row r="617">
      <c r="A617" s="292"/>
      <c r="C617" s="55"/>
      <c r="S617" s="538"/>
    </row>
    <row r="618">
      <c r="A618" s="292"/>
      <c r="C618" s="55"/>
      <c r="S618" s="538"/>
    </row>
    <row r="619">
      <c r="A619" s="292"/>
      <c r="C619" s="55"/>
      <c r="S619" s="538"/>
    </row>
    <row r="620">
      <c r="A620" s="292"/>
      <c r="C620" s="55"/>
      <c r="S620" s="538"/>
    </row>
    <row r="621">
      <c r="A621" s="292"/>
      <c r="C621" s="55"/>
      <c r="S621" s="538"/>
    </row>
    <row r="622">
      <c r="A622" s="292"/>
      <c r="C622" s="55"/>
      <c r="S622" s="538"/>
    </row>
    <row r="623">
      <c r="A623" s="292"/>
      <c r="C623" s="55"/>
      <c r="S623" s="538"/>
    </row>
    <row r="624">
      <c r="A624" s="292"/>
      <c r="C624" s="55"/>
      <c r="S624" s="538"/>
    </row>
    <row r="625">
      <c r="A625" s="292"/>
      <c r="C625" s="55"/>
      <c r="S625" s="538"/>
    </row>
    <row r="626">
      <c r="A626" s="292"/>
      <c r="C626" s="55"/>
      <c r="S626" s="538"/>
    </row>
    <row r="627">
      <c r="A627" s="292"/>
      <c r="C627" s="55"/>
      <c r="S627" s="538"/>
    </row>
    <row r="628">
      <c r="A628" s="292"/>
      <c r="C628" s="55"/>
      <c r="S628" s="538"/>
    </row>
    <row r="629">
      <c r="A629" s="292"/>
      <c r="C629" s="55"/>
      <c r="S629" s="538"/>
    </row>
    <row r="630">
      <c r="A630" s="292"/>
      <c r="C630" s="55"/>
      <c r="S630" s="538"/>
    </row>
    <row r="631">
      <c r="A631" s="292"/>
      <c r="C631" s="55"/>
      <c r="S631" s="538"/>
    </row>
    <row r="632">
      <c r="A632" s="292"/>
      <c r="C632" s="55"/>
      <c r="S632" s="538"/>
    </row>
    <row r="633">
      <c r="A633" s="292"/>
      <c r="C633" s="55"/>
      <c r="S633" s="538"/>
    </row>
    <row r="634">
      <c r="A634" s="292"/>
      <c r="C634" s="55"/>
      <c r="S634" s="538"/>
    </row>
    <row r="635">
      <c r="A635" s="292"/>
      <c r="C635" s="55"/>
      <c r="S635" s="538"/>
    </row>
    <row r="636">
      <c r="A636" s="292"/>
      <c r="C636" s="55"/>
      <c r="S636" s="538"/>
    </row>
    <row r="637">
      <c r="A637" s="292"/>
      <c r="C637" s="55"/>
      <c r="S637" s="538"/>
    </row>
    <row r="638">
      <c r="A638" s="292"/>
      <c r="C638" s="55"/>
      <c r="S638" s="538"/>
    </row>
    <row r="639">
      <c r="A639" s="292"/>
      <c r="C639" s="55"/>
      <c r="S639" s="538"/>
    </row>
    <row r="640">
      <c r="A640" s="292"/>
      <c r="C640" s="55"/>
      <c r="S640" s="538"/>
    </row>
    <row r="641">
      <c r="A641" s="292"/>
      <c r="C641" s="55"/>
      <c r="S641" s="538"/>
    </row>
    <row r="642">
      <c r="A642" s="292"/>
      <c r="C642" s="55"/>
      <c r="S642" s="538"/>
    </row>
    <row r="643">
      <c r="A643" s="292"/>
      <c r="C643" s="55"/>
      <c r="S643" s="538"/>
    </row>
    <row r="644">
      <c r="A644" s="292"/>
      <c r="C644" s="55"/>
      <c r="S644" s="538"/>
    </row>
    <row r="645">
      <c r="A645" s="292"/>
      <c r="C645" s="55"/>
      <c r="S645" s="538"/>
    </row>
    <row r="646">
      <c r="A646" s="292"/>
      <c r="C646" s="55"/>
      <c r="S646" s="538"/>
    </row>
    <row r="647">
      <c r="A647" s="292"/>
      <c r="C647" s="55"/>
      <c r="S647" s="538"/>
    </row>
    <row r="648">
      <c r="A648" s="292"/>
      <c r="C648" s="55"/>
      <c r="S648" s="538"/>
    </row>
    <row r="649">
      <c r="A649" s="292"/>
      <c r="C649" s="55"/>
      <c r="S649" s="538"/>
    </row>
    <row r="650">
      <c r="A650" s="292"/>
      <c r="C650" s="55"/>
      <c r="S650" s="538"/>
    </row>
    <row r="651">
      <c r="A651" s="292"/>
      <c r="C651" s="55"/>
      <c r="S651" s="538"/>
    </row>
    <row r="652">
      <c r="A652" s="292"/>
      <c r="C652" s="55"/>
      <c r="S652" s="538"/>
    </row>
    <row r="653">
      <c r="A653" s="292"/>
      <c r="C653" s="55"/>
      <c r="S653" s="538"/>
    </row>
    <row r="654">
      <c r="A654" s="292"/>
      <c r="C654" s="55"/>
      <c r="S654" s="538"/>
    </row>
    <row r="655">
      <c r="A655" s="292"/>
      <c r="C655" s="55"/>
      <c r="S655" s="538"/>
    </row>
    <row r="656">
      <c r="A656" s="292"/>
      <c r="C656" s="55"/>
      <c r="S656" s="538"/>
    </row>
    <row r="657">
      <c r="A657" s="292"/>
      <c r="C657" s="55"/>
      <c r="S657" s="538"/>
    </row>
    <row r="658">
      <c r="A658" s="292"/>
      <c r="C658" s="55"/>
      <c r="S658" s="538"/>
    </row>
    <row r="659">
      <c r="A659" s="292"/>
      <c r="C659" s="55"/>
      <c r="S659" s="538"/>
    </row>
    <row r="660">
      <c r="A660" s="292"/>
      <c r="C660" s="55"/>
      <c r="S660" s="538"/>
    </row>
    <row r="661">
      <c r="A661" s="292"/>
      <c r="C661" s="55"/>
      <c r="S661" s="538"/>
    </row>
    <row r="662">
      <c r="A662" s="292"/>
      <c r="C662" s="55"/>
      <c r="S662" s="538"/>
    </row>
    <row r="663">
      <c r="A663" s="292"/>
      <c r="C663" s="55"/>
      <c r="S663" s="538"/>
    </row>
    <row r="664">
      <c r="A664" s="292"/>
      <c r="C664" s="55"/>
      <c r="S664" s="538"/>
    </row>
    <row r="665">
      <c r="A665" s="292"/>
      <c r="C665" s="55"/>
      <c r="S665" s="538"/>
    </row>
    <row r="666">
      <c r="A666" s="292"/>
      <c r="C666" s="55"/>
      <c r="S666" s="538"/>
    </row>
    <row r="667">
      <c r="A667" s="292"/>
      <c r="C667" s="55"/>
      <c r="S667" s="538"/>
    </row>
    <row r="668">
      <c r="A668" s="292"/>
      <c r="C668" s="55"/>
      <c r="S668" s="538"/>
    </row>
    <row r="669">
      <c r="A669" s="292"/>
      <c r="C669" s="55"/>
      <c r="S669" s="538"/>
    </row>
    <row r="670">
      <c r="A670" s="292"/>
      <c r="C670" s="55"/>
      <c r="S670" s="538"/>
    </row>
    <row r="671">
      <c r="A671" s="292"/>
      <c r="C671" s="55"/>
      <c r="S671" s="538"/>
    </row>
    <row r="672">
      <c r="A672" s="292"/>
      <c r="C672" s="55"/>
      <c r="S672" s="538"/>
    </row>
    <row r="673">
      <c r="A673" s="292"/>
      <c r="C673" s="55"/>
      <c r="S673" s="538"/>
    </row>
    <row r="674">
      <c r="A674" s="292"/>
      <c r="C674" s="55"/>
      <c r="S674" s="538"/>
    </row>
    <row r="675">
      <c r="A675" s="292"/>
      <c r="C675" s="55"/>
      <c r="S675" s="538"/>
    </row>
    <row r="676">
      <c r="A676" s="292"/>
      <c r="C676" s="55"/>
      <c r="S676" s="538"/>
    </row>
    <row r="677">
      <c r="A677" s="292"/>
      <c r="C677" s="55"/>
      <c r="S677" s="538"/>
    </row>
    <row r="678">
      <c r="A678" s="292"/>
      <c r="C678" s="55"/>
      <c r="S678" s="538"/>
    </row>
    <row r="679">
      <c r="A679" s="292"/>
      <c r="C679" s="55"/>
      <c r="S679" s="538"/>
    </row>
    <row r="680">
      <c r="A680" s="292"/>
      <c r="C680" s="55"/>
      <c r="S680" s="538"/>
    </row>
    <row r="681">
      <c r="A681" s="292"/>
      <c r="C681" s="55"/>
      <c r="S681" s="538"/>
    </row>
    <row r="682">
      <c r="A682" s="292"/>
      <c r="C682" s="55"/>
      <c r="S682" s="538"/>
    </row>
    <row r="683">
      <c r="A683" s="292"/>
      <c r="C683" s="55"/>
      <c r="S683" s="538"/>
    </row>
    <row r="684">
      <c r="A684" s="292"/>
      <c r="C684" s="55"/>
      <c r="S684" s="538"/>
    </row>
    <row r="685">
      <c r="A685" s="292"/>
      <c r="C685" s="55"/>
      <c r="S685" s="538"/>
    </row>
    <row r="686">
      <c r="A686" s="292"/>
      <c r="C686" s="55"/>
      <c r="S686" s="538"/>
    </row>
    <row r="687">
      <c r="A687" s="292"/>
      <c r="C687" s="55"/>
      <c r="S687" s="538"/>
    </row>
    <row r="688">
      <c r="A688" s="292"/>
      <c r="C688" s="55"/>
      <c r="S688" s="538"/>
    </row>
    <row r="689">
      <c r="A689" s="292"/>
      <c r="C689" s="55"/>
      <c r="S689" s="538"/>
    </row>
    <row r="690">
      <c r="A690" s="292"/>
      <c r="C690" s="55"/>
      <c r="S690" s="538"/>
    </row>
    <row r="691">
      <c r="A691" s="292"/>
      <c r="C691" s="55"/>
      <c r="S691" s="538"/>
    </row>
    <row r="692">
      <c r="A692" s="292"/>
      <c r="C692" s="55"/>
      <c r="S692" s="538"/>
    </row>
    <row r="693">
      <c r="A693" s="292"/>
      <c r="C693" s="55"/>
      <c r="S693" s="538"/>
    </row>
    <row r="694">
      <c r="A694" s="292"/>
      <c r="C694" s="55"/>
      <c r="S694" s="538"/>
    </row>
    <row r="695">
      <c r="A695" s="292"/>
      <c r="C695" s="55"/>
      <c r="S695" s="538"/>
    </row>
    <row r="696">
      <c r="A696" s="292"/>
      <c r="C696" s="55"/>
      <c r="S696" s="538"/>
    </row>
    <row r="697">
      <c r="A697" s="292"/>
      <c r="C697" s="55"/>
      <c r="S697" s="538"/>
    </row>
    <row r="698">
      <c r="A698" s="292"/>
      <c r="C698" s="55"/>
      <c r="S698" s="538"/>
    </row>
    <row r="699">
      <c r="A699" s="292"/>
      <c r="C699" s="55"/>
      <c r="S699" s="538"/>
    </row>
    <row r="700">
      <c r="A700" s="292"/>
      <c r="C700" s="55"/>
      <c r="S700" s="538"/>
    </row>
    <row r="701">
      <c r="A701" s="292"/>
      <c r="C701" s="55"/>
      <c r="S701" s="538"/>
    </row>
    <row r="702">
      <c r="A702" s="292"/>
      <c r="C702" s="55"/>
      <c r="S702" s="538"/>
    </row>
    <row r="703">
      <c r="A703" s="292"/>
      <c r="C703" s="55"/>
      <c r="S703" s="538"/>
    </row>
    <row r="704">
      <c r="A704" s="292"/>
      <c r="C704" s="55"/>
      <c r="S704" s="538"/>
    </row>
    <row r="705">
      <c r="A705" s="292"/>
      <c r="C705" s="55"/>
      <c r="S705" s="538"/>
    </row>
    <row r="706">
      <c r="A706" s="292"/>
      <c r="C706" s="55"/>
      <c r="S706" s="538"/>
    </row>
    <row r="707">
      <c r="A707" s="292"/>
      <c r="C707" s="55"/>
      <c r="S707" s="538"/>
    </row>
    <row r="708">
      <c r="A708" s="292"/>
      <c r="C708" s="55"/>
      <c r="S708" s="538"/>
    </row>
    <row r="709">
      <c r="A709" s="292"/>
      <c r="C709" s="55"/>
      <c r="S709" s="538"/>
    </row>
    <row r="710">
      <c r="A710" s="292"/>
      <c r="C710" s="55"/>
      <c r="S710" s="538"/>
    </row>
    <row r="711">
      <c r="A711" s="292"/>
      <c r="C711" s="55"/>
      <c r="S711" s="538"/>
    </row>
    <row r="712">
      <c r="A712" s="292"/>
      <c r="C712" s="55"/>
      <c r="S712" s="538"/>
    </row>
    <row r="713">
      <c r="A713" s="292"/>
      <c r="C713" s="55"/>
      <c r="S713" s="538"/>
    </row>
    <row r="714">
      <c r="A714" s="292"/>
      <c r="C714" s="55"/>
      <c r="S714" s="538"/>
    </row>
    <row r="715">
      <c r="A715" s="292"/>
      <c r="C715" s="55"/>
      <c r="S715" s="538"/>
    </row>
    <row r="716">
      <c r="A716" s="292"/>
      <c r="C716" s="55"/>
      <c r="S716" s="538"/>
    </row>
    <row r="717">
      <c r="A717" s="292"/>
      <c r="C717" s="55"/>
      <c r="S717" s="538"/>
    </row>
    <row r="718">
      <c r="A718" s="292"/>
      <c r="C718" s="55"/>
      <c r="S718" s="538"/>
    </row>
    <row r="719">
      <c r="A719" s="292"/>
      <c r="C719" s="55"/>
      <c r="S719" s="538"/>
    </row>
    <row r="720">
      <c r="A720" s="292"/>
      <c r="C720" s="55"/>
      <c r="S720" s="538"/>
    </row>
    <row r="721">
      <c r="A721" s="292"/>
      <c r="C721" s="55"/>
      <c r="S721" s="538"/>
    </row>
    <row r="722">
      <c r="A722" s="292"/>
      <c r="C722" s="55"/>
      <c r="S722" s="538"/>
    </row>
    <row r="723">
      <c r="A723" s="292"/>
      <c r="C723" s="55"/>
      <c r="S723" s="538"/>
    </row>
    <row r="724">
      <c r="A724" s="292"/>
      <c r="C724" s="55"/>
      <c r="S724" s="538"/>
    </row>
    <row r="725">
      <c r="A725" s="292"/>
      <c r="C725" s="55"/>
      <c r="S725" s="538"/>
    </row>
    <row r="726">
      <c r="A726" s="292"/>
      <c r="C726" s="55"/>
      <c r="S726" s="538"/>
    </row>
    <row r="727">
      <c r="A727" s="292"/>
      <c r="C727" s="55"/>
      <c r="S727" s="538"/>
    </row>
    <row r="728">
      <c r="A728" s="292"/>
      <c r="C728" s="55"/>
      <c r="S728" s="538"/>
    </row>
    <row r="729">
      <c r="A729" s="292"/>
      <c r="C729" s="55"/>
      <c r="S729" s="538"/>
    </row>
    <row r="730">
      <c r="A730" s="292"/>
      <c r="C730" s="55"/>
      <c r="S730" s="538"/>
    </row>
    <row r="731">
      <c r="A731" s="292"/>
      <c r="C731" s="55"/>
      <c r="S731" s="538"/>
    </row>
    <row r="732">
      <c r="A732" s="292"/>
      <c r="C732" s="55"/>
      <c r="S732" s="538"/>
    </row>
    <row r="733">
      <c r="A733" s="292"/>
      <c r="C733" s="55"/>
      <c r="S733" s="538"/>
    </row>
    <row r="734">
      <c r="A734" s="292"/>
      <c r="C734" s="55"/>
      <c r="S734" s="538"/>
    </row>
    <row r="735">
      <c r="A735" s="292"/>
      <c r="C735" s="55"/>
      <c r="S735" s="538"/>
    </row>
    <row r="736">
      <c r="A736" s="292"/>
      <c r="C736" s="55"/>
      <c r="S736" s="538"/>
    </row>
    <row r="737">
      <c r="A737" s="292"/>
      <c r="C737" s="55"/>
      <c r="S737" s="538"/>
    </row>
    <row r="738">
      <c r="A738" s="292"/>
      <c r="C738" s="55"/>
      <c r="S738" s="538"/>
    </row>
    <row r="739">
      <c r="A739" s="292"/>
      <c r="C739" s="55"/>
      <c r="S739" s="538"/>
    </row>
    <row r="740">
      <c r="A740" s="292"/>
      <c r="C740" s="55"/>
      <c r="S740" s="538"/>
    </row>
    <row r="741">
      <c r="A741" s="292"/>
      <c r="C741" s="55"/>
      <c r="S741" s="538"/>
    </row>
    <row r="742">
      <c r="A742" s="292"/>
      <c r="C742" s="55"/>
      <c r="S742" s="538"/>
    </row>
    <row r="743">
      <c r="A743" s="292"/>
      <c r="C743" s="55"/>
      <c r="S743" s="538"/>
    </row>
    <row r="744">
      <c r="A744" s="292"/>
      <c r="C744" s="55"/>
      <c r="S744" s="538"/>
    </row>
    <row r="745">
      <c r="A745" s="292"/>
      <c r="C745" s="55"/>
      <c r="S745" s="538"/>
    </row>
    <row r="746">
      <c r="A746" s="292"/>
      <c r="C746" s="55"/>
      <c r="S746" s="538"/>
    </row>
    <row r="747">
      <c r="A747" s="292"/>
      <c r="C747" s="55"/>
      <c r="S747" s="538"/>
    </row>
    <row r="748">
      <c r="A748" s="292"/>
      <c r="C748" s="55"/>
      <c r="S748" s="538"/>
    </row>
    <row r="749">
      <c r="A749" s="292"/>
      <c r="C749" s="55"/>
      <c r="S749" s="538"/>
    </row>
    <row r="750">
      <c r="A750" s="292"/>
      <c r="C750" s="55"/>
      <c r="S750" s="538"/>
    </row>
    <row r="751">
      <c r="A751" s="292"/>
      <c r="C751" s="55"/>
      <c r="S751" s="538"/>
    </row>
    <row r="752">
      <c r="A752" s="292"/>
      <c r="C752" s="55"/>
      <c r="S752" s="538"/>
    </row>
    <row r="753">
      <c r="A753" s="292"/>
      <c r="C753" s="55"/>
      <c r="S753" s="538"/>
    </row>
    <row r="754">
      <c r="A754" s="292"/>
      <c r="C754" s="55"/>
      <c r="S754" s="538"/>
    </row>
    <row r="755">
      <c r="A755" s="292"/>
      <c r="C755" s="55"/>
      <c r="S755" s="538"/>
    </row>
    <row r="756">
      <c r="A756" s="292"/>
      <c r="C756" s="55"/>
      <c r="S756" s="538"/>
    </row>
    <row r="757">
      <c r="A757" s="292"/>
      <c r="C757" s="55"/>
      <c r="S757" s="538"/>
    </row>
    <row r="758">
      <c r="A758" s="292"/>
      <c r="C758" s="55"/>
      <c r="S758" s="538"/>
    </row>
    <row r="759">
      <c r="A759" s="292"/>
      <c r="C759" s="55"/>
      <c r="S759" s="538"/>
    </row>
    <row r="760">
      <c r="A760" s="292"/>
      <c r="C760" s="55"/>
      <c r="S760" s="538"/>
    </row>
    <row r="761">
      <c r="A761" s="292"/>
      <c r="C761" s="55"/>
      <c r="S761" s="538"/>
    </row>
    <row r="762">
      <c r="A762" s="292"/>
      <c r="C762" s="55"/>
      <c r="S762" s="538"/>
    </row>
    <row r="763">
      <c r="A763" s="292"/>
      <c r="C763" s="55"/>
      <c r="S763" s="538"/>
    </row>
    <row r="764">
      <c r="A764" s="292"/>
      <c r="C764" s="55"/>
      <c r="S764" s="538"/>
    </row>
    <row r="765">
      <c r="A765" s="292"/>
      <c r="C765" s="55"/>
      <c r="S765" s="538"/>
    </row>
    <row r="766">
      <c r="A766" s="292"/>
      <c r="C766" s="55"/>
      <c r="S766" s="538"/>
    </row>
    <row r="767">
      <c r="A767" s="292"/>
      <c r="C767" s="55"/>
      <c r="S767" s="538"/>
    </row>
    <row r="768">
      <c r="A768" s="292"/>
      <c r="C768" s="55"/>
      <c r="S768" s="538"/>
    </row>
    <row r="769">
      <c r="A769" s="292"/>
      <c r="C769" s="55"/>
      <c r="S769" s="538"/>
    </row>
    <row r="770">
      <c r="A770" s="292"/>
      <c r="C770" s="55"/>
      <c r="S770" s="538"/>
    </row>
    <row r="771">
      <c r="A771" s="292"/>
      <c r="C771" s="55"/>
      <c r="S771" s="538"/>
    </row>
    <row r="772">
      <c r="A772" s="292"/>
      <c r="C772" s="55"/>
      <c r="S772" s="538"/>
    </row>
    <row r="773">
      <c r="A773" s="292"/>
      <c r="C773" s="55"/>
      <c r="S773" s="538"/>
    </row>
    <row r="774">
      <c r="A774" s="292"/>
      <c r="C774" s="55"/>
      <c r="S774" s="538"/>
    </row>
    <row r="775">
      <c r="A775" s="292"/>
      <c r="C775" s="55"/>
      <c r="S775" s="538"/>
    </row>
    <row r="776">
      <c r="A776" s="292"/>
      <c r="C776" s="55"/>
      <c r="S776" s="538"/>
    </row>
    <row r="777">
      <c r="A777" s="292"/>
      <c r="C777" s="55"/>
      <c r="S777" s="538"/>
    </row>
    <row r="778">
      <c r="A778" s="292"/>
      <c r="C778" s="55"/>
      <c r="S778" s="538"/>
    </row>
    <row r="779">
      <c r="A779" s="292"/>
      <c r="C779" s="55"/>
      <c r="S779" s="538"/>
    </row>
    <row r="780">
      <c r="A780" s="292"/>
      <c r="C780" s="55"/>
      <c r="S780" s="538"/>
    </row>
    <row r="781">
      <c r="A781" s="292"/>
      <c r="C781" s="55"/>
      <c r="S781" s="538"/>
    </row>
    <row r="782">
      <c r="A782" s="292"/>
      <c r="C782" s="55"/>
      <c r="S782" s="538"/>
    </row>
    <row r="783">
      <c r="A783" s="292"/>
      <c r="C783" s="55"/>
      <c r="S783" s="538"/>
    </row>
    <row r="784">
      <c r="A784" s="292"/>
      <c r="C784" s="55"/>
      <c r="S784" s="538"/>
    </row>
    <row r="785">
      <c r="A785" s="292"/>
      <c r="C785" s="55"/>
      <c r="S785" s="538"/>
    </row>
    <row r="786">
      <c r="A786" s="292"/>
      <c r="C786" s="55"/>
      <c r="S786" s="538"/>
    </row>
    <row r="787">
      <c r="A787" s="292"/>
      <c r="C787" s="55"/>
      <c r="S787" s="538"/>
    </row>
    <row r="788">
      <c r="A788" s="292"/>
      <c r="C788" s="55"/>
      <c r="S788" s="538"/>
    </row>
    <row r="789">
      <c r="A789" s="292"/>
      <c r="C789" s="55"/>
      <c r="S789" s="538"/>
    </row>
    <row r="790">
      <c r="A790" s="292"/>
      <c r="C790" s="55"/>
      <c r="S790" s="538"/>
    </row>
    <row r="791">
      <c r="A791" s="292"/>
      <c r="C791" s="55"/>
      <c r="S791" s="538"/>
    </row>
    <row r="792">
      <c r="A792" s="292"/>
      <c r="C792" s="55"/>
      <c r="S792" s="538"/>
    </row>
    <row r="793">
      <c r="A793" s="292"/>
      <c r="C793" s="55"/>
      <c r="S793" s="538"/>
    </row>
    <row r="794">
      <c r="A794" s="292"/>
      <c r="C794" s="55"/>
      <c r="S794" s="538"/>
    </row>
    <row r="795">
      <c r="A795" s="292"/>
      <c r="C795" s="55"/>
      <c r="S795" s="538"/>
    </row>
    <row r="796">
      <c r="A796" s="292"/>
      <c r="C796" s="55"/>
      <c r="S796" s="538"/>
    </row>
    <row r="797">
      <c r="A797" s="292"/>
      <c r="C797" s="55"/>
      <c r="S797" s="538"/>
    </row>
    <row r="798">
      <c r="A798" s="292"/>
      <c r="C798" s="55"/>
      <c r="S798" s="538"/>
    </row>
    <row r="799">
      <c r="A799" s="292"/>
      <c r="C799" s="55"/>
      <c r="S799" s="538"/>
    </row>
    <row r="800">
      <c r="A800" s="292"/>
      <c r="C800" s="55"/>
      <c r="S800" s="538"/>
    </row>
    <row r="801">
      <c r="A801" s="292"/>
      <c r="C801" s="55"/>
      <c r="S801" s="538"/>
    </row>
    <row r="802">
      <c r="A802" s="292"/>
      <c r="C802" s="55"/>
      <c r="S802" s="538"/>
    </row>
    <row r="803">
      <c r="A803" s="292"/>
      <c r="C803" s="55"/>
      <c r="S803" s="538"/>
    </row>
    <row r="804">
      <c r="A804" s="292"/>
      <c r="C804" s="55"/>
      <c r="S804" s="538"/>
    </row>
    <row r="805">
      <c r="A805" s="292"/>
      <c r="C805" s="55"/>
      <c r="S805" s="538"/>
    </row>
    <row r="806">
      <c r="A806" s="292"/>
      <c r="C806" s="55"/>
      <c r="S806" s="538"/>
    </row>
    <row r="807">
      <c r="A807" s="292"/>
      <c r="C807" s="55"/>
      <c r="S807" s="538"/>
    </row>
    <row r="808">
      <c r="A808" s="292"/>
      <c r="C808" s="55"/>
      <c r="S808" s="538"/>
    </row>
    <row r="809">
      <c r="A809" s="292"/>
      <c r="C809" s="55"/>
      <c r="S809" s="538"/>
    </row>
    <row r="810">
      <c r="A810" s="292"/>
      <c r="C810" s="55"/>
      <c r="S810" s="538"/>
    </row>
    <row r="811">
      <c r="A811" s="292"/>
      <c r="C811" s="55"/>
      <c r="S811" s="538"/>
    </row>
    <row r="812">
      <c r="A812" s="292"/>
      <c r="C812" s="55"/>
      <c r="S812" s="538"/>
    </row>
    <row r="813">
      <c r="A813" s="292"/>
      <c r="C813" s="55"/>
      <c r="S813" s="538"/>
    </row>
    <row r="814">
      <c r="A814" s="292"/>
      <c r="C814" s="55"/>
      <c r="S814" s="538"/>
    </row>
    <row r="815">
      <c r="A815" s="292"/>
      <c r="C815" s="55"/>
      <c r="S815" s="538"/>
    </row>
    <row r="816">
      <c r="A816" s="292"/>
      <c r="C816" s="55"/>
      <c r="S816" s="538"/>
    </row>
    <row r="817">
      <c r="A817" s="292"/>
      <c r="C817" s="55"/>
      <c r="S817" s="538"/>
    </row>
    <row r="818">
      <c r="A818" s="292"/>
      <c r="C818" s="55"/>
      <c r="S818" s="538"/>
    </row>
    <row r="819">
      <c r="A819" s="292"/>
      <c r="C819" s="55"/>
      <c r="S819" s="538"/>
    </row>
    <row r="820">
      <c r="A820" s="292"/>
      <c r="C820" s="55"/>
      <c r="S820" s="538"/>
    </row>
    <row r="821">
      <c r="A821" s="292"/>
      <c r="C821" s="55"/>
      <c r="S821" s="538"/>
    </row>
    <row r="822">
      <c r="A822" s="292"/>
      <c r="C822" s="55"/>
      <c r="S822" s="538"/>
    </row>
    <row r="823">
      <c r="A823" s="292"/>
      <c r="C823" s="55"/>
      <c r="S823" s="538"/>
    </row>
    <row r="824">
      <c r="A824" s="292"/>
      <c r="C824" s="55"/>
      <c r="S824" s="538"/>
    </row>
    <row r="825">
      <c r="A825" s="292"/>
      <c r="C825" s="55"/>
      <c r="S825" s="538"/>
    </row>
    <row r="826">
      <c r="A826" s="292"/>
      <c r="C826" s="55"/>
      <c r="S826" s="538"/>
    </row>
    <row r="827">
      <c r="A827" s="292"/>
      <c r="C827" s="55"/>
      <c r="S827" s="538"/>
    </row>
    <row r="828">
      <c r="A828" s="292"/>
      <c r="C828" s="55"/>
      <c r="S828" s="538"/>
    </row>
    <row r="829">
      <c r="A829" s="292"/>
      <c r="C829" s="55"/>
      <c r="S829" s="538"/>
    </row>
    <row r="830">
      <c r="A830" s="292"/>
      <c r="C830" s="55"/>
      <c r="S830" s="538"/>
    </row>
    <row r="831">
      <c r="A831" s="292"/>
      <c r="C831" s="55"/>
      <c r="S831" s="538"/>
    </row>
    <row r="832">
      <c r="A832" s="292"/>
      <c r="C832" s="55"/>
      <c r="S832" s="538"/>
    </row>
    <row r="833">
      <c r="A833" s="292"/>
      <c r="C833" s="55"/>
      <c r="S833" s="538"/>
    </row>
    <row r="834">
      <c r="A834" s="292"/>
      <c r="C834" s="55"/>
      <c r="S834" s="538"/>
    </row>
    <row r="835">
      <c r="A835" s="292"/>
      <c r="C835" s="55"/>
      <c r="S835" s="538"/>
    </row>
    <row r="836">
      <c r="A836" s="292"/>
      <c r="C836" s="55"/>
      <c r="S836" s="538"/>
    </row>
    <row r="837">
      <c r="A837" s="292"/>
      <c r="C837" s="55"/>
      <c r="S837" s="538"/>
    </row>
    <row r="838">
      <c r="A838" s="292"/>
      <c r="C838" s="55"/>
      <c r="S838" s="538"/>
    </row>
    <row r="839">
      <c r="A839" s="292"/>
      <c r="C839" s="55"/>
      <c r="S839" s="538"/>
    </row>
    <row r="840">
      <c r="A840" s="292"/>
      <c r="C840" s="55"/>
      <c r="S840" s="538"/>
    </row>
    <row r="841">
      <c r="A841" s="292"/>
      <c r="C841" s="55"/>
      <c r="S841" s="538"/>
    </row>
    <row r="842">
      <c r="A842" s="292"/>
      <c r="C842" s="55"/>
      <c r="S842" s="538"/>
    </row>
    <row r="843">
      <c r="A843" s="292"/>
      <c r="C843" s="55"/>
      <c r="S843" s="538"/>
    </row>
    <row r="844">
      <c r="A844" s="292"/>
      <c r="C844" s="55"/>
      <c r="S844" s="538"/>
    </row>
    <row r="845">
      <c r="A845" s="292"/>
      <c r="C845" s="55"/>
      <c r="S845" s="538"/>
    </row>
    <row r="846">
      <c r="A846" s="292"/>
      <c r="C846" s="55"/>
      <c r="S846" s="538"/>
    </row>
    <row r="847">
      <c r="A847" s="292"/>
      <c r="C847" s="55"/>
      <c r="S847" s="538"/>
    </row>
    <row r="848">
      <c r="A848" s="292"/>
      <c r="C848" s="55"/>
      <c r="S848" s="538"/>
    </row>
    <row r="849">
      <c r="A849" s="292"/>
      <c r="C849" s="55"/>
      <c r="S849" s="538"/>
    </row>
    <row r="850">
      <c r="A850" s="292"/>
      <c r="C850" s="55"/>
      <c r="S850" s="538"/>
    </row>
    <row r="851">
      <c r="A851" s="292"/>
      <c r="C851" s="55"/>
      <c r="S851" s="538"/>
    </row>
    <row r="852">
      <c r="A852" s="292"/>
      <c r="C852" s="55"/>
      <c r="S852" s="538"/>
    </row>
    <row r="853">
      <c r="A853" s="292"/>
      <c r="C853" s="55"/>
      <c r="S853" s="538"/>
    </row>
    <row r="854">
      <c r="A854" s="292"/>
      <c r="C854" s="55"/>
      <c r="S854" s="538"/>
    </row>
    <row r="855">
      <c r="A855" s="292"/>
      <c r="C855" s="55"/>
      <c r="S855" s="538"/>
    </row>
    <row r="856">
      <c r="A856" s="292"/>
      <c r="C856" s="55"/>
      <c r="S856" s="538"/>
    </row>
    <row r="857">
      <c r="A857" s="292"/>
      <c r="C857" s="55"/>
      <c r="S857" s="538"/>
    </row>
    <row r="858">
      <c r="A858" s="292"/>
      <c r="C858" s="55"/>
      <c r="S858" s="538"/>
    </row>
    <row r="859">
      <c r="A859" s="292"/>
      <c r="C859" s="55"/>
      <c r="S859" s="538"/>
    </row>
    <row r="860">
      <c r="A860" s="292"/>
      <c r="C860" s="55"/>
      <c r="S860" s="538"/>
    </row>
    <row r="861">
      <c r="A861" s="292"/>
      <c r="C861" s="55"/>
      <c r="S861" s="538"/>
    </row>
    <row r="862">
      <c r="A862" s="292"/>
      <c r="C862" s="55"/>
      <c r="S862" s="538"/>
    </row>
    <row r="863">
      <c r="A863" s="292"/>
      <c r="C863" s="55"/>
      <c r="S863" s="538"/>
    </row>
    <row r="864">
      <c r="A864" s="292"/>
      <c r="C864" s="55"/>
      <c r="S864" s="538"/>
    </row>
    <row r="865">
      <c r="A865" s="292"/>
      <c r="C865" s="55"/>
      <c r="S865" s="538"/>
    </row>
    <row r="866">
      <c r="A866" s="292"/>
      <c r="C866" s="55"/>
      <c r="S866" s="538"/>
    </row>
    <row r="867">
      <c r="A867" s="292"/>
      <c r="C867" s="55"/>
      <c r="S867" s="538"/>
    </row>
    <row r="868">
      <c r="A868" s="292"/>
      <c r="C868" s="55"/>
      <c r="S868" s="538"/>
    </row>
    <row r="869">
      <c r="A869" s="292"/>
      <c r="C869" s="55"/>
      <c r="S869" s="538"/>
    </row>
    <row r="870">
      <c r="A870" s="292"/>
      <c r="C870" s="55"/>
      <c r="S870" s="538"/>
    </row>
    <row r="871">
      <c r="A871" s="292"/>
      <c r="C871" s="55"/>
      <c r="S871" s="538"/>
    </row>
    <row r="872">
      <c r="A872" s="292"/>
      <c r="C872" s="55"/>
      <c r="S872" s="538"/>
    </row>
    <row r="873">
      <c r="A873" s="292"/>
      <c r="C873" s="55"/>
      <c r="S873" s="538"/>
    </row>
    <row r="874">
      <c r="A874" s="292"/>
      <c r="C874" s="55"/>
      <c r="S874" s="538"/>
    </row>
    <row r="875">
      <c r="A875" s="292"/>
      <c r="C875" s="55"/>
      <c r="S875" s="538"/>
    </row>
    <row r="876">
      <c r="A876" s="292"/>
      <c r="C876" s="55"/>
      <c r="S876" s="538"/>
    </row>
    <row r="877">
      <c r="A877" s="292"/>
      <c r="C877" s="55"/>
      <c r="S877" s="538"/>
    </row>
    <row r="878">
      <c r="A878" s="292"/>
      <c r="C878" s="55"/>
      <c r="S878" s="538"/>
    </row>
    <row r="879">
      <c r="A879" s="292"/>
      <c r="C879" s="55"/>
      <c r="S879" s="538"/>
    </row>
    <row r="880">
      <c r="A880" s="292"/>
      <c r="C880" s="55"/>
      <c r="S880" s="538"/>
    </row>
    <row r="881">
      <c r="A881" s="292"/>
      <c r="C881" s="55"/>
      <c r="S881" s="538"/>
    </row>
    <row r="882">
      <c r="A882" s="292"/>
      <c r="C882" s="55"/>
      <c r="S882" s="538"/>
    </row>
    <row r="883">
      <c r="A883" s="292"/>
      <c r="C883" s="55"/>
      <c r="S883" s="538"/>
    </row>
    <row r="884">
      <c r="A884" s="292"/>
      <c r="C884" s="55"/>
      <c r="S884" s="538"/>
    </row>
    <row r="885">
      <c r="A885" s="292"/>
      <c r="C885" s="55"/>
      <c r="S885" s="538"/>
    </row>
    <row r="886">
      <c r="A886" s="292"/>
      <c r="C886" s="55"/>
      <c r="S886" s="538"/>
    </row>
    <row r="887">
      <c r="A887" s="292"/>
      <c r="C887" s="55"/>
      <c r="S887" s="538"/>
    </row>
    <row r="888">
      <c r="A888" s="292"/>
      <c r="C888" s="55"/>
      <c r="S888" s="538"/>
    </row>
    <row r="889">
      <c r="A889" s="292"/>
      <c r="C889" s="55"/>
      <c r="S889" s="538"/>
    </row>
    <row r="890">
      <c r="A890" s="292"/>
      <c r="C890" s="55"/>
      <c r="S890" s="538"/>
    </row>
    <row r="891">
      <c r="A891" s="292"/>
      <c r="C891" s="55"/>
      <c r="S891" s="538"/>
    </row>
    <row r="892">
      <c r="A892" s="292"/>
      <c r="C892" s="55"/>
      <c r="S892" s="538"/>
    </row>
    <row r="893">
      <c r="A893" s="292"/>
      <c r="C893" s="55"/>
      <c r="S893" s="538"/>
    </row>
    <row r="894">
      <c r="A894" s="292"/>
      <c r="C894" s="55"/>
      <c r="S894" s="538"/>
    </row>
    <row r="895">
      <c r="A895" s="292"/>
      <c r="C895" s="55"/>
      <c r="S895" s="538"/>
    </row>
    <row r="896">
      <c r="A896" s="292"/>
      <c r="C896" s="55"/>
      <c r="S896" s="538"/>
    </row>
    <row r="897">
      <c r="A897" s="292"/>
      <c r="C897" s="55"/>
      <c r="S897" s="538"/>
    </row>
    <row r="898">
      <c r="A898" s="292"/>
      <c r="C898" s="55"/>
      <c r="S898" s="538"/>
    </row>
    <row r="899">
      <c r="A899" s="292"/>
      <c r="C899" s="55"/>
      <c r="S899" s="538"/>
    </row>
    <row r="900">
      <c r="A900" s="292"/>
      <c r="C900" s="55"/>
      <c r="S900" s="538"/>
    </row>
    <row r="901">
      <c r="A901" s="292"/>
      <c r="C901" s="55"/>
      <c r="S901" s="538"/>
    </row>
    <row r="902">
      <c r="A902" s="292"/>
      <c r="C902" s="55"/>
      <c r="S902" s="538"/>
    </row>
    <row r="903">
      <c r="A903" s="292"/>
      <c r="C903" s="55"/>
      <c r="S903" s="538"/>
    </row>
    <row r="904">
      <c r="A904" s="292"/>
      <c r="C904" s="55"/>
      <c r="S904" s="538"/>
    </row>
    <row r="905">
      <c r="A905" s="292"/>
      <c r="C905" s="55"/>
      <c r="S905" s="538"/>
    </row>
    <row r="906">
      <c r="A906" s="292"/>
      <c r="C906" s="55"/>
      <c r="S906" s="538"/>
    </row>
    <row r="907">
      <c r="A907" s="292"/>
      <c r="C907" s="55"/>
      <c r="S907" s="538"/>
    </row>
    <row r="908">
      <c r="A908" s="292"/>
      <c r="C908" s="55"/>
      <c r="S908" s="538"/>
    </row>
    <row r="909">
      <c r="A909" s="292"/>
      <c r="C909" s="55"/>
      <c r="S909" s="538"/>
    </row>
    <row r="910">
      <c r="A910" s="292"/>
      <c r="C910" s="55"/>
      <c r="S910" s="538"/>
    </row>
    <row r="911">
      <c r="A911" s="292"/>
      <c r="C911" s="55"/>
      <c r="S911" s="538"/>
    </row>
    <row r="912">
      <c r="A912" s="292"/>
      <c r="C912" s="55"/>
      <c r="S912" s="538"/>
    </row>
    <row r="913">
      <c r="A913" s="292"/>
      <c r="C913" s="55"/>
      <c r="S913" s="538"/>
    </row>
    <row r="914">
      <c r="A914" s="292"/>
      <c r="C914" s="55"/>
      <c r="S914" s="538"/>
    </row>
    <row r="915">
      <c r="A915" s="292"/>
      <c r="C915" s="55"/>
      <c r="S915" s="538"/>
    </row>
    <row r="916">
      <c r="A916" s="292"/>
      <c r="C916" s="55"/>
      <c r="S916" s="538"/>
    </row>
    <row r="917">
      <c r="A917" s="292"/>
      <c r="C917" s="55"/>
      <c r="S917" s="538"/>
    </row>
    <row r="918">
      <c r="A918" s="292"/>
      <c r="C918" s="55"/>
      <c r="S918" s="538"/>
    </row>
    <row r="919">
      <c r="A919" s="292"/>
      <c r="C919" s="55"/>
      <c r="S919" s="538"/>
    </row>
    <row r="920">
      <c r="A920" s="292"/>
      <c r="C920" s="55"/>
      <c r="S920" s="538"/>
    </row>
    <row r="921">
      <c r="A921" s="292"/>
      <c r="C921" s="55"/>
      <c r="S921" s="538"/>
    </row>
    <row r="922">
      <c r="A922" s="292"/>
      <c r="C922" s="55"/>
      <c r="S922" s="538"/>
    </row>
    <row r="923">
      <c r="A923" s="292"/>
      <c r="C923" s="55"/>
      <c r="S923" s="538"/>
    </row>
    <row r="924">
      <c r="A924" s="292"/>
      <c r="C924" s="55"/>
      <c r="S924" s="538"/>
    </row>
    <row r="925">
      <c r="A925" s="292"/>
      <c r="C925" s="55"/>
      <c r="S925" s="538"/>
    </row>
    <row r="926">
      <c r="A926" s="292"/>
      <c r="C926" s="55"/>
      <c r="S926" s="538"/>
    </row>
    <row r="927">
      <c r="A927" s="292"/>
      <c r="C927" s="55"/>
      <c r="S927" s="538"/>
    </row>
    <row r="928">
      <c r="A928" s="292"/>
      <c r="C928" s="55"/>
      <c r="S928" s="538"/>
    </row>
    <row r="929">
      <c r="A929" s="292"/>
      <c r="C929" s="55"/>
      <c r="S929" s="538"/>
    </row>
    <row r="930">
      <c r="A930" s="292"/>
      <c r="C930" s="55"/>
      <c r="S930" s="538"/>
    </row>
    <row r="931">
      <c r="A931" s="292"/>
      <c r="C931" s="55"/>
      <c r="S931" s="538"/>
    </row>
    <row r="932">
      <c r="A932" s="292"/>
      <c r="C932" s="55"/>
      <c r="S932" s="538"/>
    </row>
    <row r="933">
      <c r="A933" s="292"/>
      <c r="C933" s="55"/>
      <c r="S933" s="538"/>
    </row>
    <row r="934">
      <c r="A934" s="292"/>
      <c r="C934" s="55"/>
      <c r="S934" s="538"/>
    </row>
    <row r="935">
      <c r="A935" s="292"/>
      <c r="C935" s="55"/>
      <c r="S935" s="538"/>
    </row>
    <row r="936">
      <c r="A936" s="292"/>
      <c r="C936" s="55"/>
      <c r="S936" s="538"/>
    </row>
    <row r="937">
      <c r="A937" s="292"/>
      <c r="C937" s="55"/>
      <c r="S937" s="538"/>
    </row>
    <row r="938">
      <c r="A938" s="292"/>
      <c r="C938" s="55"/>
      <c r="S938" s="538"/>
    </row>
    <row r="939">
      <c r="A939" s="292"/>
      <c r="C939" s="55"/>
      <c r="S939" s="538"/>
    </row>
    <row r="940">
      <c r="A940" s="292"/>
      <c r="C940" s="55"/>
      <c r="S940" s="538"/>
    </row>
    <row r="941">
      <c r="A941" s="292"/>
      <c r="C941" s="55"/>
      <c r="S941" s="538"/>
    </row>
    <row r="942">
      <c r="A942" s="292"/>
      <c r="C942" s="55"/>
      <c r="S942" s="538"/>
    </row>
    <row r="943">
      <c r="A943" s="292"/>
      <c r="C943" s="55"/>
      <c r="S943" s="538"/>
    </row>
    <row r="944">
      <c r="A944" s="292"/>
      <c r="C944" s="55"/>
      <c r="S944" s="538"/>
    </row>
    <row r="945">
      <c r="A945" s="292"/>
      <c r="C945" s="55"/>
      <c r="S945" s="538"/>
    </row>
    <row r="946">
      <c r="A946" s="292"/>
      <c r="C946" s="55"/>
      <c r="S946" s="538"/>
    </row>
    <row r="947">
      <c r="A947" s="292"/>
      <c r="C947" s="55"/>
      <c r="S947" s="538"/>
    </row>
    <row r="948">
      <c r="A948" s="292"/>
      <c r="C948" s="55"/>
      <c r="S948" s="538"/>
    </row>
    <row r="949">
      <c r="A949" s="292"/>
      <c r="C949" s="55"/>
      <c r="S949" s="538"/>
    </row>
    <row r="950">
      <c r="A950" s="292"/>
      <c r="C950" s="55"/>
      <c r="S950" s="538"/>
    </row>
    <row r="951">
      <c r="A951" s="292"/>
      <c r="C951" s="55"/>
      <c r="S951" s="538"/>
    </row>
    <row r="952">
      <c r="A952" s="292"/>
      <c r="C952" s="55"/>
      <c r="S952" s="538"/>
    </row>
    <row r="953">
      <c r="A953" s="292"/>
      <c r="C953" s="55"/>
      <c r="S953" s="538"/>
    </row>
    <row r="954">
      <c r="A954" s="292"/>
      <c r="C954" s="55"/>
      <c r="S954" s="538"/>
    </row>
    <row r="955">
      <c r="A955" s="292"/>
      <c r="C955" s="55"/>
      <c r="S955" s="538"/>
    </row>
    <row r="956">
      <c r="A956" s="292"/>
      <c r="C956" s="55"/>
      <c r="S956" s="538"/>
    </row>
    <row r="957">
      <c r="A957" s="292"/>
      <c r="C957" s="55"/>
      <c r="S957" s="538"/>
    </row>
    <row r="958">
      <c r="A958" s="292"/>
      <c r="C958" s="55"/>
      <c r="S958" s="538"/>
    </row>
    <row r="959">
      <c r="A959" s="292"/>
      <c r="C959" s="55"/>
      <c r="S959" s="538"/>
    </row>
    <row r="960">
      <c r="A960" s="292"/>
      <c r="C960" s="55"/>
      <c r="S960" s="538"/>
    </row>
    <row r="961">
      <c r="A961" s="292"/>
      <c r="C961" s="55"/>
      <c r="S961" s="538"/>
    </row>
    <row r="962">
      <c r="A962" s="292"/>
      <c r="C962" s="55"/>
      <c r="S962" s="538"/>
    </row>
    <row r="963">
      <c r="A963" s="292"/>
      <c r="C963" s="55"/>
      <c r="S963" s="538"/>
    </row>
    <row r="964">
      <c r="A964" s="292"/>
      <c r="C964" s="55"/>
      <c r="S964" s="538"/>
    </row>
    <row r="965">
      <c r="A965" s="292"/>
      <c r="C965" s="55"/>
      <c r="S965" s="538"/>
    </row>
    <row r="966">
      <c r="A966" s="292"/>
      <c r="C966" s="55"/>
      <c r="S966" s="538"/>
    </row>
    <row r="967">
      <c r="A967" s="292"/>
      <c r="C967" s="55"/>
      <c r="S967" s="538"/>
    </row>
    <row r="968">
      <c r="A968" s="292"/>
      <c r="C968" s="55"/>
      <c r="S968" s="538"/>
    </row>
    <row r="969">
      <c r="A969" s="292"/>
      <c r="C969" s="55"/>
      <c r="S969" s="538"/>
    </row>
    <row r="970">
      <c r="A970" s="292"/>
      <c r="C970" s="55"/>
      <c r="S970" s="538"/>
    </row>
    <row r="971">
      <c r="A971" s="292"/>
      <c r="C971" s="55"/>
      <c r="S971" s="538"/>
    </row>
    <row r="972">
      <c r="A972" s="292"/>
      <c r="C972" s="55"/>
      <c r="S972" s="538"/>
    </row>
    <row r="973">
      <c r="A973" s="292"/>
      <c r="C973" s="55"/>
      <c r="S973" s="538"/>
    </row>
    <row r="974">
      <c r="A974" s="292"/>
      <c r="C974" s="55"/>
      <c r="S974" s="538"/>
    </row>
    <row r="975">
      <c r="A975" s="292"/>
      <c r="C975" s="55"/>
      <c r="S975" s="538"/>
    </row>
    <row r="976">
      <c r="A976" s="292"/>
      <c r="C976" s="55"/>
      <c r="S976" s="538"/>
    </row>
    <row r="977">
      <c r="A977" s="292"/>
      <c r="C977" s="55"/>
      <c r="S977" s="538"/>
    </row>
    <row r="978">
      <c r="A978" s="292"/>
      <c r="C978" s="55"/>
      <c r="S978" s="538"/>
    </row>
    <row r="979">
      <c r="A979" s="292"/>
      <c r="C979" s="55"/>
      <c r="S979" s="538"/>
    </row>
    <row r="980">
      <c r="A980" s="292"/>
      <c r="C980" s="55"/>
      <c r="S980" s="538"/>
    </row>
    <row r="981">
      <c r="A981" s="292"/>
      <c r="C981" s="55"/>
      <c r="S981" s="538"/>
    </row>
    <row r="982">
      <c r="A982" s="292"/>
      <c r="C982" s="55"/>
      <c r="S982" s="538"/>
    </row>
    <row r="983">
      <c r="A983" s="292"/>
      <c r="C983" s="55"/>
      <c r="S983" s="538"/>
    </row>
    <row r="984">
      <c r="A984" s="292"/>
      <c r="C984" s="55"/>
      <c r="S984" s="538"/>
    </row>
    <row r="985">
      <c r="A985" s="292"/>
      <c r="C985" s="55"/>
      <c r="S985" s="538"/>
    </row>
    <row r="986">
      <c r="A986" s="292"/>
      <c r="C986" s="55"/>
      <c r="S986" s="538"/>
    </row>
    <row r="987">
      <c r="A987" s="292"/>
      <c r="C987" s="55"/>
      <c r="S987" s="538"/>
    </row>
    <row r="988">
      <c r="A988" s="292"/>
      <c r="C988" s="55"/>
      <c r="S988" s="538"/>
    </row>
    <row r="989">
      <c r="A989" s="292"/>
      <c r="C989" s="55"/>
      <c r="S989" s="538"/>
    </row>
    <row r="990">
      <c r="A990" s="292"/>
      <c r="C990" s="55"/>
      <c r="S990" s="538"/>
    </row>
    <row r="991">
      <c r="A991" s="292"/>
      <c r="C991" s="55"/>
      <c r="S991" s="538"/>
    </row>
    <row r="992">
      <c r="A992" s="292"/>
      <c r="C992" s="55"/>
      <c r="S992" s="538"/>
    </row>
    <row r="993">
      <c r="A993" s="292"/>
      <c r="C993" s="55"/>
      <c r="S993" s="538"/>
    </row>
    <row r="994">
      <c r="A994" s="292"/>
      <c r="C994" s="55"/>
      <c r="S994" s="538"/>
    </row>
    <row r="995">
      <c r="A995" s="292"/>
      <c r="C995" s="55"/>
      <c r="S995" s="538"/>
    </row>
    <row r="996">
      <c r="A996" s="292"/>
      <c r="C996" s="55"/>
      <c r="S996" s="538"/>
    </row>
    <row r="997">
      <c r="A997" s="292"/>
      <c r="C997" s="55"/>
      <c r="S997" s="538"/>
    </row>
    <row r="998">
      <c r="A998" s="292"/>
      <c r="C998" s="55"/>
      <c r="S998" s="538"/>
    </row>
    <row r="999">
      <c r="A999" s="292"/>
      <c r="C999" s="55"/>
      <c r="S999" s="538"/>
    </row>
    <row r="1000">
      <c r="A1000" s="292"/>
      <c r="C1000" s="55"/>
      <c r="S1000" s="538"/>
    </row>
    <row r="1001">
      <c r="A1001" s="292"/>
      <c r="C1001" s="55"/>
      <c r="S1001" s="538"/>
    </row>
  </sheetData>
  <mergeCells count="5">
    <mergeCell ref="B18:G18"/>
    <mergeCell ref="B19:G19"/>
    <mergeCell ref="B21:G21"/>
    <mergeCell ref="B23:G23"/>
    <mergeCell ref="B25:I2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1.75"/>
    <col customWidth="1" min="3" max="4" width="22.63"/>
    <col customWidth="1" min="5" max="6" width="8.88"/>
    <col customWidth="1" min="7" max="7" width="23.38"/>
    <col customWidth="1" min="8" max="8" width="31.38"/>
    <col customWidth="1" min="9" max="9" width="12.0"/>
  </cols>
  <sheetData>
    <row r="1">
      <c r="A1" s="430"/>
      <c r="B1" s="462"/>
      <c r="C1" s="541"/>
      <c r="D1" s="542"/>
      <c r="E1" s="542"/>
      <c r="F1" s="542"/>
      <c r="G1" s="543" t="s">
        <v>1737</v>
      </c>
      <c r="H1" s="462"/>
      <c r="I1" s="2"/>
      <c r="J1" s="2"/>
      <c r="K1" s="2"/>
      <c r="L1" s="2"/>
      <c r="M1" s="2"/>
      <c r="N1" s="2"/>
      <c r="O1" s="2"/>
      <c r="P1" s="2"/>
      <c r="Q1" s="2"/>
      <c r="R1" s="2"/>
      <c r="S1" s="2"/>
      <c r="T1" s="2"/>
      <c r="U1" s="2"/>
      <c r="V1" s="2"/>
      <c r="W1" s="2"/>
      <c r="X1" s="2"/>
      <c r="Y1" s="2"/>
      <c r="Z1" s="2"/>
      <c r="AA1" s="2"/>
    </row>
    <row r="2">
      <c r="A2" s="446"/>
      <c r="B2" s="544"/>
      <c r="C2" s="545" t="s">
        <v>1738</v>
      </c>
      <c r="G2" s="546" t="s">
        <v>1541</v>
      </c>
      <c r="H2" s="546" t="s">
        <v>1532</v>
      </c>
      <c r="I2" s="435" t="s">
        <v>1542</v>
      </c>
      <c r="J2" s="2"/>
      <c r="K2" s="2"/>
      <c r="L2" s="2"/>
      <c r="M2" s="2"/>
      <c r="N2" s="2"/>
      <c r="O2" s="2"/>
      <c r="P2" s="2"/>
      <c r="Q2" s="2"/>
      <c r="R2" s="2"/>
      <c r="S2" s="2"/>
      <c r="T2" s="2"/>
      <c r="U2" s="2"/>
      <c r="V2" s="2"/>
      <c r="W2" s="2"/>
      <c r="X2" s="2"/>
      <c r="Y2" s="2"/>
      <c r="Z2" s="2"/>
      <c r="AA2" s="2"/>
    </row>
    <row r="3">
      <c r="A3" s="446"/>
      <c r="B3" s="547" t="s">
        <v>1739</v>
      </c>
      <c r="E3" s="548"/>
      <c r="F3" s="548"/>
      <c r="I3" s="2"/>
      <c r="J3" s="2"/>
      <c r="K3" s="2"/>
      <c r="L3" s="2"/>
      <c r="M3" s="2"/>
      <c r="N3" s="2"/>
      <c r="O3" s="2"/>
      <c r="P3" s="2"/>
      <c r="Q3" s="2"/>
      <c r="R3" s="2"/>
      <c r="S3" s="2"/>
      <c r="T3" s="2"/>
      <c r="U3" s="2"/>
      <c r="V3" s="2"/>
      <c r="W3" s="2"/>
      <c r="X3" s="2"/>
      <c r="Y3" s="2"/>
      <c r="Z3" s="2"/>
      <c r="AA3" s="2"/>
    </row>
    <row r="4" ht="15.0" customHeight="1">
      <c r="A4" s="549"/>
      <c r="B4" s="446"/>
      <c r="C4" s="550" t="s">
        <v>1740</v>
      </c>
      <c r="D4" s="550"/>
      <c r="E4" s="551" t="s">
        <v>332</v>
      </c>
      <c r="F4" s="551" t="s">
        <v>332</v>
      </c>
      <c r="G4" s="133" t="s">
        <v>1741</v>
      </c>
      <c r="H4" s="133" t="s">
        <v>1742</v>
      </c>
      <c r="I4" s="6" t="str">
        <f>"+20 Science"</f>
        <v>+20 Science</v>
      </c>
      <c r="J4" s="2"/>
      <c r="K4" s="2"/>
      <c r="L4" s="2"/>
      <c r="M4" s="2"/>
      <c r="N4" s="2"/>
      <c r="O4" s="2"/>
      <c r="P4" s="2"/>
      <c r="Q4" s="2"/>
      <c r="R4" s="2"/>
      <c r="S4" s="2"/>
      <c r="T4" s="2"/>
      <c r="U4" s="2"/>
      <c r="V4" s="2"/>
      <c r="W4" s="2"/>
      <c r="X4" s="2"/>
      <c r="Y4" s="2"/>
      <c r="Z4" s="2"/>
      <c r="AA4" s="2"/>
    </row>
    <row r="5" ht="15.0" customHeight="1">
      <c r="C5" s="552" t="str">
        <f>"+60% for adj. Groves, +2 Religion opinion"</f>
        <v>+60% for adj. Groves, +2 Religion opinion</v>
      </c>
      <c r="J5" s="2"/>
      <c r="K5" s="2"/>
      <c r="L5" s="2"/>
      <c r="M5" s="2"/>
      <c r="N5" s="2"/>
      <c r="O5" s="2"/>
      <c r="P5" s="2"/>
      <c r="Q5" s="2"/>
      <c r="R5" s="2"/>
      <c r="S5" s="2"/>
      <c r="T5" s="2"/>
      <c r="U5" s="2"/>
      <c r="V5" s="2"/>
      <c r="W5" s="2"/>
      <c r="X5" s="2"/>
      <c r="Y5" s="2"/>
      <c r="Z5" s="2"/>
      <c r="AA5" s="2"/>
    </row>
    <row r="6" ht="15.0" customHeight="1">
      <c r="C6" s="553" t="str">
        <f>"+2 Training w / Iconography Law"</f>
        <v>+2 Training w / Iconography Law</v>
      </c>
      <c r="J6" s="2"/>
      <c r="K6" s="2"/>
      <c r="L6" s="2"/>
      <c r="M6" s="2"/>
      <c r="N6" s="2"/>
      <c r="O6" s="2"/>
      <c r="P6" s="2"/>
      <c r="Q6" s="2"/>
      <c r="R6" s="2"/>
      <c r="S6" s="2"/>
      <c r="T6" s="2"/>
      <c r="U6" s="2"/>
      <c r="V6" s="2"/>
      <c r="W6" s="2"/>
      <c r="X6" s="2"/>
      <c r="Y6" s="2"/>
      <c r="Z6" s="2"/>
      <c r="AA6" s="2"/>
    </row>
    <row r="7" ht="15.0" customHeight="1">
      <c r="A7" s="549"/>
      <c r="B7" s="446"/>
      <c r="C7" s="554" t="str">
        <f>"+4 Culture w / Mythology (Theology)"</f>
        <v>+4 Culture w / Mythology (Theology)</v>
      </c>
      <c r="J7" s="2"/>
      <c r="K7" s="2"/>
      <c r="L7" s="2"/>
      <c r="M7" s="2"/>
      <c r="N7" s="2"/>
      <c r="O7" s="2"/>
      <c r="P7" s="2"/>
      <c r="Q7" s="2"/>
      <c r="R7" s="2"/>
      <c r="S7" s="2"/>
      <c r="T7" s="2"/>
      <c r="U7" s="2"/>
      <c r="V7" s="2"/>
      <c r="W7" s="2"/>
      <c r="X7" s="2"/>
      <c r="Y7" s="2"/>
      <c r="Z7" s="2"/>
      <c r="AA7" s="2"/>
    </row>
    <row r="8" ht="15.0" customHeight="1">
      <c r="C8" s="555" t="str">
        <f>"+20 Money w / Veneration (Theology)"</f>
        <v>+20 Money w / Veneration (Theology)</v>
      </c>
      <c r="J8" s="2"/>
      <c r="K8" s="2"/>
      <c r="L8" s="2"/>
      <c r="M8" s="2"/>
      <c r="N8" s="2"/>
      <c r="O8" s="2"/>
      <c r="P8" s="2"/>
      <c r="Q8" s="2"/>
      <c r="R8" s="2"/>
      <c r="S8" s="2"/>
      <c r="T8" s="2"/>
      <c r="U8" s="2"/>
      <c r="V8" s="2"/>
      <c r="W8" s="2"/>
      <c r="X8" s="2"/>
      <c r="Y8" s="2"/>
      <c r="Z8" s="2"/>
      <c r="AA8" s="2"/>
    </row>
    <row r="9" ht="15.0" customHeight="1">
      <c r="C9" s="556" t="str">
        <f>"+2 Civics w / Legalism (Theology)"</f>
        <v>+2 Civics w / Legalism (Theology)</v>
      </c>
      <c r="J9" s="2"/>
      <c r="K9" s="2"/>
      <c r="L9" s="2"/>
      <c r="M9" s="2"/>
      <c r="N9" s="2"/>
      <c r="O9" s="2"/>
      <c r="P9" s="2"/>
      <c r="Q9" s="2"/>
      <c r="R9" s="2"/>
      <c r="S9" s="2"/>
      <c r="T9" s="2"/>
      <c r="U9" s="2"/>
      <c r="V9" s="2"/>
      <c r="W9" s="2"/>
      <c r="X9" s="2"/>
      <c r="Y9" s="2"/>
      <c r="Z9" s="2"/>
      <c r="AA9" s="2"/>
    </row>
    <row r="10">
      <c r="A10" s="446"/>
      <c r="B10" s="557"/>
      <c r="D10" s="2"/>
      <c r="E10" s="558"/>
      <c r="F10" s="558"/>
      <c r="G10" s="461"/>
      <c r="H10" s="34"/>
      <c r="I10" s="461"/>
      <c r="J10" s="2"/>
      <c r="K10" s="2"/>
      <c r="L10" s="2"/>
      <c r="M10" s="2"/>
      <c r="N10" s="2"/>
      <c r="O10" s="2"/>
      <c r="P10" s="2"/>
      <c r="Q10" s="2"/>
      <c r="R10" s="2"/>
      <c r="S10" s="2"/>
      <c r="T10" s="2"/>
      <c r="U10" s="2"/>
      <c r="V10" s="2"/>
      <c r="W10" s="2"/>
      <c r="X10" s="2"/>
      <c r="Y10" s="2"/>
      <c r="Z10" s="2"/>
      <c r="AA10" s="2"/>
    </row>
    <row r="11">
      <c r="A11" s="557"/>
      <c r="B11" s="557" t="s">
        <v>1743</v>
      </c>
      <c r="D11" s="2"/>
      <c r="E11" s="558"/>
      <c r="F11" s="558"/>
      <c r="I11" s="461"/>
      <c r="J11" s="2"/>
      <c r="K11" s="2"/>
      <c r="L11" s="2"/>
      <c r="M11" s="2"/>
      <c r="N11" s="2"/>
      <c r="O11" s="2"/>
      <c r="P11" s="2"/>
      <c r="Q11" s="2"/>
      <c r="R11" s="2"/>
      <c r="S11" s="2"/>
      <c r="T11" s="2"/>
      <c r="U11" s="2"/>
      <c r="V11" s="2"/>
      <c r="W11" s="2"/>
      <c r="X11" s="2"/>
      <c r="Y11" s="2"/>
      <c r="Z11" s="2"/>
      <c r="AA11" s="2"/>
    </row>
    <row r="12">
      <c r="A12" s="549"/>
      <c r="B12" s="446"/>
      <c r="C12" s="559" t="s">
        <v>1744</v>
      </c>
      <c r="D12" s="560" t="str">
        <f>"+0.5 Orders);"</f>
        <v>+0.5 Orders);</v>
      </c>
      <c r="E12" s="551" t="s">
        <v>332</v>
      </c>
      <c r="F12" s="551" t="s">
        <v>332</v>
      </c>
      <c r="G12" s="461" t="s">
        <v>1745</v>
      </c>
      <c r="H12" s="105" t="s">
        <v>1746</v>
      </c>
      <c r="I12" s="561" t="str">
        <f>"+2 Orders"</f>
        <v>+2 Orders</v>
      </c>
      <c r="J12" s="2"/>
      <c r="K12" s="2"/>
      <c r="L12" s="2"/>
      <c r="M12" s="2"/>
      <c r="N12" s="2"/>
      <c r="O12" s="2"/>
      <c r="P12" s="2"/>
      <c r="Q12" s="2"/>
      <c r="R12" s="2"/>
      <c r="S12" s="2"/>
      <c r="T12" s="2"/>
      <c r="U12" s="2"/>
      <c r="V12" s="2"/>
      <c r="W12" s="2"/>
      <c r="X12" s="2"/>
      <c r="Y12" s="2"/>
      <c r="Z12" s="2"/>
      <c r="AA12" s="2"/>
    </row>
    <row r="13">
      <c r="C13" s="552" t="str">
        <f>"+60% for adj. Monasteries, +2 Religion opinion"</f>
        <v>+60% for adj. Monasteries, +2 Religion opinion</v>
      </c>
      <c r="J13" s="2"/>
      <c r="K13" s="2"/>
      <c r="L13" s="2"/>
      <c r="M13" s="2"/>
      <c r="N13" s="2"/>
      <c r="O13" s="2"/>
      <c r="P13" s="2"/>
      <c r="Q13" s="2"/>
      <c r="R13" s="2"/>
      <c r="S13" s="2"/>
      <c r="T13" s="2"/>
      <c r="U13" s="2"/>
      <c r="V13" s="2"/>
      <c r="W13" s="2"/>
      <c r="X13" s="2"/>
      <c r="Y13" s="2"/>
      <c r="Z13" s="2"/>
      <c r="AA13" s="2"/>
    </row>
    <row r="14">
      <c r="C14" s="555" t="str">
        <f>"+20 Money w / Iconography (Law)"</f>
        <v>+20 Money w / Iconography (Law)</v>
      </c>
      <c r="J14" s="2"/>
      <c r="K14" s="2"/>
      <c r="L14" s="2"/>
      <c r="M14" s="2"/>
      <c r="N14" s="2"/>
      <c r="O14" s="2"/>
      <c r="P14" s="2"/>
      <c r="Q14" s="2"/>
      <c r="R14" s="2"/>
      <c r="S14" s="2"/>
      <c r="T14" s="2"/>
      <c r="U14" s="2"/>
      <c r="V14" s="2"/>
      <c r="W14" s="2"/>
      <c r="X14" s="2"/>
      <c r="Y14" s="2"/>
      <c r="Z14" s="2"/>
      <c r="AA14" s="2"/>
    </row>
    <row r="15">
      <c r="A15" s="549"/>
      <c r="B15" s="446"/>
      <c r="C15" s="562" t="str">
        <f>"+0.5 Orders w / Revelation (Theology)"</f>
        <v>+0.5 Orders w / Revelation (Theology)</v>
      </c>
      <c r="J15" s="2"/>
      <c r="K15" s="2"/>
      <c r="L15" s="2"/>
      <c r="M15" s="2"/>
      <c r="N15" s="2"/>
      <c r="O15" s="2"/>
      <c r="P15" s="2"/>
      <c r="Q15" s="2"/>
      <c r="R15" s="2"/>
      <c r="S15" s="2"/>
      <c r="T15" s="2"/>
      <c r="U15" s="2"/>
      <c r="V15" s="2"/>
      <c r="W15" s="2"/>
      <c r="X15" s="2"/>
      <c r="Y15" s="2"/>
      <c r="Z15" s="2"/>
      <c r="AA15" s="2"/>
    </row>
    <row r="16">
      <c r="C16" s="563" t="str">
        <f>"+1 Happiness w / Dualism (Theology)"</f>
        <v>+1 Happiness w / Dualism (Theology)</v>
      </c>
      <c r="J16" s="2"/>
      <c r="K16" s="2"/>
      <c r="L16" s="2"/>
      <c r="M16" s="2"/>
      <c r="N16" s="2"/>
      <c r="O16" s="2"/>
      <c r="P16" s="2"/>
      <c r="Q16" s="2"/>
      <c r="R16" s="2"/>
      <c r="S16" s="2"/>
      <c r="T16" s="2"/>
      <c r="U16" s="2"/>
      <c r="V16" s="2"/>
      <c r="W16" s="2"/>
      <c r="X16" s="2"/>
      <c r="Y16" s="2"/>
      <c r="Z16" s="2"/>
      <c r="AA16" s="2"/>
    </row>
    <row r="17">
      <c r="C17" s="564" t="str">
        <f>"+1 Science / Urban Specialist w/ Gnosticism (Theology)"</f>
        <v>+1 Science / Urban Specialist w/ Gnosticism (Theology)</v>
      </c>
      <c r="J17" s="2"/>
      <c r="K17" s="2"/>
      <c r="L17" s="2"/>
      <c r="M17" s="2"/>
      <c r="N17" s="2"/>
      <c r="O17" s="2"/>
      <c r="P17" s="2"/>
      <c r="Q17" s="2"/>
      <c r="R17" s="2"/>
      <c r="S17" s="2"/>
      <c r="T17" s="2"/>
      <c r="U17" s="2"/>
      <c r="V17" s="2"/>
      <c r="W17" s="2"/>
      <c r="X17" s="2"/>
      <c r="Y17" s="2"/>
      <c r="Z17" s="2"/>
      <c r="AA17" s="2"/>
    </row>
    <row r="18">
      <c r="A18" s="446"/>
      <c r="B18" s="565"/>
      <c r="C18" s="563" t="str">
        <f>"+2 Happiness w / Necropolis (Wonder)"</f>
        <v>+2 Happiness w / Necropolis (Wonder)</v>
      </c>
      <c r="J18" s="2"/>
      <c r="K18" s="2"/>
      <c r="L18" s="2"/>
      <c r="M18" s="2"/>
      <c r="N18" s="2"/>
      <c r="O18" s="2"/>
      <c r="P18" s="2"/>
      <c r="Q18" s="2"/>
      <c r="R18" s="2"/>
      <c r="S18" s="2"/>
      <c r="T18" s="2"/>
      <c r="U18" s="2"/>
      <c r="V18" s="2"/>
      <c r="W18" s="2"/>
      <c r="X18" s="2"/>
      <c r="Y18" s="2"/>
      <c r="Z18" s="2"/>
      <c r="AA18" s="2"/>
    </row>
    <row r="19">
      <c r="A19" s="566"/>
      <c r="B19" s="567"/>
      <c r="E19" s="441"/>
      <c r="F19" s="441"/>
      <c r="G19" s="441"/>
      <c r="H19" s="441"/>
      <c r="I19" s="441"/>
      <c r="J19" s="441"/>
      <c r="K19" s="441"/>
      <c r="L19" s="441"/>
      <c r="M19" s="441"/>
      <c r="N19" s="441"/>
      <c r="O19" s="441"/>
      <c r="P19" s="441"/>
      <c r="Q19" s="441"/>
      <c r="R19" s="441"/>
      <c r="S19" s="441"/>
      <c r="T19" s="441"/>
      <c r="U19" s="441"/>
      <c r="V19" s="441"/>
      <c r="W19" s="441"/>
      <c r="X19" s="441"/>
      <c r="Y19" s="441"/>
      <c r="Z19" s="441"/>
      <c r="AA19" s="441"/>
    </row>
    <row r="20">
      <c r="A20" s="446"/>
      <c r="B20" s="557" t="s">
        <v>1747</v>
      </c>
      <c r="C20" s="558"/>
      <c r="D20" s="2"/>
      <c r="H20" s="568"/>
      <c r="I20" s="461"/>
      <c r="J20" s="2"/>
      <c r="K20" s="2"/>
      <c r="L20" s="2"/>
      <c r="M20" s="2"/>
      <c r="N20" s="2"/>
      <c r="O20" s="2"/>
      <c r="P20" s="2"/>
      <c r="Q20" s="2"/>
      <c r="R20" s="2"/>
      <c r="S20" s="2"/>
      <c r="T20" s="2"/>
      <c r="U20" s="2"/>
      <c r="V20" s="2"/>
      <c r="W20" s="2"/>
      <c r="X20" s="2"/>
      <c r="Y20" s="2"/>
      <c r="Z20" s="2"/>
      <c r="AA20" s="2"/>
    </row>
    <row r="21">
      <c r="A21" s="549"/>
      <c r="B21" s="446"/>
      <c r="C21" s="559" t="s">
        <v>1748</v>
      </c>
      <c r="D21" s="560" t="str">
        <f>"+6 Legitimacy);"</f>
        <v>+6 Legitimacy);</v>
      </c>
      <c r="E21" s="459" t="str">
        <f>"+"</f>
        <v>+</v>
      </c>
      <c r="F21" s="512" t="s">
        <v>332</v>
      </c>
      <c r="G21" s="568" t="s">
        <v>1749</v>
      </c>
      <c r="H21" s="461" t="s">
        <v>1750</v>
      </c>
      <c r="I21" s="569" t="str">
        <f>"+20 Culture"</f>
        <v>+20 Culture</v>
      </c>
      <c r="J21" s="2"/>
      <c r="K21" s="2"/>
      <c r="L21" s="2"/>
      <c r="M21" s="2"/>
      <c r="N21" s="2"/>
      <c r="O21" s="2"/>
      <c r="P21" s="2"/>
      <c r="Q21" s="2"/>
      <c r="R21" s="2"/>
      <c r="S21" s="2"/>
      <c r="T21" s="2"/>
      <c r="U21" s="2"/>
      <c r="V21" s="2"/>
      <c r="W21" s="2"/>
      <c r="X21" s="2"/>
      <c r="Y21" s="2"/>
      <c r="Z21" s="2"/>
      <c r="AA21" s="2"/>
    </row>
    <row r="22">
      <c r="C22" s="552" t="str">
        <f>"+4 Religion opinion;"</f>
        <v>+4 Religion opinion;</v>
      </c>
      <c r="J22" s="2"/>
      <c r="K22" s="2"/>
      <c r="L22" s="2"/>
      <c r="M22" s="2"/>
      <c r="N22" s="2"/>
      <c r="O22" s="2"/>
      <c r="P22" s="2"/>
      <c r="Q22" s="2"/>
      <c r="R22" s="2"/>
      <c r="S22" s="2"/>
      <c r="T22" s="2"/>
      <c r="U22" s="2"/>
      <c r="V22" s="2"/>
      <c r="W22" s="2"/>
      <c r="X22" s="2"/>
      <c r="Y22" s="2"/>
      <c r="Z22" s="2"/>
      <c r="AA22" s="2"/>
    </row>
    <row r="23">
      <c r="C23" s="570" t="str">
        <f>"+2 Happiness w / Iconography (Law)"</f>
        <v>+2 Happiness w / Iconography (Law)</v>
      </c>
      <c r="J23" s="2"/>
      <c r="K23" s="2"/>
      <c r="L23" s="2"/>
      <c r="M23" s="2"/>
      <c r="N23" s="2"/>
      <c r="O23" s="2"/>
      <c r="P23" s="2"/>
      <c r="Q23" s="2"/>
      <c r="R23" s="2"/>
      <c r="S23" s="2"/>
      <c r="T23" s="2"/>
      <c r="U23" s="2"/>
      <c r="V23" s="2"/>
      <c r="W23" s="2"/>
      <c r="X23" s="2"/>
      <c r="Y23" s="2"/>
      <c r="Z23" s="2"/>
      <c r="AA23" s="2"/>
    </row>
    <row r="24">
      <c r="A24" s="549"/>
      <c r="B24" s="446"/>
      <c r="C24" s="571" t="str">
        <f>"+1 Growth per Citizen in city w / Enlightenment (Theology)"
</f>
        <v>+1 Growth per Citizen in city w / Enlightenment (Theology)</v>
      </c>
      <c r="J24" s="2"/>
      <c r="K24" s="2"/>
      <c r="L24" s="2"/>
      <c r="M24" s="2"/>
      <c r="N24" s="2"/>
      <c r="O24" s="2"/>
      <c r="P24" s="2"/>
      <c r="Q24" s="2"/>
      <c r="R24" s="2"/>
      <c r="S24" s="2"/>
      <c r="T24" s="2"/>
      <c r="U24" s="2"/>
      <c r="V24" s="2"/>
      <c r="W24" s="2"/>
      <c r="X24" s="2"/>
      <c r="Y24" s="2"/>
      <c r="Z24" s="2"/>
      <c r="AA24" s="2"/>
    </row>
    <row r="25">
      <c r="C25" s="572" t="str">
        <f>"+20% output from Mines, Quarries, Lumbermills in city 
w / Redemption Theology"</f>
        <v>+20% output from Mines, Quarries, Lumbermills in city 
w / Redemption Theology</v>
      </c>
      <c r="J25" s="2"/>
      <c r="K25" s="2"/>
      <c r="L25" s="2"/>
      <c r="M25" s="2"/>
      <c r="N25" s="2"/>
      <c r="O25" s="2"/>
      <c r="P25" s="2"/>
      <c r="Q25" s="2"/>
      <c r="R25" s="2"/>
      <c r="S25" s="2"/>
      <c r="T25" s="2"/>
      <c r="U25" s="2"/>
      <c r="V25" s="2"/>
      <c r="W25" s="2"/>
      <c r="X25" s="2"/>
      <c r="Y25" s="2"/>
      <c r="Z25" s="2"/>
      <c r="AA25" s="2"/>
    </row>
    <row r="26">
      <c r="A26" s="549"/>
      <c r="B26" s="446"/>
      <c r="C26" s="573"/>
      <c r="D26" s="2"/>
      <c r="E26" s="2"/>
      <c r="F26" s="2"/>
      <c r="G26" s="568"/>
      <c r="H26" s="568"/>
      <c r="I26" s="2"/>
      <c r="J26" s="2"/>
      <c r="K26" s="2"/>
      <c r="L26" s="2"/>
      <c r="M26" s="2"/>
      <c r="N26" s="2"/>
      <c r="O26" s="2"/>
      <c r="P26" s="2"/>
      <c r="Q26" s="2"/>
      <c r="R26" s="2"/>
      <c r="S26" s="2"/>
      <c r="T26" s="2"/>
      <c r="U26" s="2"/>
      <c r="V26" s="2"/>
      <c r="W26" s="2"/>
      <c r="X26" s="2"/>
      <c r="Y26" s="2"/>
      <c r="Z26" s="2"/>
      <c r="AA26" s="2"/>
    </row>
    <row r="27">
      <c r="A27" s="574"/>
      <c r="B27" s="374" t="s">
        <v>1751</v>
      </c>
      <c r="C27" s="569" t="s">
        <v>1752</v>
      </c>
      <c r="E27" s="512" t="s">
        <v>332</v>
      </c>
      <c r="F27" s="512" t="s">
        <v>332</v>
      </c>
      <c r="G27" s="568" t="s">
        <v>1753</v>
      </c>
      <c r="H27" s="34" t="s">
        <v>1754</v>
      </c>
      <c r="I27" s="512" t="s">
        <v>332</v>
      </c>
      <c r="J27" s="2"/>
      <c r="K27" s="2"/>
      <c r="L27" s="2"/>
      <c r="M27" s="2"/>
      <c r="N27" s="2"/>
      <c r="O27" s="2"/>
      <c r="P27" s="2"/>
      <c r="Q27" s="2"/>
      <c r="R27" s="2"/>
      <c r="S27" s="2"/>
      <c r="T27" s="2"/>
      <c r="U27" s="2"/>
      <c r="V27" s="2"/>
      <c r="W27" s="2"/>
      <c r="X27" s="2"/>
      <c r="Y27" s="2"/>
      <c r="Z27" s="2"/>
      <c r="AA27" s="2"/>
    </row>
    <row r="28">
      <c r="C28" s="558" t="str">
        <f>"+20 Zoroastrianism Opinion;"</f>
        <v>+20 Zoroastrianism Opinion;</v>
      </c>
      <c r="J28" s="2"/>
      <c r="K28" s="2"/>
      <c r="L28" s="2"/>
      <c r="M28" s="2"/>
      <c r="N28" s="2"/>
      <c r="O28" s="2"/>
      <c r="P28" s="2"/>
      <c r="Q28" s="2"/>
      <c r="R28" s="2"/>
      <c r="S28" s="2"/>
      <c r="T28" s="2"/>
      <c r="U28" s="2"/>
      <c r="V28" s="2"/>
      <c r="W28" s="2"/>
      <c r="X28" s="2"/>
      <c r="Y28" s="2"/>
      <c r="Z28" s="2"/>
      <c r="AA28" s="2"/>
    </row>
    <row r="29">
      <c r="C29" s="8" t="s">
        <v>1755</v>
      </c>
      <c r="J29" s="2"/>
      <c r="K29" s="2"/>
      <c r="L29" s="2"/>
      <c r="M29" s="2"/>
      <c r="N29" s="2"/>
      <c r="O29" s="2"/>
      <c r="P29" s="2"/>
      <c r="Q29" s="2"/>
      <c r="R29" s="2"/>
      <c r="S29" s="2"/>
      <c r="T29" s="2"/>
      <c r="U29" s="2"/>
      <c r="V29" s="2"/>
      <c r="W29" s="2"/>
      <c r="X29" s="2"/>
      <c r="Y29" s="2"/>
      <c r="Z29" s="2"/>
      <c r="AA29" s="2"/>
    </row>
    <row r="30">
      <c r="A30" s="459"/>
      <c r="B30" s="2"/>
      <c r="C30" s="2"/>
      <c r="D30" s="2"/>
      <c r="E30" s="2"/>
      <c r="F30" s="2"/>
      <c r="G30" s="568"/>
      <c r="H30" s="2"/>
      <c r="I30" s="459"/>
      <c r="J30" s="2"/>
      <c r="K30" s="2"/>
      <c r="L30" s="2"/>
      <c r="M30" s="2"/>
      <c r="N30" s="2"/>
      <c r="O30" s="2"/>
      <c r="P30" s="2"/>
      <c r="Q30" s="2"/>
      <c r="R30" s="2"/>
      <c r="S30" s="2"/>
      <c r="T30" s="2"/>
      <c r="U30" s="2"/>
      <c r="V30" s="2"/>
      <c r="W30" s="2"/>
      <c r="X30" s="2"/>
      <c r="Y30" s="2"/>
      <c r="Z30" s="2"/>
      <c r="AA30" s="2"/>
    </row>
    <row r="31">
      <c r="A31" s="574"/>
      <c r="B31" s="374" t="s">
        <v>1756</v>
      </c>
      <c r="C31" s="569" t="s">
        <v>1757</v>
      </c>
      <c r="E31" s="512" t="s">
        <v>332</v>
      </c>
      <c r="F31" s="512" t="s">
        <v>332</v>
      </c>
      <c r="G31" s="568" t="s">
        <v>1758</v>
      </c>
      <c r="H31" s="34" t="s">
        <v>1754</v>
      </c>
      <c r="I31" s="512" t="s">
        <v>332</v>
      </c>
      <c r="J31" s="2"/>
      <c r="K31" s="2"/>
      <c r="L31" s="2"/>
      <c r="M31" s="2"/>
      <c r="N31" s="2"/>
      <c r="O31" s="2"/>
      <c r="P31" s="2"/>
      <c r="Q31" s="2"/>
      <c r="R31" s="2"/>
      <c r="S31" s="2"/>
      <c r="T31" s="2"/>
      <c r="U31" s="2"/>
      <c r="V31" s="2"/>
      <c r="W31" s="2"/>
      <c r="X31" s="2"/>
      <c r="Y31" s="2"/>
      <c r="Z31" s="2"/>
      <c r="AA31" s="2"/>
    </row>
    <row r="32">
      <c r="C32" s="558" t="str">
        <f>"+20 Judaism Opinion;"</f>
        <v>+20 Judaism Opinion;</v>
      </c>
      <c r="J32" s="2"/>
      <c r="K32" s="2"/>
      <c r="L32" s="2"/>
      <c r="M32" s="2"/>
      <c r="N32" s="2"/>
      <c r="O32" s="2"/>
      <c r="P32" s="2"/>
      <c r="Q32" s="2"/>
      <c r="R32" s="2"/>
      <c r="S32" s="2"/>
      <c r="T32" s="2"/>
      <c r="U32" s="2"/>
      <c r="V32" s="2"/>
      <c r="W32" s="2"/>
      <c r="X32" s="2"/>
      <c r="Y32" s="2"/>
      <c r="Z32" s="2"/>
      <c r="AA32" s="2"/>
    </row>
    <row r="33">
      <c r="C33" s="8" t="s">
        <v>1759</v>
      </c>
      <c r="J33" s="2"/>
      <c r="K33" s="2"/>
      <c r="L33" s="2"/>
      <c r="M33" s="2"/>
      <c r="N33" s="2"/>
      <c r="O33" s="2"/>
      <c r="P33" s="2"/>
      <c r="Q33" s="2"/>
      <c r="R33" s="2"/>
      <c r="S33" s="2"/>
      <c r="T33" s="2"/>
      <c r="U33" s="2"/>
      <c r="V33" s="2"/>
      <c r="W33" s="2"/>
      <c r="X33" s="2"/>
      <c r="Y33" s="2"/>
      <c r="Z33" s="2"/>
      <c r="AA33" s="2"/>
    </row>
    <row r="34">
      <c r="A34" s="459"/>
      <c r="B34" s="2"/>
      <c r="C34" s="2"/>
      <c r="D34" s="2"/>
      <c r="E34" s="2"/>
      <c r="F34" s="2"/>
      <c r="G34" s="2"/>
      <c r="H34" s="2"/>
      <c r="I34" s="459"/>
      <c r="J34" s="2"/>
      <c r="K34" s="2"/>
      <c r="L34" s="2"/>
      <c r="M34" s="2"/>
      <c r="N34" s="2"/>
      <c r="O34" s="2"/>
      <c r="P34" s="2"/>
      <c r="Q34" s="2"/>
      <c r="R34" s="2"/>
      <c r="S34" s="2"/>
      <c r="T34" s="2"/>
      <c r="U34" s="2"/>
      <c r="V34" s="2"/>
      <c r="W34" s="2"/>
      <c r="X34" s="2"/>
      <c r="Y34" s="2"/>
      <c r="Z34" s="2"/>
      <c r="AA34" s="2"/>
    </row>
    <row r="35">
      <c r="A35" s="574"/>
      <c r="B35" s="435" t="s">
        <v>1760</v>
      </c>
      <c r="C35" s="569" t="s">
        <v>1761</v>
      </c>
      <c r="E35" s="512" t="s">
        <v>332</v>
      </c>
      <c r="F35" s="512" t="s">
        <v>332</v>
      </c>
      <c r="G35" s="568" t="s">
        <v>1762</v>
      </c>
      <c r="H35" s="34" t="s">
        <v>1754</v>
      </c>
      <c r="I35" s="512" t="s">
        <v>332</v>
      </c>
      <c r="J35" s="2"/>
      <c r="K35" s="2"/>
      <c r="L35" s="2"/>
      <c r="M35" s="2"/>
      <c r="N35" s="2"/>
      <c r="O35" s="2"/>
      <c r="P35" s="2"/>
      <c r="Q35" s="2"/>
      <c r="R35" s="2"/>
      <c r="S35" s="2"/>
      <c r="T35" s="2"/>
      <c r="U35" s="2"/>
      <c r="V35" s="2"/>
      <c r="W35" s="2"/>
      <c r="X35" s="2"/>
      <c r="Y35" s="2"/>
      <c r="Z35" s="2"/>
      <c r="AA35" s="2"/>
    </row>
    <row r="36">
      <c r="C36" s="558" t="str">
        <f>"+20 Manichaeism Opinion;"</f>
        <v>+20 Manichaeism Opinion;</v>
      </c>
      <c r="J36" s="2"/>
      <c r="K36" s="2"/>
      <c r="L36" s="2"/>
      <c r="M36" s="2"/>
      <c r="N36" s="2"/>
      <c r="O36" s="2"/>
      <c r="P36" s="2"/>
      <c r="Q36" s="2"/>
      <c r="R36" s="2"/>
      <c r="S36" s="2"/>
      <c r="T36" s="2"/>
      <c r="U36" s="2"/>
      <c r="V36" s="2"/>
      <c r="W36" s="2"/>
      <c r="X36" s="2"/>
      <c r="Y36" s="2"/>
      <c r="Z36" s="2"/>
      <c r="AA36" s="2"/>
    </row>
    <row r="37">
      <c r="C37" s="8" t="s">
        <v>1763</v>
      </c>
      <c r="J37" s="2"/>
      <c r="K37" s="2"/>
      <c r="L37" s="2"/>
      <c r="M37" s="2"/>
      <c r="N37" s="2"/>
      <c r="O37" s="2"/>
      <c r="P37" s="2"/>
      <c r="Q37" s="2"/>
      <c r="R37" s="2"/>
      <c r="S37" s="2"/>
      <c r="T37" s="2"/>
      <c r="U37" s="2"/>
      <c r="V37" s="2"/>
      <c r="W37" s="2"/>
      <c r="X37" s="2"/>
      <c r="Y37" s="2"/>
      <c r="Z37" s="2"/>
      <c r="AA37" s="2"/>
    </row>
    <row r="38">
      <c r="A38" s="459"/>
      <c r="B38" s="2"/>
      <c r="C38" s="2"/>
      <c r="D38" s="2"/>
      <c r="E38" s="2"/>
      <c r="F38" s="2"/>
      <c r="G38" s="2"/>
      <c r="H38" s="2"/>
      <c r="I38" s="459"/>
      <c r="J38" s="2"/>
      <c r="K38" s="2"/>
      <c r="L38" s="2"/>
      <c r="M38" s="2"/>
      <c r="N38" s="2"/>
      <c r="O38" s="2"/>
      <c r="P38" s="2"/>
      <c r="Q38" s="2"/>
      <c r="R38" s="2"/>
      <c r="S38" s="2"/>
      <c r="T38" s="2"/>
      <c r="U38" s="2"/>
      <c r="V38" s="2"/>
      <c r="W38" s="2"/>
      <c r="X38" s="2"/>
      <c r="Y38" s="2"/>
      <c r="Z38" s="2"/>
      <c r="AA38" s="2"/>
    </row>
    <row r="39">
      <c r="A39" s="574"/>
      <c r="B39" s="374" t="s">
        <v>1764</v>
      </c>
      <c r="C39" s="575" t="s">
        <v>1765</v>
      </c>
      <c r="E39" s="512" t="s">
        <v>332</v>
      </c>
      <c r="F39" s="512" t="s">
        <v>332</v>
      </c>
      <c r="G39" s="568" t="s">
        <v>1766</v>
      </c>
      <c r="H39" s="34" t="s">
        <v>1754</v>
      </c>
      <c r="I39" s="512" t="s">
        <v>332</v>
      </c>
      <c r="J39" s="2"/>
      <c r="K39" s="2"/>
      <c r="L39" s="2"/>
      <c r="M39" s="2"/>
      <c r="N39" s="2"/>
      <c r="O39" s="2"/>
      <c r="P39" s="2"/>
      <c r="Q39" s="2"/>
      <c r="R39" s="2"/>
      <c r="S39" s="2"/>
      <c r="T39" s="2"/>
      <c r="U39" s="2"/>
      <c r="V39" s="2"/>
      <c r="W39" s="2"/>
      <c r="X39" s="2"/>
      <c r="Y39" s="2"/>
      <c r="Z39" s="2"/>
      <c r="AA39" s="2"/>
    </row>
    <row r="40">
      <c r="C40" s="558" t="str">
        <f>"+20 Christianity Opinion;"</f>
        <v>+20 Christianity Opinion;</v>
      </c>
      <c r="J40" s="2"/>
      <c r="K40" s="2"/>
      <c r="L40" s="2"/>
      <c r="M40" s="2"/>
      <c r="N40" s="2"/>
      <c r="O40" s="2"/>
      <c r="P40" s="2"/>
      <c r="Q40" s="2"/>
      <c r="R40" s="2"/>
      <c r="S40" s="2"/>
      <c r="T40" s="2"/>
      <c r="U40" s="2"/>
      <c r="V40" s="2"/>
      <c r="W40" s="2"/>
      <c r="X40" s="2"/>
      <c r="Y40" s="2"/>
      <c r="Z40" s="2"/>
      <c r="AA40" s="2"/>
    </row>
    <row r="41">
      <c r="C41" s="8" t="s">
        <v>1767</v>
      </c>
      <c r="J41" s="2"/>
      <c r="K41" s="2"/>
      <c r="L41" s="2"/>
      <c r="M41" s="2"/>
      <c r="N41" s="2"/>
      <c r="O41" s="2"/>
      <c r="P41" s="2"/>
      <c r="Q41" s="2"/>
      <c r="R41" s="2"/>
      <c r="S41" s="2"/>
      <c r="T41" s="2"/>
      <c r="U41" s="2"/>
      <c r="V41" s="2"/>
      <c r="W41" s="2"/>
      <c r="X41" s="2"/>
      <c r="Y41" s="2"/>
      <c r="Z41" s="2"/>
      <c r="AA41" s="2"/>
    </row>
    <row r="42">
      <c r="A42" s="459"/>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459"/>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459"/>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459"/>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459"/>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459"/>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459"/>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459"/>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459"/>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459"/>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459"/>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459"/>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459"/>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459"/>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459"/>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459"/>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459"/>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459"/>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459"/>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459"/>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459"/>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459"/>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459"/>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459"/>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459"/>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459"/>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459"/>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459"/>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459"/>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459"/>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459"/>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459"/>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459"/>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459"/>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459"/>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459"/>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459"/>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459"/>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459"/>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459"/>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459"/>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459"/>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459"/>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459"/>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459"/>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459"/>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459"/>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459"/>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459"/>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459"/>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459"/>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459"/>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459"/>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459"/>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459"/>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459"/>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459"/>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459"/>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459"/>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459"/>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459"/>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459"/>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459"/>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459"/>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459"/>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459"/>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45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45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459"/>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459"/>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459"/>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459"/>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459"/>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459"/>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459"/>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459"/>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459"/>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45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459"/>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459"/>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459"/>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459"/>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459"/>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459"/>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459"/>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459"/>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459"/>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45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459"/>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459"/>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459"/>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459"/>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459"/>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459"/>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459"/>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459"/>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459"/>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45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459"/>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459"/>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459"/>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459"/>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459"/>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459"/>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459"/>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459"/>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459"/>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45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459"/>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459"/>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459"/>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459"/>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459"/>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459"/>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459"/>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459"/>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459"/>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4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459"/>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459"/>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459"/>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459"/>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459"/>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459"/>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459"/>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459"/>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459"/>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45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459"/>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459"/>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459"/>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459"/>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459"/>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459"/>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459"/>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459"/>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459"/>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45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459"/>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459"/>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459"/>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459"/>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459"/>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459"/>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459"/>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459"/>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459"/>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45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459"/>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459"/>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459"/>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459"/>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459"/>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459"/>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459"/>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459"/>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459"/>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45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459"/>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459"/>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459"/>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459"/>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459"/>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459"/>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459"/>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459"/>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459"/>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45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459"/>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459"/>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459"/>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459"/>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459"/>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459"/>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459"/>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459"/>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459"/>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45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459"/>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459"/>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459"/>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459"/>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459"/>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459"/>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459"/>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459"/>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459"/>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45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459"/>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459"/>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459"/>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459"/>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459"/>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459"/>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459"/>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459"/>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459"/>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45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459"/>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459"/>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459"/>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459"/>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459"/>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459"/>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459"/>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459"/>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459"/>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45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459"/>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459"/>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459"/>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459"/>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459"/>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459"/>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459"/>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459"/>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459"/>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4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459"/>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459"/>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459"/>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459"/>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459"/>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459"/>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459"/>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459"/>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459"/>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45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459"/>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459"/>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459"/>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459"/>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459"/>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459"/>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459"/>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459"/>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459"/>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45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459"/>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459"/>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459"/>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459"/>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459"/>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459"/>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459"/>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459"/>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459"/>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45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459"/>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459"/>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459"/>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459"/>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459"/>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459"/>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459"/>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459"/>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459"/>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45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459"/>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459"/>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459"/>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459"/>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459"/>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459"/>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459"/>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459"/>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459"/>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45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459"/>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459"/>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459"/>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459"/>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459"/>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459"/>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459"/>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459"/>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459"/>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45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459"/>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459"/>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459"/>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459"/>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459"/>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459"/>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459"/>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459"/>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459"/>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45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459"/>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459"/>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459"/>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459"/>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459"/>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459"/>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459"/>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459"/>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459"/>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45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459"/>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459"/>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459"/>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459"/>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459"/>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459"/>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459"/>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459"/>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459"/>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45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459"/>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459"/>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459"/>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459"/>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459"/>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459"/>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459"/>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459"/>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459"/>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4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459"/>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459"/>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459"/>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459"/>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459"/>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459"/>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459"/>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459"/>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459"/>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45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459"/>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459"/>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459"/>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459"/>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459"/>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459"/>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459"/>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459"/>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459"/>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45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459"/>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459"/>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459"/>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459"/>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459"/>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459"/>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459"/>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459"/>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459"/>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45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459"/>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459"/>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459"/>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459"/>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459"/>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459"/>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459"/>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459"/>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459"/>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45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459"/>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459"/>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459"/>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459"/>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459"/>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459"/>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459"/>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459"/>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459"/>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45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459"/>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459"/>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459"/>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459"/>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459"/>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459"/>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459"/>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459"/>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459"/>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45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459"/>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459"/>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459"/>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459"/>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459"/>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459"/>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459"/>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459"/>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459"/>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45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459"/>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459"/>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459"/>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459"/>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459"/>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459"/>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459"/>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459"/>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459"/>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45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459"/>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459"/>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459"/>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459"/>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459"/>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459"/>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459"/>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459"/>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459"/>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45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459"/>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459"/>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459"/>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459"/>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459"/>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459"/>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459"/>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459"/>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459"/>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459"/>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459"/>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459"/>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459"/>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459"/>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459"/>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459"/>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459"/>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459"/>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45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459"/>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459"/>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459"/>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459"/>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459"/>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459"/>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459"/>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459"/>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459"/>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45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459"/>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459"/>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459"/>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459"/>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459"/>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459"/>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459"/>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459"/>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459"/>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45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459"/>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459"/>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459"/>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459"/>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459"/>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459"/>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459"/>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459"/>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459"/>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45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459"/>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459"/>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459"/>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459"/>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459"/>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459"/>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459"/>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459"/>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459"/>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45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459"/>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459"/>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459"/>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459"/>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459"/>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459"/>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459"/>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459"/>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459"/>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45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459"/>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459"/>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459"/>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459"/>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459"/>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459"/>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459"/>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459"/>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459"/>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45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459"/>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459"/>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459"/>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459"/>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459"/>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459"/>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459"/>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459"/>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459"/>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45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459"/>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459"/>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459"/>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459"/>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459"/>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459"/>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459"/>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459"/>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459"/>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45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459"/>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459"/>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459"/>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459"/>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459"/>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459"/>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459"/>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459"/>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459"/>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4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459"/>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459"/>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459"/>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459"/>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459"/>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459"/>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459"/>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459"/>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459"/>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45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459"/>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459"/>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459"/>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459"/>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459"/>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459"/>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459"/>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459"/>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459"/>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45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459"/>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459"/>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459"/>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459"/>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459"/>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459"/>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459"/>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459"/>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459"/>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45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459"/>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459"/>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459"/>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459"/>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459"/>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459"/>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459"/>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459"/>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459"/>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45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459"/>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459"/>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459"/>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459"/>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459"/>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459"/>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459"/>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459"/>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459"/>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45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459"/>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459"/>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459"/>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459"/>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459"/>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459"/>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459"/>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459"/>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459"/>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45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459"/>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459"/>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459"/>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459"/>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459"/>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459"/>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459"/>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459"/>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459"/>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45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459"/>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459"/>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459"/>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459"/>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459"/>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459"/>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459"/>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459"/>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459"/>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45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459"/>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459"/>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459"/>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459"/>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459"/>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459"/>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459"/>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459"/>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459"/>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45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459"/>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459"/>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459"/>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459"/>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459"/>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459"/>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459"/>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459"/>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459"/>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4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459"/>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459"/>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459"/>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459"/>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459"/>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459"/>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459"/>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459"/>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459"/>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45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459"/>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459"/>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459"/>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459"/>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459"/>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459"/>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459"/>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459"/>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459"/>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45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459"/>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459"/>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459"/>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459"/>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459"/>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459"/>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459"/>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459"/>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459"/>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45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459"/>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459"/>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459"/>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459"/>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459"/>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459"/>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459"/>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459"/>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459"/>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45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459"/>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459"/>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459"/>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459"/>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459"/>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459"/>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459"/>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459"/>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459"/>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45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459"/>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459"/>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459"/>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459"/>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459"/>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459"/>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459"/>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459"/>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459"/>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45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459"/>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459"/>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459"/>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459"/>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459"/>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459"/>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459"/>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459"/>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459"/>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45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459"/>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459"/>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459"/>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459"/>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459"/>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459"/>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459"/>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459"/>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459"/>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45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459"/>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459"/>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459"/>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459"/>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459"/>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459"/>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459"/>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459"/>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459"/>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45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459"/>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459"/>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459"/>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459"/>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459"/>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459"/>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459"/>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459"/>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459"/>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4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459"/>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459"/>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459"/>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459"/>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459"/>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459"/>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459"/>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459"/>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459"/>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45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459"/>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459"/>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459"/>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459"/>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459"/>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459"/>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459"/>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459"/>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459"/>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45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459"/>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459"/>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459"/>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459"/>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459"/>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459"/>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459"/>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459"/>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459"/>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45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459"/>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459"/>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459"/>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459"/>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459"/>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459"/>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459"/>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459"/>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459"/>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45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459"/>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459"/>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459"/>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459"/>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459"/>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459"/>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459"/>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459"/>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459"/>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45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459"/>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459"/>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459"/>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459"/>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459"/>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459"/>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459"/>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459"/>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459"/>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45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459"/>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459"/>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459"/>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459"/>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459"/>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459"/>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459"/>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459"/>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459"/>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45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459"/>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459"/>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459"/>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459"/>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459"/>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459"/>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459"/>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459"/>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459"/>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45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459"/>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459"/>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459"/>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459"/>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459"/>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459"/>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459"/>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459"/>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459"/>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45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459"/>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459"/>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459"/>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459"/>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459"/>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459"/>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459"/>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459"/>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459"/>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4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459"/>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459"/>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459"/>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459"/>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459"/>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459"/>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459"/>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459"/>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459"/>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45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459"/>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459"/>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459"/>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459"/>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459"/>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459"/>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459"/>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459"/>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459"/>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45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459"/>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459"/>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459"/>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459"/>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459"/>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459"/>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459"/>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459"/>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459"/>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45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459"/>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459"/>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459"/>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459"/>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459"/>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459"/>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459"/>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459"/>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459"/>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45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459"/>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459"/>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459"/>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459"/>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459"/>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459"/>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459"/>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459"/>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459"/>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45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459"/>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459"/>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459"/>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459"/>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459"/>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459"/>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459"/>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459"/>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459"/>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45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459"/>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459"/>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459"/>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459"/>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459"/>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459"/>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459"/>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459"/>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459"/>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45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459"/>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459"/>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459"/>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459"/>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459"/>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459"/>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459"/>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459"/>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459"/>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45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459"/>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459"/>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459"/>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459"/>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459"/>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459"/>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459"/>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459"/>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459"/>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45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459"/>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459"/>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459"/>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459"/>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459"/>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459"/>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459"/>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459"/>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459"/>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4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459"/>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459"/>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459"/>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459"/>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459"/>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459"/>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459"/>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459"/>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459"/>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45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459"/>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459"/>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459"/>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459"/>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459"/>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459"/>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459"/>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459"/>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459"/>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45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459"/>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459"/>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459"/>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459"/>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459"/>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459"/>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sheetData>
  <mergeCells count="83">
    <mergeCell ref="A21:A23"/>
    <mergeCell ref="A24:A25"/>
    <mergeCell ref="A27:A29"/>
    <mergeCell ref="A31:A33"/>
    <mergeCell ref="A35:A37"/>
    <mergeCell ref="A39:A41"/>
    <mergeCell ref="B24:B25"/>
    <mergeCell ref="B27:B29"/>
    <mergeCell ref="B31:B33"/>
    <mergeCell ref="B35:B37"/>
    <mergeCell ref="B39:B41"/>
    <mergeCell ref="A7:A9"/>
    <mergeCell ref="B7:B9"/>
    <mergeCell ref="A12:A14"/>
    <mergeCell ref="B12:B14"/>
    <mergeCell ref="A15:A17"/>
    <mergeCell ref="B15:B17"/>
    <mergeCell ref="B21:B23"/>
    <mergeCell ref="C17:D17"/>
    <mergeCell ref="C18:D18"/>
    <mergeCell ref="E21:E25"/>
    <mergeCell ref="F21:F25"/>
    <mergeCell ref="G21:G25"/>
    <mergeCell ref="H21:H25"/>
    <mergeCell ref="I21:I25"/>
    <mergeCell ref="C24:D24"/>
    <mergeCell ref="C25:D25"/>
    <mergeCell ref="E27:E29"/>
    <mergeCell ref="F27:F29"/>
    <mergeCell ref="G27:G29"/>
    <mergeCell ref="H27:H29"/>
    <mergeCell ref="I27:I29"/>
    <mergeCell ref="C29:D29"/>
    <mergeCell ref="C31:D31"/>
    <mergeCell ref="E31:E33"/>
    <mergeCell ref="F31:F33"/>
    <mergeCell ref="G31:G33"/>
    <mergeCell ref="H31:H33"/>
    <mergeCell ref="I31:I33"/>
    <mergeCell ref="C32:D32"/>
    <mergeCell ref="C33:D33"/>
    <mergeCell ref="E35:E37"/>
    <mergeCell ref="F35:F37"/>
    <mergeCell ref="G35:G37"/>
    <mergeCell ref="H35:H37"/>
    <mergeCell ref="I35:I37"/>
    <mergeCell ref="C37:D37"/>
    <mergeCell ref="C39:D39"/>
    <mergeCell ref="C40:D40"/>
    <mergeCell ref="C35:D35"/>
    <mergeCell ref="C36:D36"/>
    <mergeCell ref="E39:E41"/>
    <mergeCell ref="F39:F41"/>
    <mergeCell ref="G39:G41"/>
    <mergeCell ref="H39:H41"/>
    <mergeCell ref="I39:I41"/>
    <mergeCell ref="C41:D41"/>
    <mergeCell ref="B4:B6"/>
    <mergeCell ref="C5:D5"/>
    <mergeCell ref="C6:D6"/>
    <mergeCell ref="C2:F2"/>
    <mergeCell ref="A4:A6"/>
    <mergeCell ref="E4:E9"/>
    <mergeCell ref="F4:F9"/>
    <mergeCell ref="G4:G9"/>
    <mergeCell ref="H4:H9"/>
    <mergeCell ref="I4:I9"/>
    <mergeCell ref="C9:D9"/>
    <mergeCell ref="C13:D13"/>
    <mergeCell ref="C14:D14"/>
    <mergeCell ref="C15:D15"/>
    <mergeCell ref="C16:D16"/>
    <mergeCell ref="C7:D7"/>
    <mergeCell ref="C8:D8"/>
    <mergeCell ref="E12:E18"/>
    <mergeCell ref="F12:F18"/>
    <mergeCell ref="G12:G18"/>
    <mergeCell ref="H12:H18"/>
    <mergeCell ref="I12:I18"/>
    <mergeCell ref="C22:D22"/>
    <mergeCell ref="C23:D23"/>
    <mergeCell ref="C27:D27"/>
    <mergeCell ref="C28:D2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 customWidth="1" min="5" max="5" width="19.13"/>
    <col customWidth="1" min="7" max="7" width="19.25"/>
    <col customWidth="1" min="8" max="8" width="52.75"/>
  </cols>
  <sheetData>
    <row r="1">
      <c r="A1" s="2"/>
      <c r="B1" s="2"/>
      <c r="C1" s="2"/>
      <c r="D1" s="2"/>
      <c r="E1" s="2"/>
      <c r="F1" s="576"/>
      <c r="G1" s="2"/>
      <c r="H1" s="2"/>
      <c r="I1" s="2"/>
      <c r="J1" s="2"/>
      <c r="K1" s="2"/>
      <c r="L1" s="2"/>
      <c r="M1" s="2"/>
      <c r="N1" s="2"/>
      <c r="O1" s="2"/>
      <c r="P1" s="2"/>
      <c r="Q1" s="2"/>
      <c r="R1" s="2"/>
      <c r="S1" s="2"/>
      <c r="T1" s="2"/>
      <c r="U1" s="2"/>
      <c r="V1" s="2"/>
      <c r="W1" s="2"/>
      <c r="X1" s="2"/>
      <c r="Y1" s="2"/>
      <c r="Z1" s="2"/>
    </row>
    <row r="2">
      <c r="A2" s="2"/>
      <c r="B2" s="34" t="s">
        <v>1768</v>
      </c>
      <c r="C2" s="2"/>
      <c r="D2" s="2"/>
      <c r="E2" s="2"/>
      <c r="F2" s="2"/>
      <c r="G2" s="2"/>
      <c r="H2" s="2"/>
      <c r="I2" s="2"/>
      <c r="J2" s="2"/>
      <c r="K2" s="2"/>
      <c r="L2" s="2"/>
      <c r="M2" s="2"/>
      <c r="N2" s="2"/>
      <c r="O2" s="2"/>
      <c r="P2" s="2"/>
      <c r="Q2" s="2"/>
      <c r="R2" s="2"/>
      <c r="S2" s="2"/>
      <c r="T2" s="2"/>
      <c r="U2" s="2"/>
      <c r="V2" s="2"/>
      <c r="W2" s="2"/>
      <c r="X2" s="2"/>
      <c r="Y2" s="2"/>
      <c r="Z2" s="2"/>
    </row>
    <row r="3">
      <c r="A3" s="2"/>
      <c r="B3" s="34" t="s">
        <v>1769</v>
      </c>
      <c r="C3" s="2"/>
      <c r="D3" s="2"/>
      <c r="E3" s="2"/>
      <c r="F3" s="2"/>
      <c r="G3" s="2"/>
      <c r="H3" s="2"/>
      <c r="I3" s="2"/>
      <c r="J3" s="2"/>
      <c r="K3" s="2"/>
      <c r="L3" s="2"/>
      <c r="M3" s="2"/>
      <c r="N3" s="2"/>
      <c r="O3" s="2"/>
      <c r="P3" s="2"/>
      <c r="Q3" s="2"/>
      <c r="R3" s="2"/>
      <c r="S3" s="2"/>
      <c r="T3" s="2"/>
      <c r="U3" s="2"/>
      <c r="V3" s="2"/>
      <c r="W3" s="2"/>
      <c r="X3" s="2"/>
      <c r="Y3" s="2"/>
      <c r="Z3" s="2"/>
    </row>
    <row r="4">
      <c r="A4" s="2"/>
      <c r="B4" s="34" t="s">
        <v>1770</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34" t="s">
        <v>1771</v>
      </c>
      <c r="B6" s="1" t="s">
        <v>1772</v>
      </c>
      <c r="C6" s="1" t="s">
        <v>1773</v>
      </c>
      <c r="D6" s="1" t="s">
        <v>1774</v>
      </c>
      <c r="E6" s="1" t="s">
        <v>1775</v>
      </c>
      <c r="F6" s="1" t="s">
        <v>1776</v>
      </c>
      <c r="G6" s="1" t="s">
        <v>1777</v>
      </c>
      <c r="H6" s="1" t="s">
        <v>1778</v>
      </c>
      <c r="I6" s="2"/>
      <c r="J6" s="2"/>
      <c r="K6" s="2"/>
      <c r="L6" s="2"/>
      <c r="M6" s="2"/>
      <c r="N6" s="2"/>
      <c r="O6" s="2"/>
      <c r="P6" s="2"/>
      <c r="Q6" s="2"/>
      <c r="R6" s="2"/>
      <c r="S6" s="2"/>
      <c r="T6" s="2"/>
      <c r="U6" s="2"/>
      <c r="V6" s="2"/>
      <c r="W6" s="2"/>
      <c r="X6" s="2"/>
      <c r="Y6" s="2"/>
      <c r="Z6" s="2"/>
    </row>
    <row r="7">
      <c r="A7" s="34">
        <v>200.0</v>
      </c>
      <c r="B7" s="34" t="s">
        <v>1779</v>
      </c>
      <c r="C7" s="577" t="str">
        <f t="shared" ref="C7:C9" si="1">"+5%"</f>
        <v>+5%</v>
      </c>
      <c r="D7" s="35" t="str">
        <f>"-10% Maint"</f>
        <v>-10% Maint</v>
      </c>
      <c r="E7" s="408" t="str">
        <f>"+2 Civics"</f>
        <v>+2 Civics</v>
      </c>
      <c r="F7" s="2"/>
      <c r="G7" s="2" t="str">
        <f>"+20 Centralization"</f>
        <v>+20 Centralization</v>
      </c>
      <c r="H7" s="105" t="s">
        <v>1780</v>
      </c>
      <c r="I7" s="2"/>
      <c r="J7" s="2"/>
      <c r="K7" s="2"/>
      <c r="L7" s="2"/>
      <c r="M7" s="2"/>
      <c r="N7" s="2"/>
      <c r="O7" s="2"/>
      <c r="P7" s="2"/>
      <c r="Q7" s="2"/>
      <c r="R7" s="2"/>
      <c r="S7" s="2"/>
      <c r="T7" s="2"/>
      <c r="U7" s="2"/>
      <c r="V7" s="2"/>
      <c r="W7" s="2"/>
      <c r="X7" s="2"/>
      <c r="Y7" s="2"/>
      <c r="Z7" s="2"/>
    </row>
    <row r="8">
      <c r="A8" s="34">
        <v>200.0</v>
      </c>
      <c r="B8" s="34" t="s">
        <v>1781</v>
      </c>
      <c r="C8" s="577" t="str">
        <f t="shared" si="1"/>
        <v>+5%</v>
      </c>
      <c r="D8" s="385" t="str">
        <f>"+2 Cult/Shrine"</f>
        <v>+2 Cult/Shrine</v>
      </c>
      <c r="E8" s="385" t="str">
        <f>"+4 Culture"</f>
        <v>+4 Culture</v>
      </c>
      <c r="F8" s="2"/>
      <c r="G8" s="2" t="str">
        <f>"+20 Polytheism"</f>
        <v>+20 Polytheism</v>
      </c>
      <c r="H8" s="105" t="s">
        <v>1782</v>
      </c>
      <c r="I8" s="2"/>
      <c r="J8" s="2"/>
      <c r="K8" s="2"/>
      <c r="L8" s="2"/>
      <c r="M8" s="2"/>
      <c r="N8" s="2"/>
      <c r="O8" s="2"/>
      <c r="P8" s="2"/>
      <c r="Q8" s="2"/>
      <c r="R8" s="2"/>
      <c r="S8" s="2"/>
      <c r="T8" s="2"/>
      <c r="U8" s="2"/>
      <c r="V8" s="2"/>
      <c r="W8" s="2"/>
      <c r="X8" s="2"/>
      <c r="Y8" s="2"/>
      <c r="Z8" s="2"/>
    </row>
    <row r="9">
      <c r="A9" s="34">
        <v>200.0</v>
      </c>
      <c r="B9" s="34" t="s">
        <v>1783</v>
      </c>
      <c r="C9" s="577" t="str">
        <f t="shared" si="1"/>
        <v>+5%</v>
      </c>
      <c r="D9" s="2" t="str">
        <f>"-5% Rebels Chance"</f>
        <v>-5% Rebels Chance</v>
      </c>
      <c r="E9" s="415" t="str">
        <f>"+20 Gold"</f>
        <v>+20 Gold</v>
      </c>
      <c r="F9" s="2"/>
      <c r="G9" s="2" t="str">
        <f>"+20 Iconography"</f>
        <v>+20 Iconography</v>
      </c>
      <c r="H9" s="105" t="s">
        <v>1784</v>
      </c>
      <c r="I9" s="2"/>
      <c r="J9" s="2"/>
      <c r="K9" s="2"/>
      <c r="L9" s="2"/>
      <c r="M9" s="2"/>
      <c r="N9" s="2"/>
      <c r="O9" s="2"/>
      <c r="P9" s="2"/>
      <c r="Q9" s="2"/>
      <c r="R9" s="2"/>
      <c r="S9" s="2"/>
      <c r="T9" s="2"/>
      <c r="U9" s="2"/>
      <c r="V9" s="2"/>
      <c r="W9" s="2"/>
      <c r="X9" s="2"/>
      <c r="Y9" s="2"/>
      <c r="Z9" s="2"/>
    </row>
    <row r="10">
      <c r="A10" s="2"/>
      <c r="B10" s="2"/>
      <c r="C10" s="577"/>
      <c r="D10" s="2"/>
      <c r="E10" s="2"/>
      <c r="F10" s="2"/>
      <c r="G10" s="2"/>
      <c r="H10" s="132"/>
      <c r="I10" s="2"/>
      <c r="J10" s="2"/>
      <c r="K10" s="2"/>
      <c r="L10" s="2"/>
      <c r="M10" s="2"/>
      <c r="N10" s="2"/>
      <c r="O10" s="2"/>
      <c r="P10" s="2"/>
      <c r="Q10" s="2"/>
      <c r="R10" s="2"/>
      <c r="S10" s="2"/>
      <c r="T10" s="2"/>
      <c r="U10" s="2"/>
      <c r="V10" s="2"/>
      <c r="W10" s="2"/>
      <c r="X10" s="2"/>
      <c r="Y10" s="2"/>
      <c r="Z10" s="2"/>
    </row>
    <row r="11">
      <c r="A11" s="2"/>
      <c r="B11" s="1" t="s">
        <v>1785</v>
      </c>
      <c r="C11" s="577"/>
      <c r="D11" s="2"/>
      <c r="E11" s="1" t="s">
        <v>1786</v>
      </c>
      <c r="F11" s="2"/>
      <c r="G11" s="2"/>
      <c r="H11" s="132"/>
      <c r="I11" s="2"/>
      <c r="J11" s="2"/>
      <c r="K11" s="2"/>
      <c r="L11" s="2"/>
      <c r="M11" s="2"/>
      <c r="N11" s="2"/>
      <c r="O11" s="2"/>
      <c r="P11" s="2"/>
      <c r="Q11" s="2"/>
      <c r="R11" s="2"/>
      <c r="S11" s="2"/>
      <c r="T11" s="2"/>
      <c r="U11" s="2"/>
      <c r="V11" s="2"/>
      <c r="W11" s="2"/>
      <c r="X11" s="2"/>
      <c r="Y11" s="2"/>
      <c r="Z11" s="2"/>
    </row>
    <row r="12">
      <c r="A12" s="34">
        <v>400.0</v>
      </c>
      <c r="B12" s="34" t="s">
        <v>1787</v>
      </c>
      <c r="C12" s="577" t="str">
        <f>"+25%"</f>
        <v>+25%</v>
      </c>
      <c r="D12" s="2"/>
      <c r="E12" s="29" t="str">
        <f>"+0.5 Orders"</f>
        <v>+0.5 Orders</v>
      </c>
      <c r="F12" s="34" t="s">
        <v>268</v>
      </c>
      <c r="G12" s="2" t="str">
        <f>"+20 Orthodoxy"</f>
        <v>+20 Orthodoxy</v>
      </c>
      <c r="H12" s="105" t="s">
        <v>1788</v>
      </c>
      <c r="I12" s="2"/>
      <c r="J12" s="2"/>
      <c r="K12" s="2"/>
      <c r="L12" s="2"/>
      <c r="M12" s="2"/>
      <c r="N12" s="2"/>
      <c r="O12" s="2"/>
      <c r="P12" s="2"/>
      <c r="Q12" s="2"/>
      <c r="R12" s="2"/>
      <c r="S12" s="2"/>
      <c r="T12" s="2"/>
      <c r="U12" s="2"/>
      <c r="V12" s="2"/>
      <c r="W12" s="2"/>
      <c r="X12" s="2"/>
      <c r="Y12" s="2"/>
      <c r="Z12" s="2"/>
    </row>
    <row r="13">
      <c r="A13" s="34">
        <v>400.0</v>
      </c>
      <c r="B13" s="34" t="s">
        <v>1789</v>
      </c>
      <c r="C13" s="577" t="str">
        <f t="shared" ref="C13:C14" si="2">"+5%"</f>
        <v>+5%</v>
      </c>
      <c r="D13" s="391" t="str">
        <f>"+1 Sci/Religion"</f>
        <v>+1 Sci/Religion</v>
      </c>
      <c r="E13" s="2" t="str">
        <f>"+1 Happiness"</f>
        <v>+1 Happiness</v>
      </c>
      <c r="F13" s="34" t="s">
        <v>266</v>
      </c>
      <c r="G13" s="2" t="str">
        <f>"+20 Tolerance"</f>
        <v>+20 Tolerance</v>
      </c>
      <c r="H13" s="105" t="s">
        <v>1790</v>
      </c>
      <c r="I13" s="2"/>
      <c r="J13" s="2"/>
      <c r="K13" s="2"/>
      <c r="L13" s="2"/>
      <c r="M13" s="2"/>
      <c r="N13" s="2"/>
      <c r="O13" s="2"/>
      <c r="P13" s="2"/>
      <c r="Q13" s="2"/>
      <c r="R13" s="2"/>
      <c r="S13" s="2"/>
      <c r="T13" s="2"/>
      <c r="U13" s="2"/>
      <c r="V13" s="2"/>
      <c r="W13" s="2"/>
      <c r="X13" s="2"/>
      <c r="Y13" s="2"/>
      <c r="Z13" s="2"/>
    </row>
    <row r="14">
      <c r="A14" s="34">
        <v>400.0</v>
      </c>
      <c r="B14" s="34" t="s">
        <v>1791</v>
      </c>
      <c r="C14" s="577" t="str">
        <f t="shared" si="2"/>
        <v>+5%</v>
      </c>
      <c r="D14" s="408" t="str">
        <f>"+2 Civics/Archive"</f>
        <v>+2 Civics/Archive</v>
      </c>
      <c r="E14" s="391" t="str">
        <f>"+1 Sci/Urban Specalist"</f>
        <v>+1 Sci/Urban Specalist</v>
      </c>
      <c r="F14" s="34" t="s">
        <v>269</v>
      </c>
      <c r="G14" s="2" t="str">
        <f>"+20 Monotheism"</f>
        <v>+20 Monotheism</v>
      </c>
      <c r="H14" s="105" t="s">
        <v>1792</v>
      </c>
      <c r="I14" s="2"/>
      <c r="J14" s="2"/>
      <c r="K14" s="2"/>
      <c r="L14" s="2"/>
      <c r="M14" s="2"/>
      <c r="N14" s="2"/>
      <c r="O14" s="2"/>
      <c r="P14" s="2"/>
      <c r="Q14" s="2"/>
      <c r="R14" s="2"/>
      <c r="S14" s="2"/>
      <c r="T14" s="2"/>
      <c r="U14" s="2"/>
      <c r="V14" s="2"/>
      <c r="W14" s="2"/>
      <c r="X14" s="2"/>
      <c r="Y14" s="2"/>
      <c r="Z14" s="2"/>
    </row>
    <row r="15">
      <c r="A15" s="2"/>
      <c r="B15" s="2"/>
      <c r="C15" s="577"/>
      <c r="D15" s="2"/>
      <c r="E15" s="2"/>
      <c r="F15" s="2"/>
      <c r="G15" s="2"/>
      <c r="H15" s="132"/>
      <c r="I15" s="2"/>
      <c r="J15" s="2"/>
      <c r="K15" s="2"/>
      <c r="L15" s="2"/>
      <c r="M15" s="2"/>
      <c r="N15" s="2"/>
      <c r="O15" s="2"/>
      <c r="P15" s="2"/>
      <c r="Q15" s="2"/>
      <c r="R15" s="2"/>
      <c r="S15" s="2"/>
      <c r="T15" s="2"/>
      <c r="U15" s="2"/>
      <c r="V15" s="2"/>
      <c r="W15" s="2"/>
      <c r="X15" s="2"/>
      <c r="Y15" s="2"/>
      <c r="Z15" s="2"/>
    </row>
    <row r="16">
      <c r="A16" s="2"/>
      <c r="B16" s="1" t="s">
        <v>1793</v>
      </c>
      <c r="C16" s="577"/>
      <c r="D16" s="2"/>
      <c r="E16" s="1" t="s">
        <v>1794</v>
      </c>
      <c r="F16" s="2"/>
      <c r="G16" s="2"/>
      <c r="H16" s="132"/>
      <c r="I16" s="2"/>
      <c r="J16" s="2"/>
      <c r="K16" s="2"/>
      <c r="L16" s="2"/>
      <c r="M16" s="2"/>
      <c r="N16" s="2"/>
      <c r="O16" s="2"/>
      <c r="P16" s="2"/>
      <c r="Q16" s="2"/>
      <c r="R16" s="2"/>
      <c r="S16" s="2"/>
      <c r="T16" s="2"/>
      <c r="U16" s="2"/>
      <c r="V16" s="2"/>
      <c r="W16" s="2"/>
      <c r="X16" s="2"/>
      <c r="Y16" s="2"/>
      <c r="Z16" s="2"/>
    </row>
    <row r="17">
      <c r="A17" s="34">
        <v>600.0</v>
      </c>
      <c r="B17" s="34" t="s">
        <v>1795</v>
      </c>
      <c r="C17" s="577" t="str">
        <f t="shared" ref="C17:C18" si="3">"+5%"</f>
        <v>+5%</v>
      </c>
      <c r="D17" s="415" t="str">
        <f>"+20% Harbors, Hamlets Output"</f>
        <v>+20% Harbors, Hamlets Output</v>
      </c>
      <c r="E17" s="415" t="str">
        <f>"+20% Mine, Quarry, Lumbermill Output"</f>
        <v>+20% Mine, Quarry, Lumbermill Output</v>
      </c>
      <c r="F17" s="34" t="s">
        <v>1796</v>
      </c>
      <c r="G17" s="2" t="str">
        <f>"+20 Freedom"</f>
        <v>+20 Freedom</v>
      </c>
      <c r="H17" s="132"/>
      <c r="I17" s="2"/>
      <c r="J17" s="2"/>
      <c r="K17" s="2"/>
      <c r="L17" s="2"/>
      <c r="M17" s="2"/>
      <c r="N17" s="2"/>
      <c r="O17" s="2"/>
      <c r="P17" s="2"/>
      <c r="Q17" s="2"/>
      <c r="R17" s="2"/>
      <c r="S17" s="2"/>
      <c r="T17" s="2"/>
      <c r="U17" s="2"/>
      <c r="V17" s="2"/>
      <c r="W17" s="2"/>
      <c r="X17" s="2"/>
      <c r="Y17" s="2"/>
      <c r="Z17" s="2"/>
    </row>
    <row r="18">
      <c r="A18" s="34">
        <v>600.0</v>
      </c>
      <c r="B18" s="34" t="s">
        <v>1797</v>
      </c>
      <c r="C18" s="577" t="str">
        <f t="shared" si="3"/>
        <v>+5%</v>
      </c>
      <c r="D18" s="33" t="str">
        <f>"+3 Happiness/Monk"</f>
        <v>+3 Happiness/Monk</v>
      </c>
      <c r="E18" s="578" t="str">
        <f>"+1 Growth/Citizen"</f>
        <v>+1 Growth/Citizen</v>
      </c>
      <c r="F18" s="34" t="s">
        <v>1798</v>
      </c>
      <c r="G18" s="2" t="str">
        <f>"+20 Pilgrimage"</f>
        <v>+20 Pilgrimage</v>
      </c>
      <c r="H18" s="105" t="s">
        <v>1799</v>
      </c>
      <c r="I18" s="2"/>
      <c r="J18" s="2"/>
      <c r="K18" s="2"/>
      <c r="L18" s="2"/>
      <c r="M18" s="2"/>
      <c r="N18" s="2"/>
      <c r="O18" s="2"/>
      <c r="P18" s="2"/>
      <c r="Q18" s="2"/>
      <c r="R18" s="2"/>
      <c r="S18" s="2"/>
      <c r="T18" s="2"/>
      <c r="U18" s="2"/>
      <c r="V18" s="2"/>
      <c r="W18" s="2"/>
      <c r="X18" s="2"/>
      <c r="Y18" s="2"/>
      <c r="Z18" s="2"/>
    </row>
    <row r="19">
      <c r="A19" s="2"/>
      <c r="B19" s="2"/>
      <c r="C19" s="2"/>
      <c r="D19" s="2"/>
      <c r="E19" s="2"/>
      <c r="F19" s="2"/>
      <c r="G19" s="2"/>
      <c r="H19" s="132"/>
      <c r="I19" s="2"/>
      <c r="J19" s="2"/>
      <c r="K19" s="2"/>
      <c r="L19" s="2"/>
      <c r="M19" s="2"/>
      <c r="N19" s="2"/>
      <c r="O19" s="2"/>
      <c r="P19" s="2"/>
      <c r="Q19" s="2"/>
      <c r="R19" s="2"/>
      <c r="S19" s="2"/>
      <c r="T19" s="2"/>
      <c r="U19" s="2"/>
      <c r="V19" s="2"/>
      <c r="W19" s="2"/>
      <c r="X19" s="2"/>
      <c r="Y19" s="2"/>
      <c r="Z19" s="2"/>
    </row>
    <row r="20">
      <c r="A20" s="2"/>
      <c r="B20" s="2"/>
      <c r="C20" s="1" t="s">
        <v>1800</v>
      </c>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3" width="13.88"/>
    <col customWidth="1" min="4" max="4" width="9.5"/>
    <col customWidth="1" min="5" max="5" width="13.88"/>
    <col customWidth="1" min="6" max="6" width="21.88"/>
    <col customWidth="1" min="7" max="7" width="20.75"/>
    <col customWidth="1" min="8" max="8" width="15.5"/>
    <col customWidth="1" min="9" max="9" width="17.88"/>
    <col customWidth="1" min="10" max="10" width="7.63"/>
    <col customWidth="1" min="11" max="15" width="3.88"/>
    <col customWidth="1" min="16" max="16" width="4.13"/>
    <col customWidth="1" min="17" max="17" width="68.88"/>
  </cols>
  <sheetData>
    <row r="1" ht="36.75" customHeight="1">
      <c r="A1" s="435" t="s">
        <v>1536</v>
      </c>
      <c r="B1" s="374" t="s">
        <v>1801</v>
      </c>
      <c r="C1" s="435" t="s">
        <v>1802</v>
      </c>
      <c r="D1" s="435" t="s">
        <v>35</v>
      </c>
      <c r="E1" s="435" t="s">
        <v>1803</v>
      </c>
      <c r="F1" s="374" t="s">
        <v>1804</v>
      </c>
      <c r="G1" s="374" t="s">
        <v>1805</v>
      </c>
      <c r="H1" s="374" t="s">
        <v>1806</v>
      </c>
      <c r="I1" s="374" t="s">
        <v>1807</v>
      </c>
      <c r="J1" s="374" t="s">
        <v>1808</v>
      </c>
      <c r="K1" s="435" t="s">
        <v>1809</v>
      </c>
      <c r="L1" s="579" t="s">
        <v>13</v>
      </c>
      <c r="M1" s="579" t="s">
        <v>31</v>
      </c>
      <c r="N1" s="579" t="s">
        <v>33</v>
      </c>
      <c r="O1" s="579" t="s">
        <v>25</v>
      </c>
      <c r="P1" s="579" t="s">
        <v>28</v>
      </c>
      <c r="Q1" s="374" t="s">
        <v>1532</v>
      </c>
      <c r="R1" s="54"/>
      <c r="S1" s="54"/>
      <c r="T1" s="54"/>
      <c r="U1" s="54"/>
      <c r="V1" s="54"/>
      <c r="W1" s="54"/>
      <c r="X1" s="54"/>
      <c r="Y1" s="54"/>
      <c r="Z1" s="54"/>
      <c r="AA1" s="54"/>
      <c r="AB1" s="54"/>
      <c r="AC1" s="54"/>
      <c r="AD1" s="54"/>
    </row>
    <row r="2" ht="45.0" customHeight="1">
      <c r="A2" s="435"/>
      <c r="B2" s="374" t="s">
        <v>1662</v>
      </c>
      <c r="C2" s="512" t="s">
        <v>1810</v>
      </c>
      <c r="D2" s="580" t="s">
        <v>1538</v>
      </c>
      <c r="E2" s="580" t="s">
        <v>1811</v>
      </c>
      <c r="F2" s="581" t="s">
        <v>332</v>
      </c>
      <c r="G2" s="582" t="str">
        <f>"-50% Start Law Cost"</f>
        <v>-50% Start Law Cost</v>
      </c>
      <c r="H2" s="583" t="str">
        <f>"+1 Order/Turn"</f>
        <v>+1 Order/Turn</v>
      </c>
      <c r="I2" s="581" t="s">
        <v>332</v>
      </c>
      <c r="J2" s="584">
        <v>4.0</v>
      </c>
      <c r="K2" s="580">
        <v>2.0</v>
      </c>
      <c r="L2" s="585">
        <v>100.0</v>
      </c>
      <c r="M2" s="586">
        <v>600.0</v>
      </c>
      <c r="N2" s="446"/>
      <c r="O2" s="446"/>
      <c r="P2" s="446"/>
      <c r="Q2" s="105" t="s">
        <v>1812</v>
      </c>
    </row>
    <row r="3" ht="45.0" customHeight="1">
      <c r="A3" s="587"/>
      <c r="B3" s="374" t="s">
        <v>15</v>
      </c>
      <c r="C3" s="512" t="s">
        <v>1813</v>
      </c>
      <c r="D3" s="580" t="s">
        <v>1538</v>
      </c>
      <c r="E3" s="580" t="s">
        <v>1814</v>
      </c>
      <c r="F3" s="482" t="s">
        <v>1815</v>
      </c>
      <c r="G3" s="581" t="s">
        <v>332</v>
      </c>
      <c r="H3" s="581" t="s">
        <v>332</v>
      </c>
      <c r="I3" s="581" t="s">
        <v>332</v>
      </c>
      <c r="J3" s="588">
        <v>4.0</v>
      </c>
      <c r="K3" s="589">
        <v>2.0</v>
      </c>
      <c r="L3" s="590">
        <v>400.0</v>
      </c>
      <c r="M3" s="591">
        <v>400.0</v>
      </c>
      <c r="N3" s="446"/>
      <c r="O3" s="446"/>
      <c r="P3" s="446"/>
      <c r="Q3" s="105" t="s">
        <v>1816</v>
      </c>
    </row>
    <row r="4" ht="45.0" customHeight="1">
      <c r="A4" s="435"/>
      <c r="B4" s="374" t="s">
        <v>15</v>
      </c>
      <c r="C4" s="512" t="s">
        <v>1817</v>
      </c>
      <c r="D4" s="580" t="s">
        <v>1538</v>
      </c>
      <c r="E4" s="580" t="s">
        <v>1818</v>
      </c>
      <c r="F4" s="581" t="s">
        <v>332</v>
      </c>
      <c r="G4" s="482" t="s">
        <v>1819</v>
      </c>
      <c r="H4" s="581" t="s">
        <v>332</v>
      </c>
      <c r="I4" s="581" t="s">
        <v>332</v>
      </c>
      <c r="J4" s="584">
        <v>4.0</v>
      </c>
      <c r="K4" s="580">
        <v>2.0</v>
      </c>
      <c r="L4" s="585">
        <v>100.0</v>
      </c>
      <c r="M4" s="591">
        <v>600.0</v>
      </c>
      <c r="N4" s="446"/>
      <c r="O4" s="446"/>
      <c r="P4" s="446"/>
      <c r="Q4" s="105" t="s">
        <v>1820</v>
      </c>
    </row>
    <row r="5" ht="45.0" customHeight="1">
      <c r="A5" s="459"/>
      <c r="B5" s="374" t="s">
        <v>19</v>
      </c>
      <c r="C5" s="512" t="s">
        <v>1821</v>
      </c>
      <c r="D5" s="589" t="s">
        <v>1538</v>
      </c>
      <c r="E5" s="581" t="s">
        <v>1822</v>
      </c>
      <c r="F5" s="592" t="s">
        <v>1823</v>
      </c>
      <c r="G5" s="581" t="s">
        <v>332</v>
      </c>
      <c r="H5" s="581" t="s">
        <v>332</v>
      </c>
      <c r="I5" s="581" t="s">
        <v>332</v>
      </c>
      <c r="J5" s="588">
        <v>4.0</v>
      </c>
      <c r="K5" s="589">
        <v>2.0</v>
      </c>
      <c r="L5" s="590">
        <v>100.0</v>
      </c>
      <c r="M5" s="591">
        <v>600.0</v>
      </c>
      <c r="Q5" s="4" t="s">
        <v>1824</v>
      </c>
    </row>
    <row r="6" ht="45.0" customHeight="1">
      <c r="A6" s="459"/>
      <c r="B6" s="374" t="s">
        <v>19</v>
      </c>
      <c r="C6" s="512" t="s">
        <v>1825</v>
      </c>
      <c r="D6" s="589" t="s">
        <v>1538</v>
      </c>
      <c r="E6" s="581" t="s">
        <v>1826</v>
      </c>
      <c r="F6" s="581" t="s">
        <v>332</v>
      </c>
      <c r="G6" s="581" t="s">
        <v>332</v>
      </c>
      <c r="H6" s="593" t="s">
        <v>639</v>
      </c>
      <c r="I6" s="594" t="s">
        <v>1827</v>
      </c>
      <c r="J6" s="588">
        <v>4.0</v>
      </c>
      <c r="K6" s="589">
        <v>2.0</v>
      </c>
      <c r="L6" s="590">
        <v>100.0</v>
      </c>
      <c r="M6" s="591">
        <v>400.0</v>
      </c>
      <c r="P6" s="595">
        <v>200.0</v>
      </c>
      <c r="Q6" s="105" t="s">
        <v>1828</v>
      </c>
    </row>
    <row r="7" ht="45.0" customHeight="1">
      <c r="A7" s="435"/>
      <c r="B7" s="374" t="s">
        <v>19</v>
      </c>
      <c r="C7" s="512" t="s">
        <v>1829</v>
      </c>
      <c r="D7" s="580" t="s">
        <v>1538</v>
      </c>
      <c r="E7" s="580" t="s">
        <v>1830</v>
      </c>
      <c r="F7" s="581" t="s">
        <v>332</v>
      </c>
      <c r="G7" s="397" t="str">
        <f>"+1 Tech Card Hand Size; 
Free Agent Network in all Holy Cities"</f>
        <v>+1 Tech Card Hand Size; 
Free Agent Network in all Holy Cities</v>
      </c>
      <c r="H7" s="596" t="str">
        <f>"+10 Money / Religion"</f>
        <v>+10 Money / Religion</v>
      </c>
      <c r="I7" s="581" t="s">
        <v>332</v>
      </c>
      <c r="J7" s="584">
        <v>4.0</v>
      </c>
      <c r="K7" s="580">
        <v>2.0</v>
      </c>
      <c r="L7" s="585">
        <v>100.0</v>
      </c>
      <c r="M7" s="591">
        <v>400.0</v>
      </c>
      <c r="N7" s="446"/>
      <c r="O7" s="597">
        <v>200.0</v>
      </c>
      <c r="P7" s="446"/>
      <c r="Q7" s="105" t="s">
        <v>1831</v>
      </c>
    </row>
    <row r="8" ht="45.0" customHeight="1">
      <c r="A8" s="587"/>
      <c r="B8" s="374" t="s">
        <v>19</v>
      </c>
      <c r="C8" s="512" t="s">
        <v>1832</v>
      </c>
      <c r="D8" s="580" t="s">
        <v>1538</v>
      </c>
      <c r="E8" s="580" t="s">
        <v>1833</v>
      </c>
      <c r="F8" s="598" t="str">
        <f>"+20% Growth"</f>
        <v>+20% Growth</v>
      </c>
      <c r="G8" s="581" t="s">
        <v>332</v>
      </c>
      <c r="H8" s="581" t="s">
        <v>332</v>
      </c>
      <c r="I8" s="581" t="s">
        <v>332</v>
      </c>
      <c r="J8" s="584">
        <v>4.0</v>
      </c>
      <c r="K8" s="580">
        <v>2.0</v>
      </c>
      <c r="L8" s="585">
        <v>100.0</v>
      </c>
      <c r="M8" s="586">
        <v>400.0</v>
      </c>
      <c r="N8" s="599">
        <v>200.0</v>
      </c>
      <c r="O8" s="446"/>
      <c r="P8" s="446"/>
      <c r="Q8" s="105" t="s">
        <v>1834</v>
      </c>
    </row>
    <row r="9" ht="10.5" customHeight="1">
      <c r="A9" s="600"/>
      <c r="B9" s="601"/>
      <c r="C9" s="602"/>
      <c r="D9" s="603"/>
      <c r="E9" s="603"/>
      <c r="F9" s="604"/>
      <c r="G9" s="604"/>
      <c r="H9" s="604"/>
      <c r="I9" s="604"/>
      <c r="J9" s="604"/>
      <c r="K9" s="603"/>
      <c r="L9" s="603"/>
      <c r="M9" s="604"/>
      <c r="N9" s="605"/>
      <c r="O9" s="605"/>
      <c r="P9" s="605"/>
      <c r="Q9" s="606"/>
      <c r="R9" s="605"/>
      <c r="S9" s="605"/>
      <c r="T9" s="605"/>
      <c r="U9" s="605"/>
      <c r="V9" s="605"/>
      <c r="W9" s="605"/>
      <c r="X9" s="605"/>
      <c r="Y9" s="605"/>
      <c r="Z9" s="605"/>
      <c r="AA9" s="605"/>
      <c r="AB9" s="605"/>
      <c r="AC9" s="605"/>
      <c r="AD9" s="605"/>
    </row>
    <row r="10" ht="45.0" customHeight="1">
      <c r="A10" s="459"/>
      <c r="B10" s="374" t="s">
        <v>1662</v>
      </c>
      <c r="C10" s="512" t="s">
        <v>1835</v>
      </c>
      <c r="D10" s="589" t="s">
        <v>1539</v>
      </c>
      <c r="E10" s="589" t="s">
        <v>1830</v>
      </c>
      <c r="F10" s="474" t="s">
        <v>1836</v>
      </c>
      <c r="G10" s="581" t="s">
        <v>332</v>
      </c>
      <c r="H10" s="581" t="s">
        <v>332</v>
      </c>
      <c r="I10" s="581" t="s">
        <v>332</v>
      </c>
      <c r="J10" s="588">
        <v>6.0</v>
      </c>
      <c r="K10" s="589">
        <v>2.0</v>
      </c>
      <c r="L10" s="590">
        <v>200.0</v>
      </c>
      <c r="M10" s="591">
        <v>900.0</v>
      </c>
      <c r="Q10" s="4" t="s">
        <v>1837</v>
      </c>
    </row>
    <row r="11" ht="45.0" customHeight="1">
      <c r="A11" s="435"/>
      <c r="B11" s="374" t="s">
        <v>15</v>
      </c>
      <c r="C11" s="512" t="s">
        <v>1838</v>
      </c>
      <c r="D11" s="580" t="s">
        <v>1539</v>
      </c>
      <c r="E11" s="580" t="s">
        <v>1814</v>
      </c>
      <c r="F11" s="607" t="str">
        <f>"-50% Maintenance"</f>
        <v>-50% Maintenance</v>
      </c>
      <c r="G11" s="582" t="str">
        <f>"+20 Civics/Turn"</f>
        <v>+20 Civics/Turn</v>
      </c>
      <c r="H11" s="581" t="s">
        <v>332</v>
      </c>
      <c r="I11" s="581" t="s">
        <v>332</v>
      </c>
      <c r="J11" s="584">
        <v>6.0</v>
      </c>
      <c r="K11" s="580">
        <v>2.0</v>
      </c>
      <c r="L11" s="585">
        <v>200.0</v>
      </c>
      <c r="M11" s="586">
        <v>900.0</v>
      </c>
      <c r="N11" s="446"/>
      <c r="O11" s="446"/>
      <c r="P11" s="446"/>
      <c r="Q11" s="105" t="s">
        <v>1839</v>
      </c>
    </row>
    <row r="12" ht="45.0" customHeight="1">
      <c r="A12" s="587"/>
      <c r="B12" s="374" t="s">
        <v>15</v>
      </c>
      <c r="C12" s="512" t="s">
        <v>1840</v>
      </c>
      <c r="D12" s="580" t="s">
        <v>1539</v>
      </c>
      <c r="E12" s="580" t="s">
        <v>1830</v>
      </c>
      <c r="F12" s="608" t="str">
        <f>"+3 Civics/Pagan Religion"</f>
        <v>+3 Civics/Pagan Religion</v>
      </c>
      <c r="G12" s="581" t="s">
        <v>332</v>
      </c>
      <c r="H12" s="588" t="s">
        <v>1841</v>
      </c>
      <c r="I12" s="581" t="s">
        <v>332</v>
      </c>
      <c r="J12" s="609" t="s">
        <v>1842</v>
      </c>
      <c r="K12" s="580">
        <v>2.0</v>
      </c>
      <c r="L12" s="585">
        <v>200.0</v>
      </c>
      <c r="M12" s="586">
        <v>900.0</v>
      </c>
      <c r="N12" s="446"/>
      <c r="O12" s="446"/>
      <c r="P12" s="446"/>
      <c r="Q12" s="105" t="s">
        <v>1843</v>
      </c>
    </row>
    <row r="13" ht="45.0" customHeight="1">
      <c r="A13" s="587"/>
      <c r="B13" s="374" t="s">
        <v>19</v>
      </c>
      <c r="C13" s="512" t="s">
        <v>1844</v>
      </c>
      <c r="D13" s="580" t="s">
        <v>1539</v>
      </c>
      <c r="E13" s="581" t="s">
        <v>332</v>
      </c>
      <c r="F13" s="478" t="s">
        <v>1845</v>
      </c>
      <c r="G13" s="581"/>
      <c r="H13" s="482" t="s">
        <v>1846</v>
      </c>
      <c r="I13" s="581"/>
      <c r="J13" s="588">
        <v>6.0</v>
      </c>
      <c r="K13" s="589">
        <v>2.0</v>
      </c>
      <c r="L13" s="590">
        <v>200.0</v>
      </c>
      <c r="M13" s="591">
        <v>900.0</v>
      </c>
      <c r="N13" s="446"/>
      <c r="O13" s="446"/>
      <c r="P13" s="446"/>
      <c r="Q13" s="105" t="s">
        <v>1847</v>
      </c>
    </row>
    <row r="14" ht="45.0" customHeight="1">
      <c r="A14" s="435"/>
      <c r="B14" s="374" t="s">
        <v>19</v>
      </c>
      <c r="C14" s="512" t="s">
        <v>1848</v>
      </c>
      <c r="D14" s="580" t="s">
        <v>1539</v>
      </c>
      <c r="E14" s="580" t="s">
        <v>1814</v>
      </c>
      <c r="F14" s="610" t="str">
        <f>"One-time +100 Culture 
to all cities"</f>
        <v>One-time +100 Culture 
to all cities</v>
      </c>
      <c r="G14" s="581" t="s">
        <v>332</v>
      </c>
      <c r="H14" s="598" t="str">
        <f>"+2 Growth/Turn per Culture Level"</f>
        <v>+2 Growth/Turn per Culture Level</v>
      </c>
      <c r="I14" s="581" t="s">
        <v>332</v>
      </c>
      <c r="J14" s="584">
        <v>6.0</v>
      </c>
      <c r="K14" s="580">
        <v>2.0</v>
      </c>
      <c r="L14" s="585">
        <v>200.0</v>
      </c>
      <c r="M14" s="586">
        <v>600.0</v>
      </c>
      <c r="N14" s="446"/>
      <c r="O14" s="446"/>
      <c r="P14" s="595">
        <v>300.0</v>
      </c>
      <c r="Q14" s="105" t="s">
        <v>1849</v>
      </c>
    </row>
    <row r="15" ht="45.0" customHeight="1">
      <c r="A15" s="587"/>
      <c r="B15" s="611" t="s">
        <v>1850</v>
      </c>
      <c r="C15" s="512" t="s">
        <v>1851</v>
      </c>
      <c r="D15" s="580" t="s">
        <v>1539</v>
      </c>
      <c r="E15" s="580" t="s">
        <v>1852</v>
      </c>
      <c r="F15" s="598" t="str">
        <f>"Nets +100% Output"</f>
        <v>Nets +100% Output</v>
      </c>
      <c r="G15" s="612" t="str">
        <f>"-10 Years on Hamlet Upgrade"</f>
        <v>-10 Years on Hamlet Upgrade</v>
      </c>
      <c r="H15" s="581" t="s">
        <v>332</v>
      </c>
      <c r="I15" s="581" t="s">
        <v>332</v>
      </c>
      <c r="J15" s="584">
        <v>6.0</v>
      </c>
      <c r="K15" s="580">
        <v>2.0</v>
      </c>
      <c r="L15" s="585">
        <v>200.0</v>
      </c>
      <c r="M15" s="586">
        <v>600.0</v>
      </c>
      <c r="N15" s="446"/>
      <c r="O15" s="446"/>
      <c r="P15" s="595">
        <v>300.0</v>
      </c>
      <c r="Q15" s="105" t="s">
        <v>1853</v>
      </c>
    </row>
    <row r="16" ht="45.0" customHeight="1">
      <c r="A16" s="459"/>
      <c r="B16" s="611" t="s">
        <v>1854</v>
      </c>
      <c r="C16" s="512" t="s">
        <v>1855</v>
      </c>
      <c r="D16" s="589" t="s">
        <v>1539</v>
      </c>
      <c r="E16" s="580" t="s">
        <v>1814</v>
      </c>
      <c r="F16" s="581" t="s">
        <v>332</v>
      </c>
      <c r="G16" s="592" t="s">
        <v>1856</v>
      </c>
      <c r="H16" s="581" t="s">
        <v>332</v>
      </c>
      <c r="I16" s="581" t="s">
        <v>332</v>
      </c>
      <c r="J16" s="588">
        <v>6.0</v>
      </c>
      <c r="K16" s="589">
        <v>2.0</v>
      </c>
      <c r="L16" s="590">
        <v>200.0</v>
      </c>
      <c r="M16" s="591">
        <v>600.0</v>
      </c>
      <c r="N16" s="613">
        <v>300.0</v>
      </c>
      <c r="Q16" s="4" t="s">
        <v>1857</v>
      </c>
    </row>
    <row r="17" ht="10.5" customHeight="1">
      <c r="A17" s="600"/>
      <c r="B17" s="601"/>
      <c r="C17" s="602"/>
      <c r="D17" s="603"/>
      <c r="E17" s="603"/>
      <c r="F17" s="604"/>
      <c r="G17" s="604"/>
      <c r="H17" s="604"/>
      <c r="I17" s="604"/>
      <c r="J17" s="604"/>
      <c r="K17" s="603"/>
      <c r="L17" s="603"/>
      <c r="M17" s="604"/>
      <c r="N17" s="605"/>
      <c r="O17" s="605"/>
      <c r="P17" s="605"/>
      <c r="Q17" s="606"/>
      <c r="R17" s="605"/>
      <c r="S17" s="605"/>
      <c r="T17" s="605"/>
      <c r="U17" s="605"/>
      <c r="V17" s="605"/>
      <c r="W17" s="605"/>
      <c r="X17" s="605"/>
      <c r="Y17" s="605"/>
      <c r="Z17" s="605"/>
      <c r="AA17" s="605"/>
      <c r="AB17" s="605"/>
      <c r="AC17" s="605"/>
      <c r="AD17" s="605"/>
    </row>
    <row r="18" ht="45.0" customHeight="1">
      <c r="A18" s="435"/>
      <c r="B18" s="374" t="s">
        <v>1662</v>
      </c>
      <c r="C18" s="512" t="s">
        <v>1858</v>
      </c>
      <c r="D18" s="580" t="s">
        <v>675</v>
      </c>
      <c r="E18" s="580" t="s">
        <v>1814</v>
      </c>
      <c r="F18" s="582" t="str">
        <f>"+1 Civics/Turn per Elder Specialist"</f>
        <v>+1 Civics/Turn per Elder Specialist</v>
      </c>
      <c r="G18" s="581" t="s">
        <v>332</v>
      </c>
      <c r="H18" s="397" t="str">
        <f>"+50% Science"</f>
        <v>+50% Science</v>
      </c>
      <c r="I18" s="581" t="s">
        <v>332</v>
      </c>
      <c r="J18" s="584">
        <v>8.0</v>
      </c>
      <c r="K18" s="580">
        <v>2.0</v>
      </c>
      <c r="L18" s="585">
        <v>300.0</v>
      </c>
      <c r="M18" s="586">
        <v>800.0</v>
      </c>
      <c r="N18" s="599">
        <v>400.0</v>
      </c>
      <c r="O18" s="446"/>
      <c r="P18" s="446"/>
      <c r="Q18" s="105" t="s">
        <v>1859</v>
      </c>
    </row>
    <row r="19" ht="45.0" customHeight="1">
      <c r="A19" s="435"/>
      <c r="B19" s="374" t="s">
        <v>15</v>
      </c>
      <c r="C19" s="512" t="s">
        <v>1860</v>
      </c>
      <c r="D19" s="580" t="s">
        <v>675</v>
      </c>
      <c r="E19" s="580" t="s">
        <v>1852</v>
      </c>
      <c r="F19" s="582" t="str">
        <f>"+2 Civics/Turn if Connected"</f>
        <v>+2 Civics/Turn if Connected</v>
      </c>
      <c r="G19" s="581" t="s">
        <v>332</v>
      </c>
      <c r="H19" s="614" t="str">
        <f>"+1 Level for New Units"</f>
        <v>+1 Level for New Units</v>
      </c>
      <c r="I19" s="581" t="s">
        <v>332</v>
      </c>
      <c r="J19" s="584">
        <v>8.0</v>
      </c>
      <c r="K19" s="580">
        <v>2.0</v>
      </c>
      <c r="L19" s="585">
        <v>300.0</v>
      </c>
      <c r="M19" s="586">
        <v>400.0</v>
      </c>
      <c r="N19" s="446"/>
      <c r="O19" s="446"/>
      <c r="P19" s="595">
        <v>800.0</v>
      </c>
      <c r="Q19" s="105" t="str">
        <f>"+2 Civics in every Connected city is quite strong (and you should have everything connected); the +1 level for new units is gravy on top"</f>
        <v>+2 Civics in every Connected city is quite strong (and you should have everything connected); the +1 level for new units is gravy on top</v>
      </c>
    </row>
    <row r="20" ht="45.0" customHeight="1">
      <c r="A20" s="435"/>
      <c r="B20" s="374" t="s">
        <v>19</v>
      </c>
      <c r="C20" s="512" t="s">
        <v>1861</v>
      </c>
      <c r="D20" s="580" t="s">
        <v>675</v>
      </c>
      <c r="E20" s="580" t="s">
        <v>1830</v>
      </c>
      <c r="F20" s="583" t="str">
        <f>"+0.5 Orders/Turn per Forum"</f>
        <v>+0.5 Orders/Turn per Forum</v>
      </c>
      <c r="G20" s="581" t="s">
        <v>332</v>
      </c>
      <c r="H20" s="582" t="str">
        <f>"+2 Civics/Religion"</f>
        <v>+2 Civics/Religion</v>
      </c>
      <c r="I20" s="581" t="s">
        <v>332</v>
      </c>
      <c r="J20" s="584">
        <v>8.0</v>
      </c>
      <c r="K20" s="580">
        <v>2.0</v>
      </c>
      <c r="L20" s="585">
        <v>300.0</v>
      </c>
      <c r="M20" s="586">
        <v>1200.0</v>
      </c>
      <c r="N20" s="446"/>
      <c r="O20" s="446"/>
      <c r="P20" s="446"/>
      <c r="Q20" s="105" t="s">
        <v>1862</v>
      </c>
    </row>
    <row r="21" ht="45.0" customHeight="1">
      <c r="A21" s="435"/>
      <c r="B21" s="374" t="s">
        <v>19</v>
      </c>
      <c r="C21" s="512" t="s">
        <v>1863</v>
      </c>
      <c r="D21" s="580" t="s">
        <v>675</v>
      </c>
      <c r="E21" s="580" t="s">
        <v>1830</v>
      </c>
      <c r="F21" s="588" t="str">
        <f>"+50% culture"</f>
        <v>+50% culture</v>
      </c>
      <c r="G21" s="581" t="s">
        <v>332</v>
      </c>
      <c r="H21" s="615" t="s">
        <v>1864</v>
      </c>
      <c r="I21" s="581" t="s">
        <v>332</v>
      </c>
      <c r="J21" s="584">
        <v>8.0</v>
      </c>
      <c r="K21" s="580">
        <v>2.0</v>
      </c>
      <c r="L21" s="585">
        <v>300.0</v>
      </c>
      <c r="M21" s="586">
        <v>1200.0</v>
      </c>
      <c r="N21" s="446"/>
      <c r="O21" s="446"/>
      <c r="P21" s="446"/>
      <c r="Q21" s="105" t="s">
        <v>1865</v>
      </c>
    </row>
    <row r="22" ht="45.0" customHeight="1">
      <c r="A22" s="459"/>
      <c r="B22" s="374" t="s">
        <v>19</v>
      </c>
      <c r="C22" s="136" t="s">
        <v>1866</v>
      </c>
      <c r="D22" s="580" t="s">
        <v>675</v>
      </c>
      <c r="E22" s="581" t="s">
        <v>1826</v>
      </c>
      <c r="F22" s="588" t="s">
        <v>1867</v>
      </c>
      <c r="G22" s="616" t="s">
        <v>1868</v>
      </c>
      <c r="H22" s="588" t="s">
        <v>1869</v>
      </c>
      <c r="I22" s="581" t="s">
        <v>332</v>
      </c>
      <c r="J22" s="588">
        <v>8.0</v>
      </c>
      <c r="K22" s="589">
        <v>2.0</v>
      </c>
      <c r="L22" s="590">
        <v>300.0</v>
      </c>
      <c r="M22" s="586">
        <v>1200.0</v>
      </c>
      <c r="Q22" s="4" t="s">
        <v>1870</v>
      </c>
    </row>
    <row r="23" ht="45.0" customHeight="1">
      <c r="A23" s="459"/>
      <c r="B23" s="611" t="s">
        <v>1850</v>
      </c>
      <c r="C23" s="512" t="s">
        <v>1871</v>
      </c>
      <c r="D23" s="589" t="s">
        <v>675</v>
      </c>
      <c r="E23" s="589" t="s">
        <v>1852</v>
      </c>
      <c r="F23" s="581" t="s">
        <v>332</v>
      </c>
      <c r="G23" s="581" t="s">
        <v>332</v>
      </c>
      <c r="H23" s="617" t="s">
        <v>1872</v>
      </c>
      <c r="I23" s="617" t="s">
        <v>1873</v>
      </c>
      <c r="J23" s="588">
        <v>8.0</v>
      </c>
      <c r="K23" s="589">
        <v>2.0</v>
      </c>
      <c r="L23" s="590">
        <v>300.0</v>
      </c>
      <c r="M23" s="591">
        <v>600.0</v>
      </c>
      <c r="N23" s="599">
        <v>600.0</v>
      </c>
      <c r="Q23" s="4" t="s">
        <v>1874</v>
      </c>
    </row>
    <row r="24" ht="45.0" customHeight="1">
      <c r="A24" s="459"/>
      <c r="B24" s="611" t="s">
        <v>1854</v>
      </c>
      <c r="C24" s="512" t="s">
        <v>1875</v>
      </c>
      <c r="D24" s="580" t="s">
        <v>675</v>
      </c>
      <c r="E24" s="581" t="s">
        <v>1826</v>
      </c>
      <c r="F24" s="581" t="s">
        <v>332</v>
      </c>
      <c r="G24" s="581" t="s">
        <v>332</v>
      </c>
      <c r="H24" s="581" t="s">
        <v>332</v>
      </c>
      <c r="I24" s="469" t="s">
        <v>1876</v>
      </c>
      <c r="J24" s="584">
        <v>8.0</v>
      </c>
      <c r="K24" s="580">
        <v>2.0</v>
      </c>
      <c r="L24" s="585">
        <v>300.0</v>
      </c>
      <c r="M24" s="586">
        <v>1200.0</v>
      </c>
      <c r="Q24" s="4" t="s">
        <v>1877</v>
      </c>
    </row>
    <row r="25" ht="10.5" customHeight="1">
      <c r="A25" s="600"/>
      <c r="B25" s="601"/>
      <c r="C25" s="602"/>
      <c r="D25" s="603"/>
      <c r="E25" s="603"/>
      <c r="F25" s="604"/>
      <c r="G25" s="604"/>
      <c r="H25" s="604"/>
      <c r="I25" s="604"/>
      <c r="J25" s="604"/>
      <c r="K25" s="603"/>
      <c r="L25" s="603"/>
      <c r="M25" s="604"/>
      <c r="N25" s="605"/>
      <c r="O25" s="605"/>
      <c r="P25" s="605"/>
      <c r="Q25" s="606"/>
      <c r="R25" s="605"/>
      <c r="S25" s="605"/>
      <c r="T25" s="605"/>
      <c r="U25" s="605"/>
      <c r="V25" s="605"/>
      <c r="W25" s="605"/>
      <c r="X25" s="605"/>
      <c r="Y25" s="605"/>
      <c r="Z25" s="605"/>
      <c r="AA25" s="605"/>
      <c r="AB25" s="605"/>
      <c r="AC25" s="605"/>
      <c r="AD25" s="605"/>
    </row>
    <row r="26" ht="45.0" customHeight="1">
      <c r="A26" s="459"/>
      <c r="B26" s="374" t="s">
        <v>1662</v>
      </c>
      <c r="C26" s="512" t="s">
        <v>1878</v>
      </c>
      <c r="D26" s="589" t="s">
        <v>1540</v>
      </c>
      <c r="E26" s="589" t="s">
        <v>1811</v>
      </c>
      <c r="F26" s="618" t="s">
        <v>1879</v>
      </c>
      <c r="G26" s="581" t="s">
        <v>332</v>
      </c>
      <c r="H26" s="581" t="s">
        <v>332</v>
      </c>
      <c r="I26" s="581" t="s">
        <v>332</v>
      </c>
      <c r="J26" s="588">
        <v>10.0</v>
      </c>
      <c r="K26" s="589">
        <v>2.0</v>
      </c>
      <c r="L26" s="590">
        <v>400.0</v>
      </c>
      <c r="M26" s="591">
        <v>1800.0</v>
      </c>
      <c r="Q26" s="4" t="s">
        <v>1880</v>
      </c>
    </row>
    <row r="27" ht="45.0" customHeight="1">
      <c r="A27" s="459"/>
      <c r="B27" s="374" t="s">
        <v>1662</v>
      </c>
      <c r="C27" s="512" t="s">
        <v>1881</v>
      </c>
      <c r="D27" s="589" t="s">
        <v>1540</v>
      </c>
      <c r="E27" s="589" t="s">
        <v>1833</v>
      </c>
      <c r="F27" s="581" t="s">
        <v>332</v>
      </c>
      <c r="G27" s="581" t="s">
        <v>332</v>
      </c>
      <c r="H27" s="617" t="s">
        <v>1882</v>
      </c>
      <c r="I27" s="484" t="s">
        <v>1883</v>
      </c>
      <c r="J27" s="588">
        <v>10.0</v>
      </c>
      <c r="K27" s="589">
        <v>2.0</v>
      </c>
      <c r="L27" s="590">
        <v>400.0</v>
      </c>
      <c r="M27" s="586">
        <v>1200.0</v>
      </c>
      <c r="N27" s="446"/>
      <c r="O27" s="619">
        <v>600.0</v>
      </c>
      <c r="Q27" s="4" t="s">
        <v>1884</v>
      </c>
    </row>
    <row r="28" ht="45.0" customHeight="1">
      <c r="A28" s="435"/>
      <c r="B28" s="374" t="s">
        <v>15</v>
      </c>
      <c r="C28" s="512" t="s">
        <v>1885</v>
      </c>
      <c r="D28" s="580" t="s">
        <v>1540</v>
      </c>
      <c r="E28" s="580" t="s">
        <v>1818</v>
      </c>
      <c r="F28" s="482" t="s">
        <v>1886</v>
      </c>
      <c r="G28" s="620" t="str">
        <f t="shared" ref="G28:G29" si="1">"+40 Training"</f>
        <v>+40 Training</v>
      </c>
      <c r="H28" s="581" t="s">
        <v>332</v>
      </c>
      <c r="I28" s="581" t="s">
        <v>332</v>
      </c>
      <c r="J28" s="584">
        <v>10.0</v>
      </c>
      <c r="K28" s="580">
        <v>2.0</v>
      </c>
      <c r="L28" s="585">
        <v>400.0</v>
      </c>
      <c r="M28" s="586">
        <v>1800.0</v>
      </c>
      <c r="N28" s="446"/>
      <c r="O28" s="446"/>
      <c r="P28" s="446"/>
      <c r="Q28" s="105" t="s">
        <v>1887</v>
      </c>
    </row>
    <row r="29" ht="45.0" customHeight="1">
      <c r="A29" s="435"/>
      <c r="B29" s="374" t="s">
        <v>15</v>
      </c>
      <c r="C29" s="512" t="s">
        <v>1888</v>
      </c>
      <c r="D29" s="580" t="s">
        <v>1540</v>
      </c>
      <c r="E29" s="580" t="s">
        <v>1814</v>
      </c>
      <c r="F29" s="621" t="s">
        <v>1889</v>
      </c>
      <c r="G29" s="620" t="str">
        <f t="shared" si="1"/>
        <v>+40 Training</v>
      </c>
      <c r="H29" s="581" t="s">
        <v>332</v>
      </c>
      <c r="I29" s="622" t="s">
        <v>1890</v>
      </c>
      <c r="J29" s="584">
        <v>10.0</v>
      </c>
      <c r="K29" s="580">
        <v>2.0</v>
      </c>
      <c r="L29" s="585">
        <v>400.0</v>
      </c>
      <c r="M29" s="586">
        <v>1200.0</v>
      </c>
      <c r="N29" s="446"/>
      <c r="O29" s="619">
        <v>600.0</v>
      </c>
      <c r="P29" s="446"/>
      <c r="Q29" s="105" t="s">
        <v>1891</v>
      </c>
    </row>
    <row r="30" ht="45.0" customHeight="1">
      <c r="A30" s="587"/>
      <c r="B30" s="374" t="s">
        <v>15</v>
      </c>
      <c r="C30" s="512" t="s">
        <v>1892</v>
      </c>
      <c r="D30" s="580" t="s">
        <v>1540</v>
      </c>
      <c r="E30" s="580" t="s">
        <v>1818</v>
      </c>
      <c r="F30" s="623" t="str">
        <f>"+2 Happiness Levels/City on Completion"</f>
        <v>+2 Happiness Levels/City on Completion</v>
      </c>
      <c r="G30" s="582" t="str">
        <f>"+40 Civics/Turn"</f>
        <v>+40 Civics/Turn</v>
      </c>
      <c r="H30" s="623" t="str">
        <f>"+2 Happiness/Turn
"</f>
        <v>+2 Happiness/Turn
</v>
      </c>
      <c r="I30" s="581" t="s">
        <v>332</v>
      </c>
      <c r="J30" s="584">
        <v>10.0</v>
      </c>
      <c r="K30" s="580">
        <v>2.0</v>
      </c>
      <c r="L30" s="585">
        <v>400.0</v>
      </c>
      <c r="M30" s="586">
        <v>1800.0</v>
      </c>
      <c r="N30" s="446"/>
      <c r="O30" s="446"/>
      <c r="P30" s="446"/>
      <c r="Q30" s="105" t="s">
        <v>1893</v>
      </c>
    </row>
    <row r="31" ht="45.0" customHeight="1">
      <c r="A31" s="587"/>
      <c r="B31" s="374" t="s">
        <v>15</v>
      </c>
      <c r="C31" s="512" t="s">
        <v>1894</v>
      </c>
      <c r="D31" s="580" t="s">
        <v>1540</v>
      </c>
      <c r="E31" s="589" t="s">
        <v>1830</v>
      </c>
      <c r="F31" s="617" t="s">
        <v>1895</v>
      </c>
      <c r="G31" s="581"/>
      <c r="H31" s="484" t="s">
        <v>1896</v>
      </c>
      <c r="I31" s="581"/>
      <c r="J31" s="588">
        <v>10.0</v>
      </c>
      <c r="K31" s="589">
        <v>2.0</v>
      </c>
      <c r="L31" s="590">
        <v>400.0</v>
      </c>
      <c r="M31" s="591">
        <v>1800.0</v>
      </c>
      <c r="N31" s="446"/>
      <c r="O31" s="446"/>
      <c r="P31" s="446"/>
      <c r="Q31" s="4" t="s">
        <v>1897</v>
      </c>
    </row>
    <row r="32" ht="63.0" customHeight="1">
      <c r="A32" s="587"/>
      <c r="B32" s="611" t="s">
        <v>1898</v>
      </c>
      <c r="C32" s="512" t="s">
        <v>1899</v>
      </c>
      <c r="D32" s="580" t="s">
        <v>1540</v>
      </c>
      <c r="E32" s="580" t="s">
        <v>1814</v>
      </c>
      <c r="F32" s="581" t="s">
        <v>332</v>
      </c>
      <c r="G32" s="581" t="s">
        <v>332</v>
      </c>
      <c r="H32" s="598" t="str">
        <f>"+2 Growth / Culture Level"</f>
        <v>+2 Growth / Culture Level</v>
      </c>
      <c r="I32" s="469" t="s">
        <v>1900</v>
      </c>
      <c r="J32" s="584">
        <v>10.0</v>
      </c>
      <c r="K32" s="580">
        <v>2.0</v>
      </c>
      <c r="L32" s="585">
        <v>400.0</v>
      </c>
      <c r="M32" s="586">
        <v>1200.0</v>
      </c>
      <c r="N32" s="599">
        <v>600.0</v>
      </c>
      <c r="O32" s="446"/>
      <c r="P32" s="446"/>
      <c r="Q32" s="105" t="s">
        <v>1901</v>
      </c>
    </row>
    <row r="33">
      <c r="A33" s="292"/>
      <c r="B33" s="55"/>
      <c r="F33" s="55"/>
      <c r="G33" s="55"/>
      <c r="H33" s="55"/>
      <c r="I33" s="55"/>
      <c r="J33" s="55"/>
      <c r="Q33" s="55"/>
    </row>
    <row r="34">
      <c r="A34" s="292"/>
      <c r="B34" s="55"/>
      <c r="F34" s="55"/>
      <c r="G34" s="55"/>
      <c r="H34" s="55"/>
      <c r="I34" s="55"/>
      <c r="J34" s="55"/>
      <c r="Q34" s="55"/>
    </row>
    <row r="35">
      <c r="B35" s="4" t="s">
        <v>1736</v>
      </c>
    </row>
    <row r="36">
      <c r="B36" s="55"/>
    </row>
    <row r="37">
      <c r="B37" s="55"/>
    </row>
    <row r="38">
      <c r="B38" s="55"/>
    </row>
    <row r="39">
      <c r="A39" s="292"/>
      <c r="B39" s="55"/>
      <c r="F39" s="55"/>
      <c r="G39" s="55"/>
      <c r="H39" s="55"/>
      <c r="I39" s="55"/>
      <c r="J39" s="55"/>
      <c r="Q39" s="55"/>
    </row>
    <row r="40">
      <c r="A40" s="292"/>
      <c r="B40" s="55"/>
      <c r="F40" s="55"/>
      <c r="G40" s="55"/>
      <c r="H40" s="55"/>
      <c r="I40" s="55"/>
      <c r="J40" s="55"/>
      <c r="Q40" s="55"/>
    </row>
    <row r="41">
      <c r="A41" s="292"/>
      <c r="B41" s="55"/>
      <c r="F41" s="55"/>
      <c r="G41" s="55"/>
      <c r="H41" s="55"/>
      <c r="I41" s="55"/>
      <c r="J41" s="55"/>
      <c r="Q41" s="55"/>
    </row>
    <row r="42">
      <c r="A42" s="292"/>
      <c r="B42" s="55"/>
      <c r="F42" s="55"/>
      <c r="G42" s="55"/>
      <c r="H42" s="55"/>
      <c r="I42" s="55"/>
      <c r="J42" s="55"/>
      <c r="Q42" s="55"/>
    </row>
    <row r="43">
      <c r="A43" s="292"/>
      <c r="B43" s="55"/>
      <c r="F43" s="55"/>
      <c r="G43" s="55"/>
      <c r="H43" s="55"/>
      <c r="I43" s="55"/>
      <c r="J43" s="55"/>
      <c r="Q43" s="55"/>
    </row>
    <row r="44">
      <c r="A44" s="292"/>
      <c r="B44" s="55"/>
      <c r="F44" s="55"/>
      <c r="G44" s="55"/>
      <c r="H44" s="55"/>
      <c r="I44" s="55"/>
      <c r="J44" s="55"/>
      <c r="Q44" s="55"/>
    </row>
    <row r="45">
      <c r="A45" s="292"/>
      <c r="B45" s="55"/>
      <c r="F45" s="55"/>
      <c r="G45" s="55"/>
      <c r="H45" s="55"/>
      <c r="I45" s="55"/>
      <c r="J45" s="55"/>
      <c r="Q45" s="55"/>
    </row>
    <row r="46">
      <c r="A46" s="292"/>
      <c r="B46" s="55"/>
      <c r="F46" s="55"/>
      <c r="G46" s="55"/>
      <c r="H46" s="55"/>
      <c r="I46" s="55"/>
      <c r="J46" s="55"/>
      <c r="Q46" s="55"/>
    </row>
    <row r="47">
      <c r="A47" s="292"/>
      <c r="B47" s="55"/>
      <c r="F47" s="55"/>
      <c r="G47" s="55"/>
      <c r="H47" s="55"/>
      <c r="I47" s="55"/>
      <c r="J47" s="55"/>
      <c r="Q47" s="55"/>
    </row>
    <row r="48">
      <c r="A48" s="292"/>
      <c r="B48" s="55"/>
      <c r="F48" s="55"/>
      <c r="G48" s="55"/>
      <c r="H48" s="55"/>
      <c r="I48" s="55"/>
      <c r="J48" s="55"/>
      <c r="Q48" s="55"/>
    </row>
    <row r="49">
      <c r="A49" s="292"/>
      <c r="B49" s="55"/>
      <c r="F49" s="55"/>
      <c r="G49" s="55"/>
      <c r="H49" s="55"/>
      <c r="I49" s="55"/>
      <c r="J49" s="55"/>
      <c r="Q49" s="55"/>
    </row>
    <row r="50">
      <c r="A50" s="292"/>
      <c r="B50" s="55"/>
      <c r="F50" s="55"/>
      <c r="G50" s="55"/>
      <c r="H50" s="55"/>
      <c r="I50" s="55"/>
      <c r="J50" s="55"/>
      <c r="Q50" s="55"/>
    </row>
    <row r="51">
      <c r="A51" s="292"/>
      <c r="B51" s="55"/>
      <c r="F51" s="55"/>
      <c r="G51" s="55"/>
      <c r="H51" s="55"/>
      <c r="I51" s="55"/>
      <c r="J51" s="55"/>
      <c r="Q51" s="55"/>
    </row>
    <row r="52">
      <c r="A52" s="292"/>
      <c r="B52" s="55"/>
      <c r="F52" s="55"/>
      <c r="G52" s="55"/>
      <c r="H52" s="55"/>
      <c r="I52" s="55"/>
      <c r="J52" s="55"/>
      <c r="Q52" s="55"/>
    </row>
    <row r="53">
      <c r="A53" s="292"/>
      <c r="B53" s="55"/>
      <c r="F53" s="55"/>
      <c r="G53" s="55"/>
      <c r="H53" s="55"/>
      <c r="I53" s="55"/>
      <c r="J53" s="55"/>
      <c r="Q53" s="55"/>
    </row>
    <row r="54">
      <c r="A54" s="292"/>
      <c r="B54" s="55"/>
      <c r="F54" s="55"/>
      <c r="G54" s="55"/>
      <c r="H54" s="55"/>
      <c r="I54" s="55"/>
      <c r="J54" s="55"/>
      <c r="Q54" s="55"/>
    </row>
    <row r="55">
      <c r="A55" s="292"/>
      <c r="B55" s="55"/>
      <c r="F55" s="55"/>
      <c r="G55" s="55"/>
      <c r="H55" s="55"/>
      <c r="I55" s="55"/>
      <c r="J55" s="55"/>
      <c r="Q55" s="55"/>
    </row>
    <row r="56">
      <c r="A56" s="292"/>
      <c r="B56" s="55"/>
      <c r="F56" s="55"/>
      <c r="G56" s="55"/>
      <c r="H56" s="55"/>
      <c r="I56" s="55"/>
      <c r="J56" s="55"/>
      <c r="Q56" s="55"/>
    </row>
    <row r="57">
      <c r="A57" s="292"/>
      <c r="B57" s="55"/>
      <c r="F57" s="55"/>
      <c r="G57" s="55"/>
      <c r="H57" s="55"/>
      <c r="I57" s="55"/>
      <c r="J57" s="55"/>
      <c r="Q57" s="55"/>
    </row>
    <row r="58">
      <c r="A58" s="292"/>
      <c r="B58" s="55"/>
      <c r="F58" s="55"/>
      <c r="G58" s="55"/>
      <c r="H58" s="55"/>
      <c r="I58" s="55"/>
      <c r="J58" s="55"/>
      <c r="Q58" s="55"/>
    </row>
    <row r="59">
      <c r="A59" s="292"/>
      <c r="B59" s="55"/>
      <c r="F59" s="55"/>
      <c r="G59" s="55"/>
      <c r="H59" s="55"/>
      <c r="I59" s="55"/>
      <c r="J59" s="55"/>
      <c r="Q59" s="55"/>
    </row>
    <row r="60">
      <c r="A60" s="292"/>
      <c r="B60" s="55"/>
      <c r="F60" s="55"/>
      <c r="G60" s="55"/>
      <c r="H60" s="55"/>
      <c r="I60" s="55"/>
      <c r="J60" s="55"/>
      <c r="Q60" s="55"/>
    </row>
    <row r="61">
      <c r="A61" s="292"/>
      <c r="B61" s="55"/>
      <c r="F61" s="55"/>
      <c r="G61" s="55"/>
      <c r="H61" s="55"/>
      <c r="I61" s="55"/>
      <c r="J61" s="55"/>
      <c r="Q61" s="55"/>
    </row>
    <row r="62">
      <c r="A62" s="292"/>
      <c r="B62" s="55"/>
      <c r="F62" s="55"/>
      <c r="G62" s="55"/>
      <c r="H62" s="55"/>
      <c r="I62" s="55"/>
      <c r="J62" s="55"/>
      <c r="Q62" s="55"/>
    </row>
    <row r="63">
      <c r="A63" s="292"/>
      <c r="B63" s="55"/>
      <c r="F63" s="55"/>
      <c r="G63" s="55"/>
      <c r="H63" s="55"/>
      <c r="I63" s="55"/>
      <c r="J63" s="55"/>
      <c r="Q63" s="55"/>
    </row>
    <row r="64">
      <c r="A64" s="292"/>
      <c r="B64" s="55"/>
      <c r="F64" s="55"/>
      <c r="G64" s="55"/>
      <c r="H64" s="55"/>
      <c r="I64" s="55"/>
      <c r="J64" s="55"/>
      <c r="Q64" s="55"/>
    </row>
    <row r="65">
      <c r="A65" s="292"/>
      <c r="B65" s="55"/>
      <c r="F65" s="55"/>
      <c r="G65" s="55"/>
      <c r="H65" s="55"/>
      <c r="I65" s="55"/>
      <c r="J65" s="55"/>
      <c r="Q65" s="55"/>
    </row>
    <row r="66">
      <c r="A66" s="292"/>
      <c r="B66" s="55"/>
      <c r="F66" s="55"/>
      <c r="G66" s="55"/>
      <c r="H66" s="55"/>
      <c r="I66" s="55"/>
      <c r="J66" s="55"/>
      <c r="Q66" s="55"/>
    </row>
    <row r="67">
      <c r="A67" s="292"/>
      <c r="B67" s="55"/>
      <c r="F67" s="55"/>
      <c r="G67" s="55"/>
      <c r="H67" s="55"/>
      <c r="I67" s="55"/>
      <c r="J67" s="55"/>
      <c r="Q67" s="55"/>
    </row>
    <row r="68">
      <c r="A68" s="292"/>
      <c r="B68" s="55"/>
      <c r="F68" s="55"/>
      <c r="G68" s="55"/>
      <c r="H68" s="55"/>
      <c r="I68" s="55"/>
      <c r="J68" s="55"/>
      <c r="Q68" s="55"/>
    </row>
    <row r="69">
      <c r="A69" s="292"/>
      <c r="B69" s="55"/>
      <c r="F69" s="55"/>
      <c r="G69" s="55"/>
      <c r="H69" s="55"/>
      <c r="I69" s="55"/>
      <c r="J69" s="55"/>
      <c r="Q69" s="55"/>
    </row>
    <row r="70">
      <c r="A70" s="292"/>
      <c r="B70" s="55"/>
      <c r="F70" s="55"/>
      <c r="G70" s="55"/>
      <c r="H70" s="55"/>
      <c r="I70" s="55"/>
      <c r="J70" s="55"/>
      <c r="Q70" s="55"/>
    </row>
    <row r="71">
      <c r="A71" s="292"/>
      <c r="B71" s="55"/>
      <c r="F71" s="55"/>
      <c r="G71" s="55"/>
      <c r="H71" s="55"/>
      <c r="I71" s="55"/>
      <c r="J71" s="55"/>
      <c r="Q71" s="55"/>
    </row>
    <row r="72">
      <c r="A72" s="292"/>
      <c r="B72" s="55"/>
      <c r="F72" s="55"/>
      <c r="G72" s="55"/>
      <c r="H72" s="55"/>
      <c r="I72" s="55"/>
      <c r="J72" s="55"/>
      <c r="Q72" s="55"/>
    </row>
    <row r="73">
      <c r="A73" s="292"/>
      <c r="B73" s="55"/>
      <c r="F73" s="55"/>
      <c r="G73" s="55"/>
      <c r="H73" s="55"/>
      <c r="I73" s="55"/>
      <c r="J73" s="55"/>
      <c r="Q73" s="55"/>
    </row>
    <row r="74">
      <c r="A74" s="292"/>
      <c r="B74" s="55"/>
      <c r="F74" s="55"/>
      <c r="G74" s="55"/>
      <c r="H74" s="55"/>
      <c r="I74" s="55"/>
      <c r="J74" s="55"/>
      <c r="Q74" s="55"/>
    </row>
    <row r="75">
      <c r="A75" s="292"/>
      <c r="B75" s="55"/>
      <c r="F75" s="55"/>
      <c r="G75" s="55"/>
      <c r="H75" s="55"/>
      <c r="I75" s="55"/>
      <c r="J75" s="55"/>
      <c r="Q75" s="55"/>
    </row>
    <row r="76">
      <c r="A76" s="292"/>
      <c r="B76" s="55"/>
      <c r="F76" s="55"/>
      <c r="G76" s="55"/>
      <c r="H76" s="55"/>
      <c r="I76" s="55"/>
      <c r="J76" s="55"/>
      <c r="Q76" s="55"/>
    </row>
    <row r="77">
      <c r="A77" s="292"/>
      <c r="B77" s="55"/>
      <c r="F77" s="55"/>
      <c r="G77" s="55"/>
      <c r="H77" s="55"/>
      <c r="I77" s="55"/>
      <c r="J77" s="55"/>
      <c r="Q77" s="55"/>
    </row>
    <row r="78">
      <c r="A78" s="292"/>
      <c r="B78" s="55"/>
      <c r="F78" s="55"/>
      <c r="G78" s="55"/>
      <c r="H78" s="55"/>
      <c r="I78" s="55"/>
      <c r="J78" s="55"/>
      <c r="Q78" s="55"/>
    </row>
    <row r="79">
      <c r="A79" s="292"/>
      <c r="B79" s="55"/>
      <c r="F79" s="55"/>
      <c r="G79" s="55"/>
      <c r="H79" s="55"/>
      <c r="I79" s="55"/>
      <c r="J79" s="55"/>
      <c r="Q79" s="55"/>
    </row>
    <row r="80">
      <c r="A80" s="292"/>
      <c r="B80" s="55"/>
      <c r="F80" s="55"/>
      <c r="G80" s="55"/>
      <c r="H80" s="55"/>
      <c r="I80" s="55"/>
      <c r="J80" s="55"/>
      <c r="Q80" s="55"/>
    </row>
    <row r="81">
      <c r="A81" s="292"/>
      <c r="B81" s="55"/>
      <c r="F81" s="55"/>
      <c r="G81" s="55"/>
      <c r="H81" s="55"/>
      <c r="I81" s="55"/>
      <c r="J81" s="55"/>
      <c r="Q81" s="55"/>
    </row>
    <row r="82">
      <c r="A82" s="292"/>
      <c r="B82" s="55"/>
      <c r="F82" s="55"/>
      <c r="G82" s="55"/>
      <c r="H82" s="55"/>
      <c r="I82" s="55"/>
      <c r="J82" s="55"/>
      <c r="Q82" s="55"/>
    </row>
    <row r="83">
      <c r="A83" s="292"/>
      <c r="B83" s="55"/>
      <c r="F83" s="55"/>
      <c r="G83" s="55"/>
      <c r="H83" s="55"/>
      <c r="I83" s="55"/>
      <c r="J83" s="55"/>
      <c r="Q83" s="55"/>
    </row>
    <row r="84">
      <c r="A84" s="292"/>
      <c r="B84" s="55"/>
      <c r="F84" s="55"/>
      <c r="G84" s="55"/>
      <c r="H84" s="55"/>
      <c r="I84" s="55"/>
      <c r="J84" s="55"/>
      <c r="Q84" s="55"/>
    </row>
    <row r="85">
      <c r="A85" s="292"/>
      <c r="B85" s="55"/>
      <c r="F85" s="55"/>
      <c r="G85" s="55"/>
      <c r="H85" s="55"/>
      <c r="I85" s="55"/>
      <c r="J85" s="55"/>
      <c r="Q85" s="55"/>
    </row>
    <row r="86">
      <c r="A86" s="292"/>
      <c r="B86" s="55"/>
      <c r="F86" s="55"/>
      <c r="G86" s="55"/>
      <c r="H86" s="55"/>
      <c r="I86" s="55"/>
      <c r="J86" s="55"/>
      <c r="Q86" s="55"/>
    </row>
    <row r="87">
      <c r="A87" s="292"/>
      <c r="B87" s="55"/>
      <c r="F87" s="55"/>
      <c r="G87" s="55"/>
      <c r="H87" s="55"/>
      <c r="I87" s="55"/>
      <c r="J87" s="55"/>
      <c r="Q87" s="55"/>
    </row>
    <row r="88">
      <c r="A88" s="292"/>
      <c r="B88" s="55"/>
      <c r="F88" s="55"/>
      <c r="G88" s="55"/>
      <c r="H88" s="55"/>
      <c r="I88" s="55"/>
      <c r="J88" s="55"/>
      <c r="Q88" s="55"/>
    </row>
    <row r="89">
      <c r="A89" s="292"/>
      <c r="B89" s="55"/>
      <c r="F89" s="55"/>
      <c r="G89" s="55"/>
      <c r="H89" s="55"/>
      <c r="I89" s="55"/>
      <c r="J89" s="55"/>
      <c r="Q89" s="55"/>
    </row>
    <row r="90">
      <c r="A90" s="292"/>
      <c r="B90" s="55"/>
      <c r="F90" s="55"/>
      <c r="G90" s="55"/>
      <c r="H90" s="55"/>
      <c r="I90" s="55"/>
      <c r="J90" s="55"/>
      <c r="Q90" s="55"/>
    </row>
    <row r="91">
      <c r="A91" s="292"/>
      <c r="B91" s="55"/>
      <c r="F91" s="55"/>
      <c r="G91" s="55"/>
      <c r="H91" s="55"/>
      <c r="I91" s="55"/>
      <c r="J91" s="55"/>
      <c r="Q91" s="55"/>
    </row>
    <row r="92">
      <c r="A92" s="292"/>
      <c r="B92" s="55"/>
      <c r="F92" s="55"/>
      <c r="G92" s="55"/>
      <c r="H92" s="55"/>
      <c r="I92" s="55"/>
      <c r="J92" s="55"/>
      <c r="Q92" s="55"/>
    </row>
    <row r="93">
      <c r="A93" s="292"/>
      <c r="B93" s="55"/>
      <c r="F93" s="55"/>
      <c r="G93" s="55"/>
      <c r="H93" s="55"/>
      <c r="I93" s="55"/>
      <c r="J93" s="55"/>
      <c r="Q93" s="55"/>
    </row>
    <row r="94">
      <c r="A94" s="292"/>
      <c r="B94" s="55"/>
      <c r="F94" s="55"/>
      <c r="G94" s="55"/>
      <c r="H94" s="55"/>
      <c r="I94" s="55"/>
      <c r="J94" s="55"/>
      <c r="Q94" s="55"/>
    </row>
    <row r="95">
      <c r="A95" s="292"/>
      <c r="B95" s="55"/>
      <c r="F95" s="55"/>
      <c r="G95" s="55"/>
      <c r="H95" s="55"/>
      <c r="I95" s="55"/>
      <c r="J95" s="55"/>
      <c r="Q95" s="55"/>
    </row>
    <row r="96">
      <c r="A96" s="292"/>
      <c r="B96" s="55"/>
      <c r="F96" s="55"/>
      <c r="G96" s="55"/>
      <c r="H96" s="55"/>
      <c r="I96" s="55"/>
      <c r="J96" s="55"/>
      <c r="Q96" s="55"/>
    </row>
    <row r="97">
      <c r="A97" s="292"/>
      <c r="B97" s="55"/>
      <c r="F97" s="55"/>
      <c r="G97" s="55"/>
      <c r="H97" s="55"/>
      <c r="I97" s="55"/>
      <c r="J97" s="55"/>
      <c r="Q97" s="55"/>
    </row>
    <row r="98">
      <c r="A98" s="292"/>
      <c r="B98" s="55"/>
      <c r="F98" s="55"/>
      <c r="G98" s="55"/>
      <c r="H98" s="55"/>
      <c r="I98" s="55"/>
      <c r="J98" s="55"/>
      <c r="Q98" s="55"/>
    </row>
    <row r="99">
      <c r="A99" s="292"/>
      <c r="B99" s="55"/>
      <c r="F99" s="55"/>
      <c r="G99" s="55"/>
      <c r="H99" s="55"/>
      <c r="I99" s="55"/>
      <c r="J99" s="55"/>
      <c r="Q99" s="55"/>
    </row>
    <row r="100">
      <c r="A100" s="292"/>
      <c r="B100" s="55"/>
      <c r="F100" s="55"/>
      <c r="G100" s="55"/>
      <c r="H100" s="55"/>
      <c r="I100" s="55"/>
      <c r="J100" s="55"/>
      <c r="Q100" s="55"/>
    </row>
    <row r="101">
      <c r="A101" s="292"/>
      <c r="B101" s="55"/>
      <c r="F101" s="55"/>
      <c r="G101" s="55"/>
      <c r="H101" s="55"/>
      <c r="I101" s="55"/>
      <c r="J101" s="55"/>
      <c r="Q101" s="55"/>
    </row>
    <row r="102">
      <c r="A102" s="292"/>
      <c r="B102" s="55"/>
      <c r="F102" s="55"/>
      <c r="G102" s="55"/>
      <c r="H102" s="55"/>
      <c r="I102" s="55"/>
      <c r="J102" s="55"/>
      <c r="Q102" s="55"/>
    </row>
    <row r="103">
      <c r="A103" s="292"/>
      <c r="B103" s="55"/>
      <c r="F103" s="55"/>
      <c r="G103" s="55"/>
      <c r="H103" s="55"/>
      <c r="I103" s="55"/>
      <c r="J103" s="55"/>
      <c r="Q103" s="55"/>
    </row>
    <row r="104">
      <c r="A104" s="292"/>
      <c r="B104" s="55"/>
      <c r="F104" s="55"/>
      <c r="G104" s="55"/>
      <c r="H104" s="55"/>
      <c r="I104" s="55"/>
      <c r="J104" s="55"/>
      <c r="Q104" s="55"/>
    </row>
    <row r="105">
      <c r="A105" s="292"/>
      <c r="B105" s="55"/>
      <c r="F105" s="55"/>
      <c r="G105" s="55"/>
      <c r="H105" s="55"/>
      <c r="I105" s="55"/>
      <c r="J105" s="55"/>
      <c r="Q105" s="55"/>
    </row>
    <row r="106">
      <c r="A106" s="292"/>
      <c r="B106" s="55"/>
      <c r="F106" s="55"/>
      <c r="G106" s="55"/>
      <c r="H106" s="55"/>
      <c r="I106" s="55"/>
      <c r="J106" s="55"/>
      <c r="Q106" s="55"/>
    </row>
    <row r="107">
      <c r="A107" s="292"/>
      <c r="B107" s="55"/>
      <c r="F107" s="55"/>
      <c r="G107" s="55"/>
      <c r="H107" s="55"/>
      <c r="I107" s="55"/>
      <c r="J107" s="55"/>
      <c r="Q107" s="55"/>
    </row>
    <row r="108">
      <c r="A108" s="292"/>
      <c r="B108" s="55"/>
      <c r="F108" s="55"/>
      <c r="G108" s="55"/>
      <c r="H108" s="55"/>
      <c r="I108" s="55"/>
      <c r="J108" s="55"/>
      <c r="Q108" s="55"/>
    </row>
    <row r="109">
      <c r="A109" s="292"/>
      <c r="B109" s="55"/>
      <c r="F109" s="55"/>
      <c r="G109" s="55"/>
      <c r="H109" s="55"/>
      <c r="I109" s="55"/>
      <c r="J109" s="55"/>
      <c r="Q109" s="55"/>
    </row>
    <row r="110">
      <c r="A110" s="292"/>
      <c r="B110" s="55"/>
      <c r="F110" s="55"/>
      <c r="G110" s="55"/>
      <c r="H110" s="55"/>
      <c r="I110" s="55"/>
      <c r="J110" s="55"/>
      <c r="Q110" s="55"/>
    </row>
    <row r="111">
      <c r="A111" s="292"/>
      <c r="B111" s="55"/>
      <c r="F111" s="55"/>
      <c r="G111" s="55"/>
      <c r="H111" s="55"/>
      <c r="I111" s="55"/>
      <c r="J111" s="55"/>
      <c r="Q111" s="55"/>
    </row>
    <row r="112">
      <c r="A112" s="292"/>
      <c r="B112" s="55"/>
      <c r="F112" s="55"/>
      <c r="G112" s="55"/>
      <c r="H112" s="55"/>
      <c r="I112" s="55"/>
      <c r="J112" s="55"/>
      <c r="Q112" s="55"/>
    </row>
    <row r="113">
      <c r="A113" s="292"/>
      <c r="B113" s="55"/>
      <c r="F113" s="55"/>
      <c r="G113" s="55"/>
      <c r="H113" s="55"/>
      <c r="I113" s="55"/>
      <c r="J113" s="55"/>
      <c r="Q113" s="55"/>
    </row>
    <row r="114">
      <c r="A114" s="292"/>
      <c r="B114" s="55"/>
      <c r="F114" s="55"/>
      <c r="G114" s="55"/>
      <c r="H114" s="55"/>
      <c r="I114" s="55"/>
      <c r="J114" s="55"/>
      <c r="Q114" s="55"/>
    </row>
    <row r="115">
      <c r="A115" s="292"/>
      <c r="B115" s="55"/>
      <c r="F115" s="55"/>
      <c r="G115" s="55"/>
      <c r="H115" s="55"/>
      <c r="I115" s="55"/>
      <c r="J115" s="55"/>
      <c r="Q115" s="55"/>
    </row>
    <row r="116">
      <c r="A116" s="292"/>
      <c r="B116" s="55"/>
      <c r="F116" s="55"/>
      <c r="G116" s="55"/>
      <c r="H116" s="55"/>
      <c r="I116" s="55"/>
      <c r="J116" s="55"/>
      <c r="Q116" s="55"/>
    </row>
    <row r="117">
      <c r="A117" s="292"/>
      <c r="B117" s="55"/>
      <c r="F117" s="55"/>
      <c r="G117" s="55"/>
      <c r="H117" s="55"/>
      <c r="I117" s="55"/>
      <c r="J117" s="55"/>
      <c r="Q117" s="55"/>
    </row>
    <row r="118">
      <c r="A118" s="292"/>
      <c r="B118" s="55"/>
      <c r="F118" s="55"/>
      <c r="G118" s="55"/>
      <c r="H118" s="55"/>
      <c r="I118" s="55"/>
      <c r="J118" s="55"/>
      <c r="Q118" s="55"/>
    </row>
    <row r="119">
      <c r="A119" s="292"/>
      <c r="B119" s="55"/>
      <c r="F119" s="55"/>
      <c r="G119" s="55"/>
      <c r="H119" s="55"/>
      <c r="I119" s="55"/>
      <c r="J119" s="55"/>
      <c r="Q119" s="55"/>
    </row>
    <row r="120">
      <c r="A120" s="292"/>
      <c r="B120" s="55"/>
      <c r="F120" s="55"/>
      <c r="G120" s="55"/>
      <c r="H120" s="55"/>
      <c r="I120" s="55"/>
      <c r="J120" s="55"/>
      <c r="Q120" s="55"/>
    </row>
    <row r="121">
      <c r="A121" s="292"/>
      <c r="B121" s="55"/>
      <c r="F121" s="55"/>
      <c r="G121" s="55"/>
      <c r="H121" s="55"/>
      <c r="I121" s="55"/>
      <c r="J121" s="55"/>
      <c r="Q121" s="55"/>
    </row>
    <row r="122">
      <c r="A122" s="292"/>
      <c r="B122" s="55"/>
      <c r="F122" s="55"/>
      <c r="G122" s="55"/>
      <c r="H122" s="55"/>
      <c r="I122" s="55"/>
      <c r="J122" s="55"/>
      <c r="Q122" s="55"/>
    </row>
    <row r="123">
      <c r="A123" s="292"/>
      <c r="B123" s="55"/>
      <c r="F123" s="55"/>
      <c r="G123" s="55"/>
      <c r="H123" s="55"/>
      <c r="I123" s="55"/>
      <c r="J123" s="55"/>
      <c r="Q123" s="55"/>
    </row>
    <row r="124">
      <c r="A124" s="292"/>
      <c r="B124" s="55"/>
      <c r="F124" s="55"/>
      <c r="G124" s="55"/>
      <c r="H124" s="55"/>
      <c r="I124" s="55"/>
      <c r="J124" s="55"/>
      <c r="Q124" s="55"/>
    </row>
    <row r="125">
      <c r="A125" s="292"/>
      <c r="B125" s="55"/>
      <c r="F125" s="55"/>
      <c r="G125" s="55"/>
      <c r="H125" s="55"/>
      <c r="I125" s="55"/>
      <c r="J125" s="55"/>
      <c r="Q125" s="55"/>
    </row>
    <row r="126">
      <c r="A126" s="292"/>
      <c r="B126" s="55"/>
      <c r="F126" s="55"/>
      <c r="G126" s="55"/>
      <c r="H126" s="55"/>
      <c r="I126" s="55"/>
      <c r="J126" s="55"/>
      <c r="Q126" s="55"/>
    </row>
    <row r="127">
      <c r="A127" s="292"/>
      <c r="B127" s="55"/>
      <c r="F127" s="55"/>
      <c r="G127" s="55"/>
      <c r="H127" s="55"/>
      <c r="I127" s="55"/>
      <c r="J127" s="55"/>
      <c r="Q127" s="55"/>
    </row>
    <row r="128">
      <c r="A128" s="292"/>
      <c r="B128" s="55"/>
      <c r="F128" s="55"/>
      <c r="G128" s="55"/>
      <c r="H128" s="55"/>
      <c r="I128" s="55"/>
      <c r="J128" s="55"/>
      <c r="Q128" s="55"/>
    </row>
    <row r="129">
      <c r="A129" s="292"/>
      <c r="B129" s="55"/>
      <c r="F129" s="55"/>
      <c r="G129" s="55"/>
      <c r="H129" s="55"/>
      <c r="I129" s="55"/>
      <c r="J129" s="55"/>
      <c r="Q129" s="55"/>
    </row>
    <row r="130">
      <c r="A130" s="292"/>
      <c r="B130" s="55"/>
      <c r="F130" s="55"/>
      <c r="G130" s="55"/>
      <c r="H130" s="55"/>
      <c r="I130" s="55"/>
      <c r="J130" s="55"/>
      <c r="Q130" s="55"/>
    </row>
    <row r="131">
      <c r="A131" s="292"/>
      <c r="B131" s="55"/>
      <c r="F131" s="55"/>
      <c r="G131" s="55"/>
      <c r="H131" s="55"/>
      <c r="I131" s="55"/>
      <c r="J131" s="55"/>
      <c r="Q131" s="55"/>
    </row>
    <row r="132">
      <c r="A132" s="292"/>
      <c r="B132" s="55"/>
      <c r="F132" s="55"/>
      <c r="G132" s="55"/>
      <c r="H132" s="55"/>
      <c r="I132" s="55"/>
      <c r="J132" s="55"/>
      <c r="Q132" s="55"/>
    </row>
    <row r="133">
      <c r="A133" s="292"/>
      <c r="B133" s="55"/>
      <c r="F133" s="55"/>
      <c r="G133" s="55"/>
      <c r="H133" s="55"/>
      <c r="I133" s="55"/>
      <c r="J133" s="55"/>
      <c r="Q133" s="55"/>
    </row>
    <row r="134">
      <c r="A134" s="292"/>
      <c r="B134" s="55"/>
      <c r="F134" s="55"/>
      <c r="G134" s="55"/>
      <c r="H134" s="55"/>
      <c r="I134" s="55"/>
      <c r="J134" s="55"/>
      <c r="Q134" s="55"/>
    </row>
    <row r="135">
      <c r="A135" s="292"/>
      <c r="B135" s="55"/>
      <c r="F135" s="55"/>
      <c r="G135" s="55"/>
      <c r="H135" s="55"/>
      <c r="I135" s="55"/>
      <c r="J135" s="55"/>
      <c r="Q135" s="55"/>
    </row>
    <row r="136">
      <c r="A136" s="292"/>
      <c r="B136" s="55"/>
      <c r="F136" s="55"/>
      <c r="G136" s="55"/>
      <c r="H136" s="55"/>
      <c r="I136" s="55"/>
      <c r="J136" s="55"/>
      <c r="Q136" s="55"/>
    </row>
    <row r="137">
      <c r="A137" s="292"/>
      <c r="B137" s="55"/>
      <c r="F137" s="55"/>
      <c r="G137" s="55"/>
      <c r="H137" s="55"/>
      <c r="I137" s="55"/>
      <c r="J137" s="55"/>
      <c r="Q137" s="55"/>
    </row>
    <row r="138">
      <c r="A138" s="292"/>
      <c r="B138" s="55"/>
      <c r="F138" s="55"/>
      <c r="G138" s="55"/>
      <c r="H138" s="55"/>
      <c r="I138" s="55"/>
      <c r="J138" s="55"/>
      <c r="Q138" s="55"/>
    </row>
    <row r="139">
      <c r="A139" s="292"/>
      <c r="B139" s="55"/>
      <c r="F139" s="55"/>
      <c r="G139" s="55"/>
      <c r="H139" s="55"/>
      <c r="I139" s="55"/>
      <c r="J139" s="55"/>
      <c r="Q139" s="55"/>
    </row>
    <row r="140">
      <c r="A140" s="292"/>
      <c r="B140" s="55"/>
      <c r="F140" s="55"/>
      <c r="G140" s="55"/>
      <c r="H140" s="55"/>
      <c r="I140" s="55"/>
      <c r="J140" s="55"/>
      <c r="Q140" s="55"/>
    </row>
    <row r="141">
      <c r="A141" s="292"/>
      <c r="B141" s="55"/>
      <c r="F141" s="55"/>
      <c r="G141" s="55"/>
      <c r="H141" s="55"/>
      <c r="I141" s="55"/>
      <c r="J141" s="55"/>
      <c r="Q141" s="55"/>
    </row>
    <row r="142">
      <c r="A142" s="292"/>
      <c r="B142" s="55"/>
      <c r="F142" s="55"/>
      <c r="G142" s="55"/>
      <c r="H142" s="55"/>
      <c r="I142" s="55"/>
      <c r="J142" s="55"/>
      <c r="Q142" s="55"/>
    </row>
    <row r="143">
      <c r="A143" s="292"/>
      <c r="B143" s="55"/>
      <c r="F143" s="55"/>
      <c r="G143" s="55"/>
      <c r="H143" s="55"/>
      <c r="I143" s="55"/>
      <c r="J143" s="55"/>
      <c r="Q143" s="55"/>
    </row>
    <row r="144">
      <c r="A144" s="292"/>
      <c r="B144" s="55"/>
      <c r="F144" s="55"/>
      <c r="G144" s="55"/>
      <c r="H144" s="55"/>
      <c r="I144" s="55"/>
      <c r="J144" s="55"/>
      <c r="Q144" s="55"/>
    </row>
    <row r="145">
      <c r="A145" s="292"/>
      <c r="B145" s="55"/>
      <c r="F145" s="55"/>
      <c r="G145" s="55"/>
      <c r="H145" s="55"/>
      <c r="I145" s="55"/>
      <c r="J145" s="55"/>
      <c r="Q145" s="55"/>
    </row>
    <row r="146">
      <c r="A146" s="292"/>
      <c r="B146" s="55"/>
      <c r="F146" s="55"/>
      <c r="G146" s="55"/>
      <c r="H146" s="55"/>
      <c r="I146" s="55"/>
      <c r="J146" s="55"/>
      <c r="Q146" s="55"/>
    </row>
    <row r="147">
      <c r="A147" s="292"/>
      <c r="B147" s="55"/>
      <c r="F147" s="55"/>
      <c r="G147" s="55"/>
      <c r="H147" s="55"/>
      <c r="I147" s="55"/>
      <c r="J147" s="55"/>
      <c r="Q147" s="55"/>
    </row>
    <row r="148">
      <c r="A148" s="292"/>
      <c r="B148" s="55"/>
      <c r="F148" s="55"/>
      <c r="G148" s="55"/>
      <c r="H148" s="55"/>
      <c r="I148" s="55"/>
      <c r="J148" s="55"/>
      <c r="Q148" s="55"/>
    </row>
    <row r="149">
      <c r="A149" s="292"/>
      <c r="B149" s="55"/>
      <c r="F149" s="55"/>
      <c r="G149" s="55"/>
      <c r="H149" s="55"/>
      <c r="I149" s="55"/>
      <c r="J149" s="55"/>
      <c r="Q149" s="55"/>
    </row>
    <row r="150">
      <c r="A150" s="292"/>
      <c r="B150" s="55"/>
      <c r="F150" s="55"/>
      <c r="G150" s="55"/>
      <c r="H150" s="55"/>
      <c r="I150" s="55"/>
      <c r="J150" s="55"/>
      <c r="Q150" s="55"/>
    </row>
    <row r="151">
      <c r="A151" s="292"/>
      <c r="B151" s="55"/>
      <c r="F151" s="55"/>
      <c r="G151" s="55"/>
      <c r="H151" s="55"/>
      <c r="I151" s="55"/>
      <c r="J151" s="55"/>
      <c r="Q151" s="55"/>
    </row>
    <row r="152">
      <c r="A152" s="292"/>
      <c r="B152" s="55"/>
      <c r="F152" s="55"/>
      <c r="G152" s="55"/>
      <c r="H152" s="55"/>
      <c r="I152" s="55"/>
      <c r="J152" s="55"/>
      <c r="Q152" s="55"/>
    </row>
    <row r="153">
      <c r="A153" s="292"/>
      <c r="B153" s="55"/>
      <c r="F153" s="55"/>
      <c r="G153" s="55"/>
      <c r="H153" s="55"/>
      <c r="I153" s="55"/>
      <c r="J153" s="55"/>
      <c r="Q153" s="55"/>
    </row>
    <row r="154">
      <c r="A154" s="292"/>
      <c r="B154" s="55"/>
      <c r="F154" s="55"/>
      <c r="G154" s="55"/>
      <c r="H154" s="55"/>
      <c r="I154" s="55"/>
      <c r="J154" s="55"/>
      <c r="Q154" s="55"/>
    </row>
    <row r="155">
      <c r="A155" s="292"/>
      <c r="B155" s="55"/>
      <c r="F155" s="55"/>
      <c r="G155" s="55"/>
      <c r="H155" s="55"/>
      <c r="I155" s="55"/>
      <c r="J155" s="55"/>
      <c r="Q155" s="55"/>
    </row>
    <row r="156">
      <c r="A156" s="292"/>
      <c r="B156" s="55"/>
      <c r="F156" s="55"/>
      <c r="G156" s="55"/>
      <c r="H156" s="55"/>
      <c r="I156" s="55"/>
      <c r="J156" s="55"/>
      <c r="Q156" s="55"/>
    </row>
    <row r="157">
      <c r="A157" s="292"/>
      <c r="B157" s="55"/>
      <c r="F157" s="55"/>
      <c r="G157" s="55"/>
      <c r="H157" s="55"/>
      <c r="I157" s="55"/>
      <c r="J157" s="55"/>
      <c r="Q157" s="55"/>
    </row>
    <row r="158">
      <c r="A158" s="292"/>
      <c r="B158" s="55"/>
      <c r="F158" s="55"/>
      <c r="G158" s="55"/>
      <c r="H158" s="55"/>
      <c r="I158" s="55"/>
      <c r="J158" s="55"/>
      <c r="Q158" s="55"/>
    </row>
    <row r="159">
      <c r="A159" s="292"/>
      <c r="B159" s="55"/>
      <c r="F159" s="55"/>
      <c r="G159" s="55"/>
      <c r="H159" s="55"/>
      <c r="I159" s="55"/>
      <c r="J159" s="55"/>
      <c r="Q159" s="55"/>
    </row>
    <row r="160">
      <c r="A160" s="292"/>
      <c r="B160" s="55"/>
      <c r="F160" s="55"/>
      <c r="G160" s="55"/>
      <c r="H160" s="55"/>
      <c r="I160" s="55"/>
      <c r="J160" s="55"/>
      <c r="Q160" s="55"/>
    </row>
    <row r="161">
      <c r="A161" s="292"/>
      <c r="B161" s="55"/>
      <c r="F161" s="55"/>
      <c r="G161" s="55"/>
      <c r="H161" s="55"/>
      <c r="I161" s="55"/>
      <c r="J161" s="55"/>
      <c r="Q161" s="55"/>
    </row>
    <row r="162">
      <c r="A162" s="292"/>
      <c r="B162" s="55"/>
      <c r="F162" s="55"/>
      <c r="G162" s="55"/>
      <c r="H162" s="55"/>
      <c r="I162" s="55"/>
      <c r="J162" s="55"/>
      <c r="Q162" s="55"/>
    </row>
    <row r="163">
      <c r="A163" s="292"/>
      <c r="B163" s="55"/>
      <c r="F163" s="55"/>
      <c r="G163" s="55"/>
      <c r="H163" s="55"/>
      <c r="I163" s="55"/>
      <c r="J163" s="55"/>
      <c r="Q163" s="55"/>
    </row>
    <row r="164">
      <c r="A164" s="292"/>
      <c r="B164" s="55"/>
      <c r="F164" s="55"/>
      <c r="G164" s="55"/>
      <c r="H164" s="55"/>
      <c r="I164" s="55"/>
      <c r="J164" s="55"/>
      <c r="Q164" s="55"/>
    </row>
    <row r="165">
      <c r="A165" s="292"/>
      <c r="B165" s="55"/>
      <c r="F165" s="55"/>
      <c r="G165" s="55"/>
      <c r="H165" s="55"/>
      <c r="I165" s="55"/>
      <c r="J165" s="55"/>
      <c r="Q165" s="55"/>
    </row>
    <row r="166">
      <c r="A166" s="292"/>
      <c r="B166" s="55"/>
      <c r="F166" s="55"/>
      <c r="G166" s="55"/>
      <c r="H166" s="55"/>
      <c r="I166" s="55"/>
      <c r="J166" s="55"/>
      <c r="Q166" s="55"/>
    </row>
    <row r="167">
      <c r="A167" s="292"/>
      <c r="B167" s="55"/>
      <c r="F167" s="55"/>
      <c r="G167" s="55"/>
      <c r="H167" s="55"/>
      <c r="I167" s="55"/>
      <c r="J167" s="55"/>
      <c r="Q167" s="55"/>
    </row>
    <row r="168">
      <c r="A168" s="292"/>
      <c r="B168" s="55"/>
      <c r="F168" s="55"/>
      <c r="G168" s="55"/>
      <c r="H168" s="55"/>
      <c r="I168" s="55"/>
      <c r="J168" s="55"/>
      <c r="Q168" s="55"/>
    </row>
    <row r="169">
      <c r="A169" s="292"/>
      <c r="B169" s="55"/>
      <c r="F169" s="55"/>
      <c r="G169" s="55"/>
      <c r="H169" s="55"/>
      <c r="I169" s="55"/>
      <c r="J169" s="55"/>
      <c r="Q169" s="55"/>
    </row>
    <row r="170">
      <c r="A170" s="292"/>
      <c r="B170" s="55"/>
      <c r="F170" s="55"/>
      <c r="G170" s="55"/>
      <c r="H170" s="55"/>
      <c r="I170" s="55"/>
      <c r="J170" s="55"/>
      <c r="Q170" s="55"/>
    </row>
    <row r="171">
      <c r="A171" s="292"/>
      <c r="B171" s="55"/>
      <c r="F171" s="55"/>
      <c r="G171" s="55"/>
      <c r="H171" s="55"/>
      <c r="I171" s="55"/>
      <c r="J171" s="55"/>
      <c r="Q171" s="55"/>
    </row>
    <row r="172">
      <c r="A172" s="292"/>
      <c r="B172" s="55"/>
      <c r="F172" s="55"/>
      <c r="G172" s="55"/>
      <c r="H172" s="55"/>
      <c r="I172" s="55"/>
      <c r="J172" s="55"/>
      <c r="Q172" s="55"/>
    </row>
    <row r="173">
      <c r="A173" s="292"/>
      <c r="B173" s="55"/>
      <c r="F173" s="55"/>
      <c r="G173" s="55"/>
      <c r="H173" s="55"/>
      <c r="I173" s="55"/>
      <c r="J173" s="55"/>
      <c r="Q173" s="55"/>
    </row>
    <row r="174">
      <c r="A174" s="292"/>
      <c r="B174" s="55"/>
      <c r="F174" s="55"/>
      <c r="G174" s="55"/>
      <c r="H174" s="55"/>
      <c r="I174" s="55"/>
      <c r="J174" s="55"/>
      <c r="Q174" s="55"/>
    </row>
    <row r="175">
      <c r="A175" s="292"/>
      <c r="B175" s="55"/>
      <c r="F175" s="55"/>
      <c r="G175" s="55"/>
      <c r="H175" s="55"/>
      <c r="I175" s="55"/>
      <c r="J175" s="55"/>
      <c r="Q175" s="55"/>
    </row>
    <row r="176">
      <c r="A176" s="292"/>
      <c r="B176" s="55"/>
      <c r="F176" s="55"/>
      <c r="G176" s="55"/>
      <c r="H176" s="55"/>
      <c r="I176" s="55"/>
      <c r="J176" s="55"/>
      <c r="Q176" s="55"/>
    </row>
    <row r="177">
      <c r="A177" s="292"/>
      <c r="B177" s="55"/>
      <c r="F177" s="55"/>
      <c r="G177" s="55"/>
      <c r="H177" s="55"/>
      <c r="I177" s="55"/>
      <c r="J177" s="55"/>
      <c r="Q177" s="55"/>
    </row>
    <row r="178">
      <c r="A178" s="292"/>
      <c r="B178" s="55"/>
      <c r="F178" s="55"/>
      <c r="G178" s="55"/>
      <c r="H178" s="55"/>
      <c r="I178" s="55"/>
      <c r="J178" s="55"/>
      <c r="Q178" s="55"/>
    </row>
    <row r="179">
      <c r="A179" s="292"/>
      <c r="B179" s="55"/>
      <c r="F179" s="55"/>
      <c r="G179" s="55"/>
      <c r="H179" s="55"/>
      <c r="I179" s="55"/>
      <c r="J179" s="55"/>
      <c r="Q179" s="55"/>
    </row>
    <row r="180">
      <c r="A180" s="292"/>
      <c r="B180" s="55"/>
      <c r="F180" s="55"/>
      <c r="G180" s="55"/>
      <c r="H180" s="55"/>
      <c r="I180" s="55"/>
      <c r="J180" s="55"/>
      <c r="Q180" s="55"/>
    </row>
    <row r="181">
      <c r="A181" s="292"/>
      <c r="B181" s="55"/>
      <c r="F181" s="55"/>
      <c r="G181" s="55"/>
      <c r="H181" s="55"/>
      <c r="I181" s="55"/>
      <c r="J181" s="55"/>
      <c r="Q181" s="55"/>
    </row>
    <row r="182">
      <c r="A182" s="292"/>
      <c r="B182" s="55"/>
      <c r="F182" s="55"/>
      <c r="G182" s="55"/>
      <c r="H182" s="55"/>
      <c r="I182" s="55"/>
      <c r="J182" s="55"/>
      <c r="Q182" s="55"/>
    </row>
    <row r="183">
      <c r="A183" s="292"/>
      <c r="B183" s="55"/>
      <c r="F183" s="55"/>
      <c r="G183" s="55"/>
      <c r="H183" s="55"/>
      <c r="I183" s="55"/>
      <c r="J183" s="55"/>
      <c r="Q183" s="55"/>
    </row>
    <row r="184">
      <c r="A184" s="292"/>
      <c r="B184" s="55"/>
      <c r="F184" s="55"/>
      <c r="G184" s="55"/>
      <c r="H184" s="55"/>
      <c r="I184" s="55"/>
      <c r="J184" s="55"/>
      <c r="Q184" s="55"/>
    </row>
    <row r="185">
      <c r="A185" s="292"/>
      <c r="B185" s="55"/>
      <c r="F185" s="55"/>
      <c r="G185" s="55"/>
      <c r="H185" s="55"/>
      <c r="I185" s="55"/>
      <c r="J185" s="55"/>
      <c r="Q185" s="55"/>
    </row>
    <row r="186">
      <c r="A186" s="292"/>
      <c r="B186" s="55"/>
      <c r="F186" s="55"/>
      <c r="G186" s="55"/>
      <c r="H186" s="55"/>
      <c r="I186" s="55"/>
      <c r="J186" s="55"/>
      <c r="Q186" s="55"/>
    </row>
    <row r="187">
      <c r="A187" s="292"/>
      <c r="B187" s="55"/>
      <c r="F187" s="55"/>
      <c r="G187" s="55"/>
      <c r="H187" s="55"/>
      <c r="I187" s="55"/>
      <c r="J187" s="55"/>
      <c r="Q187" s="55"/>
    </row>
    <row r="188">
      <c r="A188" s="292"/>
      <c r="B188" s="55"/>
      <c r="F188" s="55"/>
      <c r="G188" s="55"/>
      <c r="H188" s="55"/>
      <c r="I188" s="55"/>
      <c r="J188" s="55"/>
      <c r="Q188" s="55"/>
    </row>
    <row r="189">
      <c r="A189" s="292"/>
      <c r="B189" s="55"/>
      <c r="F189" s="55"/>
      <c r="G189" s="55"/>
      <c r="H189" s="55"/>
      <c r="I189" s="55"/>
      <c r="J189" s="55"/>
      <c r="Q189" s="55"/>
    </row>
    <row r="190">
      <c r="A190" s="292"/>
      <c r="B190" s="55"/>
      <c r="F190" s="55"/>
      <c r="G190" s="55"/>
      <c r="H190" s="55"/>
      <c r="I190" s="55"/>
      <c r="J190" s="55"/>
      <c r="Q190" s="55"/>
    </row>
    <row r="191">
      <c r="A191" s="292"/>
      <c r="B191" s="55"/>
      <c r="F191" s="55"/>
      <c r="G191" s="55"/>
      <c r="H191" s="55"/>
      <c r="I191" s="55"/>
      <c r="J191" s="55"/>
      <c r="Q191" s="55"/>
    </row>
    <row r="192">
      <c r="A192" s="292"/>
      <c r="B192" s="55"/>
      <c r="F192" s="55"/>
      <c r="G192" s="55"/>
      <c r="H192" s="55"/>
      <c r="I192" s="55"/>
      <c r="J192" s="55"/>
      <c r="Q192" s="55"/>
    </row>
    <row r="193">
      <c r="A193" s="292"/>
      <c r="B193" s="55"/>
      <c r="F193" s="55"/>
      <c r="G193" s="55"/>
      <c r="H193" s="55"/>
      <c r="I193" s="55"/>
      <c r="J193" s="55"/>
      <c r="Q193" s="55"/>
    </row>
    <row r="194">
      <c r="A194" s="292"/>
      <c r="B194" s="55"/>
      <c r="F194" s="55"/>
      <c r="G194" s="55"/>
      <c r="H194" s="55"/>
      <c r="I194" s="55"/>
      <c r="J194" s="55"/>
      <c r="Q194" s="55"/>
    </row>
    <row r="195">
      <c r="A195" s="292"/>
      <c r="B195" s="55"/>
      <c r="F195" s="55"/>
      <c r="G195" s="55"/>
      <c r="H195" s="55"/>
      <c r="I195" s="55"/>
      <c r="J195" s="55"/>
      <c r="Q195" s="55"/>
    </row>
    <row r="196">
      <c r="A196" s="292"/>
      <c r="B196" s="55"/>
      <c r="F196" s="55"/>
      <c r="G196" s="55"/>
      <c r="H196" s="55"/>
      <c r="I196" s="55"/>
      <c r="J196" s="55"/>
      <c r="Q196" s="55"/>
    </row>
    <row r="197">
      <c r="A197" s="292"/>
      <c r="B197" s="55"/>
      <c r="F197" s="55"/>
      <c r="G197" s="55"/>
      <c r="H197" s="55"/>
      <c r="I197" s="55"/>
      <c r="J197" s="55"/>
      <c r="Q197" s="55"/>
    </row>
    <row r="198">
      <c r="A198" s="292"/>
      <c r="B198" s="55"/>
      <c r="F198" s="55"/>
      <c r="G198" s="55"/>
      <c r="H198" s="55"/>
      <c r="I198" s="55"/>
      <c r="J198" s="55"/>
      <c r="Q198" s="55"/>
    </row>
    <row r="199">
      <c r="A199" s="292"/>
      <c r="B199" s="55"/>
      <c r="F199" s="55"/>
      <c r="G199" s="55"/>
      <c r="H199" s="55"/>
      <c r="I199" s="55"/>
      <c r="J199" s="55"/>
      <c r="Q199" s="55"/>
    </row>
    <row r="200">
      <c r="A200" s="292"/>
      <c r="B200" s="55"/>
      <c r="F200" s="55"/>
      <c r="G200" s="55"/>
      <c r="H200" s="55"/>
      <c r="I200" s="55"/>
      <c r="J200" s="55"/>
      <c r="Q200" s="55"/>
    </row>
    <row r="201">
      <c r="A201" s="292"/>
      <c r="B201" s="55"/>
      <c r="F201" s="55"/>
      <c r="G201" s="55"/>
      <c r="H201" s="55"/>
      <c r="I201" s="55"/>
      <c r="J201" s="55"/>
      <c r="Q201" s="55"/>
    </row>
    <row r="202">
      <c r="A202" s="292"/>
      <c r="B202" s="55"/>
      <c r="F202" s="55"/>
      <c r="G202" s="55"/>
      <c r="H202" s="55"/>
      <c r="I202" s="55"/>
      <c r="J202" s="55"/>
      <c r="Q202" s="55"/>
    </row>
    <row r="203">
      <c r="A203" s="292"/>
      <c r="B203" s="55"/>
      <c r="F203" s="55"/>
      <c r="G203" s="55"/>
      <c r="H203" s="55"/>
      <c r="I203" s="55"/>
      <c r="J203" s="55"/>
      <c r="Q203" s="55"/>
    </row>
    <row r="204">
      <c r="A204" s="292"/>
      <c r="B204" s="55"/>
      <c r="F204" s="55"/>
      <c r="G204" s="55"/>
      <c r="H204" s="55"/>
      <c r="I204" s="55"/>
      <c r="J204" s="55"/>
      <c r="Q204" s="55"/>
    </row>
    <row r="205">
      <c r="A205" s="292"/>
      <c r="B205" s="55"/>
      <c r="F205" s="55"/>
      <c r="G205" s="55"/>
      <c r="H205" s="55"/>
      <c r="I205" s="55"/>
      <c r="J205" s="55"/>
      <c r="Q205" s="55"/>
    </row>
    <row r="206">
      <c r="A206" s="292"/>
      <c r="B206" s="55"/>
      <c r="F206" s="55"/>
      <c r="G206" s="55"/>
      <c r="H206" s="55"/>
      <c r="I206" s="55"/>
      <c r="J206" s="55"/>
      <c r="Q206" s="55"/>
    </row>
    <row r="207">
      <c r="A207" s="292"/>
      <c r="B207" s="55"/>
      <c r="F207" s="55"/>
      <c r="G207" s="55"/>
      <c r="H207" s="55"/>
      <c r="I207" s="55"/>
      <c r="J207" s="55"/>
      <c r="Q207" s="55"/>
    </row>
    <row r="208">
      <c r="A208" s="292"/>
      <c r="B208" s="55"/>
      <c r="F208" s="55"/>
      <c r="G208" s="55"/>
      <c r="H208" s="55"/>
      <c r="I208" s="55"/>
      <c r="J208" s="55"/>
      <c r="Q208" s="55"/>
    </row>
    <row r="209">
      <c r="A209" s="292"/>
      <c r="B209" s="55"/>
      <c r="F209" s="55"/>
      <c r="G209" s="55"/>
      <c r="H209" s="55"/>
      <c r="I209" s="55"/>
      <c r="J209" s="55"/>
      <c r="Q209" s="55"/>
    </row>
    <row r="210">
      <c r="A210" s="292"/>
      <c r="B210" s="55"/>
      <c r="F210" s="55"/>
      <c r="G210" s="55"/>
      <c r="H210" s="55"/>
      <c r="I210" s="55"/>
      <c r="J210" s="55"/>
      <c r="Q210" s="55"/>
    </row>
    <row r="211">
      <c r="A211" s="292"/>
      <c r="B211" s="55"/>
      <c r="F211" s="55"/>
      <c r="G211" s="55"/>
      <c r="H211" s="55"/>
      <c r="I211" s="55"/>
      <c r="J211" s="55"/>
      <c r="Q211" s="55"/>
    </row>
    <row r="212">
      <c r="A212" s="292"/>
      <c r="B212" s="55"/>
      <c r="F212" s="55"/>
      <c r="G212" s="55"/>
      <c r="H212" s="55"/>
      <c r="I212" s="55"/>
      <c r="J212" s="55"/>
      <c r="Q212" s="55"/>
    </row>
    <row r="213">
      <c r="A213" s="292"/>
      <c r="B213" s="55"/>
      <c r="F213" s="55"/>
      <c r="G213" s="55"/>
      <c r="H213" s="55"/>
      <c r="I213" s="55"/>
      <c r="J213" s="55"/>
      <c r="Q213" s="55"/>
    </row>
    <row r="214">
      <c r="A214" s="292"/>
      <c r="B214" s="55"/>
      <c r="F214" s="55"/>
      <c r="G214" s="55"/>
      <c r="H214" s="55"/>
      <c r="I214" s="55"/>
      <c r="J214" s="55"/>
      <c r="Q214" s="55"/>
    </row>
    <row r="215">
      <c r="A215" s="292"/>
      <c r="B215" s="55"/>
      <c r="F215" s="55"/>
      <c r="G215" s="55"/>
      <c r="H215" s="55"/>
      <c r="I215" s="55"/>
      <c r="J215" s="55"/>
      <c r="Q215" s="55"/>
    </row>
    <row r="216">
      <c r="A216" s="292"/>
      <c r="B216" s="55"/>
      <c r="F216" s="55"/>
      <c r="G216" s="55"/>
      <c r="H216" s="55"/>
      <c r="I216" s="55"/>
      <c r="J216" s="55"/>
      <c r="Q216" s="55"/>
    </row>
    <row r="217">
      <c r="A217" s="292"/>
      <c r="B217" s="55"/>
      <c r="F217" s="55"/>
      <c r="G217" s="55"/>
      <c r="H217" s="55"/>
      <c r="I217" s="55"/>
      <c r="J217" s="55"/>
      <c r="Q217" s="55"/>
    </row>
    <row r="218">
      <c r="A218" s="292"/>
      <c r="B218" s="55"/>
      <c r="F218" s="55"/>
      <c r="G218" s="55"/>
      <c r="H218" s="55"/>
      <c r="I218" s="55"/>
      <c r="J218" s="55"/>
      <c r="Q218" s="55"/>
    </row>
    <row r="219">
      <c r="A219" s="292"/>
      <c r="B219" s="55"/>
      <c r="F219" s="55"/>
      <c r="G219" s="55"/>
      <c r="H219" s="55"/>
      <c r="I219" s="55"/>
      <c r="J219" s="55"/>
      <c r="Q219" s="55"/>
    </row>
    <row r="220">
      <c r="A220" s="292"/>
      <c r="B220" s="55"/>
      <c r="F220" s="55"/>
      <c r="G220" s="55"/>
      <c r="H220" s="55"/>
      <c r="I220" s="55"/>
      <c r="J220" s="55"/>
      <c r="Q220" s="55"/>
    </row>
    <row r="221">
      <c r="A221" s="292"/>
      <c r="B221" s="55"/>
      <c r="F221" s="55"/>
      <c r="G221" s="55"/>
      <c r="H221" s="55"/>
      <c r="I221" s="55"/>
      <c r="J221" s="55"/>
      <c r="Q221" s="55"/>
    </row>
    <row r="222">
      <c r="A222" s="292"/>
      <c r="B222" s="55"/>
      <c r="F222" s="55"/>
      <c r="G222" s="55"/>
      <c r="H222" s="55"/>
      <c r="I222" s="55"/>
      <c r="J222" s="55"/>
      <c r="Q222" s="55"/>
    </row>
    <row r="223">
      <c r="A223" s="292"/>
      <c r="B223" s="55"/>
      <c r="F223" s="55"/>
      <c r="G223" s="55"/>
      <c r="H223" s="55"/>
      <c r="I223" s="55"/>
      <c r="J223" s="55"/>
      <c r="Q223" s="55"/>
    </row>
    <row r="224">
      <c r="A224" s="292"/>
      <c r="B224" s="55"/>
      <c r="F224" s="55"/>
      <c r="G224" s="55"/>
      <c r="H224" s="55"/>
      <c r="I224" s="55"/>
      <c r="J224" s="55"/>
      <c r="Q224" s="55"/>
    </row>
    <row r="225">
      <c r="A225" s="292"/>
      <c r="B225" s="55"/>
      <c r="F225" s="55"/>
      <c r="G225" s="55"/>
      <c r="H225" s="55"/>
      <c r="I225" s="55"/>
      <c r="J225" s="55"/>
      <c r="Q225" s="55"/>
    </row>
    <row r="226">
      <c r="A226" s="292"/>
      <c r="B226" s="55"/>
      <c r="F226" s="55"/>
      <c r="G226" s="55"/>
      <c r="H226" s="55"/>
      <c r="I226" s="55"/>
      <c r="J226" s="55"/>
      <c r="Q226" s="55"/>
    </row>
    <row r="227">
      <c r="A227" s="292"/>
      <c r="B227" s="55"/>
      <c r="F227" s="55"/>
      <c r="G227" s="55"/>
      <c r="H227" s="55"/>
      <c r="I227" s="55"/>
      <c r="J227" s="55"/>
      <c r="Q227" s="55"/>
    </row>
    <row r="228">
      <c r="A228" s="292"/>
      <c r="B228" s="55"/>
      <c r="F228" s="55"/>
      <c r="G228" s="55"/>
      <c r="H228" s="55"/>
      <c r="I228" s="55"/>
      <c r="J228" s="55"/>
      <c r="Q228" s="55"/>
    </row>
    <row r="229">
      <c r="A229" s="292"/>
      <c r="B229" s="55"/>
      <c r="F229" s="55"/>
      <c r="G229" s="55"/>
      <c r="H229" s="55"/>
      <c r="I229" s="55"/>
      <c r="J229" s="55"/>
      <c r="Q229" s="55"/>
    </row>
    <row r="230">
      <c r="A230" s="292"/>
      <c r="B230" s="55"/>
      <c r="F230" s="55"/>
      <c r="G230" s="55"/>
      <c r="H230" s="55"/>
      <c r="I230" s="55"/>
      <c r="J230" s="55"/>
      <c r="Q230" s="55"/>
    </row>
    <row r="231">
      <c r="A231" s="292"/>
      <c r="B231" s="55"/>
      <c r="F231" s="55"/>
      <c r="G231" s="55"/>
      <c r="H231" s="55"/>
      <c r="I231" s="55"/>
      <c r="J231" s="55"/>
      <c r="Q231" s="55"/>
    </row>
    <row r="232">
      <c r="A232" s="292"/>
      <c r="B232" s="55"/>
      <c r="F232" s="55"/>
      <c r="G232" s="55"/>
      <c r="H232" s="55"/>
      <c r="I232" s="55"/>
      <c r="J232" s="55"/>
      <c r="Q232" s="55"/>
    </row>
    <row r="233">
      <c r="A233" s="292"/>
      <c r="B233" s="55"/>
      <c r="F233" s="55"/>
      <c r="G233" s="55"/>
      <c r="H233" s="55"/>
      <c r="I233" s="55"/>
      <c r="J233" s="55"/>
      <c r="Q233" s="55"/>
    </row>
    <row r="234">
      <c r="A234" s="292"/>
      <c r="B234" s="55"/>
      <c r="F234" s="55"/>
      <c r="G234" s="55"/>
      <c r="H234" s="55"/>
      <c r="I234" s="55"/>
      <c r="J234" s="55"/>
      <c r="Q234" s="55"/>
    </row>
    <row r="235">
      <c r="A235" s="292"/>
      <c r="B235" s="55"/>
      <c r="F235" s="55"/>
      <c r="G235" s="55"/>
      <c r="H235" s="55"/>
      <c r="I235" s="55"/>
      <c r="J235" s="55"/>
      <c r="Q235" s="55"/>
    </row>
    <row r="236">
      <c r="A236" s="292"/>
      <c r="B236" s="55"/>
      <c r="F236" s="55"/>
      <c r="G236" s="55"/>
      <c r="H236" s="55"/>
      <c r="I236" s="55"/>
      <c r="J236" s="55"/>
      <c r="Q236" s="55"/>
    </row>
    <row r="237">
      <c r="A237" s="292"/>
      <c r="B237" s="55"/>
      <c r="F237" s="55"/>
      <c r="G237" s="55"/>
      <c r="H237" s="55"/>
      <c r="I237" s="55"/>
      <c r="J237" s="55"/>
      <c r="Q237" s="55"/>
    </row>
    <row r="238">
      <c r="A238" s="292"/>
      <c r="B238" s="55"/>
      <c r="F238" s="55"/>
      <c r="G238" s="55"/>
      <c r="H238" s="55"/>
      <c r="I238" s="55"/>
      <c r="J238" s="55"/>
      <c r="Q238" s="55"/>
    </row>
    <row r="239">
      <c r="A239" s="292"/>
      <c r="B239" s="55"/>
      <c r="F239" s="55"/>
      <c r="G239" s="55"/>
      <c r="H239" s="55"/>
      <c r="I239" s="55"/>
      <c r="J239" s="55"/>
      <c r="Q239" s="55"/>
    </row>
    <row r="240">
      <c r="A240" s="292"/>
      <c r="B240" s="55"/>
      <c r="F240" s="55"/>
      <c r="G240" s="55"/>
      <c r="H240" s="55"/>
      <c r="I240" s="55"/>
      <c r="J240" s="55"/>
      <c r="Q240" s="55"/>
    </row>
    <row r="241">
      <c r="A241" s="292"/>
      <c r="B241" s="55"/>
      <c r="F241" s="55"/>
      <c r="G241" s="55"/>
      <c r="H241" s="55"/>
      <c r="I241" s="55"/>
      <c r="J241" s="55"/>
      <c r="Q241" s="55"/>
    </row>
    <row r="242">
      <c r="A242" s="292"/>
      <c r="B242" s="55"/>
      <c r="F242" s="55"/>
      <c r="G242" s="55"/>
      <c r="H242" s="55"/>
      <c r="I242" s="55"/>
      <c r="J242" s="55"/>
      <c r="Q242" s="55"/>
    </row>
    <row r="243">
      <c r="A243" s="292"/>
      <c r="B243" s="55"/>
      <c r="F243" s="55"/>
      <c r="G243" s="55"/>
      <c r="H243" s="55"/>
      <c r="I243" s="55"/>
      <c r="J243" s="55"/>
      <c r="Q243" s="55"/>
    </row>
    <row r="244">
      <c r="A244" s="292"/>
      <c r="B244" s="55"/>
      <c r="F244" s="55"/>
      <c r="G244" s="55"/>
      <c r="H244" s="55"/>
      <c r="I244" s="55"/>
      <c r="J244" s="55"/>
      <c r="Q244" s="55"/>
    </row>
    <row r="245">
      <c r="A245" s="292"/>
      <c r="B245" s="55"/>
      <c r="F245" s="55"/>
      <c r="G245" s="55"/>
      <c r="H245" s="55"/>
      <c r="I245" s="55"/>
      <c r="J245" s="55"/>
      <c r="Q245" s="55"/>
    </row>
    <row r="246">
      <c r="A246" s="292"/>
      <c r="B246" s="55"/>
      <c r="F246" s="55"/>
      <c r="G246" s="55"/>
      <c r="H246" s="55"/>
      <c r="I246" s="55"/>
      <c r="J246" s="55"/>
      <c r="Q246" s="55"/>
    </row>
    <row r="247">
      <c r="A247" s="292"/>
      <c r="B247" s="55"/>
      <c r="F247" s="55"/>
      <c r="G247" s="55"/>
      <c r="H247" s="55"/>
      <c r="I247" s="55"/>
      <c r="J247" s="55"/>
      <c r="Q247" s="55"/>
    </row>
    <row r="248">
      <c r="A248" s="292"/>
      <c r="B248" s="55"/>
      <c r="F248" s="55"/>
      <c r="G248" s="55"/>
      <c r="H248" s="55"/>
      <c r="I248" s="55"/>
      <c r="J248" s="55"/>
      <c r="Q248" s="55"/>
    </row>
    <row r="249">
      <c r="A249" s="292"/>
      <c r="B249" s="55"/>
      <c r="F249" s="55"/>
      <c r="G249" s="55"/>
      <c r="H249" s="55"/>
      <c r="I249" s="55"/>
      <c r="J249" s="55"/>
      <c r="Q249" s="55"/>
    </row>
    <row r="250">
      <c r="A250" s="292"/>
      <c r="B250" s="55"/>
      <c r="F250" s="55"/>
      <c r="G250" s="55"/>
      <c r="H250" s="55"/>
      <c r="I250" s="55"/>
      <c r="J250" s="55"/>
      <c r="Q250" s="55"/>
    </row>
    <row r="251">
      <c r="A251" s="292"/>
      <c r="B251" s="55"/>
      <c r="F251" s="55"/>
      <c r="G251" s="55"/>
      <c r="H251" s="55"/>
      <c r="I251" s="55"/>
      <c r="J251" s="55"/>
      <c r="Q251" s="55"/>
    </row>
    <row r="252">
      <c r="A252" s="292"/>
      <c r="B252" s="55"/>
      <c r="F252" s="55"/>
      <c r="G252" s="55"/>
      <c r="H252" s="55"/>
      <c r="I252" s="55"/>
      <c r="J252" s="55"/>
      <c r="Q252" s="55"/>
    </row>
    <row r="253">
      <c r="A253" s="292"/>
      <c r="B253" s="55"/>
      <c r="F253" s="55"/>
      <c r="G253" s="55"/>
      <c r="H253" s="55"/>
      <c r="I253" s="55"/>
      <c r="J253" s="55"/>
      <c r="Q253" s="55"/>
    </row>
    <row r="254">
      <c r="A254" s="292"/>
      <c r="B254" s="55"/>
      <c r="F254" s="55"/>
      <c r="G254" s="55"/>
      <c r="H254" s="55"/>
      <c r="I254" s="55"/>
      <c r="J254" s="55"/>
      <c r="Q254" s="55"/>
    </row>
    <row r="255">
      <c r="A255" s="292"/>
      <c r="B255" s="55"/>
      <c r="F255" s="55"/>
      <c r="G255" s="55"/>
      <c r="H255" s="55"/>
      <c r="I255" s="55"/>
      <c r="J255" s="55"/>
      <c r="Q255" s="55"/>
    </row>
    <row r="256">
      <c r="A256" s="292"/>
      <c r="B256" s="55"/>
      <c r="F256" s="55"/>
      <c r="G256" s="55"/>
      <c r="H256" s="55"/>
      <c r="I256" s="55"/>
      <c r="J256" s="55"/>
      <c r="Q256" s="55"/>
    </row>
    <row r="257">
      <c r="A257" s="292"/>
      <c r="B257" s="55"/>
      <c r="F257" s="55"/>
      <c r="G257" s="55"/>
      <c r="H257" s="55"/>
      <c r="I257" s="55"/>
      <c r="J257" s="55"/>
      <c r="Q257" s="55"/>
    </row>
    <row r="258">
      <c r="A258" s="292"/>
      <c r="B258" s="55"/>
      <c r="F258" s="55"/>
      <c r="G258" s="55"/>
      <c r="H258" s="55"/>
      <c r="I258" s="55"/>
      <c r="J258" s="55"/>
      <c r="Q258" s="55"/>
    </row>
    <row r="259">
      <c r="A259" s="292"/>
      <c r="B259" s="55"/>
      <c r="F259" s="55"/>
      <c r="G259" s="55"/>
      <c r="H259" s="55"/>
      <c r="I259" s="55"/>
      <c r="J259" s="55"/>
      <c r="Q259" s="55"/>
    </row>
    <row r="260">
      <c r="A260" s="292"/>
      <c r="B260" s="55"/>
      <c r="F260" s="55"/>
      <c r="G260" s="55"/>
      <c r="H260" s="55"/>
      <c r="I260" s="55"/>
      <c r="J260" s="55"/>
      <c r="Q260" s="55"/>
    </row>
    <row r="261">
      <c r="A261" s="292"/>
      <c r="B261" s="55"/>
      <c r="F261" s="55"/>
      <c r="G261" s="55"/>
      <c r="H261" s="55"/>
      <c r="I261" s="55"/>
      <c r="J261" s="55"/>
      <c r="Q261" s="55"/>
    </row>
    <row r="262">
      <c r="A262" s="292"/>
      <c r="B262" s="55"/>
      <c r="F262" s="55"/>
      <c r="G262" s="55"/>
      <c r="H262" s="55"/>
      <c r="I262" s="55"/>
      <c r="J262" s="55"/>
      <c r="Q262" s="55"/>
    </row>
    <row r="263">
      <c r="A263" s="292"/>
      <c r="B263" s="55"/>
      <c r="F263" s="55"/>
      <c r="G263" s="55"/>
      <c r="H263" s="55"/>
      <c r="I263" s="55"/>
      <c r="J263" s="55"/>
      <c r="Q263" s="55"/>
    </row>
    <row r="264">
      <c r="A264" s="292"/>
      <c r="B264" s="55"/>
      <c r="F264" s="55"/>
      <c r="G264" s="55"/>
      <c r="H264" s="55"/>
      <c r="I264" s="55"/>
      <c r="J264" s="55"/>
      <c r="Q264" s="55"/>
    </row>
    <row r="265">
      <c r="A265" s="292"/>
      <c r="B265" s="55"/>
      <c r="F265" s="55"/>
      <c r="G265" s="55"/>
      <c r="H265" s="55"/>
      <c r="I265" s="55"/>
      <c r="J265" s="55"/>
      <c r="Q265" s="55"/>
    </row>
    <row r="266">
      <c r="A266" s="292"/>
      <c r="B266" s="55"/>
      <c r="F266" s="55"/>
      <c r="G266" s="55"/>
      <c r="H266" s="55"/>
      <c r="I266" s="55"/>
      <c r="J266" s="55"/>
      <c r="Q266" s="55"/>
    </row>
    <row r="267">
      <c r="A267" s="292"/>
      <c r="B267" s="55"/>
      <c r="F267" s="55"/>
      <c r="G267" s="55"/>
      <c r="H267" s="55"/>
      <c r="I267" s="55"/>
      <c r="J267" s="55"/>
      <c r="Q267" s="55"/>
    </row>
    <row r="268">
      <c r="A268" s="292"/>
      <c r="B268" s="55"/>
      <c r="F268" s="55"/>
      <c r="G268" s="55"/>
      <c r="H268" s="55"/>
      <c r="I268" s="55"/>
      <c r="J268" s="55"/>
      <c r="Q268" s="55"/>
    </row>
    <row r="269">
      <c r="A269" s="292"/>
      <c r="B269" s="55"/>
      <c r="F269" s="55"/>
      <c r="G269" s="55"/>
      <c r="H269" s="55"/>
      <c r="I269" s="55"/>
      <c r="J269" s="55"/>
      <c r="Q269" s="55"/>
    </row>
    <row r="270">
      <c r="A270" s="292"/>
      <c r="B270" s="55"/>
      <c r="F270" s="55"/>
      <c r="G270" s="55"/>
      <c r="H270" s="55"/>
      <c r="I270" s="55"/>
      <c r="J270" s="55"/>
      <c r="Q270" s="55"/>
    </row>
    <row r="271">
      <c r="A271" s="292"/>
      <c r="B271" s="55"/>
      <c r="F271" s="55"/>
      <c r="G271" s="55"/>
      <c r="H271" s="55"/>
      <c r="I271" s="55"/>
      <c r="J271" s="55"/>
      <c r="Q271" s="55"/>
    </row>
    <row r="272">
      <c r="A272" s="292"/>
      <c r="B272" s="55"/>
      <c r="F272" s="55"/>
      <c r="G272" s="55"/>
      <c r="H272" s="55"/>
      <c r="I272" s="55"/>
      <c r="J272" s="55"/>
      <c r="Q272" s="55"/>
    </row>
    <row r="273">
      <c r="A273" s="292"/>
      <c r="B273" s="55"/>
      <c r="F273" s="55"/>
      <c r="G273" s="55"/>
      <c r="H273" s="55"/>
      <c r="I273" s="55"/>
      <c r="J273" s="55"/>
      <c r="Q273" s="55"/>
    </row>
    <row r="274">
      <c r="A274" s="292"/>
      <c r="B274" s="55"/>
      <c r="F274" s="55"/>
      <c r="G274" s="55"/>
      <c r="H274" s="55"/>
      <c r="I274" s="55"/>
      <c r="J274" s="55"/>
      <c r="Q274" s="55"/>
    </row>
    <row r="275">
      <c r="A275" s="292"/>
      <c r="B275" s="55"/>
      <c r="F275" s="55"/>
      <c r="G275" s="55"/>
      <c r="H275" s="55"/>
      <c r="I275" s="55"/>
      <c r="J275" s="55"/>
      <c r="Q275" s="55"/>
    </row>
    <row r="276">
      <c r="A276" s="292"/>
      <c r="B276" s="55"/>
      <c r="F276" s="55"/>
      <c r="G276" s="55"/>
      <c r="H276" s="55"/>
      <c r="I276" s="55"/>
      <c r="J276" s="55"/>
      <c r="Q276" s="55"/>
    </row>
    <row r="277">
      <c r="A277" s="292"/>
      <c r="B277" s="55"/>
      <c r="F277" s="55"/>
      <c r="G277" s="55"/>
      <c r="H277" s="55"/>
      <c r="I277" s="55"/>
      <c r="J277" s="55"/>
      <c r="Q277" s="55"/>
    </row>
    <row r="278">
      <c r="A278" s="292"/>
      <c r="B278" s="55"/>
      <c r="F278" s="55"/>
      <c r="G278" s="55"/>
      <c r="H278" s="55"/>
      <c r="I278" s="55"/>
      <c r="J278" s="55"/>
      <c r="Q278" s="55"/>
    </row>
    <row r="279">
      <c r="A279" s="292"/>
      <c r="B279" s="55"/>
      <c r="F279" s="55"/>
      <c r="G279" s="55"/>
      <c r="H279" s="55"/>
      <c r="I279" s="55"/>
      <c r="J279" s="55"/>
      <c r="Q279" s="55"/>
    </row>
    <row r="280">
      <c r="A280" s="292"/>
      <c r="B280" s="55"/>
      <c r="F280" s="55"/>
      <c r="G280" s="55"/>
      <c r="H280" s="55"/>
      <c r="I280" s="55"/>
      <c r="J280" s="55"/>
      <c r="Q280" s="55"/>
    </row>
    <row r="281">
      <c r="A281" s="292"/>
      <c r="B281" s="55"/>
      <c r="F281" s="55"/>
      <c r="G281" s="55"/>
      <c r="H281" s="55"/>
      <c r="I281" s="55"/>
      <c r="J281" s="55"/>
      <c r="Q281" s="55"/>
    </row>
    <row r="282">
      <c r="A282" s="292"/>
      <c r="B282" s="55"/>
      <c r="F282" s="55"/>
      <c r="G282" s="55"/>
      <c r="H282" s="55"/>
      <c r="I282" s="55"/>
      <c r="J282" s="55"/>
      <c r="Q282" s="55"/>
    </row>
    <row r="283">
      <c r="A283" s="292"/>
      <c r="B283" s="55"/>
      <c r="F283" s="55"/>
      <c r="G283" s="55"/>
      <c r="H283" s="55"/>
      <c r="I283" s="55"/>
      <c r="J283" s="55"/>
      <c r="Q283" s="55"/>
    </row>
    <row r="284">
      <c r="A284" s="292"/>
      <c r="B284" s="55"/>
      <c r="F284" s="55"/>
      <c r="G284" s="55"/>
      <c r="H284" s="55"/>
      <c r="I284" s="55"/>
      <c r="J284" s="55"/>
      <c r="Q284" s="55"/>
    </row>
    <row r="285">
      <c r="A285" s="292"/>
      <c r="B285" s="55"/>
      <c r="F285" s="55"/>
      <c r="G285" s="55"/>
      <c r="H285" s="55"/>
      <c r="I285" s="55"/>
      <c r="J285" s="55"/>
      <c r="Q285" s="55"/>
    </row>
    <row r="286">
      <c r="A286" s="292"/>
      <c r="B286" s="55"/>
      <c r="F286" s="55"/>
      <c r="G286" s="55"/>
      <c r="H286" s="55"/>
      <c r="I286" s="55"/>
      <c r="J286" s="55"/>
      <c r="Q286" s="55"/>
    </row>
    <row r="287">
      <c r="A287" s="292"/>
      <c r="B287" s="55"/>
      <c r="F287" s="55"/>
      <c r="G287" s="55"/>
      <c r="H287" s="55"/>
      <c r="I287" s="55"/>
      <c r="J287" s="55"/>
      <c r="Q287" s="55"/>
    </row>
    <row r="288">
      <c r="A288" s="292"/>
      <c r="B288" s="55"/>
      <c r="F288" s="55"/>
      <c r="G288" s="55"/>
      <c r="H288" s="55"/>
      <c r="I288" s="55"/>
      <c r="J288" s="55"/>
      <c r="Q288" s="55"/>
    </row>
    <row r="289">
      <c r="A289" s="292"/>
      <c r="B289" s="55"/>
      <c r="F289" s="55"/>
      <c r="G289" s="55"/>
      <c r="H289" s="55"/>
      <c r="I289" s="55"/>
      <c r="J289" s="55"/>
      <c r="Q289" s="55"/>
    </row>
    <row r="290">
      <c r="A290" s="292"/>
      <c r="B290" s="55"/>
      <c r="F290" s="55"/>
      <c r="G290" s="55"/>
      <c r="H290" s="55"/>
      <c r="I290" s="55"/>
      <c r="J290" s="55"/>
      <c r="Q290" s="55"/>
    </row>
    <row r="291">
      <c r="A291" s="292"/>
      <c r="B291" s="55"/>
      <c r="F291" s="55"/>
      <c r="G291" s="55"/>
      <c r="H291" s="55"/>
      <c r="I291" s="55"/>
      <c r="J291" s="55"/>
      <c r="Q291" s="55"/>
    </row>
    <row r="292">
      <c r="A292" s="292"/>
      <c r="B292" s="55"/>
      <c r="F292" s="55"/>
      <c r="G292" s="55"/>
      <c r="H292" s="55"/>
      <c r="I292" s="55"/>
      <c r="J292" s="55"/>
      <c r="Q292" s="55"/>
    </row>
    <row r="293">
      <c r="A293" s="292"/>
      <c r="B293" s="55"/>
      <c r="F293" s="55"/>
      <c r="G293" s="55"/>
      <c r="H293" s="55"/>
      <c r="I293" s="55"/>
      <c r="J293" s="55"/>
      <c r="Q293" s="55"/>
    </row>
    <row r="294">
      <c r="A294" s="292"/>
      <c r="B294" s="55"/>
      <c r="F294" s="55"/>
      <c r="G294" s="55"/>
      <c r="H294" s="55"/>
      <c r="I294" s="55"/>
      <c r="J294" s="55"/>
      <c r="Q294" s="55"/>
    </row>
    <row r="295">
      <c r="A295" s="292"/>
      <c r="B295" s="55"/>
      <c r="F295" s="55"/>
      <c r="G295" s="55"/>
      <c r="H295" s="55"/>
      <c r="I295" s="55"/>
      <c r="J295" s="55"/>
      <c r="Q295" s="55"/>
    </row>
    <row r="296">
      <c r="A296" s="292"/>
      <c r="B296" s="55"/>
      <c r="F296" s="55"/>
      <c r="G296" s="55"/>
      <c r="H296" s="55"/>
      <c r="I296" s="55"/>
      <c r="J296" s="55"/>
      <c r="Q296" s="55"/>
    </row>
    <row r="297">
      <c r="A297" s="292"/>
      <c r="B297" s="55"/>
      <c r="F297" s="55"/>
      <c r="G297" s="55"/>
      <c r="H297" s="55"/>
      <c r="I297" s="55"/>
      <c r="J297" s="55"/>
      <c r="Q297" s="55"/>
    </row>
    <row r="298">
      <c r="A298" s="292"/>
      <c r="B298" s="55"/>
      <c r="F298" s="55"/>
      <c r="G298" s="55"/>
      <c r="H298" s="55"/>
      <c r="I298" s="55"/>
      <c r="J298" s="55"/>
      <c r="Q298" s="55"/>
    </row>
    <row r="299">
      <c r="A299" s="292"/>
      <c r="B299" s="55"/>
      <c r="F299" s="55"/>
      <c r="G299" s="55"/>
      <c r="H299" s="55"/>
      <c r="I299" s="55"/>
      <c r="J299" s="55"/>
      <c r="Q299" s="55"/>
    </row>
    <row r="300">
      <c r="A300" s="292"/>
      <c r="B300" s="55"/>
      <c r="F300" s="55"/>
      <c r="G300" s="55"/>
      <c r="H300" s="55"/>
      <c r="I300" s="55"/>
      <c r="J300" s="55"/>
      <c r="Q300" s="55"/>
    </row>
    <row r="301">
      <c r="A301" s="292"/>
      <c r="B301" s="55"/>
      <c r="F301" s="55"/>
      <c r="G301" s="55"/>
      <c r="H301" s="55"/>
      <c r="I301" s="55"/>
      <c r="J301" s="55"/>
      <c r="Q301" s="55"/>
    </row>
    <row r="302">
      <c r="A302" s="292"/>
      <c r="B302" s="55"/>
      <c r="F302" s="55"/>
      <c r="G302" s="55"/>
      <c r="H302" s="55"/>
      <c r="I302" s="55"/>
      <c r="J302" s="55"/>
      <c r="Q302" s="55"/>
    </row>
    <row r="303">
      <c r="A303" s="292"/>
      <c r="B303" s="55"/>
      <c r="F303" s="55"/>
      <c r="G303" s="55"/>
      <c r="H303" s="55"/>
      <c r="I303" s="55"/>
      <c r="J303" s="55"/>
      <c r="Q303" s="55"/>
    </row>
    <row r="304">
      <c r="A304" s="292"/>
      <c r="B304" s="55"/>
      <c r="F304" s="55"/>
      <c r="G304" s="55"/>
      <c r="H304" s="55"/>
      <c r="I304" s="55"/>
      <c r="J304" s="55"/>
      <c r="Q304" s="55"/>
    </row>
    <row r="305">
      <c r="A305" s="292"/>
      <c r="B305" s="55"/>
      <c r="F305" s="55"/>
      <c r="G305" s="55"/>
      <c r="H305" s="55"/>
      <c r="I305" s="55"/>
      <c r="J305" s="55"/>
      <c r="Q305" s="55"/>
    </row>
    <row r="306">
      <c r="A306" s="292"/>
      <c r="B306" s="55"/>
      <c r="F306" s="55"/>
      <c r="G306" s="55"/>
      <c r="H306" s="55"/>
      <c r="I306" s="55"/>
      <c r="J306" s="55"/>
      <c r="Q306" s="55"/>
    </row>
    <row r="307">
      <c r="A307" s="292"/>
      <c r="B307" s="55"/>
      <c r="F307" s="55"/>
      <c r="G307" s="55"/>
      <c r="H307" s="55"/>
      <c r="I307" s="55"/>
      <c r="J307" s="55"/>
      <c r="Q307" s="55"/>
    </row>
    <row r="308">
      <c r="A308" s="292"/>
      <c r="B308" s="55"/>
      <c r="F308" s="55"/>
      <c r="G308" s="55"/>
      <c r="H308" s="55"/>
      <c r="I308" s="55"/>
      <c r="J308" s="55"/>
      <c r="Q308" s="55"/>
    </row>
    <row r="309">
      <c r="A309" s="292"/>
      <c r="B309" s="55"/>
      <c r="F309" s="55"/>
      <c r="G309" s="55"/>
      <c r="H309" s="55"/>
      <c r="I309" s="55"/>
      <c r="J309" s="55"/>
      <c r="Q309" s="55"/>
    </row>
    <row r="310">
      <c r="A310" s="292"/>
      <c r="B310" s="55"/>
      <c r="F310" s="55"/>
      <c r="G310" s="55"/>
      <c r="H310" s="55"/>
      <c r="I310" s="55"/>
      <c r="J310" s="55"/>
      <c r="Q310" s="55"/>
    </row>
    <row r="311">
      <c r="A311" s="292"/>
      <c r="B311" s="55"/>
      <c r="F311" s="55"/>
      <c r="G311" s="55"/>
      <c r="H311" s="55"/>
      <c r="I311" s="55"/>
      <c r="J311" s="55"/>
      <c r="Q311" s="55"/>
    </row>
    <row r="312">
      <c r="A312" s="292"/>
      <c r="B312" s="55"/>
      <c r="F312" s="55"/>
      <c r="G312" s="55"/>
      <c r="H312" s="55"/>
      <c r="I312" s="55"/>
      <c r="J312" s="55"/>
      <c r="Q312" s="55"/>
    </row>
    <row r="313">
      <c r="A313" s="292"/>
      <c r="B313" s="55"/>
      <c r="F313" s="55"/>
      <c r="G313" s="55"/>
      <c r="H313" s="55"/>
      <c r="I313" s="55"/>
      <c r="J313" s="55"/>
      <c r="Q313" s="55"/>
    </row>
    <row r="314">
      <c r="A314" s="292"/>
      <c r="B314" s="55"/>
      <c r="F314" s="55"/>
      <c r="G314" s="55"/>
      <c r="H314" s="55"/>
      <c r="I314" s="55"/>
      <c r="J314" s="55"/>
      <c r="Q314" s="55"/>
    </row>
    <row r="315">
      <c r="A315" s="292"/>
      <c r="B315" s="55"/>
      <c r="F315" s="55"/>
      <c r="G315" s="55"/>
      <c r="H315" s="55"/>
      <c r="I315" s="55"/>
      <c r="J315" s="55"/>
      <c r="Q315" s="55"/>
    </row>
    <row r="316">
      <c r="A316" s="292"/>
      <c r="B316" s="55"/>
      <c r="F316" s="55"/>
      <c r="G316" s="55"/>
      <c r="H316" s="55"/>
      <c r="I316" s="55"/>
      <c r="J316" s="55"/>
      <c r="Q316" s="55"/>
    </row>
    <row r="317">
      <c r="A317" s="292"/>
      <c r="B317" s="55"/>
      <c r="F317" s="55"/>
      <c r="G317" s="55"/>
      <c r="H317" s="55"/>
      <c r="I317" s="55"/>
      <c r="J317" s="55"/>
      <c r="Q317" s="55"/>
    </row>
    <row r="318">
      <c r="A318" s="292"/>
      <c r="B318" s="55"/>
      <c r="F318" s="55"/>
      <c r="G318" s="55"/>
      <c r="H318" s="55"/>
      <c r="I318" s="55"/>
      <c r="J318" s="55"/>
      <c r="Q318" s="55"/>
    </row>
    <row r="319">
      <c r="A319" s="292"/>
      <c r="B319" s="55"/>
      <c r="F319" s="55"/>
      <c r="G319" s="55"/>
      <c r="H319" s="55"/>
      <c r="I319" s="55"/>
      <c r="J319" s="55"/>
      <c r="Q319" s="55"/>
    </row>
    <row r="320">
      <c r="A320" s="292"/>
      <c r="B320" s="55"/>
      <c r="F320" s="55"/>
      <c r="G320" s="55"/>
      <c r="H320" s="55"/>
      <c r="I320" s="55"/>
      <c r="J320" s="55"/>
      <c r="Q320" s="55"/>
    </row>
    <row r="321">
      <c r="A321" s="292"/>
      <c r="B321" s="55"/>
      <c r="F321" s="55"/>
      <c r="G321" s="55"/>
      <c r="H321" s="55"/>
      <c r="I321" s="55"/>
      <c r="J321" s="55"/>
      <c r="Q321" s="55"/>
    </row>
    <row r="322">
      <c r="A322" s="292"/>
      <c r="B322" s="55"/>
      <c r="F322" s="55"/>
      <c r="G322" s="55"/>
      <c r="H322" s="55"/>
      <c r="I322" s="55"/>
      <c r="J322" s="55"/>
      <c r="Q322" s="55"/>
    </row>
    <row r="323">
      <c r="A323" s="292"/>
      <c r="B323" s="55"/>
      <c r="F323" s="55"/>
      <c r="G323" s="55"/>
      <c r="H323" s="55"/>
      <c r="I323" s="55"/>
      <c r="J323" s="55"/>
      <c r="Q323" s="55"/>
    </row>
    <row r="324">
      <c r="A324" s="292"/>
      <c r="B324" s="55"/>
      <c r="F324" s="55"/>
      <c r="G324" s="55"/>
      <c r="H324" s="55"/>
      <c r="I324" s="55"/>
      <c r="J324" s="55"/>
      <c r="Q324" s="55"/>
    </row>
    <row r="325">
      <c r="A325" s="292"/>
      <c r="B325" s="55"/>
      <c r="F325" s="55"/>
      <c r="G325" s="55"/>
      <c r="H325" s="55"/>
      <c r="I325" s="55"/>
      <c r="J325" s="55"/>
      <c r="Q325" s="55"/>
    </row>
    <row r="326">
      <c r="A326" s="292"/>
      <c r="B326" s="55"/>
      <c r="F326" s="55"/>
      <c r="G326" s="55"/>
      <c r="H326" s="55"/>
      <c r="I326" s="55"/>
      <c r="J326" s="55"/>
      <c r="Q326" s="55"/>
    </row>
    <row r="327">
      <c r="A327" s="292"/>
      <c r="B327" s="55"/>
      <c r="F327" s="55"/>
      <c r="G327" s="55"/>
      <c r="H327" s="55"/>
      <c r="I327" s="55"/>
      <c r="J327" s="55"/>
      <c r="Q327" s="55"/>
    </row>
    <row r="328">
      <c r="A328" s="292"/>
      <c r="B328" s="55"/>
      <c r="F328" s="55"/>
      <c r="G328" s="55"/>
      <c r="H328" s="55"/>
      <c r="I328" s="55"/>
      <c r="J328" s="55"/>
      <c r="Q328" s="55"/>
    </row>
    <row r="329">
      <c r="A329" s="292"/>
      <c r="B329" s="55"/>
      <c r="F329" s="55"/>
      <c r="G329" s="55"/>
      <c r="H329" s="55"/>
      <c r="I329" s="55"/>
      <c r="J329" s="55"/>
      <c r="Q329" s="55"/>
    </row>
    <row r="330">
      <c r="A330" s="292"/>
      <c r="B330" s="55"/>
      <c r="F330" s="55"/>
      <c r="G330" s="55"/>
      <c r="H330" s="55"/>
      <c r="I330" s="55"/>
      <c r="J330" s="55"/>
      <c r="Q330" s="55"/>
    </row>
    <row r="331">
      <c r="A331" s="292"/>
      <c r="B331" s="55"/>
      <c r="F331" s="55"/>
      <c r="G331" s="55"/>
      <c r="H331" s="55"/>
      <c r="I331" s="55"/>
      <c r="J331" s="55"/>
      <c r="Q331" s="55"/>
    </row>
    <row r="332">
      <c r="A332" s="292"/>
      <c r="B332" s="55"/>
      <c r="F332" s="55"/>
      <c r="G332" s="55"/>
      <c r="H332" s="55"/>
      <c r="I332" s="55"/>
      <c r="J332" s="55"/>
      <c r="Q332" s="55"/>
    </row>
    <row r="333">
      <c r="A333" s="292"/>
      <c r="B333" s="55"/>
      <c r="F333" s="55"/>
      <c r="G333" s="55"/>
      <c r="H333" s="55"/>
      <c r="I333" s="55"/>
      <c r="J333" s="55"/>
      <c r="Q333" s="55"/>
    </row>
    <row r="334">
      <c r="A334" s="292"/>
      <c r="B334" s="55"/>
      <c r="F334" s="55"/>
      <c r="G334" s="55"/>
      <c r="H334" s="55"/>
      <c r="I334" s="55"/>
      <c r="J334" s="55"/>
      <c r="Q334" s="55"/>
    </row>
    <row r="335">
      <c r="A335" s="292"/>
      <c r="B335" s="55"/>
      <c r="F335" s="55"/>
      <c r="G335" s="55"/>
      <c r="H335" s="55"/>
      <c r="I335" s="55"/>
      <c r="J335" s="55"/>
      <c r="Q335" s="55"/>
    </row>
    <row r="336">
      <c r="A336" s="292"/>
      <c r="B336" s="55"/>
      <c r="F336" s="55"/>
      <c r="G336" s="55"/>
      <c r="H336" s="55"/>
      <c r="I336" s="55"/>
      <c r="J336" s="55"/>
      <c r="Q336" s="55"/>
    </row>
    <row r="337">
      <c r="A337" s="292"/>
      <c r="B337" s="55"/>
      <c r="F337" s="55"/>
      <c r="G337" s="55"/>
      <c r="H337" s="55"/>
      <c r="I337" s="55"/>
      <c r="J337" s="55"/>
      <c r="Q337" s="55"/>
    </row>
    <row r="338">
      <c r="A338" s="292"/>
      <c r="B338" s="55"/>
      <c r="F338" s="55"/>
      <c r="G338" s="55"/>
      <c r="H338" s="55"/>
      <c r="I338" s="55"/>
      <c r="J338" s="55"/>
      <c r="Q338" s="55"/>
    </row>
    <row r="339">
      <c r="A339" s="292"/>
      <c r="B339" s="55"/>
      <c r="F339" s="55"/>
      <c r="G339" s="55"/>
      <c r="H339" s="55"/>
      <c r="I339" s="55"/>
      <c r="J339" s="55"/>
      <c r="Q339" s="55"/>
    </row>
    <row r="340">
      <c r="A340" s="292"/>
      <c r="B340" s="55"/>
      <c r="F340" s="55"/>
      <c r="G340" s="55"/>
      <c r="H340" s="55"/>
      <c r="I340" s="55"/>
      <c r="J340" s="55"/>
      <c r="Q340" s="55"/>
    </row>
    <row r="341">
      <c r="A341" s="292"/>
      <c r="B341" s="55"/>
      <c r="F341" s="55"/>
      <c r="G341" s="55"/>
      <c r="H341" s="55"/>
      <c r="I341" s="55"/>
      <c r="J341" s="55"/>
      <c r="Q341" s="55"/>
    </row>
    <row r="342">
      <c r="A342" s="292"/>
      <c r="B342" s="55"/>
      <c r="F342" s="55"/>
      <c r="G342" s="55"/>
      <c r="H342" s="55"/>
      <c r="I342" s="55"/>
      <c r="J342" s="55"/>
      <c r="Q342" s="55"/>
    </row>
    <row r="343">
      <c r="A343" s="292"/>
      <c r="B343" s="55"/>
      <c r="F343" s="55"/>
      <c r="G343" s="55"/>
      <c r="H343" s="55"/>
      <c r="I343" s="55"/>
      <c r="J343" s="55"/>
      <c r="Q343" s="55"/>
    </row>
    <row r="344">
      <c r="A344" s="292"/>
      <c r="B344" s="55"/>
      <c r="F344" s="55"/>
      <c r="G344" s="55"/>
      <c r="H344" s="55"/>
      <c r="I344" s="55"/>
      <c r="J344" s="55"/>
      <c r="Q344" s="55"/>
    </row>
    <row r="345">
      <c r="A345" s="292"/>
      <c r="B345" s="55"/>
      <c r="F345" s="55"/>
      <c r="G345" s="55"/>
      <c r="H345" s="55"/>
      <c r="I345" s="55"/>
      <c r="J345" s="55"/>
      <c r="Q345" s="55"/>
    </row>
    <row r="346">
      <c r="A346" s="292"/>
      <c r="B346" s="55"/>
      <c r="F346" s="55"/>
      <c r="G346" s="55"/>
      <c r="H346" s="55"/>
      <c r="I346" s="55"/>
      <c r="J346" s="55"/>
      <c r="Q346" s="55"/>
    </row>
    <row r="347">
      <c r="A347" s="292"/>
      <c r="B347" s="55"/>
      <c r="F347" s="55"/>
      <c r="G347" s="55"/>
      <c r="H347" s="55"/>
      <c r="I347" s="55"/>
      <c r="J347" s="55"/>
      <c r="Q347" s="55"/>
    </row>
    <row r="348">
      <c r="A348" s="292"/>
      <c r="B348" s="55"/>
      <c r="F348" s="55"/>
      <c r="G348" s="55"/>
      <c r="H348" s="55"/>
      <c r="I348" s="55"/>
      <c r="J348" s="55"/>
      <c r="Q348" s="55"/>
    </row>
    <row r="349">
      <c r="A349" s="292"/>
      <c r="B349" s="55"/>
      <c r="F349" s="55"/>
      <c r="G349" s="55"/>
      <c r="H349" s="55"/>
      <c r="I349" s="55"/>
      <c r="J349" s="55"/>
      <c r="Q349" s="55"/>
    </row>
    <row r="350">
      <c r="A350" s="292"/>
      <c r="B350" s="55"/>
      <c r="F350" s="55"/>
      <c r="G350" s="55"/>
      <c r="H350" s="55"/>
      <c r="I350" s="55"/>
      <c r="J350" s="55"/>
      <c r="Q350" s="55"/>
    </row>
    <row r="351">
      <c r="A351" s="292"/>
      <c r="B351" s="55"/>
      <c r="F351" s="55"/>
      <c r="G351" s="55"/>
      <c r="H351" s="55"/>
      <c r="I351" s="55"/>
      <c r="J351" s="55"/>
      <c r="Q351" s="55"/>
    </row>
    <row r="352">
      <c r="A352" s="292"/>
      <c r="B352" s="55"/>
      <c r="F352" s="55"/>
      <c r="G352" s="55"/>
      <c r="H352" s="55"/>
      <c r="I352" s="55"/>
      <c r="J352" s="55"/>
      <c r="Q352" s="55"/>
    </row>
    <row r="353">
      <c r="A353" s="292"/>
      <c r="B353" s="55"/>
      <c r="F353" s="55"/>
      <c r="G353" s="55"/>
      <c r="H353" s="55"/>
      <c r="I353" s="55"/>
      <c r="J353" s="55"/>
      <c r="Q353" s="55"/>
    </row>
    <row r="354">
      <c r="A354" s="292"/>
      <c r="B354" s="55"/>
      <c r="F354" s="55"/>
      <c r="G354" s="55"/>
      <c r="H354" s="55"/>
      <c r="I354" s="55"/>
      <c r="J354" s="55"/>
      <c r="Q354" s="55"/>
    </row>
    <row r="355">
      <c r="A355" s="292"/>
      <c r="B355" s="55"/>
      <c r="F355" s="55"/>
      <c r="G355" s="55"/>
      <c r="H355" s="55"/>
      <c r="I355" s="55"/>
      <c r="J355" s="55"/>
      <c r="Q355" s="55"/>
    </row>
    <row r="356">
      <c r="A356" s="292"/>
      <c r="B356" s="55"/>
      <c r="F356" s="55"/>
      <c r="G356" s="55"/>
      <c r="H356" s="55"/>
      <c r="I356" s="55"/>
      <c r="J356" s="55"/>
      <c r="Q356" s="55"/>
    </row>
    <row r="357">
      <c r="A357" s="292"/>
      <c r="B357" s="55"/>
      <c r="F357" s="55"/>
      <c r="G357" s="55"/>
      <c r="H357" s="55"/>
      <c r="I357" s="55"/>
      <c r="J357" s="55"/>
      <c r="Q357" s="55"/>
    </row>
    <row r="358">
      <c r="A358" s="292"/>
      <c r="B358" s="55"/>
      <c r="F358" s="55"/>
      <c r="G358" s="55"/>
      <c r="H358" s="55"/>
      <c r="I358" s="55"/>
      <c r="J358" s="55"/>
      <c r="Q358" s="55"/>
    </row>
    <row r="359">
      <c r="A359" s="292"/>
      <c r="B359" s="55"/>
      <c r="F359" s="55"/>
      <c r="G359" s="55"/>
      <c r="H359" s="55"/>
      <c r="I359" s="55"/>
      <c r="J359" s="55"/>
      <c r="Q359" s="55"/>
    </row>
    <row r="360">
      <c r="A360" s="292"/>
      <c r="B360" s="55"/>
      <c r="F360" s="55"/>
      <c r="G360" s="55"/>
      <c r="H360" s="55"/>
      <c r="I360" s="55"/>
      <c r="J360" s="55"/>
      <c r="Q360" s="55"/>
    </row>
    <row r="361">
      <c r="A361" s="292"/>
      <c r="B361" s="55"/>
      <c r="F361" s="55"/>
      <c r="G361" s="55"/>
      <c r="H361" s="55"/>
      <c r="I361" s="55"/>
      <c r="J361" s="55"/>
      <c r="Q361" s="55"/>
    </row>
    <row r="362">
      <c r="A362" s="292"/>
      <c r="B362" s="55"/>
      <c r="F362" s="55"/>
      <c r="G362" s="55"/>
      <c r="H362" s="55"/>
      <c r="I362" s="55"/>
      <c r="J362" s="55"/>
      <c r="Q362" s="55"/>
    </row>
    <row r="363">
      <c r="A363" s="292"/>
      <c r="B363" s="55"/>
      <c r="F363" s="55"/>
      <c r="G363" s="55"/>
      <c r="H363" s="55"/>
      <c r="I363" s="55"/>
      <c r="J363" s="55"/>
      <c r="Q363" s="55"/>
    </row>
    <row r="364">
      <c r="A364" s="292"/>
      <c r="B364" s="55"/>
      <c r="F364" s="55"/>
      <c r="G364" s="55"/>
      <c r="H364" s="55"/>
      <c r="I364" s="55"/>
      <c r="J364" s="55"/>
      <c r="Q364" s="55"/>
    </row>
    <row r="365">
      <c r="A365" s="292"/>
      <c r="B365" s="55"/>
      <c r="F365" s="55"/>
      <c r="G365" s="55"/>
      <c r="H365" s="55"/>
      <c r="I365" s="55"/>
      <c r="J365" s="55"/>
      <c r="Q365" s="55"/>
    </row>
    <row r="366">
      <c r="A366" s="292"/>
      <c r="B366" s="55"/>
      <c r="F366" s="55"/>
      <c r="G366" s="55"/>
      <c r="H366" s="55"/>
      <c r="I366" s="55"/>
      <c r="J366" s="55"/>
      <c r="Q366" s="55"/>
    </row>
    <row r="367">
      <c r="A367" s="292"/>
      <c r="B367" s="55"/>
      <c r="F367" s="55"/>
      <c r="G367" s="55"/>
      <c r="H367" s="55"/>
      <c r="I367" s="55"/>
      <c r="J367" s="55"/>
      <c r="Q367" s="55"/>
    </row>
    <row r="368">
      <c r="A368" s="292"/>
      <c r="B368" s="55"/>
      <c r="F368" s="55"/>
      <c r="G368" s="55"/>
      <c r="H368" s="55"/>
      <c r="I368" s="55"/>
      <c r="J368" s="55"/>
      <c r="Q368" s="55"/>
    </row>
    <row r="369">
      <c r="A369" s="292"/>
      <c r="B369" s="55"/>
      <c r="F369" s="55"/>
      <c r="G369" s="55"/>
      <c r="H369" s="55"/>
      <c r="I369" s="55"/>
      <c r="J369" s="55"/>
      <c r="Q369" s="55"/>
    </row>
    <row r="370">
      <c r="A370" s="292"/>
      <c r="B370" s="55"/>
      <c r="F370" s="55"/>
      <c r="G370" s="55"/>
      <c r="H370" s="55"/>
      <c r="I370" s="55"/>
      <c r="J370" s="55"/>
      <c r="Q370" s="55"/>
    </row>
    <row r="371">
      <c r="A371" s="292"/>
      <c r="B371" s="55"/>
      <c r="F371" s="55"/>
      <c r="G371" s="55"/>
      <c r="H371" s="55"/>
      <c r="I371" s="55"/>
      <c r="J371" s="55"/>
      <c r="Q371" s="55"/>
    </row>
    <row r="372">
      <c r="A372" s="292"/>
      <c r="B372" s="55"/>
      <c r="F372" s="55"/>
      <c r="G372" s="55"/>
      <c r="H372" s="55"/>
      <c r="I372" s="55"/>
      <c r="J372" s="55"/>
      <c r="Q372" s="55"/>
    </row>
    <row r="373">
      <c r="A373" s="292"/>
      <c r="B373" s="55"/>
      <c r="F373" s="55"/>
      <c r="G373" s="55"/>
      <c r="H373" s="55"/>
      <c r="I373" s="55"/>
      <c r="J373" s="55"/>
      <c r="Q373" s="55"/>
    </row>
    <row r="374">
      <c r="A374" s="292"/>
      <c r="B374" s="55"/>
      <c r="F374" s="55"/>
      <c r="G374" s="55"/>
      <c r="H374" s="55"/>
      <c r="I374" s="55"/>
      <c r="J374" s="55"/>
      <c r="Q374" s="55"/>
    </row>
    <row r="375">
      <c r="A375" s="292"/>
      <c r="B375" s="55"/>
      <c r="F375" s="55"/>
      <c r="G375" s="55"/>
      <c r="H375" s="55"/>
      <c r="I375" s="55"/>
      <c r="J375" s="55"/>
      <c r="Q375" s="55"/>
    </row>
    <row r="376">
      <c r="A376" s="292"/>
      <c r="B376" s="55"/>
      <c r="F376" s="55"/>
      <c r="G376" s="55"/>
      <c r="H376" s="55"/>
      <c r="I376" s="55"/>
      <c r="J376" s="55"/>
      <c r="Q376" s="55"/>
    </row>
    <row r="377">
      <c r="A377" s="292"/>
      <c r="B377" s="55"/>
      <c r="F377" s="55"/>
      <c r="G377" s="55"/>
      <c r="H377" s="55"/>
      <c r="I377" s="55"/>
      <c r="J377" s="55"/>
      <c r="Q377" s="55"/>
    </row>
    <row r="378">
      <c r="A378" s="292"/>
      <c r="B378" s="55"/>
      <c r="F378" s="55"/>
      <c r="G378" s="55"/>
      <c r="H378" s="55"/>
      <c r="I378" s="55"/>
      <c r="J378" s="55"/>
      <c r="Q378" s="55"/>
    </row>
    <row r="379">
      <c r="A379" s="292"/>
      <c r="B379" s="55"/>
      <c r="F379" s="55"/>
      <c r="G379" s="55"/>
      <c r="H379" s="55"/>
      <c r="I379" s="55"/>
      <c r="J379" s="55"/>
      <c r="Q379" s="55"/>
    </row>
    <row r="380">
      <c r="A380" s="292"/>
      <c r="B380" s="55"/>
      <c r="F380" s="55"/>
      <c r="G380" s="55"/>
      <c r="H380" s="55"/>
      <c r="I380" s="55"/>
      <c r="J380" s="55"/>
      <c r="Q380" s="55"/>
    </row>
    <row r="381">
      <c r="A381" s="292"/>
      <c r="B381" s="55"/>
      <c r="F381" s="55"/>
      <c r="G381" s="55"/>
      <c r="H381" s="55"/>
      <c r="I381" s="55"/>
      <c r="J381" s="55"/>
      <c r="Q381" s="55"/>
    </row>
    <row r="382">
      <c r="A382" s="292"/>
      <c r="B382" s="55"/>
      <c r="F382" s="55"/>
      <c r="G382" s="55"/>
      <c r="H382" s="55"/>
      <c r="I382" s="55"/>
      <c r="J382" s="55"/>
      <c r="Q382" s="55"/>
    </row>
    <row r="383">
      <c r="A383" s="292"/>
      <c r="B383" s="55"/>
      <c r="F383" s="55"/>
      <c r="G383" s="55"/>
      <c r="H383" s="55"/>
      <c r="I383" s="55"/>
      <c r="J383" s="55"/>
      <c r="Q383" s="55"/>
    </row>
    <row r="384">
      <c r="A384" s="292"/>
      <c r="B384" s="55"/>
      <c r="F384" s="55"/>
      <c r="G384" s="55"/>
      <c r="H384" s="55"/>
      <c r="I384" s="55"/>
      <c r="J384" s="55"/>
      <c r="Q384" s="55"/>
    </row>
    <row r="385">
      <c r="A385" s="292"/>
      <c r="B385" s="55"/>
      <c r="F385" s="55"/>
      <c r="G385" s="55"/>
      <c r="H385" s="55"/>
      <c r="I385" s="55"/>
      <c r="J385" s="55"/>
      <c r="Q385" s="55"/>
    </row>
    <row r="386">
      <c r="A386" s="292"/>
      <c r="B386" s="55"/>
      <c r="F386" s="55"/>
      <c r="G386" s="55"/>
      <c r="H386" s="55"/>
      <c r="I386" s="55"/>
      <c r="J386" s="55"/>
      <c r="Q386" s="55"/>
    </row>
    <row r="387">
      <c r="A387" s="292"/>
      <c r="B387" s="55"/>
      <c r="F387" s="55"/>
      <c r="G387" s="55"/>
      <c r="H387" s="55"/>
      <c r="I387" s="55"/>
      <c r="J387" s="55"/>
      <c r="Q387" s="55"/>
    </row>
    <row r="388">
      <c r="A388" s="292"/>
      <c r="B388" s="55"/>
      <c r="F388" s="55"/>
      <c r="G388" s="55"/>
      <c r="H388" s="55"/>
      <c r="I388" s="55"/>
      <c r="J388" s="55"/>
      <c r="Q388" s="55"/>
    </row>
    <row r="389">
      <c r="A389" s="292"/>
      <c r="B389" s="55"/>
      <c r="F389" s="55"/>
      <c r="G389" s="55"/>
      <c r="H389" s="55"/>
      <c r="I389" s="55"/>
      <c r="J389" s="55"/>
      <c r="Q389" s="55"/>
    </row>
    <row r="390">
      <c r="A390" s="292"/>
      <c r="B390" s="55"/>
      <c r="F390" s="55"/>
      <c r="G390" s="55"/>
      <c r="H390" s="55"/>
      <c r="I390" s="55"/>
      <c r="J390" s="55"/>
      <c r="Q390" s="55"/>
    </row>
    <row r="391">
      <c r="A391" s="292"/>
      <c r="B391" s="55"/>
      <c r="F391" s="55"/>
      <c r="G391" s="55"/>
      <c r="H391" s="55"/>
      <c r="I391" s="55"/>
      <c r="J391" s="55"/>
      <c r="Q391" s="55"/>
    </row>
    <row r="392">
      <c r="A392" s="292"/>
      <c r="B392" s="55"/>
      <c r="F392" s="55"/>
      <c r="G392" s="55"/>
      <c r="H392" s="55"/>
      <c r="I392" s="55"/>
      <c r="J392" s="55"/>
      <c r="Q392" s="55"/>
    </row>
    <row r="393">
      <c r="A393" s="292"/>
      <c r="B393" s="55"/>
      <c r="F393" s="55"/>
      <c r="G393" s="55"/>
      <c r="H393" s="55"/>
      <c r="I393" s="55"/>
      <c r="J393" s="55"/>
      <c r="Q393" s="55"/>
    </row>
    <row r="394">
      <c r="A394" s="292"/>
      <c r="B394" s="55"/>
      <c r="F394" s="55"/>
      <c r="G394" s="55"/>
      <c r="H394" s="55"/>
      <c r="I394" s="55"/>
      <c r="J394" s="55"/>
      <c r="Q394" s="55"/>
    </row>
    <row r="395">
      <c r="A395" s="292"/>
      <c r="B395" s="55"/>
      <c r="F395" s="55"/>
      <c r="G395" s="55"/>
      <c r="H395" s="55"/>
      <c r="I395" s="55"/>
      <c r="J395" s="55"/>
      <c r="Q395" s="55"/>
    </row>
    <row r="396">
      <c r="A396" s="292"/>
      <c r="B396" s="55"/>
      <c r="F396" s="55"/>
      <c r="G396" s="55"/>
      <c r="H396" s="55"/>
      <c r="I396" s="55"/>
      <c r="J396" s="55"/>
      <c r="Q396" s="55"/>
    </row>
    <row r="397">
      <c r="A397" s="292"/>
      <c r="B397" s="55"/>
      <c r="F397" s="55"/>
      <c r="G397" s="55"/>
      <c r="H397" s="55"/>
      <c r="I397" s="55"/>
      <c r="J397" s="55"/>
      <c r="Q397" s="55"/>
    </row>
    <row r="398">
      <c r="A398" s="292"/>
      <c r="B398" s="55"/>
      <c r="F398" s="55"/>
      <c r="G398" s="55"/>
      <c r="H398" s="55"/>
      <c r="I398" s="55"/>
      <c r="J398" s="55"/>
      <c r="Q398" s="55"/>
    </row>
    <row r="399">
      <c r="A399" s="292"/>
      <c r="B399" s="55"/>
      <c r="F399" s="55"/>
      <c r="G399" s="55"/>
      <c r="H399" s="55"/>
      <c r="I399" s="55"/>
      <c r="J399" s="55"/>
      <c r="Q399" s="55"/>
    </row>
    <row r="400">
      <c r="A400" s="292"/>
      <c r="B400" s="55"/>
      <c r="F400" s="55"/>
      <c r="G400" s="55"/>
      <c r="H400" s="55"/>
      <c r="I400" s="55"/>
      <c r="J400" s="55"/>
      <c r="Q400" s="55"/>
    </row>
    <row r="401">
      <c r="A401" s="292"/>
      <c r="B401" s="55"/>
      <c r="F401" s="55"/>
      <c r="G401" s="55"/>
      <c r="H401" s="55"/>
      <c r="I401" s="55"/>
      <c r="J401" s="55"/>
      <c r="Q401" s="55"/>
    </row>
    <row r="402">
      <c r="A402" s="292"/>
      <c r="B402" s="55"/>
      <c r="F402" s="55"/>
      <c r="G402" s="55"/>
      <c r="H402" s="55"/>
      <c r="I402" s="55"/>
      <c r="J402" s="55"/>
      <c r="Q402" s="55"/>
    </row>
    <row r="403">
      <c r="A403" s="292"/>
      <c r="B403" s="55"/>
      <c r="F403" s="55"/>
      <c r="G403" s="55"/>
      <c r="H403" s="55"/>
      <c r="I403" s="55"/>
      <c r="J403" s="55"/>
      <c r="Q403" s="55"/>
    </row>
    <row r="404">
      <c r="A404" s="292"/>
      <c r="B404" s="55"/>
      <c r="F404" s="55"/>
      <c r="G404" s="55"/>
      <c r="H404" s="55"/>
      <c r="I404" s="55"/>
      <c r="J404" s="55"/>
      <c r="Q404" s="55"/>
    </row>
    <row r="405">
      <c r="A405" s="292"/>
      <c r="B405" s="55"/>
      <c r="F405" s="55"/>
      <c r="G405" s="55"/>
      <c r="H405" s="55"/>
      <c r="I405" s="55"/>
      <c r="J405" s="55"/>
      <c r="Q405" s="55"/>
    </row>
    <row r="406">
      <c r="A406" s="292"/>
      <c r="B406" s="55"/>
      <c r="F406" s="55"/>
      <c r="G406" s="55"/>
      <c r="H406" s="55"/>
      <c r="I406" s="55"/>
      <c r="J406" s="55"/>
      <c r="Q406" s="55"/>
    </row>
    <row r="407">
      <c r="A407" s="292"/>
      <c r="B407" s="55"/>
      <c r="F407" s="55"/>
      <c r="G407" s="55"/>
      <c r="H407" s="55"/>
      <c r="I407" s="55"/>
      <c r="J407" s="55"/>
      <c r="Q407" s="55"/>
    </row>
    <row r="408">
      <c r="A408" s="292"/>
      <c r="B408" s="55"/>
      <c r="F408" s="55"/>
      <c r="G408" s="55"/>
      <c r="H408" s="55"/>
      <c r="I408" s="55"/>
      <c r="J408" s="55"/>
      <c r="Q408" s="55"/>
    </row>
    <row r="409">
      <c r="A409" s="292"/>
      <c r="B409" s="55"/>
      <c r="F409" s="55"/>
      <c r="G409" s="55"/>
      <c r="H409" s="55"/>
      <c r="I409" s="55"/>
      <c r="J409" s="55"/>
      <c r="Q409" s="55"/>
    </row>
    <row r="410">
      <c r="A410" s="292"/>
      <c r="B410" s="55"/>
      <c r="F410" s="55"/>
      <c r="G410" s="55"/>
      <c r="H410" s="55"/>
      <c r="I410" s="55"/>
      <c r="J410" s="55"/>
      <c r="Q410" s="55"/>
    </row>
    <row r="411">
      <c r="A411" s="292"/>
      <c r="B411" s="55"/>
      <c r="F411" s="55"/>
      <c r="G411" s="55"/>
      <c r="H411" s="55"/>
      <c r="I411" s="55"/>
      <c r="J411" s="55"/>
      <c r="Q411" s="55"/>
    </row>
    <row r="412">
      <c r="A412" s="292"/>
      <c r="B412" s="55"/>
      <c r="F412" s="55"/>
      <c r="G412" s="55"/>
      <c r="H412" s="55"/>
      <c r="I412" s="55"/>
      <c r="J412" s="55"/>
      <c r="Q412" s="55"/>
    </row>
    <row r="413">
      <c r="A413" s="292"/>
      <c r="B413" s="55"/>
      <c r="F413" s="55"/>
      <c r="G413" s="55"/>
      <c r="H413" s="55"/>
      <c r="I413" s="55"/>
      <c r="J413" s="55"/>
      <c r="Q413" s="55"/>
    </row>
    <row r="414">
      <c r="A414" s="292"/>
      <c r="B414" s="55"/>
      <c r="F414" s="55"/>
      <c r="G414" s="55"/>
      <c r="H414" s="55"/>
      <c r="I414" s="55"/>
      <c r="J414" s="55"/>
      <c r="Q414" s="55"/>
    </row>
    <row r="415">
      <c r="A415" s="292"/>
      <c r="B415" s="55"/>
      <c r="F415" s="55"/>
      <c r="G415" s="55"/>
      <c r="H415" s="55"/>
      <c r="I415" s="55"/>
      <c r="J415" s="55"/>
      <c r="Q415" s="55"/>
    </row>
    <row r="416">
      <c r="A416" s="292"/>
      <c r="B416" s="55"/>
      <c r="F416" s="55"/>
      <c r="G416" s="55"/>
      <c r="H416" s="55"/>
      <c r="I416" s="55"/>
      <c r="J416" s="55"/>
      <c r="Q416" s="55"/>
    </row>
    <row r="417">
      <c r="A417" s="292"/>
      <c r="B417" s="55"/>
      <c r="F417" s="55"/>
      <c r="G417" s="55"/>
      <c r="H417" s="55"/>
      <c r="I417" s="55"/>
      <c r="J417" s="55"/>
      <c r="Q417" s="55"/>
    </row>
    <row r="418">
      <c r="A418" s="292"/>
      <c r="B418" s="55"/>
      <c r="F418" s="55"/>
      <c r="G418" s="55"/>
      <c r="H418" s="55"/>
      <c r="I418" s="55"/>
      <c r="J418" s="55"/>
      <c r="Q418" s="55"/>
    </row>
    <row r="419">
      <c r="A419" s="292"/>
      <c r="B419" s="55"/>
      <c r="F419" s="55"/>
      <c r="G419" s="55"/>
      <c r="H419" s="55"/>
      <c r="I419" s="55"/>
      <c r="J419" s="55"/>
      <c r="Q419" s="55"/>
    </row>
    <row r="420">
      <c r="A420" s="292"/>
      <c r="B420" s="55"/>
      <c r="F420" s="55"/>
      <c r="G420" s="55"/>
      <c r="H420" s="55"/>
      <c r="I420" s="55"/>
      <c r="J420" s="55"/>
      <c r="Q420" s="55"/>
    </row>
    <row r="421">
      <c r="A421" s="292"/>
      <c r="B421" s="55"/>
      <c r="F421" s="55"/>
      <c r="G421" s="55"/>
      <c r="H421" s="55"/>
      <c r="I421" s="55"/>
      <c r="J421" s="55"/>
      <c r="Q421" s="55"/>
    </row>
    <row r="422">
      <c r="A422" s="292"/>
      <c r="B422" s="55"/>
      <c r="F422" s="55"/>
      <c r="G422" s="55"/>
      <c r="H422" s="55"/>
      <c r="I422" s="55"/>
      <c r="J422" s="55"/>
      <c r="Q422" s="55"/>
    </row>
    <row r="423">
      <c r="A423" s="292"/>
      <c r="B423" s="55"/>
      <c r="F423" s="55"/>
      <c r="G423" s="55"/>
      <c r="H423" s="55"/>
      <c r="I423" s="55"/>
      <c r="J423" s="55"/>
      <c r="Q423" s="55"/>
    </row>
    <row r="424">
      <c r="A424" s="292"/>
      <c r="B424" s="55"/>
      <c r="F424" s="55"/>
      <c r="G424" s="55"/>
      <c r="H424" s="55"/>
      <c r="I424" s="55"/>
      <c r="J424" s="55"/>
      <c r="Q424" s="55"/>
    </row>
    <row r="425">
      <c r="A425" s="292"/>
      <c r="B425" s="55"/>
      <c r="F425" s="55"/>
      <c r="G425" s="55"/>
      <c r="H425" s="55"/>
      <c r="I425" s="55"/>
      <c r="J425" s="55"/>
      <c r="Q425" s="55"/>
    </row>
    <row r="426">
      <c r="A426" s="292"/>
      <c r="B426" s="55"/>
      <c r="F426" s="55"/>
      <c r="G426" s="55"/>
      <c r="H426" s="55"/>
      <c r="I426" s="55"/>
      <c r="J426" s="55"/>
      <c r="Q426" s="55"/>
    </row>
    <row r="427">
      <c r="A427" s="292"/>
      <c r="B427" s="55"/>
      <c r="F427" s="55"/>
      <c r="G427" s="55"/>
      <c r="H427" s="55"/>
      <c r="I427" s="55"/>
      <c r="J427" s="55"/>
      <c r="Q427" s="55"/>
    </row>
    <row r="428">
      <c r="A428" s="292"/>
      <c r="B428" s="55"/>
      <c r="F428" s="55"/>
      <c r="G428" s="55"/>
      <c r="H428" s="55"/>
      <c r="I428" s="55"/>
      <c r="J428" s="55"/>
      <c r="Q428" s="55"/>
    </row>
    <row r="429">
      <c r="A429" s="292"/>
      <c r="B429" s="55"/>
      <c r="F429" s="55"/>
      <c r="G429" s="55"/>
      <c r="H429" s="55"/>
      <c r="I429" s="55"/>
      <c r="J429" s="55"/>
      <c r="Q429" s="55"/>
    </row>
    <row r="430">
      <c r="A430" s="292"/>
      <c r="B430" s="55"/>
      <c r="F430" s="55"/>
      <c r="G430" s="55"/>
      <c r="H430" s="55"/>
      <c r="I430" s="55"/>
      <c r="J430" s="55"/>
      <c r="Q430" s="55"/>
    </row>
    <row r="431">
      <c r="A431" s="292"/>
      <c r="B431" s="55"/>
      <c r="F431" s="55"/>
      <c r="G431" s="55"/>
      <c r="H431" s="55"/>
      <c r="I431" s="55"/>
      <c r="J431" s="55"/>
      <c r="Q431" s="55"/>
    </row>
    <row r="432">
      <c r="A432" s="292"/>
      <c r="B432" s="55"/>
      <c r="F432" s="55"/>
      <c r="G432" s="55"/>
      <c r="H432" s="55"/>
      <c r="I432" s="55"/>
      <c r="J432" s="55"/>
      <c r="Q432" s="55"/>
    </row>
    <row r="433">
      <c r="A433" s="292"/>
      <c r="B433" s="55"/>
      <c r="F433" s="55"/>
      <c r="G433" s="55"/>
      <c r="H433" s="55"/>
      <c r="I433" s="55"/>
      <c r="J433" s="55"/>
      <c r="Q433" s="55"/>
    </row>
    <row r="434">
      <c r="A434" s="292"/>
      <c r="B434" s="55"/>
      <c r="F434" s="55"/>
      <c r="G434" s="55"/>
      <c r="H434" s="55"/>
      <c r="I434" s="55"/>
      <c r="J434" s="55"/>
      <c r="Q434" s="55"/>
    </row>
    <row r="435">
      <c r="A435" s="292"/>
      <c r="B435" s="55"/>
      <c r="F435" s="55"/>
      <c r="G435" s="55"/>
      <c r="H435" s="55"/>
      <c r="I435" s="55"/>
      <c r="J435" s="55"/>
      <c r="Q435" s="55"/>
    </row>
    <row r="436">
      <c r="A436" s="292"/>
      <c r="B436" s="55"/>
      <c r="F436" s="55"/>
      <c r="G436" s="55"/>
      <c r="H436" s="55"/>
      <c r="I436" s="55"/>
      <c r="J436" s="55"/>
      <c r="Q436" s="55"/>
    </row>
    <row r="437">
      <c r="A437" s="292"/>
      <c r="B437" s="55"/>
      <c r="F437" s="55"/>
      <c r="G437" s="55"/>
      <c r="H437" s="55"/>
      <c r="I437" s="55"/>
      <c r="J437" s="55"/>
      <c r="Q437" s="55"/>
    </row>
    <row r="438">
      <c r="A438" s="292"/>
      <c r="B438" s="55"/>
      <c r="F438" s="55"/>
      <c r="G438" s="55"/>
      <c r="H438" s="55"/>
      <c r="I438" s="55"/>
      <c r="J438" s="55"/>
      <c r="Q438" s="55"/>
    </row>
    <row r="439">
      <c r="A439" s="292"/>
      <c r="B439" s="55"/>
      <c r="F439" s="55"/>
      <c r="G439" s="55"/>
      <c r="H439" s="55"/>
      <c r="I439" s="55"/>
      <c r="J439" s="55"/>
      <c r="Q439" s="55"/>
    </row>
    <row r="440">
      <c r="A440" s="292"/>
      <c r="B440" s="55"/>
      <c r="F440" s="55"/>
      <c r="G440" s="55"/>
      <c r="H440" s="55"/>
      <c r="I440" s="55"/>
      <c r="J440" s="55"/>
      <c r="Q440" s="55"/>
    </row>
    <row r="441">
      <c r="A441" s="292"/>
      <c r="B441" s="55"/>
      <c r="F441" s="55"/>
      <c r="G441" s="55"/>
      <c r="H441" s="55"/>
      <c r="I441" s="55"/>
      <c r="J441" s="55"/>
      <c r="Q441" s="55"/>
    </row>
    <row r="442">
      <c r="A442" s="292"/>
      <c r="B442" s="55"/>
      <c r="F442" s="55"/>
      <c r="G442" s="55"/>
      <c r="H442" s="55"/>
      <c r="I442" s="55"/>
      <c r="J442" s="55"/>
      <c r="Q442" s="55"/>
    </row>
    <row r="443">
      <c r="A443" s="292"/>
      <c r="B443" s="55"/>
      <c r="F443" s="55"/>
      <c r="G443" s="55"/>
      <c r="H443" s="55"/>
      <c r="I443" s="55"/>
      <c r="J443" s="55"/>
      <c r="Q443" s="55"/>
    </row>
    <row r="444">
      <c r="A444" s="292"/>
      <c r="B444" s="55"/>
      <c r="F444" s="55"/>
      <c r="G444" s="55"/>
      <c r="H444" s="55"/>
      <c r="I444" s="55"/>
      <c r="J444" s="55"/>
      <c r="Q444" s="55"/>
    </row>
    <row r="445">
      <c r="A445" s="292"/>
      <c r="B445" s="55"/>
      <c r="F445" s="55"/>
      <c r="G445" s="55"/>
      <c r="H445" s="55"/>
      <c r="I445" s="55"/>
      <c r="J445" s="55"/>
      <c r="Q445" s="55"/>
    </row>
    <row r="446">
      <c r="A446" s="292"/>
      <c r="B446" s="55"/>
      <c r="F446" s="55"/>
      <c r="G446" s="55"/>
      <c r="H446" s="55"/>
      <c r="I446" s="55"/>
      <c r="J446" s="55"/>
      <c r="Q446" s="55"/>
    </row>
    <row r="447">
      <c r="A447" s="292"/>
      <c r="B447" s="55"/>
      <c r="F447" s="55"/>
      <c r="G447" s="55"/>
      <c r="H447" s="55"/>
      <c r="I447" s="55"/>
      <c r="J447" s="55"/>
      <c r="Q447" s="55"/>
    </row>
    <row r="448">
      <c r="A448" s="292"/>
      <c r="B448" s="55"/>
      <c r="F448" s="55"/>
      <c r="G448" s="55"/>
      <c r="H448" s="55"/>
      <c r="I448" s="55"/>
      <c r="J448" s="55"/>
      <c r="Q448" s="55"/>
    </row>
    <row r="449">
      <c r="A449" s="292"/>
      <c r="B449" s="55"/>
      <c r="F449" s="55"/>
      <c r="G449" s="55"/>
      <c r="H449" s="55"/>
      <c r="I449" s="55"/>
      <c r="J449" s="55"/>
      <c r="Q449" s="55"/>
    </row>
    <row r="450">
      <c r="A450" s="292"/>
      <c r="B450" s="55"/>
      <c r="F450" s="55"/>
      <c r="G450" s="55"/>
      <c r="H450" s="55"/>
      <c r="I450" s="55"/>
      <c r="J450" s="55"/>
      <c r="Q450" s="55"/>
    </row>
    <row r="451">
      <c r="A451" s="292"/>
      <c r="B451" s="55"/>
      <c r="F451" s="55"/>
      <c r="G451" s="55"/>
      <c r="H451" s="55"/>
      <c r="I451" s="55"/>
      <c r="J451" s="55"/>
      <c r="Q451" s="55"/>
    </row>
    <row r="452">
      <c r="A452" s="292"/>
      <c r="B452" s="55"/>
      <c r="F452" s="55"/>
      <c r="G452" s="55"/>
      <c r="H452" s="55"/>
      <c r="I452" s="55"/>
      <c r="J452" s="55"/>
      <c r="Q452" s="55"/>
    </row>
    <row r="453">
      <c r="A453" s="292"/>
      <c r="B453" s="55"/>
      <c r="F453" s="55"/>
      <c r="G453" s="55"/>
      <c r="H453" s="55"/>
      <c r="I453" s="55"/>
      <c r="J453" s="55"/>
      <c r="Q453" s="55"/>
    </row>
    <row r="454">
      <c r="A454" s="292"/>
      <c r="B454" s="55"/>
      <c r="F454" s="55"/>
      <c r="G454" s="55"/>
      <c r="H454" s="55"/>
      <c r="I454" s="55"/>
      <c r="J454" s="55"/>
      <c r="Q454" s="55"/>
    </row>
    <row r="455">
      <c r="A455" s="292"/>
      <c r="B455" s="55"/>
      <c r="F455" s="55"/>
      <c r="G455" s="55"/>
      <c r="H455" s="55"/>
      <c r="I455" s="55"/>
      <c r="J455" s="55"/>
      <c r="Q455" s="55"/>
    </row>
    <row r="456">
      <c r="A456" s="292"/>
      <c r="B456" s="55"/>
      <c r="F456" s="55"/>
      <c r="G456" s="55"/>
      <c r="H456" s="55"/>
      <c r="I456" s="55"/>
      <c r="J456" s="55"/>
      <c r="Q456" s="55"/>
    </row>
    <row r="457">
      <c r="A457" s="292"/>
      <c r="B457" s="55"/>
      <c r="F457" s="55"/>
      <c r="G457" s="55"/>
      <c r="H457" s="55"/>
      <c r="I457" s="55"/>
      <c r="J457" s="55"/>
      <c r="Q457" s="55"/>
    </row>
    <row r="458">
      <c r="A458" s="292"/>
      <c r="B458" s="55"/>
      <c r="F458" s="55"/>
      <c r="G458" s="55"/>
      <c r="H458" s="55"/>
      <c r="I458" s="55"/>
      <c r="J458" s="55"/>
      <c r="Q458" s="55"/>
    </row>
    <row r="459">
      <c r="A459" s="292"/>
      <c r="B459" s="55"/>
      <c r="F459" s="55"/>
      <c r="G459" s="55"/>
      <c r="H459" s="55"/>
      <c r="I459" s="55"/>
      <c r="J459" s="55"/>
      <c r="Q459" s="55"/>
    </row>
    <row r="460">
      <c r="A460" s="292"/>
      <c r="B460" s="55"/>
      <c r="F460" s="55"/>
      <c r="G460" s="55"/>
      <c r="H460" s="55"/>
      <c r="I460" s="55"/>
      <c r="J460" s="55"/>
      <c r="Q460" s="55"/>
    </row>
    <row r="461">
      <c r="A461" s="292"/>
      <c r="B461" s="55"/>
      <c r="F461" s="55"/>
      <c r="G461" s="55"/>
      <c r="H461" s="55"/>
      <c r="I461" s="55"/>
      <c r="J461" s="55"/>
      <c r="Q461" s="55"/>
    </row>
    <row r="462">
      <c r="A462" s="292"/>
      <c r="B462" s="55"/>
      <c r="F462" s="55"/>
      <c r="G462" s="55"/>
      <c r="H462" s="55"/>
      <c r="I462" s="55"/>
      <c r="J462" s="55"/>
      <c r="Q462" s="55"/>
    </row>
    <row r="463">
      <c r="A463" s="292"/>
      <c r="B463" s="55"/>
      <c r="F463" s="55"/>
      <c r="G463" s="55"/>
      <c r="H463" s="55"/>
      <c r="I463" s="55"/>
      <c r="J463" s="55"/>
      <c r="Q463" s="55"/>
    </row>
    <row r="464">
      <c r="A464" s="292"/>
      <c r="B464" s="55"/>
      <c r="F464" s="55"/>
      <c r="G464" s="55"/>
      <c r="H464" s="55"/>
      <c r="I464" s="55"/>
      <c r="J464" s="55"/>
      <c r="Q464" s="55"/>
    </row>
    <row r="465">
      <c r="A465" s="292"/>
      <c r="B465" s="55"/>
      <c r="F465" s="55"/>
      <c r="G465" s="55"/>
      <c r="H465" s="55"/>
      <c r="I465" s="55"/>
      <c r="J465" s="55"/>
      <c r="Q465" s="55"/>
    </row>
    <row r="466">
      <c r="A466" s="292"/>
      <c r="B466" s="55"/>
      <c r="F466" s="55"/>
      <c r="G466" s="55"/>
      <c r="H466" s="55"/>
      <c r="I466" s="55"/>
      <c r="J466" s="55"/>
      <c r="Q466" s="55"/>
    </row>
    <row r="467">
      <c r="A467" s="292"/>
      <c r="B467" s="55"/>
      <c r="F467" s="55"/>
      <c r="G467" s="55"/>
      <c r="H467" s="55"/>
      <c r="I467" s="55"/>
      <c r="J467" s="55"/>
      <c r="Q467" s="55"/>
    </row>
    <row r="468">
      <c r="A468" s="292"/>
      <c r="B468" s="55"/>
      <c r="F468" s="55"/>
      <c r="G468" s="55"/>
      <c r="H468" s="55"/>
      <c r="I468" s="55"/>
      <c r="J468" s="55"/>
      <c r="Q468" s="55"/>
    </row>
    <row r="469">
      <c r="A469" s="292"/>
      <c r="B469" s="55"/>
      <c r="F469" s="55"/>
      <c r="G469" s="55"/>
      <c r="H469" s="55"/>
      <c r="I469" s="55"/>
      <c r="J469" s="55"/>
      <c r="Q469" s="55"/>
    </row>
    <row r="470">
      <c r="A470" s="292"/>
      <c r="B470" s="55"/>
      <c r="F470" s="55"/>
      <c r="G470" s="55"/>
      <c r="H470" s="55"/>
      <c r="I470" s="55"/>
      <c r="J470" s="55"/>
      <c r="Q470" s="55"/>
    </row>
    <row r="471">
      <c r="A471" s="292"/>
      <c r="B471" s="55"/>
      <c r="F471" s="55"/>
      <c r="G471" s="55"/>
      <c r="H471" s="55"/>
      <c r="I471" s="55"/>
      <c r="J471" s="55"/>
      <c r="Q471" s="55"/>
    </row>
    <row r="472">
      <c r="A472" s="292"/>
      <c r="B472" s="55"/>
      <c r="F472" s="55"/>
      <c r="G472" s="55"/>
      <c r="H472" s="55"/>
      <c r="I472" s="55"/>
      <c r="J472" s="55"/>
      <c r="Q472" s="55"/>
    </row>
    <row r="473">
      <c r="A473" s="292"/>
      <c r="B473" s="55"/>
      <c r="F473" s="55"/>
      <c r="G473" s="55"/>
      <c r="H473" s="55"/>
      <c r="I473" s="55"/>
      <c r="J473" s="55"/>
      <c r="Q473" s="55"/>
    </row>
    <row r="474">
      <c r="A474" s="292"/>
      <c r="B474" s="55"/>
      <c r="F474" s="55"/>
      <c r="G474" s="55"/>
      <c r="H474" s="55"/>
      <c r="I474" s="55"/>
      <c r="J474" s="55"/>
      <c r="Q474" s="55"/>
    </row>
    <row r="475">
      <c r="A475" s="292"/>
      <c r="B475" s="55"/>
      <c r="F475" s="55"/>
      <c r="G475" s="55"/>
      <c r="H475" s="55"/>
      <c r="I475" s="55"/>
      <c r="J475" s="55"/>
      <c r="Q475" s="55"/>
    </row>
    <row r="476">
      <c r="A476" s="292"/>
      <c r="B476" s="55"/>
      <c r="F476" s="55"/>
      <c r="G476" s="55"/>
      <c r="H476" s="55"/>
      <c r="I476" s="55"/>
      <c r="J476" s="55"/>
      <c r="Q476" s="55"/>
    </row>
    <row r="477">
      <c r="A477" s="292"/>
      <c r="B477" s="55"/>
      <c r="F477" s="55"/>
      <c r="G477" s="55"/>
      <c r="H477" s="55"/>
      <c r="I477" s="55"/>
      <c r="J477" s="55"/>
      <c r="Q477" s="55"/>
    </row>
    <row r="478">
      <c r="A478" s="292"/>
      <c r="B478" s="55"/>
      <c r="F478" s="55"/>
      <c r="G478" s="55"/>
      <c r="H478" s="55"/>
      <c r="I478" s="55"/>
      <c r="J478" s="55"/>
      <c r="Q478" s="55"/>
    </row>
    <row r="479">
      <c r="A479" s="292"/>
      <c r="B479" s="55"/>
      <c r="F479" s="55"/>
      <c r="G479" s="55"/>
      <c r="H479" s="55"/>
      <c r="I479" s="55"/>
      <c r="J479" s="55"/>
      <c r="Q479" s="55"/>
    </row>
    <row r="480">
      <c r="A480" s="292"/>
      <c r="B480" s="55"/>
      <c r="F480" s="55"/>
      <c r="G480" s="55"/>
      <c r="H480" s="55"/>
      <c r="I480" s="55"/>
      <c r="J480" s="55"/>
      <c r="Q480" s="55"/>
    </row>
    <row r="481">
      <c r="A481" s="292"/>
      <c r="B481" s="55"/>
      <c r="F481" s="55"/>
      <c r="G481" s="55"/>
      <c r="H481" s="55"/>
      <c r="I481" s="55"/>
      <c r="J481" s="55"/>
      <c r="Q481" s="55"/>
    </row>
    <row r="482">
      <c r="A482" s="292"/>
      <c r="B482" s="55"/>
      <c r="F482" s="55"/>
      <c r="G482" s="55"/>
      <c r="H482" s="55"/>
      <c r="I482" s="55"/>
      <c r="J482" s="55"/>
      <c r="Q482" s="55"/>
    </row>
    <row r="483">
      <c r="A483" s="292"/>
      <c r="B483" s="55"/>
      <c r="F483" s="55"/>
      <c r="G483" s="55"/>
      <c r="H483" s="55"/>
      <c r="I483" s="55"/>
      <c r="J483" s="55"/>
      <c r="Q483" s="55"/>
    </row>
    <row r="484">
      <c r="A484" s="292"/>
      <c r="B484" s="55"/>
      <c r="F484" s="55"/>
      <c r="G484" s="55"/>
      <c r="H484" s="55"/>
      <c r="I484" s="55"/>
      <c r="J484" s="55"/>
      <c r="Q484" s="55"/>
    </row>
    <row r="485">
      <c r="A485" s="292"/>
      <c r="B485" s="55"/>
      <c r="F485" s="55"/>
      <c r="G485" s="55"/>
      <c r="H485" s="55"/>
      <c r="I485" s="55"/>
      <c r="J485" s="55"/>
      <c r="Q485" s="55"/>
    </row>
    <row r="486">
      <c r="A486" s="292"/>
      <c r="B486" s="55"/>
      <c r="F486" s="55"/>
      <c r="G486" s="55"/>
      <c r="H486" s="55"/>
      <c r="I486" s="55"/>
      <c r="J486" s="55"/>
      <c r="Q486" s="55"/>
    </row>
    <row r="487">
      <c r="A487" s="292"/>
      <c r="B487" s="55"/>
      <c r="F487" s="55"/>
      <c r="G487" s="55"/>
      <c r="H487" s="55"/>
      <c r="I487" s="55"/>
      <c r="J487" s="55"/>
      <c r="Q487" s="55"/>
    </row>
    <row r="488">
      <c r="A488" s="292"/>
      <c r="B488" s="55"/>
      <c r="F488" s="55"/>
      <c r="G488" s="55"/>
      <c r="H488" s="55"/>
      <c r="I488" s="55"/>
      <c r="J488" s="55"/>
      <c r="Q488" s="55"/>
    </row>
    <row r="489">
      <c r="A489" s="292"/>
      <c r="B489" s="55"/>
      <c r="F489" s="55"/>
      <c r="G489" s="55"/>
      <c r="H489" s="55"/>
      <c r="I489" s="55"/>
      <c r="J489" s="55"/>
      <c r="Q489" s="55"/>
    </row>
    <row r="490">
      <c r="A490" s="292"/>
      <c r="B490" s="55"/>
      <c r="F490" s="55"/>
      <c r="G490" s="55"/>
      <c r="H490" s="55"/>
      <c r="I490" s="55"/>
      <c r="J490" s="55"/>
      <c r="Q490" s="55"/>
    </row>
    <row r="491">
      <c r="A491" s="292"/>
      <c r="B491" s="55"/>
      <c r="F491" s="55"/>
      <c r="G491" s="55"/>
      <c r="H491" s="55"/>
      <c r="I491" s="55"/>
      <c r="J491" s="55"/>
      <c r="Q491" s="55"/>
    </row>
    <row r="492">
      <c r="A492" s="292"/>
      <c r="B492" s="55"/>
      <c r="F492" s="55"/>
      <c r="G492" s="55"/>
      <c r="H492" s="55"/>
      <c r="I492" s="55"/>
      <c r="J492" s="55"/>
      <c r="Q492" s="55"/>
    </row>
    <row r="493">
      <c r="A493" s="292"/>
      <c r="B493" s="55"/>
      <c r="F493" s="55"/>
      <c r="G493" s="55"/>
      <c r="H493" s="55"/>
      <c r="I493" s="55"/>
      <c r="J493" s="55"/>
      <c r="Q493" s="55"/>
    </row>
    <row r="494">
      <c r="A494" s="292"/>
      <c r="B494" s="55"/>
      <c r="F494" s="55"/>
      <c r="G494" s="55"/>
      <c r="H494" s="55"/>
      <c r="I494" s="55"/>
      <c r="J494" s="55"/>
      <c r="Q494" s="55"/>
    </row>
    <row r="495">
      <c r="A495" s="292"/>
      <c r="B495" s="55"/>
      <c r="F495" s="55"/>
      <c r="G495" s="55"/>
      <c r="H495" s="55"/>
      <c r="I495" s="55"/>
      <c r="J495" s="55"/>
      <c r="Q495" s="55"/>
    </row>
    <row r="496">
      <c r="A496" s="292"/>
      <c r="B496" s="55"/>
      <c r="F496" s="55"/>
      <c r="G496" s="55"/>
      <c r="H496" s="55"/>
      <c r="I496" s="55"/>
      <c r="J496" s="55"/>
      <c r="Q496" s="55"/>
    </row>
    <row r="497">
      <c r="A497" s="292"/>
      <c r="B497" s="55"/>
      <c r="F497" s="55"/>
      <c r="G497" s="55"/>
      <c r="H497" s="55"/>
      <c r="I497" s="55"/>
      <c r="J497" s="55"/>
      <c r="Q497" s="55"/>
    </row>
    <row r="498">
      <c r="A498" s="292"/>
      <c r="B498" s="55"/>
      <c r="F498" s="55"/>
      <c r="G498" s="55"/>
      <c r="H498" s="55"/>
      <c r="I498" s="55"/>
      <c r="J498" s="55"/>
      <c r="Q498" s="55"/>
    </row>
    <row r="499">
      <c r="A499" s="292"/>
      <c r="B499" s="55"/>
      <c r="F499" s="55"/>
      <c r="G499" s="55"/>
      <c r="H499" s="55"/>
      <c r="I499" s="55"/>
      <c r="J499" s="55"/>
      <c r="Q499" s="55"/>
    </row>
    <row r="500">
      <c r="A500" s="292"/>
      <c r="B500" s="55"/>
      <c r="F500" s="55"/>
      <c r="G500" s="55"/>
      <c r="H500" s="55"/>
      <c r="I500" s="55"/>
      <c r="J500" s="55"/>
      <c r="Q500" s="55"/>
    </row>
    <row r="501">
      <c r="A501" s="292"/>
      <c r="B501" s="55"/>
      <c r="F501" s="55"/>
      <c r="G501" s="55"/>
      <c r="H501" s="55"/>
      <c r="I501" s="55"/>
      <c r="J501" s="55"/>
      <c r="Q501" s="55"/>
    </row>
    <row r="502">
      <c r="A502" s="292"/>
      <c r="B502" s="55"/>
      <c r="F502" s="55"/>
      <c r="G502" s="55"/>
      <c r="H502" s="55"/>
      <c r="I502" s="55"/>
      <c r="J502" s="55"/>
      <c r="Q502" s="55"/>
    </row>
    <row r="503">
      <c r="A503" s="292"/>
      <c r="B503" s="55"/>
      <c r="F503" s="55"/>
      <c r="G503" s="55"/>
      <c r="H503" s="55"/>
      <c r="I503" s="55"/>
      <c r="J503" s="55"/>
      <c r="Q503" s="55"/>
    </row>
    <row r="504">
      <c r="A504" s="292"/>
      <c r="B504" s="55"/>
      <c r="F504" s="55"/>
      <c r="G504" s="55"/>
      <c r="H504" s="55"/>
      <c r="I504" s="55"/>
      <c r="J504" s="55"/>
      <c r="Q504" s="55"/>
    </row>
    <row r="505">
      <c r="A505" s="292"/>
      <c r="B505" s="55"/>
      <c r="F505" s="55"/>
      <c r="G505" s="55"/>
      <c r="H505" s="55"/>
      <c r="I505" s="55"/>
      <c r="J505" s="55"/>
      <c r="Q505" s="55"/>
    </row>
    <row r="506">
      <c r="A506" s="292"/>
      <c r="B506" s="55"/>
      <c r="F506" s="55"/>
      <c r="G506" s="55"/>
      <c r="H506" s="55"/>
      <c r="I506" s="55"/>
      <c r="J506" s="55"/>
      <c r="Q506" s="55"/>
    </row>
    <row r="507">
      <c r="A507" s="292"/>
      <c r="B507" s="55"/>
      <c r="F507" s="55"/>
      <c r="G507" s="55"/>
      <c r="H507" s="55"/>
      <c r="I507" s="55"/>
      <c r="J507" s="55"/>
      <c r="Q507" s="55"/>
    </row>
    <row r="508">
      <c r="A508" s="292"/>
      <c r="B508" s="55"/>
      <c r="F508" s="55"/>
      <c r="G508" s="55"/>
      <c r="H508" s="55"/>
      <c r="I508" s="55"/>
      <c r="J508" s="55"/>
      <c r="Q508" s="55"/>
    </row>
    <row r="509">
      <c r="A509" s="292"/>
      <c r="B509" s="55"/>
      <c r="F509" s="55"/>
      <c r="G509" s="55"/>
      <c r="H509" s="55"/>
      <c r="I509" s="55"/>
      <c r="J509" s="55"/>
      <c r="Q509" s="55"/>
    </row>
    <row r="510">
      <c r="A510" s="292"/>
      <c r="B510" s="55"/>
      <c r="F510" s="55"/>
      <c r="G510" s="55"/>
      <c r="H510" s="55"/>
      <c r="I510" s="55"/>
      <c r="J510" s="55"/>
      <c r="Q510" s="55"/>
    </row>
    <row r="511">
      <c r="A511" s="292"/>
      <c r="B511" s="55"/>
      <c r="F511" s="55"/>
      <c r="G511" s="55"/>
      <c r="H511" s="55"/>
      <c r="I511" s="55"/>
      <c r="J511" s="55"/>
      <c r="Q511" s="55"/>
    </row>
    <row r="512">
      <c r="A512" s="292"/>
      <c r="B512" s="55"/>
      <c r="F512" s="55"/>
      <c r="G512" s="55"/>
      <c r="H512" s="55"/>
      <c r="I512" s="55"/>
      <c r="J512" s="55"/>
      <c r="Q512" s="55"/>
    </row>
    <row r="513">
      <c r="A513" s="292"/>
      <c r="B513" s="55"/>
      <c r="F513" s="55"/>
      <c r="G513" s="55"/>
      <c r="H513" s="55"/>
      <c r="I513" s="55"/>
      <c r="J513" s="55"/>
      <c r="Q513" s="55"/>
    </row>
    <row r="514">
      <c r="A514" s="292"/>
      <c r="B514" s="55"/>
      <c r="F514" s="55"/>
      <c r="G514" s="55"/>
      <c r="H514" s="55"/>
      <c r="I514" s="55"/>
      <c r="J514" s="55"/>
      <c r="Q514" s="55"/>
    </row>
    <row r="515">
      <c r="A515" s="292"/>
      <c r="B515" s="55"/>
      <c r="F515" s="55"/>
      <c r="G515" s="55"/>
      <c r="H515" s="55"/>
      <c r="I515" s="55"/>
      <c r="J515" s="55"/>
      <c r="Q515" s="55"/>
    </row>
    <row r="516">
      <c r="A516" s="292"/>
      <c r="B516" s="55"/>
      <c r="F516" s="55"/>
      <c r="G516" s="55"/>
      <c r="H516" s="55"/>
      <c r="I516" s="55"/>
      <c r="J516" s="55"/>
      <c r="Q516" s="55"/>
    </row>
    <row r="517">
      <c r="A517" s="292"/>
      <c r="B517" s="55"/>
      <c r="F517" s="55"/>
      <c r="G517" s="55"/>
      <c r="H517" s="55"/>
      <c r="I517" s="55"/>
      <c r="J517" s="55"/>
      <c r="Q517" s="55"/>
    </row>
    <row r="518">
      <c r="A518" s="292"/>
      <c r="B518" s="55"/>
      <c r="F518" s="55"/>
      <c r="G518" s="55"/>
      <c r="H518" s="55"/>
      <c r="I518" s="55"/>
      <c r="J518" s="55"/>
      <c r="Q518" s="55"/>
    </row>
    <row r="519">
      <c r="A519" s="292"/>
      <c r="B519" s="55"/>
      <c r="F519" s="55"/>
      <c r="G519" s="55"/>
      <c r="H519" s="55"/>
      <c r="I519" s="55"/>
      <c r="J519" s="55"/>
      <c r="Q519" s="55"/>
    </row>
    <row r="520">
      <c r="A520" s="292"/>
      <c r="B520" s="55"/>
      <c r="F520" s="55"/>
      <c r="G520" s="55"/>
      <c r="H520" s="55"/>
      <c r="I520" s="55"/>
      <c r="J520" s="55"/>
      <c r="Q520" s="55"/>
    </row>
    <row r="521">
      <c r="A521" s="292"/>
      <c r="B521" s="55"/>
      <c r="F521" s="55"/>
      <c r="G521" s="55"/>
      <c r="H521" s="55"/>
      <c r="I521" s="55"/>
      <c r="J521" s="55"/>
      <c r="Q521" s="55"/>
    </row>
    <row r="522">
      <c r="A522" s="292"/>
      <c r="B522" s="55"/>
      <c r="F522" s="55"/>
      <c r="G522" s="55"/>
      <c r="H522" s="55"/>
      <c r="I522" s="55"/>
      <c r="J522" s="55"/>
      <c r="Q522" s="55"/>
    </row>
    <row r="523">
      <c r="A523" s="292"/>
      <c r="B523" s="55"/>
      <c r="F523" s="55"/>
      <c r="G523" s="55"/>
      <c r="H523" s="55"/>
      <c r="I523" s="55"/>
      <c r="J523" s="55"/>
      <c r="Q523" s="55"/>
    </row>
    <row r="524">
      <c r="A524" s="292"/>
      <c r="B524" s="55"/>
      <c r="F524" s="55"/>
      <c r="G524" s="55"/>
      <c r="H524" s="55"/>
      <c r="I524" s="55"/>
      <c r="J524" s="55"/>
      <c r="Q524" s="55"/>
    </row>
    <row r="525">
      <c r="A525" s="292"/>
      <c r="B525" s="55"/>
      <c r="F525" s="55"/>
      <c r="G525" s="55"/>
      <c r="H525" s="55"/>
      <c r="I525" s="55"/>
      <c r="J525" s="55"/>
      <c r="Q525" s="55"/>
    </row>
    <row r="526">
      <c r="A526" s="292"/>
      <c r="B526" s="55"/>
      <c r="F526" s="55"/>
      <c r="G526" s="55"/>
      <c r="H526" s="55"/>
      <c r="I526" s="55"/>
      <c r="J526" s="55"/>
      <c r="Q526" s="55"/>
    </row>
    <row r="527">
      <c r="A527" s="292"/>
      <c r="B527" s="55"/>
      <c r="F527" s="55"/>
      <c r="G527" s="55"/>
      <c r="H527" s="55"/>
      <c r="I527" s="55"/>
      <c r="J527" s="55"/>
      <c r="Q527" s="55"/>
    </row>
    <row r="528">
      <c r="A528" s="292"/>
      <c r="B528" s="55"/>
      <c r="F528" s="55"/>
      <c r="G528" s="55"/>
      <c r="H528" s="55"/>
      <c r="I528" s="55"/>
      <c r="J528" s="55"/>
      <c r="Q528" s="55"/>
    </row>
    <row r="529">
      <c r="A529" s="292"/>
      <c r="B529" s="55"/>
      <c r="F529" s="55"/>
      <c r="G529" s="55"/>
      <c r="H529" s="55"/>
      <c r="I529" s="55"/>
      <c r="J529" s="55"/>
      <c r="Q529" s="55"/>
    </row>
    <row r="530">
      <c r="A530" s="292"/>
      <c r="B530" s="55"/>
      <c r="F530" s="55"/>
      <c r="G530" s="55"/>
      <c r="H530" s="55"/>
      <c r="I530" s="55"/>
      <c r="J530" s="55"/>
      <c r="Q530" s="55"/>
    </row>
    <row r="531">
      <c r="A531" s="292"/>
      <c r="B531" s="55"/>
      <c r="F531" s="55"/>
      <c r="G531" s="55"/>
      <c r="H531" s="55"/>
      <c r="I531" s="55"/>
      <c r="J531" s="55"/>
      <c r="Q531" s="55"/>
    </row>
    <row r="532">
      <c r="A532" s="292"/>
      <c r="B532" s="55"/>
      <c r="F532" s="55"/>
      <c r="G532" s="55"/>
      <c r="H532" s="55"/>
      <c r="I532" s="55"/>
      <c r="J532" s="55"/>
      <c r="Q532" s="55"/>
    </row>
    <row r="533">
      <c r="A533" s="292"/>
      <c r="B533" s="55"/>
      <c r="F533" s="55"/>
      <c r="G533" s="55"/>
      <c r="H533" s="55"/>
      <c r="I533" s="55"/>
      <c r="J533" s="55"/>
      <c r="Q533" s="55"/>
    </row>
    <row r="534">
      <c r="A534" s="292"/>
      <c r="B534" s="55"/>
      <c r="F534" s="55"/>
      <c r="G534" s="55"/>
      <c r="H534" s="55"/>
      <c r="I534" s="55"/>
      <c r="J534" s="55"/>
      <c r="Q534" s="55"/>
    </row>
    <row r="535">
      <c r="A535" s="292"/>
      <c r="B535" s="55"/>
      <c r="F535" s="55"/>
      <c r="G535" s="55"/>
      <c r="H535" s="55"/>
      <c r="I535" s="55"/>
      <c r="J535" s="55"/>
      <c r="Q535" s="55"/>
    </row>
    <row r="536">
      <c r="A536" s="292"/>
      <c r="B536" s="55"/>
      <c r="F536" s="55"/>
      <c r="G536" s="55"/>
      <c r="H536" s="55"/>
      <c r="I536" s="55"/>
      <c r="J536" s="55"/>
      <c r="Q536" s="55"/>
    </row>
    <row r="537">
      <c r="A537" s="292"/>
      <c r="B537" s="55"/>
      <c r="F537" s="55"/>
      <c r="G537" s="55"/>
      <c r="H537" s="55"/>
      <c r="I537" s="55"/>
      <c r="J537" s="55"/>
      <c r="Q537" s="55"/>
    </row>
    <row r="538">
      <c r="A538" s="292"/>
      <c r="B538" s="55"/>
      <c r="F538" s="55"/>
      <c r="G538" s="55"/>
      <c r="H538" s="55"/>
      <c r="I538" s="55"/>
      <c r="J538" s="55"/>
      <c r="Q538" s="55"/>
    </row>
    <row r="539">
      <c r="A539" s="292"/>
      <c r="B539" s="55"/>
      <c r="F539" s="55"/>
      <c r="G539" s="55"/>
      <c r="H539" s="55"/>
      <c r="I539" s="55"/>
      <c r="J539" s="55"/>
      <c r="Q539" s="55"/>
    </row>
    <row r="540">
      <c r="A540" s="292"/>
      <c r="B540" s="55"/>
      <c r="F540" s="55"/>
      <c r="G540" s="55"/>
      <c r="H540" s="55"/>
      <c r="I540" s="55"/>
      <c r="J540" s="55"/>
      <c r="Q540" s="55"/>
    </row>
    <row r="541">
      <c r="A541" s="292"/>
      <c r="B541" s="55"/>
      <c r="F541" s="55"/>
      <c r="G541" s="55"/>
      <c r="H541" s="55"/>
      <c r="I541" s="55"/>
      <c r="J541" s="55"/>
      <c r="Q541" s="55"/>
    </row>
    <row r="542">
      <c r="A542" s="292"/>
      <c r="B542" s="55"/>
      <c r="F542" s="55"/>
      <c r="G542" s="55"/>
      <c r="H542" s="55"/>
      <c r="I542" s="55"/>
      <c r="J542" s="55"/>
      <c r="Q542" s="55"/>
    </row>
    <row r="543">
      <c r="A543" s="292"/>
      <c r="B543" s="55"/>
      <c r="F543" s="55"/>
      <c r="G543" s="55"/>
      <c r="H543" s="55"/>
      <c r="I543" s="55"/>
      <c r="J543" s="55"/>
      <c r="Q543" s="55"/>
    </row>
    <row r="544">
      <c r="A544" s="292"/>
      <c r="B544" s="55"/>
      <c r="F544" s="55"/>
      <c r="G544" s="55"/>
      <c r="H544" s="55"/>
      <c r="I544" s="55"/>
      <c r="J544" s="55"/>
      <c r="Q544" s="55"/>
    </row>
    <row r="545">
      <c r="A545" s="292"/>
      <c r="B545" s="55"/>
      <c r="F545" s="55"/>
      <c r="G545" s="55"/>
      <c r="H545" s="55"/>
      <c r="I545" s="55"/>
      <c r="J545" s="55"/>
      <c r="Q545" s="55"/>
    </row>
    <row r="546">
      <c r="A546" s="292"/>
      <c r="B546" s="55"/>
      <c r="F546" s="55"/>
      <c r="G546" s="55"/>
      <c r="H546" s="55"/>
      <c r="I546" s="55"/>
      <c r="J546" s="55"/>
      <c r="Q546" s="55"/>
    </row>
    <row r="547">
      <c r="A547" s="292"/>
      <c r="B547" s="55"/>
      <c r="F547" s="55"/>
      <c r="G547" s="55"/>
      <c r="H547" s="55"/>
      <c r="I547" s="55"/>
      <c r="J547" s="55"/>
      <c r="Q547" s="55"/>
    </row>
    <row r="548">
      <c r="A548" s="292"/>
      <c r="B548" s="55"/>
      <c r="F548" s="55"/>
      <c r="G548" s="55"/>
      <c r="H548" s="55"/>
      <c r="I548" s="55"/>
      <c r="J548" s="55"/>
      <c r="Q548" s="55"/>
    </row>
    <row r="549">
      <c r="A549" s="292"/>
      <c r="B549" s="55"/>
      <c r="F549" s="55"/>
      <c r="G549" s="55"/>
      <c r="H549" s="55"/>
      <c r="I549" s="55"/>
      <c r="J549" s="55"/>
      <c r="Q549" s="55"/>
    </row>
    <row r="550">
      <c r="A550" s="292"/>
      <c r="B550" s="55"/>
      <c r="F550" s="55"/>
      <c r="G550" s="55"/>
      <c r="H550" s="55"/>
      <c r="I550" s="55"/>
      <c r="J550" s="55"/>
      <c r="Q550" s="55"/>
    </row>
    <row r="551">
      <c r="A551" s="292"/>
      <c r="B551" s="55"/>
      <c r="F551" s="55"/>
      <c r="G551" s="55"/>
      <c r="H551" s="55"/>
      <c r="I551" s="55"/>
      <c r="J551" s="55"/>
      <c r="Q551" s="55"/>
    </row>
    <row r="552">
      <c r="A552" s="292"/>
      <c r="B552" s="55"/>
      <c r="F552" s="55"/>
      <c r="G552" s="55"/>
      <c r="H552" s="55"/>
      <c r="I552" s="55"/>
      <c r="J552" s="55"/>
      <c r="Q552" s="55"/>
    </row>
    <row r="553">
      <c r="A553" s="292"/>
      <c r="B553" s="55"/>
      <c r="F553" s="55"/>
      <c r="G553" s="55"/>
      <c r="H553" s="55"/>
      <c r="I553" s="55"/>
      <c r="J553" s="55"/>
      <c r="Q553" s="55"/>
    </row>
    <row r="554">
      <c r="A554" s="292"/>
      <c r="B554" s="55"/>
      <c r="F554" s="55"/>
      <c r="G554" s="55"/>
      <c r="H554" s="55"/>
      <c r="I554" s="55"/>
      <c r="J554" s="55"/>
      <c r="Q554" s="55"/>
    </row>
    <row r="555">
      <c r="A555" s="292"/>
      <c r="B555" s="55"/>
      <c r="F555" s="55"/>
      <c r="G555" s="55"/>
      <c r="H555" s="55"/>
      <c r="I555" s="55"/>
      <c r="J555" s="55"/>
      <c r="Q555" s="55"/>
    </row>
    <row r="556">
      <c r="A556" s="292"/>
      <c r="B556" s="55"/>
      <c r="F556" s="55"/>
      <c r="G556" s="55"/>
      <c r="H556" s="55"/>
      <c r="I556" s="55"/>
      <c r="J556" s="55"/>
      <c r="Q556" s="55"/>
    </row>
    <row r="557">
      <c r="A557" s="292"/>
      <c r="B557" s="55"/>
      <c r="F557" s="55"/>
      <c r="G557" s="55"/>
      <c r="H557" s="55"/>
      <c r="I557" s="55"/>
      <c r="J557" s="55"/>
      <c r="Q557" s="55"/>
    </row>
    <row r="558">
      <c r="A558" s="292"/>
      <c r="B558" s="55"/>
      <c r="F558" s="55"/>
      <c r="G558" s="55"/>
      <c r="H558" s="55"/>
      <c r="I558" s="55"/>
      <c r="J558" s="55"/>
      <c r="Q558" s="55"/>
    </row>
    <row r="559">
      <c r="A559" s="292"/>
      <c r="B559" s="55"/>
      <c r="F559" s="55"/>
      <c r="G559" s="55"/>
      <c r="H559" s="55"/>
      <c r="I559" s="55"/>
      <c r="J559" s="55"/>
      <c r="Q559" s="55"/>
    </row>
    <row r="560">
      <c r="A560" s="292"/>
      <c r="B560" s="55"/>
      <c r="F560" s="55"/>
      <c r="G560" s="55"/>
      <c r="H560" s="55"/>
      <c r="I560" s="55"/>
      <c r="J560" s="55"/>
      <c r="Q560" s="55"/>
    </row>
    <row r="561">
      <c r="A561" s="292"/>
      <c r="B561" s="55"/>
      <c r="F561" s="55"/>
      <c r="G561" s="55"/>
      <c r="H561" s="55"/>
      <c r="I561" s="55"/>
      <c r="J561" s="55"/>
      <c r="Q561" s="55"/>
    </row>
    <row r="562">
      <c r="A562" s="292"/>
      <c r="B562" s="55"/>
      <c r="F562" s="55"/>
      <c r="G562" s="55"/>
      <c r="H562" s="55"/>
      <c r="I562" s="55"/>
      <c r="J562" s="55"/>
      <c r="Q562" s="55"/>
    </row>
    <row r="563">
      <c r="A563" s="292"/>
      <c r="B563" s="55"/>
      <c r="F563" s="55"/>
      <c r="G563" s="55"/>
      <c r="H563" s="55"/>
      <c r="I563" s="55"/>
      <c r="J563" s="55"/>
      <c r="Q563" s="55"/>
    </row>
    <row r="564">
      <c r="A564" s="292"/>
      <c r="B564" s="55"/>
      <c r="F564" s="55"/>
      <c r="G564" s="55"/>
      <c r="H564" s="55"/>
      <c r="I564" s="55"/>
      <c r="J564" s="55"/>
      <c r="Q564" s="55"/>
    </row>
    <row r="565">
      <c r="A565" s="292"/>
      <c r="B565" s="55"/>
      <c r="F565" s="55"/>
      <c r="G565" s="55"/>
      <c r="H565" s="55"/>
      <c r="I565" s="55"/>
      <c r="J565" s="55"/>
      <c r="Q565" s="55"/>
    </row>
    <row r="566">
      <c r="A566" s="292"/>
      <c r="B566" s="55"/>
      <c r="F566" s="55"/>
      <c r="G566" s="55"/>
      <c r="H566" s="55"/>
      <c r="I566" s="55"/>
      <c r="J566" s="55"/>
      <c r="Q566" s="55"/>
    </row>
    <row r="567">
      <c r="A567" s="292"/>
      <c r="B567" s="55"/>
      <c r="F567" s="55"/>
      <c r="G567" s="55"/>
      <c r="H567" s="55"/>
      <c r="I567" s="55"/>
      <c r="J567" s="55"/>
      <c r="Q567" s="55"/>
    </row>
    <row r="568">
      <c r="A568" s="292"/>
      <c r="B568" s="55"/>
      <c r="F568" s="55"/>
      <c r="G568" s="55"/>
      <c r="H568" s="55"/>
      <c r="I568" s="55"/>
      <c r="J568" s="55"/>
      <c r="Q568" s="55"/>
    </row>
    <row r="569">
      <c r="A569" s="292"/>
      <c r="B569" s="55"/>
      <c r="F569" s="55"/>
      <c r="G569" s="55"/>
      <c r="H569" s="55"/>
      <c r="I569" s="55"/>
      <c r="J569" s="55"/>
      <c r="Q569" s="55"/>
    </row>
    <row r="570">
      <c r="A570" s="292"/>
      <c r="B570" s="55"/>
      <c r="F570" s="55"/>
      <c r="G570" s="55"/>
      <c r="H570" s="55"/>
      <c r="I570" s="55"/>
      <c r="J570" s="55"/>
      <c r="Q570" s="55"/>
    </row>
    <row r="571">
      <c r="A571" s="292"/>
      <c r="B571" s="55"/>
      <c r="F571" s="55"/>
      <c r="G571" s="55"/>
      <c r="H571" s="55"/>
      <c r="I571" s="55"/>
      <c r="J571" s="55"/>
      <c r="Q571" s="55"/>
    </row>
    <row r="572">
      <c r="A572" s="292"/>
      <c r="B572" s="55"/>
      <c r="F572" s="55"/>
      <c r="G572" s="55"/>
      <c r="H572" s="55"/>
      <c r="I572" s="55"/>
      <c r="J572" s="55"/>
      <c r="Q572" s="55"/>
    </row>
    <row r="573">
      <c r="A573" s="292"/>
      <c r="B573" s="55"/>
      <c r="F573" s="55"/>
      <c r="G573" s="55"/>
      <c r="H573" s="55"/>
      <c r="I573" s="55"/>
      <c r="J573" s="55"/>
      <c r="Q573" s="55"/>
    </row>
    <row r="574">
      <c r="A574" s="292"/>
      <c r="B574" s="55"/>
      <c r="F574" s="55"/>
      <c r="G574" s="55"/>
      <c r="H574" s="55"/>
      <c r="I574" s="55"/>
      <c r="J574" s="55"/>
      <c r="Q574" s="55"/>
    </row>
    <row r="575">
      <c r="A575" s="292"/>
      <c r="B575" s="55"/>
      <c r="F575" s="55"/>
      <c r="G575" s="55"/>
      <c r="H575" s="55"/>
      <c r="I575" s="55"/>
      <c r="J575" s="55"/>
      <c r="Q575" s="55"/>
    </row>
    <row r="576">
      <c r="A576" s="292"/>
      <c r="B576" s="55"/>
      <c r="F576" s="55"/>
      <c r="G576" s="55"/>
      <c r="H576" s="55"/>
      <c r="I576" s="55"/>
      <c r="J576" s="55"/>
      <c r="Q576" s="55"/>
    </row>
    <row r="577">
      <c r="A577" s="292"/>
      <c r="B577" s="55"/>
      <c r="F577" s="55"/>
      <c r="G577" s="55"/>
      <c r="H577" s="55"/>
      <c r="I577" s="55"/>
      <c r="J577" s="55"/>
      <c r="Q577" s="55"/>
    </row>
    <row r="578">
      <c r="A578" s="292"/>
      <c r="B578" s="55"/>
      <c r="F578" s="55"/>
      <c r="G578" s="55"/>
      <c r="H578" s="55"/>
      <c r="I578" s="55"/>
      <c r="J578" s="55"/>
      <c r="Q578" s="55"/>
    </row>
    <row r="579">
      <c r="A579" s="292"/>
      <c r="B579" s="55"/>
      <c r="F579" s="55"/>
      <c r="G579" s="55"/>
      <c r="H579" s="55"/>
      <c r="I579" s="55"/>
      <c r="J579" s="55"/>
      <c r="Q579" s="55"/>
    </row>
    <row r="580">
      <c r="A580" s="292"/>
      <c r="B580" s="55"/>
      <c r="F580" s="55"/>
      <c r="G580" s="55"/>
      <c r="H580" s="55"/>
      <c r="I580" s="55"/>
      <c r="J580" s="55"/>
      <c r="Q580" s="55"/>
    </row>
    <row r="581">
      <c r="A581" s="292"/>
      <c r="B581" s="55"/>
      <c r="F581" s="55"/>
      <c r="G581" s="55"/>
      <c r="H581" s="55"/>
      <c r="I581" s="55"/>
      <c r="J581" s="55"/>
      <c r="Q581" s="55"/>
    </row>
    <row r="582">
      <c r="A582" s="292"/>
      <c r="B582" s="55"/>
      <c r="F582" s="55"/>
      <c r="G582" s="55"/>
      <c r="H582" s="55"/>
      <c r="I582" s="55"/>
      <c r="J582" s="55"/>
      <c r="Q582" s="55"/>
    </row>
    <row r="583">
      <c r="A583" s="292"/>
      <c r="B583" s="55"/>
      <c r="F583" s="55"/>
      <c r="G583" s="55"/>
      <c r="H583" s="55"/>
      <c r="I583" s="55"/>
      <c r="J583" s="55"/>
      <c r="Q583" s="55"/>
    </row>
    <row r="584">
      <c r="A584" s="292"/>
      <c r="B584" s="55"/>
      <c r="F584" s="55"/>
      <c r="G584" s="55"/>
      <c r="H584" s="55"/>
      <c r="I584" s="55"/>
      <c r="J584" s="55"/>
      <c r="Q584" s="55"/>
    </row>
    <row r="585">
      <c r="A585" s="292"/>
      <c r="B585" s="55"/>
      <c r="F585" s="55"/>
      <c r="G585" s="55"/>
      <c r="H585" s="55"/>
      <c r="I585" s="55"/>
      <c r="J585" s="55"/>
      <c r="Q585" s="55"/>
    </row>
    <row r="586">
      <c r="A586" s="292"/>
      <c r="B586" s="55"/>
      <c r="F586" s="55"/>
      <c r="G586" s="55"/>
      <c r="H586" s="55"/>
      <c r="I586" s="55"/>
      <c r="J586" s="55"/>
      <c r="Q586" s="55"/>
    </row>
    <row r="587">
      <c r="A587" s="292"/>
      <c r="B587" s="55"/>
      <c r="F587" s="55"/>
      <c r="G587" s="55"/>
      <c r="H587" s="55"/>
      <c r="I587" s="55"/>
      <c r="J587" s="55"/>
      <c r="Q587" s="55"/>
    </row>
    <row r="588">
      <c r="A588" s="292"/>
      <c r="B588" s="55"/>
      <c r="F588" s="55"/>
      <c r="G588" s="55"/>
      <c r="H588" s="55"/>
      <c r="I588" s="55"/>
      <c r="J588" s="55"/>
      <c r="Q588" s="55"/>
    </row>
    <row r="589">
      <c r="A589" s="292"/>
      <c r="B589" s="55"/>
      <c r="F589" s="55"/>
      <c r="G589" s="55"/>
      <c r="H589" s="55"/>
      <c r="I589" s="55"/>
      <c r="J589" s="55"/>
      <c r="Q589" s="55"/>
    </row>
    <row r="590">
      <c r="A590" s="292"/>
      <c r="B590" s="55"/>
      <c r="F590" s="55"/>
      <c r="G590" s="55"/>
      <c r="H590" s="55"/>
      <c r="I590" s="55"/>
      <c r="J590" s="55"/>
      <c r="Q590" s="55"/>
    </row>
    <row r="591">
      <c r="A591" s="292"/>
      <c r="B591" s="55"/>
      <c r="F591" s="55"/>
      <c r="G591" s="55"/>
      <c r="H591" s="55"/>
      <c r="I591" s="55"/>
      <c r="J591" s="55"/>
      <c r="Q591" s="55"/>
    </row>
    <row r="592">
      <c r="A592" s="292"/>
      <c r="B592" s="55"/>
      <c r="F592" s="55"/>
      <c r="G592" s="55"/>
      <c r="H592" s="55"/>
      <c r="I592" s="55"/>
      <c r="J592" s="55"/>
      <c r="Q592" s="55"/>
    </row>
    <row r="593">
      <c r="A593" s="292"/>
      <c r="B593" s="55"/>
      <c r="F593" s="55"/>
      <c r="G593" s="55"/>
      <c r="H593" s="55"/>
      <c r="I593" s="55"/>
      <c r="J593" s="55"/>
      <c r="Q593" s="55"/>
    </row>
    <row r="594">
      <c r="A594" s="292"/>
      <c r="B594" s="55"/>
      <c r="F594" s="55"/>
      <c r="G594" s="55"/>
      <c r="H594" s="55"/>
      <c r="I594" s="55"/>
      <c r="J594" s="55"/>
      <c r="Q594" s="55"/>
    </row>
    <row r="595">
      <c r="A595" s="292"/>
      <c r="B595" s="55"/>
      <c r="F595" s="55"/>
      <c r="G595" s="55"/>
      <c r="H595" s="55"/>
      <c r="I595" s="55"/>
      <c r="J595" s="55"/>
      <c r="Q595" s="55"/>
    </row>
    <row r="596">
      <c r="A596" s="292"/>
      <c r="B596" s="55"/>
      <c r="F596" s="55"/>
      <c r="G596" s="55"/>
      <c r="H596" s="55"/>
      <c r="I596" s="55"/>
      <c r="J596" s="55"/>
      <c r="Q596" s="55"/>
    </row>
    <row r="597">
      <c r="A597" s="292"/>
      <c r="B597" s="55"/>
      <c r="F597" s="55"/>
      <c r="G597" s="55"/>
      <c r="H597" s="55"/>
      <c r="I597" s="55"/>
      <c r="J597" s="55"/>
      <c r="Q597" s="55"/>
    </row>
    <row r="598">
      <c r="A598" s="292"/>
      <c r="B598" s="55"/>
      <c r="F598" s="55"/>
      <c r="G598" s="55"/>
      <c r="H598" s="55"/>
      <c r="I598" s="55"/>
      <c r="J598" s="55"/>
      <c r="Q598" s="55"/>
    </row>
    <row r="599">
      <c r="A599" s="292"/>
      <c r="B599" s="55"/>
      <c r="F599" s="55"/>
      <c r="G599" s="55"/>
      <c r="H599" s="55"/>
      <c r="I599" s="55"/>
      <c r="J599" s="55"/>
      <c r="Q599" s="55"/>
    </row>
    <row r="600">
      <c r="A600" s="292"/>
      <c r="B600" s="55"/>
      <c r="F600" s="55"/>
      <c r="G600" s="55"/>
      <c r="H600" s="55"/>
      <c r="I600" s="55"/>
      <c r="J600" s="55"/>
      <c r="Q600" s="55"/>
    </row>
    <row r="601">
      <c r="A601" s="292"/>
      <c r="B601" s="55"/>
      <c r="F601" s="55"/>
      <c r="G601" s="55"/>
      <c r="H601" s="55"/>
      <c r="I601" s="55"/>
      <c r="J601" s="55"/>
      <c r="Q601" s="55"/>
    </row>
    <row r="602">
      <c r="A602" s="292"/>
      <c r="B602" s="55"/>
      <c r="F602" s="55"/>
      <c r="G602" s="55"/>
      <c r="H602" s="55"/>
      <c r="I602" s="55"/>
      <c r="J602" s="55"/>
      <c r="Q602" s="55"/>
    </row>
    <row r="603">
      <c r="A603" s="292"/>
      <c r="B603" s="55"/>
      <c r="F603" s="55"/>
      <c r="G603" s="55"/>
      <c r="H603" s="55"/>
      <c r="I603" s="55"/>
      <c r="J603" s="55"/>
      <c r="Q603" s="55"/>
    </row>
    <row r="604">
      <c r="A604" s="292"/>
      <c r="B604" s="55"/>
      <c r="F604" s="55"/>
      <c r="G604" s="55"/>
      <c r="H604" s="55"/>
      <c r="I604" s="55"/>
      <c r="J604" s="55"/>
      <c r="Q604" s="55"/>
    </row>
    <row r="605">
      <c r="A605" s="292"/>
      <c r="B605" s="55"/>
      <c r="F605" s="55"/>
      <c r="G605" s="55"/>
      <c r="H605" s="55"/>
      <c r="I605" s="55"/>
      <c r="J605" s="55"/>
      <c r="Q605" s="55"/>
    </row>
    <row r="606">
      <c r="A606" s="292"/>
      <c r="B606" s="55"/>
      <c r="F606" s="55"/>
      <c r="G606" s="55"/>
      <c r="H606" s="55"/>
      <c r="I606" s="55"/>
      <c r="J606" s="55"/>
      <c r="Q606" s="55"/>
    </row>
    <row r="607">
      <c r="A607" s="292"/>
      <c r="B607" s="55"/>
      <c r="F607" s="55"/>
      <c r="G607" s="55"/>
      <c r="H607" s="55"/>
      <c r="I607" s="55"/>
      <c r="J607" s="55"/>
      <c r="Q607" s="55"/>
    </row>
    <row r="608">
      <c r="A608" s="292"/>
      <c r="B608" s="55"/>
      <c r="F608" s="55"/>
      <c r="G608" s="55"/>
      <c r="H608" s="55"/>
      <c r="I608" s="55"/>
      <c r="J608" s="55"/>
      <c r="Q608" s="55"/>
    </row>
    <row r="609">
      <c r="A609" s="292"/>
      <c r="B609" s="55"/>
      <c r="F609" s="55"/>
      <c r="G609" s="55"/>
      <c r="H609" s="55"/>
      <c r="I609" s="55"/>
      <c r="J609" s="55"/>
      <c r="Q609" s="55"/>
    </row>
    <row r="610">
      <c r="A610" s="292"/>
      <c r="B610" s="55"/>
      <c r="F610" s="55"/>
      <c r="G610" s="55"/>
      <c r="H610" s="55"/>
      <c r="I610" s="55"/>
      <c r="J610" s="55"/>
      <c r="Q610" s="55"/>
    </row>
    <row r="611">
      <c r="A611" s="292"/>
      <c r="B611" s="55"/>
      <c r="F611" s="55"/>
      <c r="G611" s="55"/>
      <c r="H611" s="55"/>
      <c r="I611" s="55"/>
      <c r="J611" s="55"/>
      <c r="Q611" s="55"/>
    </row>
    <row r="612">
      <c r="A612" s="292"/>
      <c r="B612" s="55"/>
      <c r="F612" s="55"/>
      <c r="G612" s="55"/>
      <c r="H612" s="55"/>
      <c r="I612" s="55"/>
      <c r="J612" s="55"/>
      <c r="Q612" s="55"/>
    </row>
    <row r="613">
      <c r="A613" s="292"/>
      <c r="B613" s="55"/>
      <c r="F613" s="55"/>
      <c r="G613" s="55"/>
      <c r="H613" s="55"/>
      <c r="I613" s="55"/>
      <c r="J613" s="55"/>
      <c r="Q613" s="55"/>
    </row>
    <row r="614">
      <c r="A614" s="292"/>
      <c r="B614" s="55"/>
      <c r="F614" s="55"/>
      <c r="G614" s="55"/>
      <c r="H614" s="55"/>
      <c r="I614" s="55"/>
      <c r="J614" s="55"/>
      <c r="Q614" s="55"/>
    </row>
    <row r="615">
      <c r="A615" s="292"/>
      <c r="B615" s="55"/>
      <c r="F615" s="55"/>
      <c r="G615" s="55"/>
      <c r="H615" s="55"/>
      <c r="I615" s="55"/>
      <c r="J615" s="55"/>
      <c r="Q615" s="55"/>
    </row>
    <row r="616">
      <c r="A616" s="292"/>
      <c r="B616" s="55"/>
      <c r="F616" s="55"/>
      <c r="G616" s="55"/>
      <c r="H616" s="55"/>
      <c r="I616" s="55"/>
      <c r="J616" s="55"/>
      <c r="Q616" s="55"/>
    </row>
    <row r="617">
      <c r="A617" s="292"/>
      <c r="B617" s="55"/>
      <c r="F617" s="55"/>
      <c r="G617" s="55"/>
      <c r="H617" s="55"/>
      <c r="I617" s="55"/>
      <c r="J617" s="55"/>
      <c r="Q617" s="55"/>
    </row>
    <row r="618">
      <c r="A618" s="292"/>
      <c r="B618" s="55"/>
      <c r="F618" s="55"/>
      <c r="G618" s="55"/>
      <c r="H618" s="55"/>
      <c r="I618" s="55"/>
      <c r="J618" s="55"/>
      <c r="Q618" s="55"/>
    </row>
    <row r="619">
      <c r="A619" s="292"/>
      <c r="B619" s="55"/>
      <c r="F619" s="55"/>
      <c r="G619" s="55"/>
      <c r="H619" s="55"/>
      <c r="I619" s="55"/>
      <c r="J619" s="55"/>
      <c r="Q619" s="55"/>
    </row>
    <row r="620">
      <c r="A620" s="292"/>
      <c r="B620" s="55"/>
      <c r="F620" s="55"/>
      <c r="G620" s="55"/>
      <c r="H620" s="55"/>
      <c r="I620" s="55"/>
      <c r="J620" s="55"/>
      <c r="Q620" s="55"/>
    </row>
    <row r="621">
      <c r="A621" s="292"/>
      <c r="B621" s="55"/>
      <c r="F621" s="55"/>
      <c r="G621" s="55"/>
      <c r="H621" s="55"/>
      <c r="I621" s="55"/>
      <c r="J621" s="55"/>
      <c r="Q621" s="55"/>
    </row>
    <row r="622">
      <c r="A622" s="292"/>
      <c r="B622" s="55"/>
      <c r="F622" s="55"/>
      <c r="G622" s="55"/>
      <c r="H622" s="55"/>
      <c r="I622" s="55"/>
      <c r="J622" s="55"/>
      <c r="Q622" s="55"/>
    </row>
    <row r="623">
      <c r="A623" s="292"/>
      <c r="B623" s="55"/>
      <c r="F623" s="55"/>
      <c r="G623" s="55"/>
      <c r="H623" s="55"/>
      <c r="I623" s="55"/>
      <c r="J623" s="55"/>
      <c r="Q623" s="55"/>
    </row>
    <row r="624">
      <c r="A624" s="292"/>
      <c r="B624" s="55"/>
      <c r="F624" s="55"/>
      <c r="G624" s="55"/>
      <c r="H624" s="55"/>
      <c r="I624" s="55"/>
      <c r="J624" s="55"/>
      <c r="Q624" s="55"/>
    </row>
    <row r="625">
      <c r="A625" s="292"/>
      <c r="B625" s="55"/>
      <c r="F625" s="55"/>
      <c r="G625" s="55"/>
      <c r="H625" s="55"/>
      <c r="I625" s="55"/>
      <c r="J625" s="55"/>
      <c r="Q625" s="55"/>
    </row>
    <row r="626">
      <c r="A626" s="292"/>
      <c r="B626" s="55"/>
      <c r="F626" s="55"/>
      <c r="G626" s="55"/>
      <c r="H626" s="55"/>
      <c r="I626" s="55"/>
      <c r="J626" s="55"/>
      <c r="Q626" s="55"/>
    </row>
    <row r="627">
      <c r="A627" s="292"/>
      <c r="B627" s="55"/>
      <c r="F627" s="55"/>
      <c r="G627" s="55"/>
      <c r="H627" s="55"/>
      <c r="I627" s="55"/>
      <c r="J627" s="55"/>
      <c r="Q627" s="55"/>
    </row>
    <row r="628">
      <c r="A628" s="292"/>
      <c r="B628" s="55"/>
      <c r="F628" s="55"/>
      <c r="G628" s="55"/>
      <c r="H628" s="55"/>
      <c r="I628" s="55"/>
      <c r="J628" s="55"/>
      <c r="Q628" s="55"/>
    </row>
    <row r="629">
      <c r="A629" s="292"/>
      <c r="B629" s="55"/>
      <c r="F629" s="55"/>
      <c r="G629" s="55"/>
      <c r="H629" s="55"/>
      <c r="I629" s="55"/>
      <c r="J629" s="55"/>
      <c r="Q629" s="55"/>
    </row>
    <row r="630">
      <c r="A630" s="292"/>
      <c r="B630" s="55"/>
      <c r="F630" s="55"/>
      <c r="G630" s="55"/>
      <c r="H630" s="55"/>
      <c r="I630" s="55"/>
      <c r="J630" s="55"/>
      <c r="Q630" s="55"/>
    </row>
    <row r="631">
      <c r="A631" s="292"/>
      <c r="B631" s="55"/>
      <c r="F631" s="55"/>
      <c r="G631" s="55"/>
      <c r="H631" s="55"/>
      <c r="I631" s="55"/>
      <c r="J631" s="55"/>
      <c r="Q631" s="55"/>
    </row>
    <row r="632">
      <c r="A632" s="292"/>
      <c r="B632" s="55"/>
      <c r="F632" s="55"/>
      <c r="G632" s="55"/>
      <c r="H632" s="55"/>
      <c r="I632" s="55"/>
      <c r="J632" s="55"/>
      <c r="Q632" s="55"/>
    </row>
    <row r="633">
      <c r="A633" s="292"/>
      <c r="B633" s="55"/>
      <c r="F633" s="55"/>
      <c r="G633" s="55"/>
      <c r="H633" s="55"/>
      <c r="I633" s="55"/>
      <c r="J633" s="55"/>
      <c r="Q633" s="55"/>
    </row>
    <row r="634">
      <c r="A634" s="292"/>
      <c r="B634" s="55"/>
      <c r="F634" s="55"/>
      <c r="G634" s="55"/>
      <c r="H634" s="55"/>
      <c r="I634" s="55"/>
      <c r="J634" s="55"/>
      <c r="Q634" s="55"/>
    </row>
    <row r="635">
      <c r="A635" s="292"/>
      <c r="B635" s="55"/>
      <c r="F635" s="55"/>
      <c r="G635" s="55"/>
      <c r="H635" s="55"/>
      <c r="I635" s="55"/>
      <c r="J635" s="55"/>
      <c r="Q635" s="55"/>
    </row>
    <row r="636">
      <c r="A636" s="292"/>
      <c r="B636" s="55"/>
      <c r="F636" s="55"/>
      <c r="G636" s="55"/>
      <c r="H636" s="55"/>
      <c r="I636" s="55"/>
      <c r="J636" s="55"/>
      <c r="Q636" s="55"/>
    </row>
    <row r="637">
      <c r="A637" s="292"/>
      <c r="B637" s="55"/>
      <c r="F637" s="55"/>
      <c r="G637" s="55"/>
      <c r="H637" s="55"/>
      <c r="I637" s="55"/>
      <c r="J637" s="55"/>
      <c r="Q637" s="55"/>
    </row>
    <row r="638">
      <c r="A638" s="292"/>
      <c r="B638" s="55"/>
      <c r="F638" s="55"/>
      <c r="G638" s="55"/>
      <c r="H638" s="55"/>
      <c r="I638" s="55"/>
      <c r="J638" s="55"/>
      <c r="Q638" s="55"/>
    </row>
    <row r="639">
      <c r="A639" s="292"/>
      <c r="B639" s="55"/>
      <c r="F639" s="55"/>
      <c r="G639" s="55"/>
      <c r="H639" s="55"/>
      <c r="I639" s="55"/>
      <c r="J639" s="55"/>
      <c r="Q639" s="55"/>
    </row>
    <row r="640">
      <c r="A640" s="292"/>
      <c r="B640" s="55"/>
      <c r="F640" s="55"/>
      <c r="G640" s="55"/>
      <c r="H640" s="55"/>
      <c r="I640" s="55"/>
      <c r="J640" s="55"/>
      <c r="Q640" s="55"/>
    </row>
    <row r="641">
      <c r="A641" s="292"/>
      <c r="B641" s="55"/>
      <c r="F641" s="55"/>
      <c r="G641" s="55"/>
      <c r="H641" s="55"/>
      <c r="I641" s="55"/>
      <c r="J641" s="55"/>
      <c r="Q641" s="55"/>
    </row>
    <row r="642">
      <c r="A642" s="292"/>
      <c r="B642" s="55"/>
      <c r="F642" s="55"/>
      <c r="G642" s="55"/>
      <c r="H642" s="55"/>
      <c r="I642" s="55"/>
      <c r="J642" s="55"/>
      <c r="Q642" s="55"/>
    </row>
    <row r="643">
      <c r="A643" s="292"/>
      <c r="B643" s="55"/>
      <c r="F643" s="55"/>
      <c r="G643" s="55"/>
      <c r="H643" s="55"/>
      <c r="I643" s="55"/>
      <c r="J643" s="55"/>
      <c r="Q643" s="55"/>
    </row>
    <row r="644">
      <c r="A644" s="292"/>
      <c r="B644" s="55"/>
      <c r="F644" s="55"/>
      <c r="G644" s="55"/>
      <c r="H644" s="55"/>
      <c r="I644" s="55"/>
      <c r="J644" s="55"/>
      <c r="Q644" s="55"/>
    </row>
    <row r="645">
      <c r="A645" s="292"/>
      <c r="B645" s="55"/>
      <c r="F645" s="55"/>
      <c r="G645" s="55"/>
      <c r="H645" s="55"/>
      <c r="I645" s="55"/>
      <c r="J645" s="55"/>
      <c r="Q645" s="55"/>
    </row>
    <row r="646">
      <c r="A646" s="292"/>
      <c r="B646" s="55"/>
      <c r="F646" s="55"/>
      <c r="G646" s="55"/>
      <c r="H646" s="55"/>
      <c r="I646" s="55"/>
      <c r="J646" s="55"/>
      <c r="Q646" s="55"/>
    </row>
    <row r="647">
      <c r="A647" s="292"/>
      <c r="B647" s="55"/>
      <c r="F647" s="55"/>
      <c r="G647" s="55"/>
      <c r="H647" s="55"/>
      <c r="I647" s="55"/>
      <c r="J647" s="55"/>
      <c r="Q647" s="55"/>
    </row>
    <row r="648">
      <c r="A648" s="292"/>
      <c r="B648" s="55"/>
      <c r="F648" s="55"/>
      <c r="G648" s="55"/>
      <c r="H648" s="55"/>
      <c r="I648" s="55"/>
      <c r="J648" s="55"/>
      <c r="Q648" s="55"/>
    </row>
    <row r="649">
      <c r="A649" s="292"/>
      <c r="B649" s="55"/>
      <c r="F649" s="55"/>
      <c r="G649" s="55"/>
      <c r="H649" s="55"/>
      <c r="I649" s="55"/>
      <c r="J649" s="55"/>
      <c r="Q649" s="55"/>
    </row>
    <row r="650">
      <c r="A650" s="292"/>
      <c r="B650" s="55"/>
      <c r="F650" s="55"/>
      <c r="G650" s="55"/>
      <c r="H650" s="55"/>
      <c r="I650" s="55"/>
      <c r="J650" s="55"/>
      <c r="Q650" s="55"/>
    </row>
    <row r="651">
      <c r="A651" s="292"/>
      <c r="B651" s="55"/>
      <c r="F651" s="55"/>
      <c r="G651" s="55"/>
      <c r="H651" s="55"/>
      <c r="I651" s="55"/>
      <c r="J651" s="55"/>
      <c r="Q651" s="55"/>
    </row>
    <row r="652">
      <c r="A652" s="292"/>
      <c r="B652" s="55"/>
      <c r="F652" s="55"/>
      <c r="G652" s="55"/>
      <c r="H652" s="55"/>
      <c r="I652" s="55"/>
      <c r="J652" s="55"/>
      <c r="Q652" s="55"/>
    </row>
    <row r="653">
      <c r="A653" s="292"/>
      <c r="B653" s="55"/>
      <c r="F653" s="55"/>
      <c r="G653" s="55"/>
      <c r="H653" s="55"/>
      <c r="I653" s="55"/>
      <c r="J653" s="55"/>
      <c r="Q653" s="55"/>
    </row>
    <row r="654">
      <c r="A654" s="292"/>
      <c r="B654" s="55"/>
      <c r="F654" s="55"/>
      <c r="G654" s="55"/>
      <c r="H654" s="55"/>
      <c r="I654" s="55"/>
      <c r="J654" s="55"/>
      <c r="Q654" s="55"/>
    </row>
    <row r="655">
      <c r="A655" s="292"/>
      <c r="B655" s="55"/>
      <c r="F655" s="55"/>
      <c r="G655" s="55"/>
      <c r="H655" s="55"/>
      <c r="I655" s="55"/>
      <c r="J655" s="55"/>
      <c r="Q655" s="55"/>
    </row>
    <row r="656">
      <c r="A656" s="292"/>
      <c r="B656" s="55"/>
      <c r="F656" s="55"/>
      <c r="G656" s="55"/>
      <c r="H656" s="55"/>
      <c r="I656" s="55"/>
      <c r="J656" s="55"/>
      <c r="Q656" s="55"/>
    </row>
    <row r="657">
      <c r="A657" s="292"/>
      <c r="B657" s="55"/>
      <c r="F657" s="55"/>
      <c r="G657" s="55"/>
      <c r="H657" s="55"/>
      <c r="I657" s="55"/>
      <c r="J657" s="55"/>
      <c r="Q657" s="55"/>
    </row>
    <row r="658">
      <c r="A658" s="292"/>
      <c r="B658" s="55"/>
      <c r="F658" s="55"/>
      <c r="G658" s="55"/>
      <c r="H658" s="55"/>
      <c r="I658" s="55"/>
      <c r="J658" s="55"/>
      <c r="Q658" s="55"/>
    </row>
    <row r="659">
      <c r="A659" s="292"/>
      <c r="B659" s="55"/>
      <c r="F659" s="55"/>
      <c r="G659" s="55"/>
      <c r="H659" s="55"/>
      <c r="I659" s="55"/>
      <c r="J659" s="55"/>
      <c r="Q659" s="55"/>
    </row>
    <row r="660">
      <c r="A660" s="292"/>
      <c r="B660" s="55"/>
      <c r="F660" s="55"/>
      <c r="G660" s="55"/>
      <c r="H660" s="55"/>
      <c r="I660" s="55"/>
      <c r="J660" s="55"/>
      <c r="Q660" s="55"/>
    </row>
    <row r="661">
      <c r="A661" s="292"/>
      <c r="B661" s="55"/>
      <c r="F661" s="55"/>
      <c r="G661" s="55"/>
      <c r="H661" s="55"/>
      <c r="I661" s="55"/>
      <c r="J661" s="55"/>
      <c r="Q661" s="55"/>
    </row>
    <row r="662">
      <c r="A662" s="292"/>
      <c r="B662" s="55"/>
      <c r="F662" s="55"/>
      <c r="G662" s="55"/>
      <c r="H662" s="55"/>
      <c r="I662" s="55"/>
      <c r="J662" s="55"/>
      <c r="Q662" s="55"/>
    </row>
    <row r="663">
      <c r="A663" s="292"/>
      <c r="B663" s="55"/>
      <c r="F663" s="55"/>
      <c r="G663" s="55"/>
      <c r="H663" s="55"/>
      <c r="I663" s="55"/>
      <c r="J663" s="55"/>
      <c r="Q663" s="55"/>
    </row>
    <row r="664">
      <c r="A664" s="292"/>
      <c r="B664" s="55"/>
      <c r="F664" s="55"/>
      <c r="G664" s="55"/>
      <c r="H664" s="55"/>
      <c r="I664" s="55"/>
      <c r="J664" s="55"/>
      <c r="Q664" s="55"/>
    </row>
    <row r="665">
      <c r="A665" s="292"/>
      <c r="B665" s="55"/>
      <c r="F665" s="55"/>
      <c r="G665" s="55"/>
      <c r="H665" s="55"/>
      <c r="I665" s="55"/>
      <c r="J665" s="55"/>
      <c r="Q665" s="55"/>
    </row>
    <row r="666">
      <c r="A666" s="292"/>
      <c r="B666" s="55"/>
      <c r="F666" s="55"/>
      <c r="G666" s="55"/>
      <c r="H666" s="55"/>
      <c r="I666" s="55"/>
      <c r="J666" s="55"/>
      <c r="Q666" s="55"/>
    </row>
    <row r="667">
      <c r="A667" s="292"/>
      <c r="B667" s="55"/>
      <c r="F667" s="55"/>
      <c r="G667" s="55"/>
      <c r="H667" s="55"/>
      <c r="I667" s="55"/>
      <c r="J667" s="55"/>
      <c r="Q667" s="55"/>
    </row>
    <row r="668">
      <c r="A668" s="292"/>
      <c r="B668" s="55"/>
      <c r="F668" s="55"/>
      <c r="G668" s="55"/>
      <c r="H668" s="55"/>
      <c r="I668" s="55"/>
      <c r="J668" s="55"/>
      <c r="Q668" s="55"/>
    </row>
    <row r="669">
      <c r="A669" s="292"/>
      <c r="B669" s="55"/>
      <c r="F669" s="55"/>
      <c r="G669" s="55"/>
      <c r="H669" s="55"/>
      <c r="I669" s="55"/>
      <c r="J669" s="55"/>
      <c r="Q669" s="55"/>
    </row>
    <row r="670">
      <c r="A670" s="292"/>
      <c r="B670" s="55"/>
      <c r="F670" s="55"/>
      <c r="G670" s="55"/>
      <c r="H670" s="55"/>
      <c r="I670" s="55"/>
      <c r="J670" s="55"/>
      <c r="Q670" s="55"/>
    </row>
    <row r="671">
      <c r="A671" s="292"/>
      <c r="B671" s="55"/>
      <c r="F671" s="55"/>
      <c r="G671" s="55"/>
      <c r="H671" s="55"/>
      <c r="I671" s="55"/>
      <c r="J671" s="55"/>
      <c r="Q671" s="55"/>
    </row>
    <row r="672">
      <c r="A672" s="292"/>
      <c r="B672" s="55"/>
      <c r="F672" s="55"/>
      <c r="G672" s="55"/>
      <c r="H672" s="55"/>
      <c r="I672" s="55"/>
      <c r="J672" s="55"/>
      <c r="Q672" s="55"/>
    </row>
    <row r="673">
      <c r="A673" s="292"/>
      <c r="B673" s="55"/>
      <c r="F673" s="55"/>
      <c r="G673" s="55"/>
      <c r="H673" s="55"/>
      <c r="I673" s="55"/>
      <c r="J673" s="55"/>
      <c r="Q673" s="55"/>
    </row>
    <row r="674">
      <c r="A674" s="292"/>
      <c r="B674" s="55"/>
      <c r="F674" s="55"/>
      <c r="G674" s="55"/>
      <c r="H674" s="55"/>
      <c r="I674" s="55"/>
      <c r="J674" s="55"/>
      <c r="Q674" s="55"/>
    </row>
    <row r="675">
      <c r="A675" s="292"/>
      <c r="B675" s="55"/>
      <c r="F675" s="55"/>
      <c r="G675" s="55"/>
      <c r="H675" s="55"/>
      <c r="I675" s="55"/>
      <c r="J675" s="55"/>
      <c r="Q675" s="55"/>
    </row>
    <row r="676">
      <c r="A676" s="292"/>
      <c r="B676" s="55"/>
      <c r="F676" s="55"/>
      <c r="G676" s="55"/>
      <c r="H676" s="55"/>
      <c r="I676" s="55"/>
      <c r="J676" s="55"/>
      <c r="Q676" s="55"/>
    </row>
    <row r="677">
      <c r="A677" s="292"/>
      <c r="B677" s="55"/>
      <c r="F677" s="55"/>
      <c r="G677" s="55"/>
      <c r="H677" s="55"/>
      <c r="I677" s="55"/>
      <c r="J677" s="55"/>
      <c r="Q677" s="55"/>
    </row>
    <row r="678">
      <c r="A678" s="292"/>
      <c r="B678" s="55"/>
      <c r="F678" s="55"/>
      <c r="G678" s="55"/>
      <c r="H678" s="55"/>
      <c r="I678" s="55"/>
      <c r="J678" s="55"/>
      <c r="Q678" s="55"/>
    </row>
    <row r="679">
      <c r="A679" s="292"/>
      <c r="B679" s="55"/>
      <c r="F679" s="55"/>
      <c r="G679" s="55"/>
      <c r="H679" s="55"/>
      <c r="I679" s="55"/>
      <c r="J679" s="55"/>
      <c r="Q679" s="55"/>
    </row>
    <row r="680">
      <c r="A680" s="292"/>
      <c r="B680" s="55"/>
      <c r="F680" s="55"/>
      <c r="G680" s="55"/>
      <c r="H680" s="55"/>
      <c r="I680" s="55"/>
      <c r="J680" s="55"/>
      <c r="Q680" s="55"/>
    </row>
    <row r="681">
      <c r="A681" s="292"/>
      <c r="B681" s="55"/>
      <c r="F681" s="55"/>
      <c r="G681" s="55"/>
      <c r="H681" s="55"/>
      <c r="I681" s="55"/>
      <c r="J681" s="55"/>
      <c r="Q681" s="55"/>
    </row>
    <row r="682">
      <c r="A682" s="292"/>
      <c r="B682" s="55"/>
      <c r="F682" s="55"/>
      <c r="G682" s="55"/>
      <c r="H682" s="55"/>
      <c r="I682" s="55"/>
      <c r="J682" s="55"/>
      <c r="Q682" s="55"/>
    </row>
    <row r="683">
      <c r="A683" s="292"/>
      <c r="B683" s="55"/>
      <c r="F683" s="55"/>
      <c r="G683" s="55"/>
      <c r="H683" s="55"/>
      <c r="I683" s="55"/>
      <c r="J683" s="55"/>
      <c r="Q683" s="55"/>
    </row>
    <row r="684">
      <c r="A684" s="292"/>
      <c r="B684" s="55"/>
      <c r="F684" s="55"/>
      <c r="G684" s="55"/>
      <c r="H684" s="55"/>
      <c r="I684" s="55"/>
      <c r="J684" s="55"/>
      <c r="Q684" s="55"/>
    </row>
    <row r="685">
      <c r="A685" s="292"/>
      <c r="B685" s="55"/>
      <c r="F685" s="55"/>
      <c r="G685" s="55"/>
      <c r="H685" s="55"/>
      <c r="I685" s="55"/>
      <c r="J685" s="55"/>
      <c r="Q685" s="55"/>
    </row>
    <row r="686">
      <c r="A686" s="292"/>
      <c r="B686" s="55"/>
      <c r="F686" s="55"/>
      <c r="G686" s="55"/>
      <c r="H686" s="55"/>
      <c r="I686" s="55"/>
      <c r="J686" s="55"/>
      <c r="Q686" s="55"/>
    </row>
    <row r="687">
      <c r="A687" s="292"/>
      <c r="B687" s="55"/>
      <c r="F687" s="55"/>
      <c r="G687" s="55"/>
      <c r="H687" s="55"/>
      <c r="I687" s="55"/>
      <c r="J687" s="55"/>
      <c r="Q687" s="55"/>
    </row>
    <row r="688">
      <c r="A688" s="292"/>
      <c r="B688" s="55"/>
      <c r="F688" s="55"/>
      <c r="G688" s="55"/>
      <c r="H688" s="55"/>
      <c r="I688" s="55"/>
      <c r="J688" s="55"/>
      <c r="Q688" s="55"/>
    </row>
    <row r="689">
      <c r="A689" s="292"/>
      <c r="B689" s="55"/>
      <c r="F689" s="55"/>
      <c r="G689" s="55"/>
      <c r="H689" s="55"/>
      <c r="I689" s="55"/>
      <c r="J689" s="55"/>
      <c r="Q689" s="55"/>
    </row>
    <row r="690">
      <c r="A690" s="292"/>
      <c r="B690" s="55"/>
      <c r="F690" s="55"/>
      <c r="G690" s="55"/>
      <c r="H690" s="55"/>
      <c r="I690" s="55"/>
      <c r="J690" s="55"/>
      <c r="Q690" s="55"/>
    </row>
    <row r="691">
      <c r="A691" s="292"/>
      <c r="B691" s="55"/>
      <c r="F691" s="55"/>
      <c r="G691" s="55"/>
      <c r="H691" s="55"/>
      <c r="I691" s="55"/>
      <c r="J691" s="55"/>
      <c r="Q691" s="55"/>
    </row>
    <row r="692">
      <c r="A692" s="292"/>
      <c r="B692" s="55"/>
      <c r="F692" s="55"/>
      <c r="G692" s="55"/>
      <c r="H692" s="55"/>
      <c r="I692" s="55"/>
      <c r="J692" s="55"/>
      <c r="Q692" s="55"/>
    </row>
    <row r="693">
      <c r="A693" s="292"/>
      <c r="B693" s="55"/>
      <c r="F693" s="55"/>
      <c r="G693" s="55"/>
      <c r="H693" s="55"/>
      <c r="I693" s="55"/>
      <c r="J693" s="55"/>
      <c r="Q693" s="55"/>
    </row>
    <row r="694">
      <c r="A694" s="292"/>
      <c r="B694" s="55"/>
      <c r="F694" s="55"/>
      <c r="G694" s="55"/>
      <c r="H694" s="55"/>
      <c r="I694" s="55"/>
      <c r="J694" s="55"/>
      <c r="Q694" s="55"/>
    </row>
    <row r="695">
      <c r="A695" s="292"/>
      <c r="B695" s="55"/>
      <c r="F695" s="55"/>
      <c r="G695" s="55"/>
      <c r="H695" s="55"/>
      <c r="I695" s="55"/>
      <c r="J695" s="55"/>
      <c r="Q695" s="55"/>
    </row>
    <row r="696">
      <c r="A696" s="292"/>
      <c r="B696" s="55"/>
      <c r="F696" s="55"/>
      <c r="G696" s="55"/>
      <c r="H696" s="55"/>
      <c r="I696" s="55"/>
      <c r="J696" s="55"/>
      <c r="Q696" s="55"/>
    </row>
    <row r="697">
      <c r="A697" s="292"/>
      <c r="B697" s="55"/>
      <c r="F697" s="55"/>
      <c r="G697" s="55"/>
      <c r="H697" s="55"/>
      <c r="I697" s="55"/>
      <c r="J697" s="55"/>
      <c r="Q697" s="55"/>
    </row>
    <row r="698">
      <c r="A698" s="292"/>
      <c r="B698" s="55"/>
      <c r="F698" s="55"/>
      <c r="G698" s="55"/>
      <c r="H698" s="55"/>
      <c r="I698" s="55"/>
      <c r="J698" s="55"/>
      <c r="Q698" s="55"/>
    </row>
    <row r="699">
      <c r="A699" s="292"/>
      <c r="B699" s="55"/>
      <c r="F699" s="55"/>
      <c r="G699" s="55"/>
      <c r="H699" s="55"/>
      <c r="I699" s="55"/>
      <c r="J699" s="55"/>
      <c r="Q699" s="55"/>
    </row>
    <row r="700">
      <c r="A700" s="292"/>
      <c r="B700" s="55"/>
      <c r="F700" s="55"/>
      <c r="G700" s="55"/>
      <c r="H700" s="55"/>
      <c r="I700" s="55"/>
      <c r="J700" s="55"/>
      <c r="Q700" s="55"/>
    </row>
    <row r="701">
      <c r="A701" s="292"/>
      <c r="B701" s="55"/>
      <c r="F701" s="55"/>
      <c r="G701" s="55"/>
      <c r="H701" s="55"/>
      <c r="I701" s="55"/>
      <c r="J701" s="55"/>
      <c r="Q701" s="55"/>
    </row>
    <row r="702">
      <c r="A702" s="292"/>
      <c r="B702" s="55"/>
      <c r="F702" s="55"/>
      <c r="G702" s="55"/>
      <c r="H702" s="55"/>
      <c r="I702" s="55"/>
      <c r="J702" s="55"/>
      <c r="Q702" s="55"/>
    </row>
    <row r="703">
      <c r="A703" s="292"/>
      <c r="B703" s="55"/>
      <c r="F703" s="55"/>
      <c r="G703" s="55"/>
      <c r="H703" s="55"/>
      <c r="I703" s="55"/>
      <c r="J703" s="55"/>
      <c r="Q703" s="55"/>
    </row>
    <row r="704">
      <c r="A704" s="292"/>
      <c r="B704" s="55"/>
      <c r="F704" s="55"/>
      <c r="G704" s="55"/>
      <c r="H704" s="55"/>
      <c r="I704" s="55"/>
      <c r="J704" s="55"/>
      <c r="Q704" s="55"/>
    </row>
    <row r="705">
      <c r="A705" s="292"/>
      <c r="B705" s="55"/>
      <c r="F705" s="55"/>
      <c r="G705" s="55"/>
      <c r="H705" s="55"/>
      <c r="I705" s="55"/>
      <c r="J705" s="55"/>
      <c r="Q705" s="55"/>
    </row>
    <row r="706">
      <c r="A706" s="292"/>
      <c r="B706" s="55"/>
      <c r="F706" s="55"/>
      <c r="G706" s="55"/>
      <c r="H706" s="55"/>
      <c r="I706" s="55"/>
      <c r="J706" s="55"/>
      <c r="Q706" s="55"/>
    </row>
    <row r="707">
      <c r="A707" s="292"/>
      <c r="B707" s="55"/>
      <c r="F707" s="55"/>
      <c r="G707" s="55"/>
      <c r="H707" s="55"/>
      <c r="I707" s="55"/>
      <c r="J707" s="55"/>
      <c r="Q707" s="55"/>
    </row>
    <row r="708">
      <c r="A708" s="292"/>
      <c r="B708" s="55"/>
      <c r="F708" s="55"/>
      <c r="G708" s="55"/>
      <c r="H708" s="55"/>
      <c r="I708" s="55"/>
      <c r="J708" s="55"/>
      <c r="Q708" s="55"/>
    </row>
    <row r="709">
      <c r="A709" s="292"/>
      <c r="B709" s="55"/>
      <c r="F709" s="55"/>
      <c r="G709" s="55"/>
      <c r="H709" s="55"/>
      <c r="I709" s="55"/>
      <c r="J709" s="55"/>
      <c r="Q709" s="55"/>
    </row>
    <row r="710">
      <c r="A710" s="292"/>
      <c r="B710" s="55"/>
      <c r="F710" s="55"/>
      <c r="G710" s="55"/>
      <c r="H710" s="55"/>
      <c r="I710" s="55"/>
      <c r="J710" s="55"/>
      <c r="Q710" s="55"/>
    </row>
    <row r="711">
      <c r="A711" s="292"/>
      <c r="B711" s="55"/>
      <c r="F711" s="55"/>
      <c r="G711" s="55"/>
      <c r="H711" s="55"/>
      <c r="I711" s="55"/>
      <c r="J711" s="55"/>
      <c r="Q711" s="55"/>
    </row>
    <row r="712">
      <c r="A712" s="292"/>
      <c r="B712" s="55"/>
      <c r="F712" s="55"/>
      <c r="G712" s="55"/>
      <c r="H712" s="55"/>
      <c r="I712" s="55"/>
      <c r="J712" s="55"/>
      <c r="Q712" s="55"/>
    </row>
    <row r="713">
      <c r="A713" s="292"/>
      <c r="B713" s="55"/>
      <c r="F713" s="55"/>
      <c r="G713" s="55"/>
      <c r="H713" s="55"/>
      <c r="I713" s="55"/>
      <c r="J713" s="55"/>
      <c r="Q713" s="55"/>
    </row>
    <row r="714">
      <c r="A714" s="292"/>
      <c r="B714" s="55"/>
      <c r="F714" s="55"/>
      <c r="G714" s="55"/>
      <c r="H714" s="55"/>
      <c r="I714" s="55"/>
      <c r="J714" s="55"/>
      <c r="Q714" s="55"/>
    </row>
    <row r="715">
      <c r="A715" s="292"/>
      <c r="B715" s="55"/>
      <c r="F715" s="55"/>
      <c r="G715" s="55"/>
      <c r="H715" s="55"/>
      <c r="I715" s="55"/>
      <c r="J715" s="55"/>
      <c r="Q715" s="55"/>
    </row>
    <row r="716">
      <c r="A716" s="292"/>
      <c r="B716" s="55"/>
      <c r="F716" s="55"/>
      <c r="G716" s="55"/>
      <c r="H716" s="55"/>
      <c r="I716" s="55"/>
      <c r="J716" s="55"/>
      <c r="Q716" s="55"/>
    </row>
    <row r="717">
      <c r="A717" s="292"/>
      <c r="B717" s="55"/>
      <c r="F717" s="55"/>
      <c r="G717" s="55"/>
      <c r="H717" s="55"/>
      <c r="I717" s="55"/>
      <c r="J717" s="55"/>
      <c r="Q717" s="55"/>
    </row>
    <row r="718">
      <c r="A718" s="292"/>
      <c r="B718" s="55"/>
      <c r="F718" s="55"/>
      <c r="G718" s="55"/>
      <c r="H718" s="55"/>
      <c r="I718" s="55"/>
      <c r="J718" s="55"/>
      <c r="Q718" s="55"/>
    </row>
    <row r="719">
      <c r="A719" s="292"/>
      <c r="B719" s="55"/>
      <c r="F719" s="55"/>
      <c r="G719" s="55"/>
      <c r="H719" s="55"/>
      <c r="I719" s="55"/>
      <c r="J719" s="55"/>
      <c r="Q719" s="55"/>
    </row>
    <row r="720">
      <c r="A720" s="292"/>
      <c r="B720" s="55"/>
      <c r="F720" s="55"/>
      <c r="G720" s="55"/>
      <c r="H720" s="55"/>
      <c r="I720" s="55"/>
      <c r="J720" s="55"/>
      <c r="Q720" s="55"/>
    </row>
    <row r="721">
      <c r="A721" s="292"/>
      <c r="B721" s="55"/>
      <c r="F721" s="55"/>
      <c r="G721" s="55"/>
      <c r="H721" s="55"/>
      <c r="I721" s="55"/>
      <c r="J721" s="55"/>
      <c r="Q721" s="55"/>
    </row>
    <row r="722">
      <c r="A722" s="292"/>
      <c r="B722" s="55"/>
      <c r="F722" s="55"/>
      <c r="G722" s="55"/>
      <c r="H722" s="55"/>
      <c r="I722" s="55"/>
      <c r="J722" s="55"/>
      <c r="Q722" s="55"/>
    </row>
    <row r="723">
      <c r="A723" s="292"/>
      <c r="B723" s="55"/>
      <c r="F723" s="55"/>
      <c r="G723" s="55"/>
      <c r="H723" s="55"/>
      <c r="I723" s="55"/>
      <c r="J723" s="55"/>
      <c r="Q723" s="55"/>
    </row>
    <row r="724">
      <c r="A724" s="292"/>
      <c r="B724" s="55"/>
      <c r="F724" s="55"/>
      <c r="G724" s="55"/>
      <c r="H724" s="55"/>
      <c r="I724" s="55"/>
      <c r="J724" s="55"/>
      <c r="Q724" s="55"/>
    </row>
    <row r="725">
      <c r="A725" s="292"/>
      <c r="B725" s="55"/>
      <c r="F725" s="55"/>
      <c r="G725" s="55"/>
      <c r="H725" s="55"/>
      <c r="I725" s="55"/>
      <c r="J725" s="55"/>
      <c r="Q725" s="55"/>
    </row>
    <row r="726">
      <c r="A726" s="292"/>
      <c r="B726" s="55"/>
      <c r="F726" s="55"/>
      <c r="G726" s="55"/>
      <c r="H726" s="55"/>
      <c r="I726" s="55"/>
      <c r="J726" s="55"/>
      <c r="Q726" s="55"/>
    </row>
    <row r="727">
      <c r="A727" s="292"/>
      <c r="B727" s="55"/>
      <c r="F727" s="55"/>
      <c r="G727" s="55"/>
      <c r="H727" s="55"/>
      <c r="I727" s="55"/>
      <c r="J727" s="55"/>
      <c r="Q727" s="55"/>
    </row>
    <row r="728">
      <c r="A728" s="292"/>
      <c r="B728" s="55"/>
      <c r="F728" s="55"/>
      <c r="G728" s="55"/>
      <c r="H728" s="55"/>
      <c r="I728" s="55"/>
      <c r="J728" s="55"/>
      <c r="Q728" s="55"/>
    </row>
    <row r="729">
      <c r="A729" s="292"/>
      <c r="B729" s="55"/>
      <c r="F729" s="55"/>
      <c r="G729" s="55"/>
      <c r="H729" s="55"/>
      <c r="I729" s="55"/>
      <c r="J729" s="55"/>
      <c r="Q729" s="55"/>
    </row>
    <row r="730">
      <c r="A730" s="292"/>
      <c r="B730" s="55"/>
      <c r="F730" s="55"/>
      <c r="G730" s="55"/>
      <c r="H730" s="55"/>
      <c r="I730" s="55"/>
      <c r="J730" s="55"/>
      <c r="Q730" s="55"/>
    </row>
    <row r="731">
      <c r="A731" s="292"/>
      <c r="B731" s="55"/>
      <c r="F731" s="55"/>
      <c r="G731" s="55"/>
      <c r="H731" s="55"/>
      <c r="I731" s="55"/>
      <c r="J731" s="55"/>
      <c r="Q731" s="55"/>
    </row>
    <row r="732">
      <c r="A732" s="292"/>
      <c r="B732" s="55"/>
      <c r="F732" s="55"/>
      <c r="G732" s="55"/>
      <c r="H732" s="55"/>
      <c r="I732" s="55"/>
      <c r="J732" s="55"/>
      <c r="Q732" s="55"/>
    </row>
    <row r="733">
      <c r="A733" s="292"/>
      <c r="B733" s="55"/>
      <c r="F733" s="55"/>
      <c r="G733" s="55"/>
      <c r="H733" s="55"/>
      <c r="I733" s="55"/>
      <c r="J733" s="55"/>
      <c r="Q733" s="55"/>
    </row>
    <row r="734">
      <c r="A734" s="292"/>
      <c r="B734" s="55"/>
      <c r="F734" s="55"/>
      <c r="G734" s="55"/>
      <c r="H734" s="55"/>
      <c r="I734" s="55"/>
      <c r="J734" s="55"/>
      <c r="Q734" s="55"/>
    </row>
    <row r="735">
      <c r="A735" s="292"/>
      <c r="B735" s="55"/>
      <c r="F735" s="55"/>
      <c r="G735" s="55"/>
      <c r="H735" s="55"/>
      <c r="I735" s="55"/>
      <c r="J735" s="55"/>
      <c r="Q735" s="55"/>
    </row>
    <row r="736">
      <c r="A736" s="292"/>
      <c r="B736" s="55"/>
      <c r="F736" s="55"/>
      <c r="G736" s="55"/>
      <c r="H736" s="55"/>
      <c r="I736" s="55"/>
      <c r="J736" s="55"/>
      <c r="Q736" s="55"/>
    </row>
    <row r="737">
      <c r="A737" s="292"/>
      <c r="B737" s="55"/>
      <c r="F737" s="55"/>
      <c r="G737" s="55"/>
      <c r="H737" s="55"/>
      <c r="I737" s="55"/>
      <c r="J737" s="55"/>
      <c r="Q737" s="55"/>
    </row>
    <row r="738">
      <c r="A738" s="292"/>
      <c r="B738" s="55"/>
      <c r="F738" s="55"/>
      <c r="G738" s="55"/>
      <c r="H738" s="55"/>
      <c r="I738" s="55"/>
      <c r="J738" s="55"/>
      <c r="Q738" s="55"/>
    </row>
    <row r="739">
      <c r="A739" s="292"/>
      <c r="B739" s="55"/>
      <c r="F739" s="55"/>
      <c r="G739" s="55"/>
      <c r="H739" s="55"/>
      <c r="I739" s="55"/>
      <c r="J739" s="55"/>
      <c r="Q739" s="55"/>
    </row>
    <row r="740">
      <c r="A740" s="292"/>
      <c r="B740" s="55"/>
      <c r="F740" s="55"/>
      <c r="G740" s="55"/>
      <c r="H740" s="55"/>
      <c r="I740" s="55"/>
      <c r="J740" s="55"/>
      <c r="Q740" s="55"/>
    </row>
    <row r="741">
      <c r="A741" s="292"/>
      <c r="B741" s="55"/>
      <c r="F741" s="55"/>
      <c r="G741" s="55"/>
      <c r="H741" s="55"/>
      <c r="I741" s="55"/>
      <c r="J741" s="55"/>
      <c r="Q741" s="55"/>
    </row>
    <row r="742">
      <c r="A742" s="292"/>
      <c r="B742" s="55"/>
      <c r="F742" s="55"/>
      <c r="G742" s="55"/>
      <c r="H742" s="55"/>
      <c r="I742" s="55"/>
      <c r="J742" s="55"/>
      <c r="Q742" s="55"/>
    </row>
    <row r="743">
      <c r="A743" s="292"/>
      <c r="B743" s="55"/>
      <c r="F743" s="55"/>
      <c r="G743" s="55"/>
      <c r="H743" s="55"/>
      <c r="I743" s="55"/>
      <c r="J743" s="55"/>
      <c r="Q743" s="55"/>
    </row>
    <row r="744">
      <c r="A744" s="292"/>
      <c r="B744" s="55"/>
      <c r="F744" s="55"/>
      <c r="G744" s="55"/>
      <c r="H744" s="55"/>
      <c r="I744" s="55"/>
      <c r="J744" s="55"/>
      <c r="Q744" s="55"/>
    </row>
    <row r="745">
      <c r="A745" s="292"/>
      <c r="B745" s="55"/>
      <c r="F745" s="55"/>
      <c r="G745" s="55"/>
      <c r="H745" s="55"/>
      <c r="I745" s="55"/>
      <c r="J745" s="55"/>
      <c r="Q745" s="55"/>
    </row>
    <row r="746">
      <c r="A746" s="292"/>
      <c r="B746" s="55"/>
      <c r="F746" s="55"/>
      <c r="G746" s="55"/>
      <c r="H746" s="55"/>
      <c r="I746" s="55"/>
      <c r="J746" s="55"/>
      <c r="Q746" s="55"/>
    </row>
    <row r="747">
      <c r="A747" s="292"/>
      <c r="B747" s="55"/>
      <c r="F747" s="55"/>
      <c r="G747" s="55"/>
      <c r="H747" s="55"/>
      <c r="I747" s="55"/>
      <c r="J747" s="55"/>
      <c r="Q747" s="55"/>
    </row>
    <row r="748">
      <c r="A748" s="292"/>
      <c r="B748" s="55"/>
      <c r="F748" s="55"/>
      <c r="G748" s="55"/>
      <c r="H748" s="55"/>
      <c r="I748" s="55"/>
      <c r="J748" s="55"/>
      <c r="Q748" s="55"/>
    </row>
    <row r="749">
      <c r="A749" s="292"/>
      <c r="B749" s="55"/>
      <c r="F749" s="55"/>
      <c r="G749" s="55"/>
      <c r="H749" s="55"/>
      <c r="I749" s="55"/>
      <c r="J749" s="55"/>
      <c r="Q749" s="55"/>
    </row>
    <row r="750">
      <c r="A750" s="292"/>
      <c r="B750" s="55"/>
      <c r="F750" s="55"/>
      <c r="G750" s="55"/>
      <c r="H750" s="55"/>
      <c r="I750" s="55"/>
      <c r="J750" s="55"/>
      <c r="Q750" s="55"/>
    </row>
    <row r="751">
      <c r="A751" s="292"/>
      <c r="B751" s="55"/>
      <c r="F751" s="55"/>
      <c r="G751" s="55"/>
      <c r="H751" s="55"/>
      <c r="I751" s="55"/>
      <c r="J751" s="55"/>
      <c r="Q751" s="55"/>
    </row>
    <row r="752">
      <c r="A752" s="292"/>
      <c r="B752" s="55"/>
      <c r="F752" s="55"/>
      <c r="G752" s="55"/>
      <c r="H752" s="55"/>
      <c r="I752" s="55"/>
      <c r="J752" s="55"/>
      <c r="Q752" s="55"/>
    </row>
    <row r="753">
      <c r="A753" s="292"/>
      <c r="B753" s="55"/>
      <c r="F753" s="55"/>
      <c r="G753" s="55"/>
      <c r="H753" s="55"/>
      <c r="I753" s="55"/>
      <c r="J753" s="55"/>
      <c r="Q753" s="55"/>
    </row>
    <row r="754">
      <c r="A754" s="292"/>
      <c r="B754" s="55"/>
      <c r="F754" s="55"/>
      <c r="G754" s="55"/>
      <c r="H754" s="55"/>
      <c r="I754" s="55"/>
      <c r="J754" s="55"/>
      <c r="Q754" s="55"/>
    </row>
    <row r="755">
      <c r="A755" s="292"/>
      <c r="B755" s="55"/>
      <c r="F755" s="55"/>
      <c r="G755" s="55"/>
      <c r="H755" s="55"/>
      <c r="I755" s="55"/>
      <c r="J755" s="55"/>
      <c r="Q755" s="55"/>
    </row>
    <row r="756">
      <c r="A756" s="292"/>
      <c r="B756" s="55"/>
      <c r="F756" s="55"/>
      <c r="G756" s="55"/>
      <c r="H756" s="55"/>
      <c r="I756" s="55"/>
      <c r="J756" s="55"/>
      <c r="Q756" s="55"/>
    </row>
    <row r="757">
      <c r="A757" s="292"/>
      <c r="B757" s="55"/>
      <c r="F757" s="55"/>
      <c r="G757" s="55"/>
      <c r="H757" s="55"/>
      <c r="I757" s="55"/>
      <c r="J757" s="55"/>
      <c r="Q757" s="55"/>
    </row>
    <row r="758">
      <c r="A758" s="292"/>
      <c r="B758" s="55"/>
      <c r="F758" s="55"/>
      <c r="G758" s="55"/>
      <c r="H758" s="55"/>
      <c r="I758" s="55"/>
      <c r="J758" s="55"/>
      <c r="Q758" s="55"/>
    </row>
    <row r="759">
      <c r="A759" s="292"/>
      <c r="B759" s="55"/>
      <c r="F759" s="55"/>
      <c r="G759" s="55"/>
      <c r="H759" s="55"/>
      <c r="I759" s="55"/>
      <c r="J759" s="55"/>
      <c r="Q759" s="55"/>
    </row>
    <row r="760">
      <c r="A760" s="292"/>
      <c r="B760" s="55"/>
      <c r="F760" s="55"/>
      <c r="G760" s="55"/>
      <c r="H760" s="55"/>
      <c r="I760" s="55"/>
      <c r="J760" s="55"/>
      <c r="Q760" s="55"/>
    </row>
    <row r="761">
      <c r="A761" s="292"/>
      <c r="B761" s="55"/>
      <c r="F761" s="55"/>
      <c r="G761" s="55"/>
      <c r="H761" s="55"/>
      <c r="I761" s="55"/>
      <c r="J761" s="55"/>
      <c r="Q761" s="55"/>
    </row>
    <row r="762">
      <c r="A762" s="292"/>
      <c r="B762" s="55"/>
      <c r="F762" s="55"/>
      <c r="G762" s="55"/>
      <c r="H762" s="55"/>
      <c r="I762" s="55"/>
      <c r="J762" s="55"/>
      <c r="Q762" s="55"/>
    </row>
    <row r="763">
      <c r="A763" s="292"/>
      <c r="B763" s="55"/>
      <c r="F763" s="55"/>
      <c r="G763" s="55"/>
      <c r="H763" s="55"/>
      <c r="I763" s="55"/>
      <c r="J763" s="55"/>
      <c r="Q763" s="55"/>
    </row>
    <row r="764">
      <c r="A764" s="292"/>
      <c r="B764" s="55"/>
      <c r="F764" s="55"/>
      <c r="G764" s="55"/>
      <c r="H764" s="55"/>
      <c r="I764" s="55"/>
      <c r="J764" s="55"/>
      <c r="Q764" s="55"/>
    </row>
    <row r="765">
      <c r="A765" s="292"/>
      <c r="B765" s="55"/>
      <c r="F765" s="55"/>
      <c r="G765" s="55"/>
      <c r="H765" s="55"/>
      <c r="I765" s="55"/>
      <c r="J765" s="55"/>
      <c r="Q765" s="55"/>
    </row>
    <row r="766">
      <c r="A766" s="292"/>
      <c r="B766" s="55"/>
      <c r="F766" s="55"/>
      <c r="G766" s="55"/>
      <c r="H766" s="55"/>
      <c r="I766" s="55"/>
      <c r="J766" s="55"/>
      <c r="Q766" s="55"/>
    </row>
    <row r="767">
      <c r="A767" s="292"/>
      <c r="B767" s="55"/>
      <c r="F767" s="55"/>
      <c r="G767" s="55"/>
      <c r="H767" s="55"/>
      <c r="I767" s="55"/>
      <c r="J767" s="55"/>
      <c r="Q767" s="55"/>
    </row>
    <row r="768">
      <c r="A768" s="292"/>
      <c r="B768" s="55"/>
      <c r="F768" s="55"/>
      <c r="G768" s="55"/>
      <c r="H768" s="55"/>
      <c r="I768" s="55"/>
      <c r="J768" s="55"/>
      <c r="Q768" s="55"/>
    </row>
    <row r="769">
      <c r="A769" s="292"/>
      <c r="B769" s="55"/>
      <c r="F769" s="55"/>
      <c r="G769" s="55"/>
      <c r="H769" s="55"/>
      <c r="I769" s="55"/>
      <c r="J769" s="55"/>
      <c r="Q769" s="55"/>
    </row>
    <row r="770">
      <c r="A770" s="292"/>
      <c r="B770" s="55"/>
      <c r="F770" s="55"/>
      <c r="G770" s="55"/>
      <c r="H770" s="55"/>
      <c r="I770" s="55"/>
      <c r="J770" s="55"/>
      <c r="Q770" s="55"/>
    </row>
    <row r="771">
      <c r="A771" s="292"/>
      <c r="B771" s="55"/>
      <c r="F771" s="55"/>
      <c r="G771" s="55"/>
      <c r="H771" s="55"/>
      <c r="I771" s="55"/>
      <c r="J771" s="55"/>
      <c r="Q771" s="55"/>
    </row>
    <row r="772">
      <c r="A772" s="292"/>
      <c r="B772" s="55"/>
      <c r="F772" s="55"/>
      <c r="G772" s="55"/>
      <c r="H772" s="55"/>
      <c r="I772" s="55"/>
      <c r="J772" s="55"/>
      <c r="Q772" s="55"/>
    </row>
    <row r="773">
      <c r="A773" s="292"/>
      <c r="B773" s="55"/>
      <c r="F773" s="55"/>
      <c r="G773" s="55"/>
      <c r="H773" s="55"/>
      <c r="I773" s="55"/>
      <c r="J773" s="55"/>
      <c r="Q773" s="55"/>
    </row>
    <row r="774">
      <c r="A774" s="292"/>
      <c r="B774" s="55"/>
      <c r="F774" s="55"/>
      <c r="G774" s="55"/>
      <c r="H774" s="55"/>
      <c r="I774" s="55"/>
      <c r="J774" s="55"/>
      <c r="Q774" s="55"/>
    </row>
    <row r="775">
      <c r="A775" s="292"/>
      <c r="B775" s="55"/>
      <c r="F775" s="55"/>
      <c r="G775" s="55"/>
      <c r="H775" s="55"/>
      <c r="I775" s="55"/>
      <c r="J775" s="55"/>
      <c r="Q775" s="55"/>
    </row>
    <row r="776">
      <c r="A776" s="292"/>
      <c r="B776" s="55"/>
      <c r="F776" s="55"/>
      <c r="G776" s="55"/>
      <c r="H776" s="55"/>
      <c r="I776" s="55"/>
      <c r="J776" s="55"/>
      <c r="Q776" s="55"/>
    </row>
    <row r="777">
      <c r="A777" s="292"/>
      <c r="B777" s="55"/>
      <c r="F777" s="55"/>
      <c r="G777" s="55"/>
      <c r="H777" s="55"/>
      <c r="I777" s="55"/>
      <c r="J777" s="55"/>
      <c r="Q777" s="55"/>
    </row>
    <row r="778">
      <c r="A778" s="292"/>
      <c r="B778" s="55"/>
      <c r="F778" s="55"/>
      <c r="G778" s="55"/>
      <c r="H778" s="55"/>
      <c r="I778" s="55"/>
      <c r="J778" s="55"/>
      <c r="Q778" s="55"/>
    </row>
    <row r="779">
      <c r="A779" s="292"/>
      <c r="B779" s="55"/>
      <c r="F779" s="55"/>
      <c r="G779" s="55"/>
      <c r="H779" s="55"/>
      <c r="I779" s="55"/>
      <c r="J779" s="55"/>
      <c r="Q779" s="55"/>
    </row>
    <row r="780">
      <c r="A780" s="292"/>
      <c r="B780" s="55"/>
      <c r="F780" s="55"/>
      <c r="G780" s="55"/>
      <c r="H780" s="55"/>
      <c r="I780" s="55"/>
      <c r="J780" s="55"/>
      <c r="Q780" s="55"/>
    </row>
    <row r="781">
      <c r="A781" s="292"/>
      <c r="B781" s="55"/>
      <c r="F781" s="55"/>
      <c r="G781" s="55"/>
      <c r="H781" s="55"/>
      <c r="I781" s="55"/>
      <c r="J781" s="55"/>
      <c r="Q781" s="55"/>
    </row>
    <row r="782">
      <c r="A782" s="292"/>
      <c r="B782" s="55"/>
      <c r="F782" s="55"/>
      <c r="G782" s="55"/>
      <c r="H782" s="55"/>
      <c r="I782" s="55"/>
      <c r="J782" s="55"/>
      <c r="Q782" s="55"/>
    </row>
    <row r="783">
      <c r="A783" s="292"/>
      <c r="B783" s="55"/>
      <c r="F783" s="55"/>
      <c r="G783" s="55"/>
      <c r="H783" s="55"/>
      <c r="I783" s="55"/>
      <c r="J783" s="55"/>
      <c r="Q783" s="55"/>
    </row>
    <row r="784">
      <c r="A784" s="292"/>
      <c r="B784" s="55"/>
      <c r="F784" s="55"/>
      <c r="G784" s="55"/>
      <c r="H784" s="55"/>
      <c r="I784" s="55"/>
      <c r="J784" s="55"/>
      <c r="Q784" s="55"/>
    </row>
    <row r="785">
      <c r="A785" s="292"/>
      <c r="B785" s="55"/>
      <c r="F785" s="55"/>
      <c r="G785" s="55"/>
      <c r="H785" s="55"/>
      <c r="I785" s="55"/>
      <c r="J785" s="55"/>
      <c r="Q785" s="55"/>
    </row>
    <row r="786">
      <c r="A786" s="292"/>
      <c r="B786" s="55"/>
      <c r="F786" s="55"/>
      <c r="G786" s="55"/>
      <c r="H786" s="55"/>
      <c r="I786" s="55"/>
      <c r="J786" s="55"/>
      <c r="Q786" s="55"/>
    </row>
    <row r="787">
      <c r="A787" s="292"/>
      <c r="B787" s="55"/>
      <c r="F787" s="55"/>
      <c r="G787" s="55"/>
      <c r="H787" s="55"/>
      <c r="I787" s="55"/>
      <c r="J787" s="55"/>
      <c r="Q787" s="55"/>
    </row>
    <row r="788">
      <c r="A788" s="292"/>
      <c r="B788" s="55"/>
      <c r="F788" s="55"/>
      <c r="G788" s="55"/>
      <c r="H788" s="55"/>
      <c r="I788" s="55"/>
      <c r="J788" s="55"/>
      <c r="Q788" s="55"/>
    </row>
    <row r="789">
      <c r="A789" s="292"/>
      <c r="B789" s="55"/>
      <c r="F789" s="55"/>
      <c r="G789" s="55"/>
      <c r="H789" s="55"/>
      <c r="I789" s="55"/>
      <c r="J789" s="55"/>
      <c r="Q789" s="55"/>
    </row>
    <row r="790">
      <c r="A790" s="292"/>
      <c r="B790" s="55"/>
      <c r="F790" s="55"/>
      <c r="G790" s="55"/>
      <c r="H790" s="55"/>
      <c r="I790" s="55"/>
      <c r="J790" s="55"/>
      <c r="Q790" s="55"/>
    </row>
    <row r="791">
      <c r="A791" s="292"/>
      <c r="B791" s="55"/>
      <c r="F791" s="55"/>
      <c r="G791" s="55"/>
      <c r="H791" s="55"/>
      <c r="I791" s="55"/>
      <c r="J791" s="55"/>
      <c r="Q791" s="55"/>
    </row>
    <row r="792">
      <c r="A792" s="292"/>
      <c r="B792" s="55"/>
      <c r="F792" s="55"/>
      <c r="G792" s="55"/>
      <c r="H792" s="55"/>
      <c r="I792" s="55"/>
      <c r="J792" s="55"/>
      <c r="Q792" s="55"/>
    </row>
    <row r="793">
      <c r="A793" s="292"/>
      <c r="B793" s="55"/>
      <c r="F793" s="55"/>
      <c r="G793" s="55"/>
      <c r="H793" s="55"/>
      <c r="I793" s="55"/>
      <c r="J793" s="55"/>
      <c r="Q793" s="55"/>
    </row>
    <row r="794">
      <c r="A794" s="292"/>
      <c r="B794" s="55"/>
      <c r="F794" s="55"/>
      <c r="G794" s="55"/>
      <c r="H794" s="55"/>
      <c r="I794" s="55"/>
      <c r="J794" s="55"/>
      <c r="Q794" s="55"/>
    </row>
    <row r="795">
      <c r="A795" s="292"/>
      <c r="B795" s="55"/>
      <c r="F795" s="55"/>
      <c r="G795" s="55"/>
      <c r="H795" s="55"/>
      <c r="I795" s="55"/>
      <c r="J795" s="55"/>
      <c r="Q795" s="55"/>
    </row>
    <row r="796">
      <c r="A796" s="292"/>
      <c r="B796" s="55"/>
      <c r="F796" s="55"/>
      <c r="G796" s="55"/>
      <c r="H796" s="55"/>
      <c r="I796" s="55"/>
      <c r="J796" s="55"/>
      <c r="Q796" s="55"/>
    </row>
    <row r="797">
      <c r="A797" s="292"/>
      <c r="B797" s="55"/>
      <c r="F797" s="55"/>
      <c r="G797" s="55"/>
      <c r="H797" s="55"/>
      <c r="I797" s="55"/>
      <c r="J797" s="55"/>
      <c r="Q797" s="55"/>
    </row>
    <row r="798">
      <c r="A798" s="292"/>
      <c r="B798" s="55"/>
      <c r="F798" s="55"/>
      <c r="G798" s="55"/>
      <c r="H798" s="55"/>
      <c r="I798" s="55"/>
      <c r="J798" s="55"/>
      <c r="Q798" s="55"/>
    </row>
    <row r="799">
      <c r="A799" s="292"/>
      <c r="B799" s="55"/>
      <c r="F799" s="55"/>
      <c r="G799" s="55"/>
      <c r="H799" s="55"/>
      <c r="I799" s="55"/>
      <c r="J799" s="55"/>
      <c r="Q799" s="55"/>
    </row>
    <row r="800">
      <c r="A800" s="292"/>
      <c r="B800" s="55"/>
      <c r="F800" s="55"/>
      <c r="G800" s="55"/>
      <c r="H800" s="55"/>
      <c r="I800" s="55"/>
      <c r="J800" s="55"/>
      <c r="Q800" s="55"/>
    </row>
    <row r="801">
      <c r="A801" s="292"/>
      <c r="B801" s="55"/>
      <c r="F801" s="55"/>
      <c r="G801" s="55"/>
      <c r="H801" s="55"/>
      <c r="I801" s="55"/>
      <c r="J801" s="55"/>
      <c r="Q801" s="55"/>
    </row>
    <row r="802">
      <c r="A802" s="292"/>
      <c r="B802" s="55"/>
      <c r="F802" s="55"/>
      <c r="G802" s="55"/>
      <c r="H802" s="55"/>
      <c r="I802" s="55"/>
      <c r="J802" s="55"/>
      <c r="Q802" s="55"/>
    </row>
    <row r="803">
      <c r="A803" s="292"/>
      <c r="B803" s="55"/>
      <c r="F803" s="55"/>
      <c r="G803" s="55"/>
      <c r="H803" s="55"/>
      <c r="I803" s="55"/>
      <c r="J803" s="55"/>
      <c r="Q803" s="55"/>
    </row>
    <row r="804">
      <c r="A804" s="292"/>
      <c r="B804" s="55"/>
      <c r="F804" s="55"/>
      <c r="G804" s="55"/>
      <c r="H804" s="55"/>
      <c r="I804" s="55"/>
      <c r="J804" s="55"/>
      <c r="Q804" s="55"/>
    </row>
    <row r="805">
      <c r="A805" s="292"/>
      <c r="B805" s="55"/>
      <c r="F805" s="55"/>
      <c r="G805" s="55"/>
      <c r="H805" s="55"/>
      <c r="I805" s="55"/>
      <c r="J805" s="55"/>
      <c r="Q805" s="55"/>
    </row>
    <row r="806">
      <c r="A806" s="292"/>
      <c r="B806" s="55"/>
      <c r="F806" s="55"/>
      <c r="G806" s="55"/>
      <c r="H806" s="55"/>
      <c r="I806" s="55"/>
      <c r="J806" s="55"/>
      <c r="Q806" s="55"/>
    </row>
    <row r="807">
      <c r="A807" s="292"/>
      <c r="B807" s="55"/>
      <c r="F807" s="55"/>
      <c r="G807" s="55"/>
      <c r="H807" s="55"/>
      <c r="I807" s="55"/>
      <c r="J807" s="55"/>
      <c r="Q807" s="55"/>
    </row>
    <row r="808">
      <c r="A808" s="292"/>
      <c r="B808" s="55"/>
      <c r="F808" s="55"/>
      <c r="G808" s="55"/>
      <c r="H808" s="55"/>
      <c r="I808" s="55"/>
      <c r="J808" s="55"/>
      <c r="Q808" s="55"/>
    </row>
    <row r="809">
      <c r="A809" s="292"/>
      <c r="B809" s="55"/>
      <c r="F809" s="55"/>
      <c r="G809" s="55"/>
      <c r="H809" s="55"/>
      <c r="I809" s="55"/>
      <c r="J809" s="55"/>
      <c r="Q809" s="55"/>
    </row>
    <row r="810">
      <c r="A810" s="292"/>
      <c r="B810" s="55"/>
      <c r="F810" s="55"/>
      <c r="G810" s="55"/>
      <c r="H810" s="55"/>
      <c r="I810" s="55"/>
      <c r="J810" s="55"/>
      <c r="Q810" s="55"/>
    </row>
    <row r="811">
      <c r="A811" s="292"/>
      <c r="B811" s="55"/>
      <c r="F811" s="55"/>
      <c r="G811" s="55"/>
      <c r="H811" s="55"/>
      <c r="I811" s="55"/>
      <c r="J811" s="55"/>
      <c r="Q811" s="55"/>
    </row>
    <row r="812">
      <c r="A812" s="292"/>
      <c r="B812" s="55"/>
      <c r="F812" s="55"/>
      <c r="G812" s="55"/>
      <c r="H812" s="55"/>
      <c r="I812" s="55"/>
      <c r="J812" s="55"/>
      <c r="Q812" s="55"/>
    </row>
    <row r="813">
      <c r="A813" s="292"/>
      <c r="B813" s="55"/>
      <c r="F813" s="55"/>
      <c r="G813" s="55"/>
      <c r="H813" s="55"/>
      <c r="I813" s="55"/>
      <c r="J813" s="55"/>
      <c r="Q813" s="55"/>
    </row>
    <row r="814">
      <c r="A814" s="292"/>
      <c r="B814" s="55"/>
      <c r="F814" s="55"/>
      <c r="G814" s="55"/>
      <c r="H814" s="55"/>
      <c r="I814" s="55"/>
      <c r="J814" s="55"/>
      <c r="Q814" s="55"/>
    </row>
    <row r="815">
      <c r="A815" s="292"/>
      <c r="B815" s="55"/>
      <c r="F815" s="55"/>
      <c r="G815" s="55"/>
      <c r="H815" s="55"/>
      <c r="I815" s="55"/>
      <c r="J815" s="55"/>
      <c r="Q815" s="55"/>
    </row>
    <row r="816">
      <c r="A816" s="292"/>
      <c r="B816" s="55"/>
      <c r="F816" s="55"/>
      <c r="G816" s="55"/>
      <c r="H816" s="55"/>
      <c r="I816" s="55"/>
      <c r="J816" s="55"/>
      <c r="Q816" s="55"/>
    </row>
    <row r="817">
      <c r="A817" s="292"/>
      <c r="B817" s="55"/>
      <c r="F817" s="55"/>
      <c r="G817" s="55"/>
      <c r="H817" s="55"/>
      <c r="I817" s="55"/>
      <c r="J817" s="55"/>
      <c r="Q817" s="55"/>
    </row>
    <row r="818">
      <c r="A818" s="292"/>
      <c r="B818" s="55"/>
      <c r="F818" s="55"/>
      <c r="G818" s="55"/>
      <c r="H818" s="55"/>
      <c r="I818" s="55"/>
      <c r="J818" s="55"/>
      <c r="Q818" s="55"/>
    </row>
    <row r="819">
      <c r="A819" s="292"/>
      <c r="B819" s="55"/>
      <c r="F819" s="55"/>
      <c r="G819" s="55"/>
      <c r="H819" s="55"/>
      <c r="I819" s="55"/>
      <c r="J819" s="55"/>
      <c r="Q819" s="55"/>
    </row>
    <row r="820">
      <c r="A820" s="292"/>
      <c r="B820" s="55"/>
      <c r="F820" s="55"/>
      <c r="G820" s="55"/>
      <c r="H820" s="55"/>
      <c r="I820" s="55"/>
      <c r="J820" s="55"/>
      <c r="Q820" s="55"/>
    </row>
    <row r="821">
      <c r="A821" s="292"/>
      <c r="B821" s="55"/>
      <c r="F821" s="55"/>
      <c r="G821" s="55"/>
      <c r="H821" s="55"/>
      <c r="I821" s="55"/>
      <c r="J821" s="55"/>
      <c r="Q821" s="55"/>
    </row>
    <row r="822">
      <c r="A822" s="292"/>
      <c r="B822" s="55"/>
      <c r="F822" s="55"/>
      <c r="G822" s="55"/>
      <c r="H822" s="55"/>
      <c r="I822" s="55"/>
      <c r="J822" s="55"/>
      <c r="Q822" s="55"/>
    </row>
    <row r="823">
      <c r="A823" s="292"/>
      <c r="B823" s="55"/>
      <c r="F823" s="55"/>
      <c r="G823" s="55"/>
      <c r="H823" s="55"/>
      <c r="I823" s="55"/>
      <c r="J823" s="55"/>
      <c r="Q823" s="55"/>
    </row>
    <row r="824">
      <c r="A824" s="292"/>
      <c r="B824" s="55"/>
      <c r="F824" s="55"/>
      <c r="G824" s="55"/>
      <c r="H824" s="55"/>
      <c r="I824" s="55"/>
      <c r="J824" s="55"/>
      <c r="Q824" s="55"/>
    </row>
    <row r="825">
      <c r="A825" s="292"/>
      <c r="B825" s="55"/>
      <c r="F825" s="55"/>
      <c r="G825" s="55"/>
      <c r="H825" s="55"/>
      <c r="I825" s="55"/>
      <c r="J825" s="55"/>
      <c r="Q825" s="55"/>
    </row>
    <row r="826">
      <c r="A826" s="292"/>
      <c r="B826" s="55"/>
      <c r="F826" s="55"/>
      <c r="G826" s="55"/>
      <c r="H826" s="55"/>
      <c r="I826" s="55"/>
      <c r="J826" s="55"/>
      <c r="Q826" s="55"/>
    </row>
    <row r="827">
      <c r="A827" s="292"/>
      <c r="B827" s="55"/>
      <c r="F827" s="55"/>
      <c r="G827" s="55"/>
      <c r="H827" s="55"/>
      <c r="I827" s="55"/>
      <c r="J827" s="55"/>
      <c r="Q827" s="55"/>
    </row>
    <row r="828">
      <c r="A828" s="292"/>
      <c r="B828" s="55"/>
      <c r="F828" s="55"/>
      <c r="G828" s="55"/>
      <c r="H828" s="55"/>
      <c r="I828" s="55"/>
      <c r="J828" s="55"/>
      <c r="Q828" s="55"/>
    </row>
    <row r="829">
      <c r="A829" s="292"/>
      <c r="B829" s="55"/>
      <c r="F829" s="55"/>
      <c r="G829" s="55"/>
      <c r="H829" s="55"/>
      <c r="I829" s="55"/>
      <c r="J829" s="55"/>
      <c r="Q829" s="55"/>
    </row>
    <row r="830">
      <c r="A830" s="292"/>
      <c r="B830" s="55"/>
      <c r="F830" s="55"/>
      <c r="G830" s="55"/>
      <c r="H830" s="55"/>
      <c r="I830" s="55"/>
      <c r="J830" s="55"/>
      <c r="Q830" s="55"/>
    </row>
    <row r="831">
      <c r="A831" s="292"/>
      <c r="B831" s="55"/>
      <c r="F831" s="55"/>
      <c r="G831" s="55"/>
      <c r="H831" s="55"/>
      <c r="I831" s="55"/>
      <c r="J831" s="55"/>
      <c r="Q831" s="55"/>
    </row>
    <row r="832">
      <c r="A832" s="292"/>
      <c r="B832" s="55"/>
      <c r="F832" s="55"/>
      <c r="G832" s="55"/>
      <c r="H832" s="55"/>
      <c r="I832" s="55"/>
      <c r="J832" s="55"/>
      <c r="Q832" s="55"/>
    </row>
    <row r="833">
      <c r="A833" s="292"/>
      <c r="B833" s="55"/>
      <c r="F833" s="55"/>
      <c r="G833" s="55"/>
      <c r="H833" s="55"/>
      <c r="I833" s="55"/>
      <c r="J833" s="55"/>
      <c r="Q833" s="55"/>
    </row>
    <row r="834">
      <c r="A834" s="292"/>
      <c r="B834" s="55"/>
      <c r="F834" s="55"/>
      <c r="G834" s="55"/>
      <c r="H834" s="55"/>
      <c r="I834" s="55"/>
      <c r="J834" s="55"/>
      <c r="Q834" s="55"/>
    </row>
    <row r="835">
      <c r="A835" s="292"/>
      <c r="B835" s="55"/>
      <c r="F835" s="55"/>
      <c r="G835" s="55"/>
      <c r="H835" s="55"/>
      <c r="I835" s="55"/>
      <c r="J835" s="55"/>
      <c r="Q835" s="55"/>
    </row>
    <row r="836">
      <c r="A836" s="292"/>
      <c r="B836" s="55"/>
      <c r="F836" s="55"/>
      <c r="G836" s="55"/>
      <c r="H836" s="55"/>
      <c r="I836" s="55"/>
      <c r="J836" s="55"/>
      <c r="Q836" s="55"/>
    </row>
    <row r="837">
      <c r="A837" s="292"/>
      <c r="B837" s="55"/>
      <c r="F837" s="55"/>
      <c r="G837" s="55"/>
      <c r="H837" s="55"/>
      <c r="I837" s="55"/>
      <c r="J837" s="55"/>
      <c r="Q837" s="55"/>
    </row>
    <row r="838">
      <c r="A838" s="292"/>
      <c r="B838" s="55"/>
      <c r="F838" s="55"/>
      <c r="G838" s="55"/>
      <c r="H838" s="55"/>
      <c r="I838" s="55"/>
      <c r="J838" s="55"/>
      <c r="Q838" s="55"/>
    </row>
    <row r="839">
      <c r="A839" s="292"/>
      <c r="B839" s="55"/>
      <c r="F839" s="55"/>
      <c r="G839" s="55"/>
      <c r="H839" s="55"/>
      <c r="I839" s="55"/>
      <c r="J839" s="55"/>
      <c r="Q839" s="55"/>
    </row>
    <row r="840">
      <c r="A840" s="292"/>
      <c r="B840" s="55"/>
      <c r="F840" s="55"/>
      <c r="G840" s="55"/>
      <c r="H840" s="55"/>
      <c r="I840" s="55"/>
      <c r="J840" s="55"/>
      <c r="Q840" s="55"/>
    </row>
    <row r="841">
      <c r="A841" s="292"/>
      <c r="B841" s="55"/>
      <c r="F841" s="55"/>
      <c r="G841" s="55"/>
      <c r="H841" s="55"/>
      <c r="I841" s="55"/>
      <c r="J841" s="55"/>
      <c r="Q841" s="55"/>
    </row>
    <row r="842">
      <c r="A842" s="292"/>
      <c r="B842" s="55"/>
      <c r="F842" s="55"/>
      <c r="G842" s="55"/>
      <c r="H842" s="55"/>
      <c r="I842" s="55"/>
      <c r="J842" s="55"/>
      <c r="Q842" s="55"/>
    </row>
    <row r="843">
      <c r="A843" s="292"/>
      <c r="B843" s="55"/>
      <c r="F843" s="55"/>
      <c r="G843" s="55"/>
      <c r="H843" s="55"/>
      <c r="I843" s="55"/>
      <c r="J843" s="55"/>
      <c r="Q843" s="55"/>
    </row>
    <row r="844">
      <c r="A844" s="292"/>
      <c r="B844" s="55"/>
      <c r="F844" s="55"/>
      <c r="G844" s="55"/>
      <c r="H844" s="55"/>
      <c r="I844" s="55"/>
      <c r="J844" s="55"/>
      <c r="Q844" s="55"/>
    </row>
    <row r="845">
      <c r="A845" s="292"/>
      <c r="B845" s="55"/>
      <c r="F845" s="55"/>
      <c r="G845" s="55"/>
      <c r="H845" s="55"/>
      <c r="I845" s="55"/>
      <c r="J845" s="55"/>
      <c r="Q845" s="55"/>
    </row>
    <row r="846">
      <c r="A846" s="292"/>
      <c r="B846" s="55"/>
      <c r="F846" s="55"/>
      <c r="G846" s="55"/>
      <c r="H846" s="55"/>
      <c r="I846" s="55"/>
      <c r="J846" s="55"/>
      <c r="Q846" s="55"/>
    </row>
    <row r="847">
      <c r="A847" s="292"/>
      <c r="B847" s="55"/>
      <c r="F847" s="55"/>
      <c r="G847" s="55"/>
      <c r="H847" s="55"/>
      <c r="I847" s="55"/>
      <c r="J847" s="55"/>
      <c r="Q847" s="55"/>
    </row>
    <row r="848">
      <c r="A848" s="292"/>
      <c r="B848" s="55"/>
      <c r="F848" s="55"/>
      <c r="G848" s="55"/>
      <c r="H848" s="55"/>
      <c r="I848" s="55"/>
      <c r="J848" s="55"/>
      <c r="Q848" s="55"/>
    </row>
    <row r="849">
      <c r="A849" s="292"/>
      <c r="B849" s="55"/>
      <c r="F849" s="55"/>
      <c r="G849" s="55"/>
      <c r="H849" s="55"/>
      <c r="I849" s="55"/>
      <c r="J849" s="55"/>
      <c r="Q849" s="55"/>
    </row>
    <row r="850">
      <c r="A850" s="292"/>
      <c r="B850" s="55"/>
      <c r="F850" s="55"/>
      <c r="G850" s="55"/>
      <c r="H850" s="55"/>
      <c r="I850" s="55"/>
      <c r="J850" s="55"/>
      <c r="Q850" s="55"/>
    </row>
    <row r="851">
      <c r="A851" s="292"/>
      <c r="B851" s="55"/>
      <c r="F851" s="55"/>
      <c r="G851" s="55"/>
      <c r="H851" s="55"/>
      <c r="I851" s="55"/>
      <c r="J851" s="55"/>
      <c r="Q851" s="55"/>
    </row>
    <row r="852">
      <c r="A852" s="292"/>
      <c r="B852" s="55"/>
      <c r="F852" s="55"/>
      <c r="G852" s="55"/>
      <c r="H852" s="55"/>
      <c r="I852" s="55"/>
      <c r="J852" s="55"/>
      <c r="Q852" s="55"/>
    </row>
    <row r="853">
      <c r="A853" s="292"/>
      <c r="B853" s="55"/>
      <c r="F853" s="55"/>
      <c r="G853" s="55"/>
      <c r="H853" s="55"/>
      <c r="I853" s="55"/>
      <c r="J853" s="55"/>
      <c r="Q853" s="55"/>
    </row>
    <row r="854">
      <c r="A854" s="292"/>
      <c r="B854" s="55"/>
      <c r="F854" s="55"/>
      <c r="G854" s="55"/>
      <c r="H854" s="55"/>
      <c r="I854" s="55"/>
      <c r="J854" s="55"/>
      <c r="Q854" s="55"/>
    </row>
    <row r="855">
      <c r="A855" s="292"/>
      <c r="B855" s="55"/>
      <c r="F855" s="55"/>
      <c r="G855" s="55"/>
      <c r="H855" s="55"/>
      <c r="I855" s="55"/>
      <c r="J855" s="55"/>
      <c r="Q855" s="55"/>
    </row>
    <row r="856">
      <c r="A856" s="292"/>
      <c r="B856" s="55"/>
      <c r="F856" s="55"/>
      <c r="G856" s="55"/>
      <c r="H856" s="55"/>
      <c r="I856" s="55"/>
      <c r="J856" s="55"/>
      <c r="Q856" s="55"/>
    </row>
    <row r="857">
      <c r="A857" s="292"/>
      <c r="B857" s="55"/>
      <c r="F857" s="55"/>
      <c r="G857" s="55"/>
      <c r="H857" s="55"/>
      <c r="I857" s="55"/>
      <c r="J857" s="55"/>
      <c r="Q857" s="55"/>
    </row>
    <row r="858">
      <c r="A858" s="292"/>
      <c r="B858" s="55"/>
      <c r="F858" s="55"/>
      <c r="G858" s="55"/>
      <c r="H858" s="55"/>
      <c r="I858" s="55"/>
      <c r="J858" s="55"/>
      <c r="Q858" s="55"/>
    </row>
    <row r="859">
      <c r="A859" s="292"/>
      <c r="B859" s="55"/>
      <c r="F859" s="55"/>
      <c r="G859" s="55"/>
      <c r="H859" s="55"/>
      <c r="I859" s="55"/>
      <c r="J859" s="55"/>
      <c r="Q859" s="55"/>
    </row>
    <row r="860">
      <c r="A860" s="292"/>
      <c r="B860" s="55"/>
      <c r="F860" s="55"/>
      <c r="G860" s="55"/>
      <c r="H860" s="55"/>
      <c r="I860" s="55"/>
      <c r="J860" s="55"/>
      <c r="Q860" s="55"/>
    </row>
    <row r="861">
      <c r="A861" s="292"/>
      <c r="B861" s="55"/>
      <c r="F861" s="55"/>
      <c r="G861" s="55"/>
      <c r="H861" s="55"/>
      <c r="I861" s="55"/>
      <c r="J861" s="55"/>
      <c r="Q861" s="55"/>
    </row>
    <row r="862">
      <c r="A862" s="292"/>
      <c r="B862" s="55"/>
      <c r="F862" s="55"/>
      <c r="G862" s="55"/>
      <c r="H862" s="55"/>
      <c r="I862" s="55"/>
      <c r="J862" s="55"/>
      <c r="Q862" s="55"/>
    </row>
    <row r="863">
      <c r="A863" s="292"/>
      <c r="B863" s="55"/>
      <c r="F863" s="55"/>
      <c r="G863" s="55"/>
      <c r="H863" s="55"/>
      <c r="I863" s="55"/>
      <c r="J863" s="55"/>
      <c r="Q863" s="55"/>
    </row>
    <row r="864">
      <c r="A864" s="292"/>
      <c r="B864" s="55"/>
      <c r="F864" s="55"/>
      <c r="G864" s="55"/>
      <c r="H864" s="55"/>
      <c r="I864" s="55"/>
      <c r="J864" s="55"/>
      <c r="Q864" s="55"/>
    </row>
    <row r="865">
      <c r="A865" s="292"/>
      <c r="B865" s="55"/>
      <c r="F865" s="55"/>
      <c r="G865" s="55"/>
      <c r="H865" s="55"/>
      <c r="I865" s="55"/>
      <c r="J865" s="55"/>
      <c r="Q865" s="55"/>
    </row>
    <row r="866">
      <c r="A866" s="292"/>
      <c r="B866" s="55"/>
      <c r="F866" s="55"/>
      <c r="G866" s="55"/>
      <c r="H866" s="55"/>
      <c r="I866" s="55"/>
      <c r="J866" s="55"/>
      <c r="Q866" s="55"/>
    </row>
    <row r="867">
      <c r="A867" s="292"/>
      <c r="B867" s="55"/>
      <c r="F867" s="55"/>
      <c r="G867" s="55"/>
      <c r="H867" s="55"/>
      <c r="I867" s="55"/>
      <c r="J867" s="55"/>
      <c r="Q867" s="55"/>
    </row>
    <row r="868">
      <c r="A868" s="292"/>
      <c r="B868" s="55"/>
      <c r="F868" s="55"/>
      <c r="G868" s="55"/>
      <c r="H868" s="55"/>
      <c r="I868" s="55"/>
      <c r="J868" s="55"/>
      <c r="Q868" s="55"/>
    </row>
    <row r="869">
      <c r="A869" s="292"/>
      <c r="B869" s="55"/>
      <c r="F869" s="55"/>
      <c r="G869" s="55"/>
      <c r="H869" s="55"/>
      <c r="I869" s="55"/>
      <c r="J869" s="55"/>
      <c r="Q869" s="55"/>
    </row>
    <row r="870">
      <c r="A870" s="292"/>
      <c r="B870" s="55"/>
      <c r="F870" s="55"/>
      <c r="G870" s="55"/>
      <c r="H870" s="55"/>
      <c r="I870" s="55"/>
      <c r="J870" s="55"/>
      <c r="Q870" s="55"/>
    </row>
    <row r="871">
      <c r="A871" s="292"/>
      <c r="B871" s="55"/>
      <c r="F871" s="55"/>
      <c r="G871" s="55"/>
      <c r="H871" s="55"/>
      <c r="I871" s="55"/>
      <c r="J871" s="55"/>
      <c r="Q871" s="55"/>
    </row>
    <row r="872">
      <c r="A872" s="292"/>
      <c r="B872" s="55"/>
      <c r="F872" s="55"/>
      <c r="G872" s="55"/>
      <c r="H872" s="55"/>
      <c r="I872" s="55"/>
      <c r="J872" s="55"/>
      <c r="Q872" s="55"/>
    </row>
    <row r="873">
      <c r="A873" s="292"/>
      <c r="B873" s="55"/>
      <c r="F873" s="55"/>
      <c r="G873" s="55"/>
      <c r="H873" s="55"/>
      <c r="I873" s="55"/>
      <c r="J873" s="55"/>
      <c r="Q873" s="55"/>
    </row>
    <row r="874">
      <c r="A874" s="292"/>
      <c r="B874" s="55"/>
      <c r="F874" s="55"/>
      <c r="G874" s="55"/>
      <c r="H874" s="55"/>
      <c r="I874" s="55"/>
      <c r="J874" s="55"/>
      <c r="Q874" s="55"/>
    </row>
    <row r="875">
      <c r="A875" s="292"/>
      <c r="B875" s="55"/>
      <c r="F875" s="55"/>
      <c r="G875" s="55"/>
      <c r="H875" s="55"/>
      <c r="I875" s="55"/>
      <c r="J875" s="55"/>
      <c r="Q875" s="55"/>
    </row>
    <row r="876">
      <c r="A876" s="292"/>
      <c r="B876" s="55"/>
      <c r="F876" s="55"/>
      <c r="G876" s="55"/>
      <c r="H876" s="55"/>
      <c r="I876" s="55"/>
      <c r="J876" s="55"/>
      <c r="Q876" s="55"/>
    </row>
    <row r="877">
      <c r="A877" s="292"/>
      <c r="B877" s="55"/>
      <c r="F877" s="55"/>
      <c r="G877" s="55"/>
      <c r="H877" s="55"/>
      <c r="I877" s="55"/>
      <c r="J877" s="55"/>
      <c r="Q877" s="55"/>
    </row>
    <row r="878">
      <c r="A878" s="292"/>
      <c r="B878" s="55"/>
      <c r="F878" s="55"/>
      <c r="G878" s="55"/>
      <c r="H878" s="55"/>
      <c r="I878" s="55"/>
      <c r="J878" s="55"/>
      <c r="Q878" s="55"/>
    </row>
    <row r="879">
      <c r="A879" s="292"/>
      <c r="B879" s="55"/>
      <c r="F879" s="55"/>
      <c r="G879" s="55"/>
      <c r="H879" s="55"/>
      <c r="I879" s="55"/>
      <c r="J879" s="55"/>
      <c r="Q879" s="55"/>
    </row>
    <row r="880">
      <c r="A880" s="292"/>
      <c r="B880" s="55"/>
      <c r="F880" s="55"/>
      <c r="G880" s="55"/>
      <c r="H880" s="55"/>
      <c r="I880" s="55"/>
      <c r="J880" s="55"/>
      <c r="Q880" s="55"/>
    </row>
    <row r="881">
      <c r="A881" s="292"/>
      <c r="B881" s="55"/>
      <c r="F881" s="55"/>
      <c r="G881" s="55"/>
      <c r="H881" s="55"/>
      <c r="I881" s="55"/>
      <c r="J881" s="55"/>
      <c r="Q881" s="55"/>
    </row>
    <row r="882">
      <c r="A882" s="292"/>
      <c r="B882" s="55"/>
      <c r="F882" s="55"/>
      <c r="G882" s="55"/>
      <c r="H882" s="55"/>
      <c r="I882" s="55"/>
      <c r="J882" s="55"/>
      <c r="Q882" s="55"/>
    </row>
    <row r="883">
      <c r="A883" s="292"/>
      <c r="B883" s="55"/>
      <c r="F883" s="55"/>
      <c r="G883" s="55"/>
      <c r="H883" s="55"/>
      <c r="I883" s="55"/>
      <c r="J883" s="55"/>
      <c r="Q883" s="55"/>
    </row>
    <row r="884">
      <c r="A884" s="292"/>
      <c r="B884" s="55"/>
      <c r="F884" s="55"/>
      <c r="G884" s="55"/>
      <c r="H884" s="55"/>
      <c r="I884" s="55"/>
      <c r="J884" s="55"/>
      <c r="Q884" s="55"/>
    </row>
    <row r="885">
      <c r="A885" s="292"/>
      <c r="B885" s="55"/>
      <c r="F885" s="55"/>
      <c r="G885" s="55"/>
      <c r="H885" s="55"/>
      <c r="I885" s="55"/>
      <c r="J885" s="55"/>
      <c r="Q885" s="55"/>
    </row>
    <row r="886">
      <c r="A886" s="292"/>
      <c r="B886" s="55"/>
      <c r="F886" s="55"/>
      <c r="G886" s="55"/>
      <c r="H886" s="55"/>
      <c r="I886" s="55"/>
      <c r="J886" s="55"/>
      <c r="Q886" s="55"/>
    </row>
    <row r="887">
      <c r="A887" s="292"/>
      <c r="B887" s="55"/>
      <c r="F887" s="55"/>
      <c r="G887" s="55"/>
      <c r="H887" s="55"/>
      <c r="I887" s="55"/>
      <c r="J887" s="55"/>
      <c r="Q887" s="55"/>
    </row>
    <row r="888">
      <c r="A888" s="292"/>
      <c r="B888" s="55"/>
      <c r="F888" s="55"/>
      <c r="G888" s="55"/>
      <c r="H888" s="55"/>
      <c r="I888" s="55"/>
      <c r="J888" s="55"/>
      <c r="Q888" s="55"/>
    </row>
    <row r="889">
      <c r="A889" s="292"/>
      <c r="B889" s="55"/>
      <c r="F889" s="55"/>
      <c r="G889" s="55"/>
      <c r="H889" s="55"/>
      <c r="I889" s="55"/>
      <c r="J889" s="55"/>
      <c r="Q889" s="55"/>
    </row>
    <row r="890">
      <c r="A890" s="292"/>
      <c r="B890" s="55"/>
      <c r="F890" s="55"/>
      <c r="G890" s="55"/>
      <c r="H890" s="55"/>
      <c r="I890" s="55"/>
      <c r="J890" s="55"/>
      <c r="Q890" s="55"/>
    </row>
    <row r="891">
      <c r="A891" s="292"/>
      <c r="B891" s="55"/>
      <c r="F891" s="55"/>
      <c r="G891" s="55"/>
      <c r="H891" s="55"/>
      <c r="I891" s="55"/>
      <c r="J891" s="55"/>
      <c r="Q891" s="55"/>
    </row>
    <row r="892">
      <c r="A892" s="292"/>
      <c r="B892" s="55"/>
      <c r="F892" s="55"/>
      <c r="G892" s="55"/>
      <c r="H892" s="55"/>
      <c r="I892" s="55"/>
      <c r="J892" s="55"/>
      <c r="Q892" s="55"/>
    </row>
    <row r="893">
      <c r="A893" s="292"/>
      <c r="B893" s="55"/>
      <c r="F893" s="55"/>
      <c r="G893" s="55"/>
      <c r="H893" s="55"/>
      <c r="I893" s="55"/>
      <c r="J893" s="55"/>
      <c r="Q893" s="55"/>
    </row>
    <row r="894">
      <c r="A894" s="292"/>
      <c r="B894" s="55"/>
      <c r="F894" s="55"/>
      <c r="G894" s="55"/>
      <c r="H894" s="55"/>
      <c r="I894" s="55"/>
      <c r="J894" s="55"/>
      <c r="Q894" s="55"/>
    </row>
    <row r="895">
      <c r="A895" s="292"/>
      <c r="B895" s="55"/>
      <c r="F895" s="55"/>
      <c r="G895" s="55"/>
      <c r="H895" s="55"/>
      <c r="I895" s="55"/>
      <c r="J895" s="55"/>
      <c r="Q895" s="55"/>
    </row>
    <row r="896">
      <c r="A896" s="292"/>
      <c r="B896" s="55"/>
      <c r="F896" s="55"/>
      <c r="G896" s="55"/>
      <c r="H896" s="55"/>
      <c r="I896" s="55"/>
      <c r="J896" s="55"/>
      <c r="Q896" s="55"/>
    </row>
    <row r="897">
      <c r="A897" s="292"/>
      <c r="B897" s="55"/>
      <c r="F897" s="55"/>
      <c r="G897" s="55"/>
      <c r="H897" s="55"/>
      <c r="I897" s="55"/>
      <c r="J897" s="55"/>
      <c r="Q897" s="55"/>
    </row>
    <row r="898">
      <c r="A898" s="292"/>
      <c r="B898" s="55"/>
      <c r="F898" s="55"/>
      <c r="G898" s="55"/>
      <c r="H898" s="55"/>
      <c r="I898" s="55"/>
      <c r="J898" s="55"/>
      <c r="Q898" s="55"/>
    </row>
    <row r="899">
      <c r="A899" s="292"/>
      <c r="B899" s="55"/>
      <c r="F899" s="55"/>
      <c r="G899" s="55"/>
      <c r="H899" s="55"/>
      <c r="I899" s="55"/>
      <c r="J899" s="55"/>
      <c r="Q899" s="55"/>
    </row>
    <row r="900">
      <c r="A900" s="292"/>
      <c r="B900" s="55"/>
      <c r="F900" s="55"/>
      <c r="G900" s="55"/>
      <c r="H900" s="55"/>
      <c r="I900" s="55"/>
      <c r="J900" s="55"/>
      <c r="Q900" s="55"/>
    </row>
    <row r="901">
      <c r="A901" s="292"/>
      <c r="B901" s="55"/>
      <c r="F901" s="55"/>
      <c r="G901" s="55"/>
      <c r="H901" s="55"/>
      <c r="I901" s="55"/>
      <c r="J901" s="55"/>
      <c r="Q901" s="55"/>
    </row>
    <row r="902">
      <c r="A902" s="292"/>
      <c r="B902" s="55"/>
      <c r="F902" s="55"/>
      <c r="G902" s="55"/>
      <c r="H902" s="55"/>
      <c r="I902" s="55"/>
      <c r="J902" s="55"/>
      <c r="Q902" s="55"/>
    </row>
    <row r="903">
      <c r="A903" s="292"/>
      <c r="B903" s="55"/>
      <c r="F903" s="55"/>
      <c r="G903" s="55"/>
      <c r="H903" s="55"/>
      <c r="I903" s="55"/>
      <c r="J903" s="55"/>
      <c r="Q903" s="55"/>
    </row>
    <row r="904">
      <c r="A904" s="292"/>
      <c r="B904" s="55"/>
      <c r="F904" s="55"/>
      <c r="G904" s="55"/>
      <c r="H904" s="55"/>
      <c r="I904" s="55"/>
      <c r="J904" s="55"/>
      <c r="Q904" s="55"/>
    </row>
    <row r="905">
      <c r="A905" s="292"/>
      <c r="B905" s="55"/>
      <c r="F905" s="55"/>
      <c r="G905" s="55"/>
      <c r="H905" s="55"/>
      <c r="I905" s="55"/>
      <c r="J905" s="55"/>
      <c r="Q905" s="55"/>
    </row>
    <row r="906">
      <c r="A906" s="292"/>
      <c r="B906" s="55"/>
      <c r="F906" s="55"/>
      <c r="G906" s="55"/>
      <c r="H906" s="55"/>
      <c r="I906" s="55"/>
      <c r="J906" s="55"/>
      <c r="Q906" s="55"/>
    </row>
    <row r="907">
      <c r="A907" s="292"/>
      <c r="B907" s="55"/>
      <c r="F907" s="55"/>
      <c r="G907" s="55"/>
      <c r="H907" s="55"/>
      <c r="I907" s="55"/>
      <c r="J907" s="55"/>
      <c r="Q907" s="55"/>
    </row>
    <row r="908">
      <c r="A908" s="292"/>
      <c r="B908" s="55"/>
      <c r="F908" s="55"/>
      <c r="G908" s="55"/>
      <c r="H908" s="55"/>
      <c r="I908" s="55"/>
      <c r="J908" s="55"/>
      <c r="Q908" s="55"/>
    </row>
    <row r="909">
      <c r="A909" s="292"/>
      <c r="B909" s="55"/>
      <c r="F909" s="55"/>
      <c r="G909" s="55"/>
      <c r="H909" s="55"/>
      <c r="I909" s="55"/>
      <c r="J909" s="55"/>
      <c r="Q909" s="55"/>
    </row>
    <row r="910">
      <c r="A910" s="292"/>
      <c r="B910" s="55"/>
      <c r="F910" s="55"/>
      <c r="G910" s="55"/>
      <c r="H910" s="55"/>
      <c r="I910" s="55"/>
      <c r="J910" s="55"/>
      <c r="Q910" s="55"/>
    </row>
    <row r="911">
      <c r="A911" s="292"/>
      <c r="B911" s="55"/>
      <c r="F911" s="55"/>
      <c r="G911" s="55"/>
      <c r="H911" s="55"/>
      <c r="I911" s="55"/>
      <c r="J911" s="55"/>
      <c r="Q911" s="55"/>
    </row>
    <row r="912">
      <c r="A912" s="292"/>
      <c r="B912" s="55"/>
      <c r="F912" s="55"/>
      <c r="G912" s="55"/>
      <c r="H912" s="55"/>
      <c r="I912" s="55"/>
      <c r="J912" s="55"/>
      <c r="Q912" s="55"/>
    </row>
    <row r="913">
      <c r="A913" s="292"/>
      <c r="B913" s="55"/>
      <c r="F913" s="55"/>
      <c r="G913" s="55"/>
      <c r="H913" s="55"/>
      <c r="I913" s="55"/>
      <c r="J913" s="55"/>
      <c r="Q913" s="55"/>
    </row>
    <row r="914">
      <c r="A914" s="292"/>
      <c r="B914" s="55"/>
      <c r="F914" s="55"/>
      <c r="G914" s="55"/>
      <c r="H914" s="55"/>
      <c r="I914" s="55"/>
      <c r="J914" s="55"/>
      <c r="Q914" s="55"/>
    </row>
    <row r="915">
      <c r="A915" s="292"/>
      <c r="B915" s="55"/>
      <c r="F915" s="55"/>
      <c r="G915" s="55"/>
      <c r="H915" s="55"/>
      <c r="I915" s="55"/>
      <c r="J915" s="55"/>
      <c r="Q915" s="55"/>
    </row>
    <row r="916">
      <c r="A916" s="292"/>
      <c r="B916" s="55"/>
      <c r="F916" s="55"/>
      <c r="G916" s="55"/>
      <c r="H916" s="55"/>
      <c r="I916" s="55"/>
      <c r="J916" s="55"/>
      <c r="Q916" s="55"/>
    </row>
    <row r="917">
      <c r="A917" s="292"/>
      <c r="B917" s="55"/>
      <c r="F917" s="55"/>
      <c r="G917" s="55"/>
      <c r="H917" s="55"/>
      <c r="I917" s="55"/>
      <c r="J917" s="55"/>
      <c r="Q917" s="55"/>
    </row>
    <row r="918">
      <c r="A918" s="292"/>
      <c r="B918" s="55"/>
      <c r="F918" s="55"/>
      <c r="G918" s="55"/>
      <c r="H918" s="55"/>
      <c r="I918" s="55"/>
      <c r="J918" s="55"/>
      <c r="Q918" s="55"/>
    </row>
    <row r="919">
      <c r="A919" s="292"/>
      <c r="B919" s="55"/>
      <c r="F919" s="55"/>
      <c r="G919" s="55"/>
      <c r="H919" s="55"/>
      <c r="I919" s="55"/>
      <c r="J919" s="55"/>
      <c r="Q919" s="55"/>
    </row>
    <row r="920">
      <c r="A920" s="292"/>
      <c r="B920" s="55"/>
      <c r="F920" s="55"/>
      <c r="G920" s="55"/>
      <c r="H920" s="55"/>
      <c r="I920" s="55"/>
      <c r="J920" s="55"/>
      <c r="Q920" s="55"/>
    </row>
    <row r="921">
      <c r="A921" s="292"/>
      <c r="B921" s="55"/>
      <c r="F921" s="55"/>
      <c r="G921" s="55"/>
      <c r="H921" s="55"/>
      <c r="I921" s="55"/>
      <c r="J921" s="55"/>
      <c r="Q921" s="55"/>
    </row>
    <row r="922">
      <c r="A922" s="292"/>
      <c r="B922" s="55"/>
      <c r="F922" s="55"/>
      <c r="G922" s="55"/>
      <c r="H922" s="55"/>
      <c r="I922" s="55"/>
      <c r="J922" s="55"/>
      <c r="Q922" s="55"/>
    </row>
    <row r="923">
      <c r="A923" s="292"/>
      <c r="B923" s="55"/>
      <c r="F923" s="55"/>
      <c r="G923" s="55"/>
      <c r="H923" s="55"/>
      <c r="I923" s="55"/>
      <c r="J923" s="55"/>
      <c r="Q923" s="55"/>
    </row>
    <row r="924">
      <c r="A924" s="292"/>
      <c r="B924" s="55"/>
      <c r="F924" s="55"/>
      <c r="G924" s="55"/>
      <c r="H924" s="55"/>
      <c r="I924" s="55"/>
      <c r="J924" s="55"/>
      <c r="Q924" s="55"/>
    </row>
    <row r="925">
      <c r="A925" s="292"/>
      <c r="B925" s="55"/>
      <c r="F925" s="55"/>
      <c r="G925" s="55"/>
      <c r="H925" s="55"/>
      <c r="I925" s="55"/>
      <c r="J925" s="55"/>
      <c r="Q925" s="55"/>
    </row>
    <row r="926">
      <c r="A926" s="292"/>
      <c r="B926" s="55"/>
      <c r="F926" s="55"/>
      <c r="G926" s="55"/>
      <c r="H926" s="55"/>
      <c r="I926" s="55"/>
      <c r="J926" s="55"/>
      <c r="Q926" s="55"/>
    </row>
    <row r="927">
      <c r="A927" s="292"/>
      <c r="B927" s="55"/>
      <c r="F927" s="55"/>
      <c r="G927" s="55"/>
      <c r="H927" s="55"/>
      <c r="I927" s="55"/>
      <c r="J927" s="55"/>
      <c r="Q927" s="55"/>
    </row>
    <row r="928">
      <c r="A928" s="292"/>
      <c r="B928" s="55"/>
      <c r="F928" s="55"/>
      <c r="G928" s="55"/>
      <c r="H928" s="55"/>
      <c r="I928" s="55"/>
      <c r="J928" s="55"/>
      <c r="Q928" s="55"/>
    </row>
    <row r="929">
      <c r="A929" s="292"/>
      <c r="B929" s="55"/>
      <c r="F929" s="55"/>
      <c r="G929" s="55"/>
      <c r="H929" s="55"/>
      <c r="I929" s="55"/>
      <c r="J929" s="55"/>
      <c r="Q929" s="55"/>
    </row>
    <row r="930">
      <c r="A930" s="292"/>
      <c r="B930" s="55"/>
      <c r="F930" s="55"/>
      <c r="G930" s="55"/>
      <c r="H930" s="55"/>
      <c r="I930" s="55"/>
      <c r="J930" s="55"/>
      <c r="Q930" s="55"/>
    </row>
    <row r="931">
      <c r="A931" s="292"/>
      <c r="B931" s="55"/>
      <c r="F931" s="55"/>
      <c r="G931" s="55"/>
      <c r="H931" s="55"/>
      <c r="I931" s="55"/>
      <c r="J931" s="55"/>
      <c r="Q931" s="55"/>
    </row>
    <row r="932">
      <c r="A932" s="292"/>
      <c r="B932" s="55"/>
      <c r="F932" s="55"/>
      <c r="G932" s="55"/>
      <c r="H932" s="55"/>
      <c r="I932" s="55"/>
      <c r="J932" s="55"/>
      <c r="Q932" s="55"/>
    </row>
    <row r="933">
      <c r="A933" s="292"/>
      <c r="B933" s="55"/>
      <c r="F933" s="55"/>
      <c r="G933" s="55"/>
      <c r="H933" s="55"/>
      <c r="I933" s="55"/>
      <c r="J933" s="55"/>
      <c r="Q933" s="55"/>
    </row>
    <row r="934">
      <c r="A934" s="292"/>
      <c r="B934" s="55"/>
      <c r="F934" s="55"/>
      <c r="G934" s="55"/>
      <c r="H934" s="55"/>
      <c r="I934" s="55"/>
      <c r="J934" s="55"/>
      <c r="Q934" s="55"/>
    </row>
    <row r="935">
      <c r="A935" s="292"/>
      <c r="B935" s="55"/>
      <c r="F935" s="55"/>
      <c r="G935" s="55"/>
      <c r="H935" s="55"/>
      <c r="I935" s="55"/>
      <c r="J935" s="55"/>
      <c r="Q935" s="55"/>
    </row>
    <row r="936">
      <c r="A936" s="292"/>
      <c r="B936" s="55"/>
      <c r="F936" s="55"/>
      <c r="G936" s="55"/>
      <c r="H936" s="55"/>
      <c r="I936" s="55"/>
      <c r="J936" s="55"/>
      <c r="Q936" s="55"/>
    </row>
    <row r="937">
      <c r="A937" s="292"/>
      <c r="B937" s="55"/>
      <c r="F937" s="55"/>
      <c r="G937" s="55"/>
      <c r="H937" s="55"/>
      <c r="I937" s="55"/>
      <c r="J937" s="55"/>
      <c r="Q937" s="55"/>
    </row>
    <row r="938">
      <c r="A938" s="292"/>
      <c r="B938" s="55"/>
      <c r="F938" s="55"/>
      <c r="G938" s="55"/>
      <c r="H938" s="55"/>
      <c r="I938" s="55"/>
      <c r="J938" s="55"/>
      <c r="Q938" s="55"/>
    </row>
    <row r="939">
      <c r="A939" s="292"/>
      <c r="B939" s="55"/>
      <c r="F939" s="55"/>
      <c r="G939" s="55"/>
      <c r="H939" s="55"/>
      <c r="I939" s="55"/>
      <c r="J939" s="55"/>
      <c r="Q939" s="55"/>
    </row>
    <row r="940">
      <c r="A940" s="292"/>
      <c r="B940" s="55"/>
      <c r="F940" s="55"/>
      <c r="G940" s="55"/>
      <c r="H940" s="55"/>
      <c r="I940" s="55"/>
      <c r="J940" s="55"/>
      <c r="Q940" s="55"/>
    </row>
    <row r="941">
      <c r="A941" s="292"/>
      <c r="B941" s="55"/>
      <c r="F941" s="55"/>
      <c r="G941" s="55"/>
      <c r="H941" s="55"/>
      <c r="I941" s="55"/>
      <c r="J941" s="55"/>
      <c r="Q941" s="55"/>
    </row>
    <row r="942">
      <c r="A942" s="292"/>
      <c r="B942" s="55"/>
      <c r="F942" s="55"/>
      <c r="G942" s="55"/>
      <c r="H942" s="55"/>
      <c r="I942" s="55"/>
      <c r="J942" s="55"/>
      <c r="Q942" s="55"/>
    </row>
    <row r="943">
      <c r="A943" s="292"/>
      <c r="B943" s="55"/>
      <c r="F943" s="55"/>
      <c r="G943" s="55"/>
      <c r="H943" s="55"/>
      <c r="I943" s="55"/>
      <c r="J943" s="55"/>
      <c r="Q943" s="55"/>
    </row>
    <row r="944">
      <c r="A944" s="292"/>
      <c r="B944" s="55"/>
      <c r="F944" s="55"/>
      <c r="G944" s="55"/>
      <c r="H944" s="55"/>
      <c r="I944" s="55"/>
      <c r="J944" s="55"/>
      <c r="Q944" s="55"/>
    </row>
    <row r="945">
      <c r="A945" s="292"/>
      <c r="B945" s="55"/>
      <c r="F945" s="55"/>
      <c r="G945" s="55"/>
      <c r="H945" s="55"/>
      <c r="I945" s="55"/>
      <c r="J945" s="55"/>
      <c r="Q945" s="55"/>
    </row>
    <row r="946">
      <c r="A946" s="292"/>
      <c r="B946" s="55"/>
      <c r="F946" s="55"/>
      <c r="G946" s="55"/>
      <c r="H946" s="55"/>
      <c r="I946" s="55"/>
      <c r="J946" s="55"/>
      <c r="Q946" s="55"/>
    </row>
    <row r="947">
      <c r="A947" s="292"/>
      <c r="B947" s="55"/>
      <c r="F947" s="55"/>
      <c r="G947" s="55"/>
      <c r="H947" s="55"/>
      <c r="I947" s="55"/>
      <c r="J947" s="55"/>
      <c r="Q947" s="55"/>
    </row>
    <row r="948">
      <c r="A948" s="292"/>
      <c r="B948" s="55"/>
      <c r="F948" s="55"/>
      <c r="G948" s="55"/>
      <c r="H948" s="55"/>
      <c r="I948" s="55"/>
      <c r="J948" s="55"/>
      <c r="Q948" s="55"/>
    </row>
    <row r="949">
      <c r="A949" s="292"/>
      <c r="B949" s="55"/>
      <c r="F949" s="55"/>
      <c r="G949" s="55"/>
      <c r="H949" s="55"/>
      <c r="I949" s="55"/>
      <c r="J949" s="55"/>
      <c r="Q949" s="55"/>
    </row>
    <row r="950">
      <c r="A950" s="292"/>
      <c r="B950" s="55"/>
      <c r="F950" s="55"/>
      <c r="G950" s="55"/>
      <c r="H950" s="55"/>
      <c r="I950" s="55"/>
      <c r="J950" s="55"/>
      <c r="Q950" s="55"/>
    </row>
    <row r="951">
      <c r="A951" s="292"/>
      <c r="B951" s="55"/>
      <c r="F951" s="55"/>
      <c r="G951" s="55"/>
      <c r="H951" s="55"/>
      <c r="I951" s="55"/>
      <c r="J951" s="55"/>
      <c r="Q951" s="55"/>
    </row>
    <row r="952">
      <c r="A952" s="292"/>
      <c r="B952" s="55"/>
      <c r="F952" s="55"/>
      <c r="G952" s="55"/>
      <c r="H952" s="55"/>
      <c r="I952" s="55"/>
      <c r="J952" s="55"/>
      <c r="Q952" s="55"/>
    </row>
    <row r="953">
      <c r="A953" s="292"/>
      <c r="B953" s="55"/>
      <c r="F953" s="55"/>
      <c r="G953" s="55"/>
      <c r="H953" s="55"/>
      <c r="I953" s="55"/>
      <c r="J953" s="55"/>
      <c r="Q953" s="55"/>
    </row>
    <row r="954">
      <c r="A954" s="292"/>
      <c r="B954" s="55"/>
      <c r="F954" s="55"/>
      <c r="G954" s="55"/>
      <c r="H954" s="55"/>
      <c r="I954" s="55"/>
      <c r="J954" s="55"/>
      <c r="Q954" s="55"/>
    </row>
    <row r="955">
      <c r="A955" s="292"/>
      <c r="B955" s="55"/>
      <c r="F955" s="55"/>
      <c r="G955" s="55"/>
      <c r="H955" s="55"/>
      <c r="I955" s="55"/>
      <c r="J955" s="55"/>
      <c r="Q955" s="55"/>
    </row>
    <row r="956">
      <c r="A956" s="292"/>
      <c r="B956" s="55"/>
      <c r="F956" s="55"/>
      <c r="G956" s="55"/>
      <c r="H956" s="55"/>
      <c r="I956" s="55"/>
      <c r="J956" s="55"/>
      <c r="Q956" s="55"/>
    </row>
    <row r="957">
      <c r="A957" s="292"/>
      <c r="B957" s="55"/>
      <c r="F957" s="55"/>
      <c r="G957" s="55"/>
      <c r="H957" s="55"/>
      <c r="I957" s="55"/>
      <c r="J957" s="55"/>
      <c r="Q957" s="55"/>
    </row>
    <row r="958">
      <c r="A958" s="292"/>
      <c r="B958" s="55"/>
      <c r="F958" s="55"/>
      <c r="G958" s="55"/>
      <c r="H958" s="55"/>
      <c r="I958" s="55"/>
      <c r="J958" s="55"/>
      <c r="Q958" s="55"/>
    </row>
    <row r="959">
      <c r="A959" s="292"/>
      <c r="B959" s="55"/>
      <c r="F959" s="55"/>
      <c r="G959" s="55"/>
      <c r="H959" s="55"/>
      <c r="I959" s="55"/>
      <c r="J959" s="55"/>
      <c r="Q959" s="55"/>
    </row>
    <row r="960">
      <c r="A960" s="292"/>
      <c r="B960" s="55"/>
      <c r="F960" s="55"/>
      <c r="G960" s="55"/>
      <c r="H960" s="55"/>
      <c r="I960" s="55"/>
      <c r="J960" s="55"/>
      <c r="Q960" s="55"/>
    </row>
    <row r="961">
      <c r="A961" s="292"/>
      <c r="B961" s="55"/>
      <c r="F961" s="55"/>
      <c r="G961" s="55"/>
      <c r="H961" s="55"/>
      <c r="I961" s="55"/>
      <c r="J961" s="55"/>
      <c r="Q961" s="55"/>
    </row>
    <row r="962">
      <c r="A962" s="292"/>
      <c r="B962" s="55"/>
      <c r="F962" s="55"/>
      <c r="G962" s="55"/>
      <c r="H962" s="55"/>
      <c r="I962" s="55"/>
      <c r="J962" s="55"/>
      <c r="Q962" s="55"/>
    </row>
    <row r="963">
      <c r="A963" s="292"/>
      <c r="B963" s="55"/>
      <c r="F963" s="55"/>
      <c r="G963" s="55"/>
      <c r="H963" s="55"/>
      <c r="I963" s="55"/>
      <c r="J963" s="55"/>
      <c r="Q963" s="55"/>
    </row>
    <row r="964">
      <c r="A964" s="292"/>
      <c r="B964" s="55"/>
      <c r="F964" s="55"/>
      <c r="G964" s="55"/>
      <c r="H964" s="55"/>
      <c r="I964" s="55"/>
      <c r="J964" s="55"/>
      <c r="Q964" s="55"/>
    </row>
    <row r="965">
      <c r="A965" s="292"/>
      <c r="B965" s="55"/>
      <c r="F965" s="55"/>
      <c r="G965" s="55"/>
      <c r="H965" s="55"/>
      <c r="I965" s="55"/>
      <c r="J965" s="55"/>
      <c r="Q965" s="55"/>
    </row>
    <row r="966">
      <c r="A966" s="292"/>
      <c r="B966" s="55"/>
      <c r="F966" s="55"/>
      <c r="G966" s="55"/>
      <c r="H966" s="55"/>
      <c r="I966" s="55"/>
      <c r="J966" s="55"/>
      <c r="Q966" s="55"/>
    </row>
    <row r="967">
      <c r="A967" s="292"/>
      <c r="B967" s="55"/>
      <c r="F967" s="55"/>
      <c r="G967" s="55"/>
      <c r="H967" s="55"/>
      <c r="I967" s="55"/>
      <c r="J967" s="55"/>
      <c r="Q967" s="55"/>
    </row>
    <row r="968">
      <c r="A968" s="292"/>
      <c r="B968" s="55"/>
      <c r="F968" s="55"/>
      <c r="G968" s="55"/>
      <c r="H968" s="55"/>
      <c r="I968" s="55"/>
      <c r="J968" s="55"/>
      <c r="Q968" s="55"/>
    </row>
    <row r="969">
      <c r="A969" s="292"/>
      <c r="B969" s="55"/>
      <c r="F969" s="55"/>
      <c r="G969" s="55"/>
      <c r="H969" s="55"/>
      <c r="I969" s="55"/>
      <c r="J969" s="55"/>
      <c r="Q969" s="55"/>
    </row>
    <row r="970">
      <c r="A970" s="292"/>
      <c r="B970" s="55"/>
      <c r="F970" s="55"/>
      <c r="G970" s="55"/>
      <c r="H970" s="55"/>
      <c r="I970" s="55"/>
      <c r="J970" s="55"/>
      <c r="Q970" s="55"/>
    </row>
    <row r="971">
      <c r="A971" s="292"/>
      <c r="B971" s="55"/>
      <c r="F971" s="55"/>
      <c r="G971" s="55"/>
      <c r="H971" s="55"/>
      <c r="I971" s="55"/>
      <c r="J971" s="55"/>
      <c r="Q971" s="55"/>
    </row>
    <row r="972">
      <c r="A972" s="292"/>
      <c r="B972" s="55"/>
      <c r="F972" s="55"/>
      <c r="G972" s="55"/>
      <c r="H972" s="55"/>
      <c r="I972" s="55"/>
      <c r="J972" s="55"/>
      <c r="Q972" s="55"/>
    </row>
    <row r="973">
      <c r="A973" s="292"/>
      <c r="B973" s="55"/>
      <c r="F973" s="55"/>
      <c r="G973" s="55"/>
      <c r="H973" s="55"/>
      <c r="I973" s="55"/>
      <c r="J973" s="55"/>
      <c r="Q973" s="55"/>
    </row>
    <row r="974">
      <c r="A974" s="292"/>
      <c r="B974" s="55"/>
      <c r="F974" s="55"/>
      <c r="G974" s="55"/>
      <c r="H974" s="55"/>
      <c r="I974" s="55"/>
      <c r="J974" s="55"/>
      <c r="Q974" s="55"/>
    </row>
    <row r="975">
      <c r="A975" s="292"/>
      <c r="B975" s="55"/>
      <c r="F975" s="55"/>
      <c r="G975" s="55"/>
      <c r="H975" s="55"/>
      <c r="I975" s="55"/>
      <c r="J975" s="55"/>
      <c r="Q975" s="55"/>
    </row>
    <row r="976">
      <c r="A976" s="292"/>
      <c r="B976" s="55"/>
      <c r="F976" s="55"/>
      <c r="G976" s="55"/>
      <c r="H976" s="55"/>
      <c r="I976" s="55"/>
      <c r="J976" s="55"/>
      <c r="Q976" s="55"/>
    </row>
    <row r="977">
      <c r="A977" s="292"/>
      <c r="B977" s="55"/>
      <c r="F977" s="55"/>
      <c r="G977" s="55"/>
      <c r="H977" s="55"/>
      <c r="I977" s="55"/>
      <c r="J977" s="55"/>
      <c r="Q977" s="55"/>
    </row>
    <row r="978">
      <c r="A978" s="292"/>
      <c r="B978" s="55"/>
      <c r="F978" s="55"/>
      <c r="G978" s="55"/>
      <c r="H978" s="55"/>
      <c r="I978" s="55"/>
      <c r="J978" s="55"/>
      <c r="Q978" s="55"/>
    </row>
    <row r="979">
      <c r="A979" s="292"/>
      <c r="B979" s="55"/>
      <c r="F979" s="55"/>
      <c r="G979" s="55"/>
      <c r="H979" s="55"/>
      <c r="I979" s="55"/>
      <c r="J979" s="55"/>
      <c r="Q979" s="55"/>
    </row>
    <row r="980">
      <c r="A980" s="292"/>
      <c r="B980" s="55"/>
      <c r="F980" s="55"/>
      <c r="G980" s="55"/>
      <c r="H980" s="55"/>
      <c r="I980" s="55"/>
      <c r="J980" s="55"/>
      <c r="Q980" s="55"/>
    </row>
    <row r="981">
      <c r="A981" s="292"/>
      <c r="B981" s="55"/>
      <c r="F981" s="55"/>
      <c r="G981" s="55"/>
      <c r="H981" s="55"/>
      <c r="I981" s="55"/>
      <c r="J981" s="55"/>
      <c r="Q981" s="55"/>
    </row>
    <row r="982">
      <c r="A982" s="292"/>
      <c r="B982" s="55"/>
      <c r="F982" s="55"/>
      <c r="G982" s="55"/>
      <c r="H982" s="55"/>
      <c r="I982" s="55"/>
      <c r="J982" s="55"/>
      <c r="Q982" s="55"/>
    </row>
    <row r="983">
      <c r="A983" s="292"/>
      <c r="B983" s="55"/>
      <c r="F983" s="55"/>
      <c r="G983" s="55"/>
      <c r="H983" s="55"/>
      <c r="I983" s="55"/>
      <c r="J983" s="55"/>
      <c r="Q983" s="55"/>
    </row>
    <row r="984">
      <c r="A984" s="292"/>
      <c r="B984" s="55"/>
      <c r="F984" s="55"/>
      <c r="G984" s="55"/>
      <c r="H984" s="55"/>
      <c r="I984" s="55"/>
      <c r="J984" s="55"/>
      <c r="Q984" s="55"/>
    </row>
    <row r="985">
      <c r="A985" s="292"/>
      <c r="B985" s="55"/>
      <c r="F985" s="55"/>
      <c r="G985" s="55"/>
      <c r="H985" s="55"/>
      <c r="I985" s="55"/>
      <c r="J985" s="55"/>
      <c r="Q985" s="55"/>
    </row>
    <row r="986">
      <c r="A986" s="292"/>
      <c r="B986" s="55"/>
      <c r="F986" s="55"/>
      <c r="G986" s="55"/>
      <c r="H986" s="55"/>
      <c r="I986" s="55"/>
      <c r="J986" s="55"/>
      <c r="Q986" s="55"/>
    </row>
    <row r="987">
      <c r="A987" s="292"/>
      <c r="B987" s="55"/>
      <c r="F987" s="55"/>
      <c r="G987" s="55"/>
      <c r="H987" s="55"/>
      <c r="I987" s="55"/>
      <c r="J987" s="55"/>
      <c r="Q987" s="55"/>
    </row>
    <row r="988">
      <c r="A988" s="292"/>
      <c r="B988" s="55"/>
      <c r="F988" s="55"/>
      <c r="G988" s="55"/>
      <c r="H988" s="55"/>
      <c r="I988" s="55"/>
      <c r="J988" s="55"/>
      <c r="Q988" s="55"/>
    </row>
    <row r="989">
      <c r="A989" s="292"/>
      <c r="B989" s="55"/>
      <c r="F989" s="55"/>
      <c r="G989" s="55"/>
      <c r="H989" s="55"/>
      <c r="I989" s="55"/>
      <c r="J989" s="55"/>
      <c r="Q989" s="55"/>
    </row>
    <row r="990">
      <c r="A990" s="292"/>
      <c r="B990" s="55"/>
      <c r="F990" s="55"/>
      <c r="G990" s="55"/>
      <c r="H990" s="55"/>
      <c r="I990" s="55"/>
      <c r="J990" s="55"/>
      <c r="Q990" s="55"/>
    </row>
    <row r="991">
      <c r="A991" s="292"/>
      <c r="B991" s="55"/>
      <c r="F991" s="55"/>
      <c r="G991" s="55"/>
      <c r="H991" s="55"/>
      <c r="I991" s="55"/>
      <c r="J991" s="55"/>
      <c r="Q991" s="55"/>
    </row>
    <row r="992">
      <c r="A992" s="292"/>
      <c r="B992" s="55"/>
      <c r="F992" s="55"/>
      <c r="G992" s="55"/>
      <c r="H992" s="55"/>
      <c r="I992" s="55"/>
      <c r="J992" s="55"/>
      <c r="Q992" s="55"/>
    </row>
    <row r="993">
      <c r="A993" s="292"/>
      <c r="B993" s="55"/>
      <c r="F993" s="55"/>
      <c r="G993" s="55"/>
      <c r="H993" s="55"/>
      <c r="I993" s="55"/>
      <c r="J993" s="55"/>
      <c r="Q993" s="55"/>
    </row>
    <row r="994">
      <c r="A994" s="292"/>
      <c r="B994" s="55"/>
      <c r="F994" s="55"/>
      <c r="G994" s="55"/>
      <c r="H994" s="55"/>
      <c r="I994" s="55"/>
      <c r="J994" s="55"/>
      <c r="Q994" s="55"/>
    </row>
    <row r="995">
      <c r="A995" s="292"/>
      <c r="B995" s="55"/>
      <c r="F995" s="55"/>
      <c r="G995" s="55"/>
      <c r="H995" s="55"/>
      <c r="I995" s="55"/>
      <c r="J995" s="55"/>
      <c r="Q995" s="55"/>
    </row>
    <row r="996">
      <c r="A996" s="292"/>
      <c r="B996" s="55"/>
      <c r="F996" s="55"/>
      <c r="G996" s="55"/>
      <c r="H996" s="55"/>
      <c r="I996" s="55"/>
      <c r="J996" s="55"/>
      <c r="Q996" s="55"/>
    </row>
    <row r="997">
      <c r="A997" s="292"/>
      <c r="B997" s="55"/>
      <c r="F997" s="55"/>
      <c r="G997" s="55"/>
      <c r="H997" s="55"/>
      <c r="I997" s="55"/>
      <c r="J997" s="55"/>
      <c r="Q997" s="55"/>
    </row>
    <row r="998">
      <c r="A998" s="292"/>
      <c r="B998" s="55"/>
      <c r="F998" s="55"/>
      <c r="G998" s="55"/>
      <c r="H998" s="55"/>
      <c r="I998" s="55"/>
      <c r="J998" s="55"/>
      <c r="Q998" s="55"/>
    </row>
    <row r="999">
      <c r="A999" s="292"/>
      <c r="B999" s="55"/>
      <c r="F999" s="55"/>
      <c r="G999" s="55"/>
      <c r="H999" s="55"/>
      <c r="I999" s="55"/>
      <c r="J999" s="55"/>
      <c r="Q999" s="55"/>
    </row>
    <row r="1000">
      <c r="A1000" s="292"/>
      <c r="B1000" s="55"/>
      <c r="F1000" s="55"/>
      <c r="G1000" s="55"/>
      <c r="H1000" s="55"/>
      <c r="I1000" s="55"/>
      <c r="J1000" s="55"/>
      <c r="Q1000" s="55"/>
    </row>
    <row r="1001">
      <c r="A1001" s="292"/>
      <c r="B1001" s="55"/>
      <c r="F1001" s="55"/>
      <c r="G1001" s="55"/>
      <c r="H1001" s="55"/>
      <c r="I1001" s="55"/>
      <c r="J1001" s="55"/>
      <c r="Q1001" s="55"/>
    </row>
    <row r="1002">
      <c r="A1002" s="292"/>
      <c r="B1002" s="55"/>
      <c r="F1002" s="55"/>
      <c r="G1002" s="55"/>
      <c r="H1002" s="55"/>
      <c r="I1002" s="55"/>
      <c r="J1002" s="55"/>
      <c r="Q1002" s="55"/>
    </row>
    <row r="1003">
      <c r="A1003" s="292"/>
      <c r="B1003" s="55"/>
      <c r="F1003" s="55"/>
      <c r="G1003" s="55"/>
      <c r="H1003" s="55"/>
      <c r="I1003" s="55"/>
      <c r="J1003" s="55"/>
      <c r="Q1003" s="55"/>
    </row>
    <row r="1004">
      <c r="A1004" s="292"/>
      <c r="B1004" s="55"/>
      <c r="F1004" s="55"/>
      <c r="G1004" s="55"/>
      <c r="H1004" s="55"/>
      <c r="I1004" s="55"/>
      <c r="J1004" s="55"/>
      <c r="Q1004" s="55"/>
    </row>
    <row r="1005">
      <c r="A1005" s="292"/>
      <c r="B1005" s="55"/>
      <c r="F1005" s="55"/>
      <c r="G1005" s="55"/>
      <c r="H1005" s="55"/>
      <c r="I1005" s="55"/>
      <c r="J1005" s="55"/>
      <c r="Q1005" s="55"/>
    </row>
    <row r="1006">
      <c r="A1006" s="292"/>
      <c r="B1006" s="55"/>
      <c r="F1006" s="55"/>
      <c r="G1006" s="55"/>
      <c r="H1006" s="55"/>
      <c r="I1006" s="55"/>
      <c r="J1006" s="55"/>
      <c r="Q1006" s="55"/>
    </row>
  </sheetData>
  <mergeCells count="1">
    <mergeCell ref="B35:I35"/>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38"/>
    <col customWidth="1" min="3" max="4" width="25.13"/>
    <col customWidth="1" min="5" max="5" width="1.38"/>
    <col customWidth="1" min="6" max="7" width="25.13"/>
    <col customWidth="1" min="8" max="8" width="1.38"/>
    <col customWidth="1" min="9" max="10" width="25.13"/>
  </cols>
  <sheetData>
    <row r="1">
      <c r="A1" s="624"/>
      <c r="B1" s="55"/>
      <c r="C1" s="55"/>
      <c r="D1" s="55"/>
      <c r="E1" s="55"/>
      <c r="F1" s="55"/>
      <c r="G1" s="55"/>
      <c r="H1" s="55"/>
      <c r="I1" s="55"/>
      <c r="J1" s="55"/>
      <c r="K1" s="55"/>
      <c r="L1" s="55"/>
      <c r="M1" s="55"/>
      <c r="N1" s="55"/>
      <c r="O1" s="55"/>
      <c r="P1" s="55"/>
      <c r="Q1" s="55"/>
      <c r="R1" s="55"/>
      <c r="S1" s="55"/>
      <c r="T1" s="55"/>
      <c r="U1" s="55"/>
      <c r="V1" s="55"/>
      <c r="W1" s="55"/>
      <c r="X1" s="55"/>
      <c r="Y1" s="55"/>
      <c r="Z1" s="55"/>
    </row>
    <row r="2">
      <c r="A2" s="625" t="s">
        <v>1772</v>
      </c>
      <c r="B2" s="53"/>
      <c r="C2" s="626" t="s">
        <v>485</v>
      </c>
      <c r="D2" s="626" t="s">
        <v>390</v>
      </c>
      <c r="E2" s="627"/>
      <c r="F2" s="626" t="s">
        <v>488</v>
      </c>
      <c r="G2" s="626" t="s">
        <v>393</v>
      </c>
      <c r="H2" s="627"/>
      <c r="I2" s="626" t="s">
        <v>1902</v>
      </c>
      <c r="J2" s="626" t="s">
        <v>391</v>
      </c>
      <c r="K2" s="55"/>
      <c r="L2" s="55"/>
      <c r="M2" s="55"/>
      <c r="N2" s="55"/>
      <c r="O2" s="55"/>
      <c r="P2" s="55"/>
      <c r="Q2" s="55"/>
      <c r="R2" s="55"/>
      <c r="S2" s="55"/>
      <c r="T2" s="55"/>
      <c r="U2" s="55"/>
      <c r="V2" s="55"/>
      <c r="W2" s="55"/>
      <c r="X2" s="55"/>
      <c r="Y2" s="55"/>
      <c r="Z2" s="55"/>
    </row>
    <row r="3">
      <c r="A3" s="628" t="s">
        <v>1654</v>
      </c>
      <c r="B3" s="55"/>
      <c r="C3" s="629" t="str">
        <f>"[All Units] +10 Culture/Military Unit killed (in nearest city)"</f>
        <v>[All Units] +10 Culture/Military Unit killed (in nearest city)</v>
      </c>
      <c r="D3" s="630" t="s">
        <v>1903</v>
      </c>
      <c r="E3" s="624"/>
      <c r="F3" s="631" t="s">
        <v>1904</v>
      </c>
      <c r="G3" s="632" t="s">
        <v>1905</v>
      </c>
      <c r="H3" s="624"/>
      <c r="I3" s="633" t="s">
        <v>1906</v>
      </c>
      <c r="J3" s="634" t="str">
        <f>"-50% Unit Consumption"</f>
        <v>-50% Unit Consumption</v>
      </c>
      <c r="K3" s="55"/>
      <c r="L3" s="55"/>
      <c r="M3" s="55"/>
      <c r="N3" s="55"/>
      <c r="O3" s="55"/>
      <c r="P3" s="55"/>
      <c r="Q3" s="55"/>
      <c r="R3" s="55"/>
      <c r="S3" s="55"/>
      <c r="T3" s="55"/>
      <c r="U3" s="55"/>
      <c r="V3" s="55"/>
      <c r="W3" s="55"/>
      <c r="X3" s="55"/>
      <c r="Y3" s="55"/>
      <c r="Z3" s="55"/>
    </row>
    <row r="4">
      <c r="A4" s="628" t="s">
        <v>1654</v>
      </c>
      <c r="B4" s="55"/>
      <c r="C4" s="624"/>
      <c r="D4" s="630" t="s">
        <v>1907</v>
      </c>
      <c r="E4" s="624"/>
      <c r="G4" s="635" t="str">
        <f>"+20% Growth"</f>
        <v>+20% Growth</v>
      </c>
      <c r="H4" s="624"/>
      <c r="I4" s="636" t="s">
        <v>1908</v>
      </c>
      <c r="J4" s="634" t="s">
        <v>1909</v>
      </c>
      <c r="K4" s="55"/>
      <c r="L4" s="55"/>
      <c r="M4" s="55"/>
      <c r="N4" s="55"/>
      <c r="O4" s="55"/>
      <c r="P4" s="55"/>
      <c r="Q4" s="55"/>
      <c r="R4" s="55"/>
      <c r="S4" s="55"/>
      <c r="T4" s="55"/>
      <c r="U4" s="55"/>
      <c r="V4" s="55"/>
      <c r="W4" s="55"/>
      <c r="X4" s="55"/>
      <c r="Y4" s="55"/>
      <c r="Z4" s="55"/>
    </row>
    <row r="5">
      <c r="A5" s="628" t="s">
        <v>1910</v>
      </c>
      <c r="B5" s="55"/>
      <c r="C5" s="628" t="s">
        <v>1911</v>
      </c>
      <c r="D5" s="628" t="s">
        <v>1912</v>
      </c>
      <c r="E5" s="624"/>
      <c r="F5" s="628" t="s">
        <v>1913</v>
      </c>
      <c r="G5" s="628" t="s">
        <v>1914</v>
      </c>
      <c r="H5" s="624"/>
      <c r="I5" s="628" t="s">
        <v>1915</v>
      </c>
      <c r="J5" s="628" t="s">
        <v>1916</v>
      </c>
      <c r="K5" s="55"/>
      <c r="L5" s="55"/>
      <c r="M5" s="55"/>
      <c r="N5" s="55"/>
      <c r="O5" s="55"/>
      <c r="P5" s="55"/>
      <c r="Q5" s="55"/>
      <c r="R5" s="55"/>
      <c r="S5" s="55"/>
      <c r="T5" s="55"/>
      <c r="U5" s="55"/>
      <c r="V5" s="55"/>
      <c r="W5" s="55"/>
      <c r="X5" s="55"/>
      <c r="Y5" s="55"/>
      <c r="Z5" s="55"/>
    </row>
    <row r="6">
      <c r="A6" s="628" t="s">
        <v>1917</v>
      </c>
      <c r="B6" s="4"/>
      <c r="C6" s="628" t="s">
        <v>1918</v>
      </c>
      <c r="D6" s="628" t="s">
        <v>1918</v>
      </c>
      <c r="E6" s="624"/>
      <c r="F6" s="628" t="s">
        <v>1918</v>
      </c>
      <c r="G6" s="628" t="s">
        <v>1918</v>
      </c>
      <c r="H6" s="624"/>
      <c r="I6" s="628" t="s">
        <v>1918</v>
      </c>
      <c r="J6" s="628" t="s">
        <v>1918</v>
      </c>
      <c r="K6" s="55"/>
      <c r="L6" s="55"/>
      <c r="M6" s="55"/>
      <c r="N6" s="55"/>
      <c r="O6" s="55"/>
      <c r="P6" s="55"/>
      <c r="Q6" s="55"/>
      <c r="R6" s="55"/>
      <c r="S6" s="55"/>
      <c r="T6" s="55"/>
      <c r="U6" s="55"/>
      <c r="V6" s="55"/>
      <c r="W6" s="55"/>
      <c r="X6" s="55"/>
      <c r="Y6" s="55"/>
      <c r="Z6" s="55"/>
    </row>
    <row r="7">
      <c r="A7" s="628" t="s">
        <v>1776</v>
      </c>
      <c r="B7" s="4"/>
      <c r="C7" s="628" t="s">
        <v>266</v>
      </c>
      <c r="E7" s="624"/>
      <c r="F7" s="628" t="s">
        <v>268</v>
      </c>
      <c r="H7" s="624"/>
      <c r="I7" s="628" t="s">
        <v>267</v>
      </c>
      <c r="K7" s="55"/>
      <c r="L7" s="55"/>
      <c r="M7" s="55"/>
      <c r="N7" s="55"/>
      <c r="O7" s="55"/>
      <c r="P7" s="55"/>
      <c r="Q7" s="55"/>
      <c r="R7" s="55"/>
      <c r="S7" s="55"/>
      <c r="T7" s="55"/>
      <c r="U7" s="55"/>
      <c r="V7" s="55"/>
      <c r="W7" s="55"/>
      <c r="X7" s="55"/>
      <c r="Y7" s="55"/>
      <c r="Z7" s="55"/>
    </row>
    <row r="8">
      <c r="A8" s="628" t="s">
        <v>1778</v>
      </c>
      <c r="B8" s="55"/>
      <c r="C8" s="628" t="s">
        <v>1919</v>
      </c>
      <c r="E8" s="624"/>
      <c r="F8" s="628" t="s">
        <v>1920</v>
      </c>
      <c r="H8" s="624"/>
      <c r="I8" s="628" t="s">
        <v>1921</v>
      </c>
      <c r="K8" s="55"/>
      <c r="L8" s="55"/>
      <c r="M8" s="55"/>
      <c r="N8" s="55"/>
      <c r="O8" s="55"/>
      <c r="P8" s="55"/>
      <c r="Q8" s="55"/>
      <c r="R8" s="55"/>
      <c r="S8" s="55"/>
      <c r="T8" s="55"/>
      <c r="U8" s="55"/>
      <c r="V8" s="55"/>
      <c r="W8" s="55"/>
      <c r="X8" s="55"/>
      <c r="Y8" s="55"/>
      <c r="Z8" s="55"/>
    </row>
    <row r="9">
      <c r="A9" s="625"/>
      <c r="B9" s="55"/>
      <c r="C9" s="624"/>
      <c r="D9" s="624"/>
      <c r="E9" s="624"/>
      <c r="F9" s="624"/>
      <c r="G9" s="624"/>
      <c r="H9" s="624"/>
      <c r="I9" s="624"/>
      <c r="J9" s="624"/>
      <c r="K9" s="55"/>
      <c r="L9" s="55"/>
      <c r="M9" s="55"/>
      <c r="N9" s="55"/>
      <c r="O9" s="55"/>
      <c r="P9" s="55"/>
      <c r="Q9" s="55"/>
      <c r="R9" s="55"/>
      <c r="S9" s="55"/>
      <c r="T9" s="55"/>
      <c r="U9" s="55"/>
      <c r="V9" s="55"/>
      <c r="W9" s="55"/>
      <c r="X9" s="55"/>
      <c r="Y9" s="55"/>
      <c r="Z9" s="55"/>
    </row>
    <row r="10">
      <c r="A10" s="625" t="s">
        <v>1785</v>
      </c>
      <c r="B10" s="55"/>
      <c r="C10" s="637" t="s">
        <v>491</v>
      </c>
      <c r="D10" s="637" t="s">
        <v>392</v>
      </c>
      <c r="E10" s="638"/>
      <c r="F10" s="637" t="s">
        <v>489</v>
      </c>
      <c r="G10" s="637" t="s">
        <v>396</v>
      </c>
      <c r="H10" s="638"/>
      <c r="I10" s="637" t="s">
        <v>1922</v>
      </c>
      <c r="J10" s="637" t="s">
        <v>1923</v>
      </c>
      <c r="K10" s="55"/>
      <c r="L10" s="55"/>
      <c r="M10" s="55"/>
      <c r="N10" s="55"/>
      <c r="O10" s="55"/>
      <c r="P10" s="55"/>
      <c r="Q10" s="55"/>
      <c r="R10" s="55"/>
      <c r="S10" s="55"/>
      <c r="T10" s="55"/>
      <c r="U10" s="55"/>
      <c r="V10" s="55"/>
      <c r="W10" s="55"/>
      <c r="X10" s="55"/>
      <c r="Y10" s="55"/>
      <c r="Z10" s="55"/>
    </row>
    <row r="11">
      <c r="A11" s="628" t="s">
        <v>1654</v>
      </c>
      <c r="B11" s="55"/>
      <c r="C11" s="639" t="s">
        <v>1924</v>
      </c>
      <c r="D11" s="630" t="s">
        <v>1925</v>
      </c>
      <c r="E11" s="624"/>
      <c r="F11" s="634" t="s">
        <v>1926</v>
      </c>
      <c r="G11" s="640" t="s">
        <v>1927</v>
      </c>
      <c r="H11" s="624"/>
      <c r="I11" s="630" t="s">
        <v>1928</v>
      </c>
      <c r="J11" s="628" t="s">
        <v>1929</v>
      </c>
      <c r="K11" s="55"/>
      <c r="L11" s="55"/>
      <c r="M11" s="55"/>
      <c r="N11" s="55"/>
      <c r="O11" s="55"/>
      <c r="P11" s="55"/>
      <c r="Q11" s="55"/>
      <c r="R11" s="55"/>
      <c r="S11" s="55"/>
      <c r="T11" s="55"/>
      <c r="U11" s="55"/>
      <c r="V11" s="55"/>
      <c r="W11" s="55"/>
      <c r="X11" s="55"/>
      <c r="Y11" s="55"/>
      <c r="Z11" s="55"/>
    </row>
    <row r="12">
      <c r="A12" s="628" t="s">
        <v>1654</v>
      </c>
      <c r="B12" s="55"/>
      <c r="C12" s="641" t="s">
        <v>1930</v>
      </c>
      <c r="D12" s="642" t="s">
        <v>1931</v>
      </c>
      <c r="E12" s="624"/>
      <c r="F12" s="624"/>
      <c r="G12" s="630" t="s">
        <v>1932</v>
      </c>
      <c r="H12" s="624"/>
      <c r="I12" s="624"/>
      <c r="J12" s="628"/>
      <c r="K12" s="55"/>
      <c r="L12" s="55"/>
      <c r="M12" s="55"/>
      <c r="N12" s="55"/>
      <c r="O12" s="55"/>
      <c r="P12" s="55"/>
      <c r="Q12" s="55"/>
      <c r="R12" s="55"/>
      <c r="S12" s="55"/>
      <c r="T12" s="55"/>
      <c r="U12" s="55"/>
      <c r="V12" s="55"/>
      <c r="W12" s="55"/>
      <c r="X12" s="55"/>
      <c r="Y12" s="55"/>
      <c r="Z12" s="55"/>
    </row>
    <row r="13">
      <c r="A13" s="628" t="s">
        <v>1910</v>
      </c>
      <c r="B13" s="55"/>
      <c r="C13" s="628" t="s">
        <v>1933</v>
      </c>
      <c r="D13" s="628" t="s">
        <v>1934</v>
      </c>
      <c r="E13" s="624"/>
      <c r="F13" s="628" t="s">
        <v>1935</v>
      </c>
      <c r="G13" s="628" t="s">
        <v>1936</v>
      </c>
      <c r="H13" s="624"/>
      <c r="I13" s="628" t="s">
        <v>1937</v>
      </c>
      <c r="J13" s="628" t="s">
        <v>1938</v>
      </c>
      <c r="K13" s="55"/>
      <c r="L13" s="55"/>
      <c r="M13" s="55"/>
      <c r="N13" s="55"/>
      <c r="O13" s="55"/>
      <c r="P13" s="55"/>
      <c r="Q13" s="55"/>
      <c r="R13" s="55"/>
      <c r="S13" s="55"/>
      <c r="T13" s="55"/>
      <c r="U13" s="55"/>
      <c r="V13" s="55"/>
      <c r="W13" s="55"/>
      <c r="X13" s="55"/>
      <c r="Y13" s="55"/>
      <c r="Z13" s="55"/>
    </row>
    <row r="14">
      <c r="A14" s="628" t="s">
        <v>1917</v>
      </c>
      <c r="B14" s="55"/>
      <c r="C14" s="628" t="s">
        <v>1939</v>
      </c>
      <c r="D14" s="628" t="s">
        <v>1940</v>
      </c>
      <c r="E14" s="624"/>
      <c r="F14" s="628" t="str">
        <f>"-2 Training"</f>
        <v>-2 Training</v>
      </c>
      <c r="G14" s="628" t="s">
        <v>1941</v>
      </c>
      <c r="H14" s="624"/>
      <c r="I14" s="628" t="s">
        <v>1939</v>
      </c>
      <c r="J14" s="628" t="s">
        <v>1941</v>
      </c>
      <c r="K14" s="55"/>
      <c r="L14" s="55"/>
      <c r="M14" s="55"/>
      <c r="N14" s="55"/>
      <c r="O14" s="55"/>
      <c r="P14" s="55"/>
      <c r="Q14" s="55"/>
      <c r="R14" s="55"/>
      <c r="S14" s="55"/>
      <c r="T14" s="55"/>
      <c r="U14" s="55"/>
      <c r="V14" s="55"/>
      <c r="W14" s="55"/>
      <c r="X14" s="55"/>
      <c r="Y14" s="55"/>
      <c r="Z14" s="55"/>
    </row>
    <row r="15">
      <c r="A15" s="628" t="s">
        <v>1776</v>
      </c>
      <c r="B15" s="55"/>
      <c r="C15" s="628" t="s">
        <v>1942</v>
      </c>
      <c r="E15" s="624"/>
      <c r="F15" s="628" t="s">
        <v>1943</v>
      </c>
      <c r="H15" s="624"/>
      <c r="I15" s="628" t="s">
        <v>1944</v>
      </c>
      <c r="K15" s="55"/>
      <c r="L15" s="55"/>
      <c r="M15" s="55"/>
      <c r="N15" s="55"/>
      <c r="O15" s="55"/>
      <c r="P15" s="55"/>
      <c r="Q15" s="55"/>
      <c r="R15" s="55"/>
      <c r="S15" s="55"/>
      <c r="T15" s="55"/>
      <c r="U15" s="55"/>
      <c r="V15" s="55"/>
      <c r="W15" s="55"/>
      <c r="X15" s="55"/>
      <c r="Y15" s="55"/>
      <c r="Z15" s="55"/>
    </row>
    <row r="16">
      <c r="A16" s="628" t="s">
        <v>1778</v>
      </c>
      <c r="B16" s="55"/>
      <c r="C16" s="625" t="s">
        <v>1945</v>
      </c>
      <c r="E16" s="624"/>
      <c r="F16" s="628" t="s">
        <v>1946</v>
      </c>
      <c r="H16" s="624"/>
      <c r="I16" s="4" t="s">
        <v>1947</v>
      </c>
      <c r="K16" s="55"/>
      <c r="L16" s="55"/>
      <c r="M16" s="55"/>
      <c r="N16" s="55"/>
      <c r="O16" s="55"/>
      <c r="P16" s="55"/>
      <c r="Q16" s="55"/>
      <c r="R16" s="55"/>
      <c r="S16" s="55"/>
      <c r="T16" s="55"/>
      <c r="U16" s="55"/>
      <c r="V16" s="55"/>
      <c r="W16" s="55"/>
      <c r="X16" s="55"/>
      <c r="Y16" s="55"/>
      <c r="Z16" s="55"/>
    </row>
    <row r="17">
      <c r="A17" s="628"/>
      <c r="B17" s="55"/>
      <c r="C17" s="624"/>
      <c r="D17" s="624"/>
      <c r="E17" s="624"/>
      <c r="F17" s="624"/>
      <c r="G17" s="624"/>
      <c r="H17" s="624"/>
      <c r="I17" s="624"/>
      <c r="J17" s="624"/>
      <c r="K17" s="55"/>
      <c r="L17" s="55"/>
      <c r="M17" s="55"/>
      <c r="N17" s="55"/>
      <c r="O17" s="55"/>
      <c r="P17" s="55"/>
      <c r="Q17" s="55"/>
      <c r="R17" s="55"/>
      <c r="S17" s="55"/>
      <c r="T17" s="55"/>
      <c r="U17" s="55"/>
      <c r="V17" s="55"/>
      <c r="W17" s="55"/>
      <c r="X17" s="55"/>
      <c r="Y17" s="55"/>
      <c r="Z17" s="55"/>
    </row>
    <row r="18">
      <c r="A18" s="625" t="s">
        <v>1793</v>
      </c>
      <c r="B18" s="55"/>
      <c r="C18" s="637" t="s">
        <v>397</v>
      </c>
      <c r="D18" s="637" t="s">
        <v>490</v>
      </c>
      <c r="E18" s="638"/>
      <c r="F18" s="637" t="s">
        <v>1948</v>
      </c>
      <c r="G18" s="637" t="s">
        <v>1949</v>
      </c>
      <c r="H18" s="638"/>
      <c r="I18" s="637" t="s">
        <v>514</v>
      </c>
      <c r="J18" s="637" t="s">
        <v>492</v>
      </c>
      <c r="K18" s="55"/>
      <c r="L18" s="55"/>
      <c r="O18" s="55"/>
      <c r="P18" s="55"/>
      <c r="Q18" s="55"/>
      <c r="R18" s="55"/>
      <c r="S18" s="55"/>
      <c r="T18" s="55"/>
      <c r="U18" s="55"/>
      <c r="V18" s="55"/>
      <c r="W18" s="55"/>
      <c r="X18" s="55"/>
      <c r="Y18" s="55"/>
      <c r="Z18" s="55"/>
    </row>
    <row r="19">
      <c r="A19" s="628" t="s">
        <v>1654</v>
      </c>
      <c r="B19" s="55"/>
      <c r="C19" s="628" t="s">
        <v>1950</v>
      </c>
      <c r="D19" s="643" t="str">
        <f>"+10 Civics/Active Law"</f>
        <v>+10 Civics/Active Law</v>
      </c>
      <c r="E19" s="624"/>
      <c r="F19" s="628" t="s">
        <v>1951</v>
      </c>
      <c r="G19" s="628" t="s">
        <v>1952</v>
      </c>
      <c r="H19" s="624"/>
      <c r="I19" s="643" t="s">
        <v>1953</v>
      </c>
      <c r="J19" s="634" t="str">
        <f>"-25% Wonder Costs"</f>
        <v>-25% Wonder Costs</v>
      </c>
      <c r="K19" s="55"/>
      <c r="L19" s="55"/>
      <c r="O19" s="55"/>
      <c r="P19" s="55"/>
      <c r="Q19" s="55"/>
      <c r="R19" s="55"/>
      <c r="S19" s="55"/>
      <c r="T19" s="55"/>
      <c r="U19" s="55"/>
      <c r="V19" s="55"/>
      <c r="W19" s="55"/>
      <c r="X19" s="55"/>
      <c r="Y19" s="55"/>
      <c r="Z19" s="55"/>
    </row>
    <row r="20">
      <c r="A20" s="628" t="s">
        <v>1654</v>
      </c>
      <c r="B20" s="55"/>
      <c r="C20" s="630" t="s">
        <v>1954</v>
      </c>
      <c r="D20" s="628"/>
      <c r="E20" s="624"/>
      <c r="F20" s="632" t="s">
        <v>1955</v>
      </c>
      <c r="G20" s="630" t="s">
        <v>1956</v>
      </c>
      <c r="H20" s="624"/>
      <c r="I20" s="642" t="s">
        <v>1957</v>
      </c>
      <c r="J20" s="630" t="s">
        <v>1958</v>
      </c>
      <c r="K20" s="55"/>
      <c r="L20" s="55"/>
      <c r="O20" s="55"/>
      <c r="P20" s="55"/>
      <c r="Q20" s="55"/>
      <c r="R20" s="55"/>
      <c r="S20" s="55"/>
      <c r="T20" s="55"/>
      <c r="U20" s="55"/>
      <c r="V20" s="55"/>
      <c r="W20" s="55"/>
      <c r="X20" s="55"/>
      <c r="Y20" s="55"/>
      <c r="Z20" s="55"/>
    </row>
    <row r="21">
      <c r="A21" s="628" t="s">
        <v>1910</v>
      </c>
      <c r="B21" s="55"/>
      <c r="C21" s="628" t="s">
        <v>1959</v>
      </c>
      <c r="D21" s="628" t="s">
        <v>1960</v>
      </c>
      <c r="E21" s="624"/>
      <c r="F21" s="628" t="s">
        <v>1961</v>
      </c>
      <c r="G21" s="628" t="s">
        <v>1962</v>
      </c>
      <c r="H21" s="624"/>
      <c r="I21" s="628" t="s">
        <v>1963</v>
      </c>
      <c r="J21" s="628" t="s">
        <v>1964</v>
      </c>
      <c r="K21" s="55"/>
      <c r="L21" s="55"/>
      <c r="O21" s="55"/>
      <c r="P21" s="55"/>
      <c r="Q21" s="55"/>
      <c r="R21" s="55"/>
      <c r="S21" s="55"/>
      <c r="T21" s="55"/>
      <c r="U21" s="55"/>
      <c r="V21" s="55"/>
      <c r="W21" s="55"/>
      <c r="X21" s="55"/>
      <c r="Y21" s="55"/>
      <c r="Z21" s="55"/>
    </row>
    <row r="22">
      <c r="A22" s="628" t="s">
        <v>1917</v>
      </c>
      <c r="B22" s="55"/>
      <c r="C22" s="624" t="str">
        <f>"-6 Money"</f>
        <v>-6 Money</v>
      </c>
      <c r="D22" s="624" t="str">
        <f>"-0.2 Orders"</f>
        <v>-0.2 Orders</v>
      </c>
      <c r="E22" s="624"/>
      <c r="F22" s="628" t="s">
        <v>1965</v>
      </c>
      <c r="G22" s="628" t="s">
        <v>1966</v>
      </c>
      <c r="H22" s="624"/>
      <c r="I22" s="628" t="s">
        <v>1967</v>
      </c>
      <c r="J22" s="628" t="s">
        <v>1968</v>
      </c>
      <c r="K22" s="55"/>
      <c r="L22" s="55"/>
      <c r="O22" s="55"/>
      <c r="P22" s="55"/>
      <c r="Q22" s="55"/>
      <c r="R22" s="55"/>
      <c r="S22" s="55"/>
      <c r="T22" s="55"/>
      <c r="U22" s="55"/>
      <c r="V22" s="55"/>
      <c r="W22" s="55"/>
      <c r="X22" s="55"/>
      <c r="Y22" s="55"/>
      <c r="Z22" s="55"/>
    </row>
    <row r="23">
      <c r="A23" s="628" t="s">
        <v>1776</v>
      </c>
      <c r="B23" s="55"/>
      <c r="C23" s="628" t="s">
        <v>1969</v>
      </c>
      <c r="E23" s="624"/>
      <c r="F23" s="628" t="s">
        <v>1970</v>
      </c>
      <c r="H23" s="624"/>
      <c r="I23" s="628" t="s">
        <v>1971</v>
      </c>
      <c r="K23" s="55"/>
      <c r="L23" s="55"/>
      <c r="O23" s="55"/>
      <c r="P23" s="55"/>
      <c r="Q23" s="55"/>
      <c r="R23" s="55"/>
      <c r="S23" s="55"/>
      <c r="T23" s="55"/>
      <c r="U23" s="55"/>
      <c r="V23" s="55"/>
      <c r="W23" s="55"/>
      <c r="X23" s="55"/>
      <c r="Y23" s="55"/>
      <c r="Z23" s="55"/>
    </row>
    <row r="24">
      <c r="A24" s="628" t="s">
        <v>1778</v>
      </c>
      <c r="B24" s="55"/>
      <c r="C24" s="628" t="s">
        <v>1972</v>
      </c>
      <c r="E24" s="624"/>
      <c r="F24" s="628" t="s">
        <v>1973</v>
      </c>
      <c r="H24" s="624"/>
      <c r="I24" s="628" t="s">
        <v>1974</v>
      </c>
      <c r="K24" s="55"/>
      <c r="L24" s="55"/>
      <c r="O24" s="55"/>
      <c r="P24" s="55"/>
      <c r="Q24" s="55"/>
      <c r="R24" s="55"/>
      <c r="S24" s="55"/>
      <c r="T24" s="55"/>
      <c r="U24" s="55"/>
      <c r="V24" s="55"/>
      <c r="W24" s="55"/>
      <c r="X24" s="55"/>
      <c r="Y24" s="55"/>
      <c r="Z24" s="55"/>
    </row>
    <row r="25">
      <c r="A25" s="628"/>
      <c r="B25" s="55"/>
      <c r="C25" s="624"/>
      <c r="D25" s="624"/>
      <c r="E25" s="624"/>
      <c r="F25" s="624"/>
      <c r="G25" s="624"/>
      <c r="H25" s="624"/>
      <c r="I25" s="624"/>
      <c r="J25" s="624"/>
      <c r="K25" s="55"/>
      <c r="L25" s="55"/>
      <c r="M25" s="55"/>
      <c r="N25" s="55"/>
      <c r="O25" s="55"/>
      <c r="P25" s="55"/>
      <c r="Q25" s="55"/>
      <c r="R25" s="55"/>
      <c r="S25" s="55"/>
      <c r="T25" s="55"/>
      <c r="U25" s="55"/>
      <c r="V25" s="55"/>
      <c r="W25" s="55"/>
      <c r="X25" s="55"/>
      <c r="Y25" s="55"/>
      <c r="Z25" s="55"/>
    </row>
    <row r="26">
      <c r="A26" s="625" t="s">
        <v>1975</v>
      </c>
      <c r="B26" s="55"/>
      <c r="C26" s="637" t="s">
        <v>486</v>
      </c>
      <c r="D26" s="637" t="s">
        <v>389</v>
      </c>
      <c r="E26" s="638"/>
      <c r="F26" s="637" t="s">
        <v>1976</v>
      </c>
      <c r="G26" s="637" t="s">
        <v>394</v>
      </c>
      <c r="H26" s="638"/>
      <c r="I26" s="637" t="s">
        <v>1977</v>
      </c>
      <c r="J26" s="637" t="s">
        <v>487</v>
      </c>
      <c r="K26" s="55"/>
      <c r="L26" s="55"/>
      <c r="M26" s="55"/>
      <c r="N26" s="55"/>
      <c r="O26" s="55"/>
      <c r="P26" s="55"/>
      <c r="Q26" s="55"/>
      <c r="R26" s="55"/>
      <c r="S26" s="55"/>
      <c r="T26" s="55"/>
      <c r="U26" s="55"/>
      <c r="V26" s="55"/>
      <c r="W26" s="55"/>
      <c r="X26" s="55"/>
      <c r="Y26" s="55"/>
      <c r="Z26" s="55"/>
    </row>
    <row r="27">
      <c r="A27" s="628" t="s">
        <v>1654</v>
      </c>
      <c r="B27" s="55"/>
      <c r="C27" s="644" t="str">
        <f>"+50% XP for All Units during Combat"</f>
        <v>+50% XP for All Units during Combat</v>
      </c>
      <c r="D27" s="639" t="s">
        <v>1978</v>
      </c>
      <c r="E27" s="624"/>
      <c r="F27" s="639" t="s">
        <v>1979</v>
      </c>
      <c r="G27" s="645" t="s">
        <v>1980</v>
      </c>
      <c r="H27" s="624"/>
      <c r="I27" s="646" t="s">
        <v>1981</v>
      </c>
      <c r="J27" s="647" t="s">
        <v>1982</v>
      </c>
      <c r="K27" s="55"/>
      <c r="L27" s="55"/>
      <c r="M27" s="55"/>
      <c r="N27" s="55"/>
      <c r="O27" s="55"/>
      <c r="P27" s="55"/>
      <c r="Q27" s="55"/>
      <c r="R27" s="55"/>
      <c r="S27" s="55"/>
      <c r="T27" s="55"/>
      <c r="U27" s="55"/>
      <c r="V27" s="55"/>
      <c r="W27" s="55"/>
      <c r="X27" s="55"/>
      <c r="Y27" s="55"/>
      <c r="Z27" s="55"/>
    </row>
    <row r="28">
      <c r="A28" s="628" t="s">
        <v>1654</v>
      </c>
      <c r="B28" s="55"/>
      <c r="C28" s="639" t="s">
        <v>1983</v>
      </c>
      <c r="D28" s="648" t="s">
        <v>1984</v>
      </c>
      <c r="E28" s="624"/>
      <c r="F28" s="628" t="s">
        <v>1985</v>
      </c>
      <c r="G28" s="632" t="s">
        <v>1986</v>
      </c>
      <c r="H28" s="624"/>
      <c r="I28" s="649" t="s">
        <v>1987</v>
      </c>
      <c r="J28" s="647" t="s">
        <v>1988</v>
      </c>
      <c r="K28" s="55"/>
      <c r="L28" s="55"/>
      <c r="M28" s="55"/>
      <c r="N28" s="55"/>
      <c r="O28" s="55"/>
      <c r="P28" s="55"/>
      <c r="Q28" s="55"/>
      <c r="R28" s="55"/>
      <c r="S28" s="55"/>
      <c r="T28" s="55"/>
      <c r="U28" s="55"/>
      <c r="V28" s="55"/>
      <c r="W28" s="55"/>
      <c r="X28" s="55"/>
      <c r="Y28" s="55"/>
      <c r="Z28" s="55"/>
    </row>
    <row r="29">
      <c r="A29" s="628" t="s">
        <v>1910</v>
      </c>
      <c r="B29" s="55"/>
      <c r="C29" s="628" t="s">
        <v>1989</v>
      </c>
      <c r="D29" s="628" t="s">
        <v>1990</v>
      </c>
      <c r="E29" s="624"/>
      <c r="F29" s="628" t="s">
        <v>1991</v>
      </c>
      <c r="G29" s="628" t="s">
        <v>1992</v>
      </c>
      <c r="H29" s="624"/>
      <c r="I29" s="628" t="s">
        <v>1993</v>
      </c>
      <c r="J29" s="628" t="s">
        <v>1994</v>
      </c>
      <c r="K29" s="55"/>
      <c r="L29" s="55"/>
      <c r="M29" s="55"/>
      <c r="N29" s="55"/>
      <c r="O29" s="55"/>
      <c r="P29" s="55"/>
      <c r="Q29" s="55"/>
      <c r="R29" s="55"/>
      <c r="S29" s="55"/>
      <c r="T29" s="55"/>
      <c r="U29" s="55"/>
      <c r="V29" s="55"/>
      <c r="W29" s="55"/>
      <c r="X29" s="55"/>
      <c r="Y29" s="55"/>
      <c r="Z29" s="55"/>
    </row>
    <row r="30">
      <c r="A30" s="628" t="s">
        <v>1917</v>
      </c>
      <c r="B30" s="55"/>
      <c r="C30" s="628" t="s">
        <v>1966</v>
      </c>
      <c r="D30" s="628" t="s">
        <v>1965</v>
      </c>
      <c r="E30" s="624"/>
      <c r="F30" s="628" t="s">
        <v>1968</v>
      </c>
      <c r="G30" s="628" t="s">
        <v>1967</v>
      </c>
      <c r="H30" s="624"/>
      <c r="I30" s="628" t="s">
        <v>1995</v>
      </c>
      <c r="J30" s="628" t="s">
        <v>1996</v>
      </c>
      <c r="K30" s="55"/>
      <c r="L30" s="55"/>
      <c r="M30" s="55"/>
      <c r="N30" s="55"/>
      <c r="O30" s="55"/>
      <c r="P30" s="55"/>
      <c r="Q30" s="55"/>
      <c r="R30" s="55"/>
      <c r="S30" s="55"/>
      <c r="T30" s="55"/>
      <c r="U30" s="55"/>
      <c r="V30" s="55"/>
      <c r="W30" s="55"/>
      <c r="X30" s="55"/>
      <c r="Y30" s="55"/>
      <c r="Z30" s="55"/>
    </row>
    <row r="31">
      <c r="A31" s="628" t="s">
        <v>1776</v>
      </c>
      <c r="B31" s="55"/>
      <c r="C31" s="628" t="s">
        <v>1997</v>
      </c>
      <c r="E31" s="624"/>
      <c r="F31" s="628" t="s">
        <v>1998</v>
      </c>
      <c r="H31" s="624"/>
      <c r="I31" s="628" t="s">
        <v>1999</v>
      </c>
      <c r="K31" s="55"/>
      <c r="L31" s="55"/>
      <c r="M31" s="55"/>
      <c r="N31" s="55"/>
      <c r="O31" s="55"/>
      <c r="P31" s="55"/>
      <c r="Q31" s="55"/>
      <c r="R31" s="55"/>
      <c r="S31" s="55"/>
      <c r="T31" s="55"/>
      <c r="U31" s="55"/>
      <c r="V31" s="55"/>
      <c r="W31" s="55"/>
      <c r="X31" s="55"/>
      <c r="Y31" s="55"/>
      <c r="Z31" s="55"/>
    </row>
    <row r="32">
      <c r="A32" s="628" t="s">
        <v>1778</v>
      </c>
      <c r="B32" s="55"/>
      <c r="C32" s="628" t="s">
        <v>2000</v>
      </c>
      <c r="E32" s="624"/>
      <c r="F32" s="628" t="s">
        <v>2001</v>
      </c>
      <c r="H32" s="624"/>
      <c r="I32" s="628" t="s">
        <v>2002</v>
      </c>
      <c r="K32" s="55"/>
      <c r="L32" s="55"/>
      <c r="M32" s="55"/>
      <c r="N32" s="55"/>
      <c r="O32" s="55"/>
      <c r="P32" s="55"/>
      <c r="Q32" s="55"/>
      <c r="R32" s="55"/>
      <c r="S32" s="55"/>
      <c r="T32" s="55"/>
      <c r="U32" s="55"/>
      <c r="V32" s="55"/>
      <c r="W32" s="55"/>
      <c r="X32" s="55"/>
      <c r="Y32" s="55"/>
      <c r="Z32" s="55"/>
    </row>
    <row r="33">
      <c r="A33" s="628"/>
      <c r="B33" s="55"/>
      <c r="C33" s="624"/>
      <c r="D33" s="624"/>
      <c r="E33" s="624"/>
      <c r="F33" s="624"/>
      <c r="G33" s="624"/>
      <c r="H33" s="624"/>
      <c r="I33" s="624"/>
      <c r="J33" s="624"/>
      <c r="K33" s="55"/>
      <c r="L33" s="55"/>
      <c r="M33" s="55"/>
      <c r="N33" s="55"/>
      <c r="O33" s="55"/>
      <c r="P33" s="55"/>
      <c r="Q33" s="55"/>
      <c r="R33" s="55"/>
      <c r="S33" s="55"/>
      <c r="T33" s="55"/>
      <c r="U33" s="55"/>
      <c r="V33" s="55"/>
      <c r="W33" s="55"/>
      <c r="X33" s="55"/>
      <c r="Y33" s="55"/>
      <c r="Z33" s="55"/>
    </row>
    <row r="34">
      <c r="A34" s="625" t="s">
        <v>2003</v>
      </c>
      <c r="B34" s="55"/>
      <c r="C34" s="637" t="s">
        <v>395</v>
      </c>
      <c r="D34" s="637" t="s">
        <v>2004</v>
      </c>
      <c r="E34" s="638"/>
      <c r="F34" s="637" t="s">
        <v>484</v>
      </c>
      <c r="G34" s="637" t="s">
        <v>2005</v>
      </c>
      <c r="H34" s="638"/>
      <c r="I34" s="637" t="s">
        <v>2006</v>
      </c>
      <c r="J34" s="637" t="s">
        <v>2007</v>
      </c>
      <c r="K34" s="55"/>
      <c r="L34" s="55"/>
      <c r="M34" s="55"/>
      <c r="N34" s="55"/>
      <c r="O34" s="55"/>
      <c r="P34" s="55"/>
      <c r="Q34" s="55"/>
      <c r="R34" s="55"/>
      <c r="S34" s="55"/>
      <c r="T34" s="55"/>
      <c r="U34" s="55"/>
      <c r="V34" s="55"/>
      <c r="W34" s="55"/>
      <c r="X34" s="55"/>
      <c r="Y34" s="55"/>
      <c r="Z34" s="55"/>
    </row>
    <row r="35">
      <c r="A35" s="628" t="s">
        <v>1654</v>
      </c>
      <c r="B35" s="55"/>
      <c r="C35" s="632" t="s">
        <v>2008</v>
      </c>
      <c r="D35" s="630" t="s">
        <v>2009</v>
      </c>
      <c r="E35" s="624"/>
      <c r="F35" s="634" t="s">
        <v>2010</v>
      </c>
      <c r="G35" s="649" t="s">
        <v>2011</v>
      </c>
      <c r="H35" s="624"/>
      <c r="I35" s="630" t="s">
        <v>2012</v>
      </c>
      <c r="J35" s="632" t="s">
        <v>2013</v>
      </c>
      <c r="K35" s="55"/>
      <c r="L35" s="55"/>
      <c r="M35" s="55"/>
      <c r="N35" s="55"/>
      <c r="O35" s="55"/>
      <c r="P35" s="55"/>
      <c r="Q35" s="55"/>
      <c r="R35" s="55"/>
      <c r="S35" s="55"/>
      <c r="T35" s="55"/>
      <c r="U35" s="55"/>
      <c r="V35" s="55"/>
      <c r="W35" s="55"/>
      <c r="X35" s="55"/>
      <c r="Y35" s="55"/>
      <c r="Z35" s="55"/>
    </row>
    <row r="36">
      <c r="A36" s="628" t="s">
        <v>1654</v>
      </c>
      <c r="B36" s="55"/>
      <c r="C36" s="650" t="s">
        <v>2014</v>
      </c>
      <c r="D36" s="630" t="s">
        <v>2015</v>
      </c>
      <c r="E36" s="624"/>
      <c r="F36" s="639" t="s">
        <v>2016</v>
      </c>
      <c r="G36" s="634" t="s">
        <v>2017</v>
      </c>
      <c r="H36" s="624"/>
      <c r="I36" s="624"/>
      <c r="J36" s="632" t="s">
        <v>2018</v>
      </c>
      <c r="K36" s="55"/>
      <c r="L36" s="55"/>
      <c r="M36" s="55"/>
      <c r="N36" s="55"/>
      <c r="O36" s="55"/>
      <c r="P36" s="55"/>
      <c r="Q36" s="55"/>
      <c r="R36" s="55"/>
      <c r="S36" s="55"/>
      <c r="T36" s="55"/>
      <c r="U36" s="55"/>
      <c r="V36" s="55"/>
      <c r="W36" s="55"/>
      <c r="X36" s="55"/>
      <c r="Y36" s="55"/>
      <c r="Z36" s="55"/>
    </row>
    <row r="37">
      <c r="A37" s="628" t="s">
        <v>1910</v>
      </c>
      <c r="B37" s="55"/>
      <c r="C37" s="628" t="s">
        <v>2019</v>
      </c>
      <c r="D37" s="628" t="s">
        <v>2020</v>
      </c>
      <c r="E37" s="624"/>
      <c r="F37" s="628" t="s">
        <v>2021</v>
      </c>
      <c r="G37" s="628" t="s">
        <v>2022</v>
      </c>
      <c r="H37" s="624"/>
      <c r="I37" s="628" t="s">
        <v>2020</v>
      </c>
      <c r="J37" s="628" t="s">
        <v>2022</v>
      </c>
      <c r="K37" s="55"/>
      <c r="L37" s="55"/>
      <c r="M37" s="55"/>
      <c r="N37" s="55"/>
      <c r="O37" s="55"/>
      <c r="P37" s="55"/>
      <c r="Q37" s="55"/>
      <c r="R37" s="55"/>
      <c r="S37" s="55"/>
      <c r="T37" s="55"/>
      <c r="U37" s="55"/>
      <c r="V37" s="55"/>
      <c r="W37" s="55"/>
      <c r="X37" s="55"/>
      <c r="Y37" s="55"/>
      <c r="Z37" s="55"/>
    </row>
    <row r="38">
      <c r="A38" s="628" t="s">
        <v>1917</v>
      </c>
      <c r="B38" s="55"/>
      <c r="C38" s="628" t="s">
        <v>2023</v>
      </c>
      <c r="D38" s="628" t="s">
        <v>2024</v>
      </c>
      <c r="E38" s="624"/>
      <c r="F38" s="628" t="s">
        <v>2025</v>
      </c>
      <c r="G38" s="628" t="s">
        <v>2026</v>
      </c>
      <c r="H38" s="624"/>
      <c r="I38" s="628" t="s">
        <v>2023</v>
      </c>
      <c r="J38" s="628" t="s">
        <v>2026</v>
      </c>
      <c r="K38" s="55"/>
      <c r="L38" s="55"/>
      <c r="M38" s="55"/>
      <c r="N38" s="55"/>
      <c r="O38" s="55"/>
      <c r="P38" s="55"/>
      <c r="Q38" s="55"/>
      <c r="R38" s="55"/>
      <c r="S38" s="55"/>
      <c r="T38" s="55"/>
      <c r="U38" s="55"/>
      <c r="V38" s="55"/>
      <c r="W38" s="55"/>
      <c r="X38" s="55"/>
      <c r="Y38" s="55"/>
      <c r="Z38" s="55"/>
    </row>
    <row r="39">
      <c r="A39" s="628" t="s">
        <v>1776</v>
      </c>
      <c r="B39" s="55"/>
      <c r="C39" s="628" t="s">
        <v>2027</v>
      </c>
      <c r="E39" s="624"/>
      <c r="F39" s="628" t="s">
        <v>2028</v>
      </c>
      <c r="H39" s="624"/>
      <c r="I39" s="628" t="s">
        <v>2029</v>
      </c>
      <c r="K39" s="55"/>
      <c r="L39" s="55"/>
      <c r="M39" s="55"/>
      <c r="N39" s="55"/>
      <c r="O39" s="55"/>
      <c r="P39" s="55"/>
      <c r="Q39" s="55"/>
      <c r="R39" s="55"/>
      <c r="S39" s="55"/>
      <c r="T39" s="55"/>
      <c r="U39" s="55"/>
      <c r="V39" s="55"/>
      <c r="W39" s="55"/>
      <c r="X39" s="55"/>
      <c r="Y39" s="55"/>
      <c r="Z39" s="55"/>
    </row>
    <row r="40">
      <c r="A40" s="628" t="s">
        <v>1778</v>
      </c>
      <c r="B40" s="55"/>
      <c r="C40" s="628" t="s">
        <v>2030</v>
      </c>
      <c r="E40" s="55"/>
      <c r="F40" s="628" t="s">
        <v>2031</v>
      </c>
      <c r="H40" s="55"/>
      <c r="I40" s="628" t="s">
        <v>2032</v>
      </c>
      <c r="K40" s="55"/>
      <c r="L40" s="55"/>
      <c r="M40" s="55"/>
      <c r="N40" s="55"/>
      <c r="O40" s="55"/>
      <c r="P40" s="55"/>
      <c r="Q40" s="55"/>
      <c r="R40" s="55"/>
      <c r="S40" s="55"/>
      <c r="T40" s="55"/>
      <c r="U40" s="55"/>
      <c r="V40" s="55"/>
      <c r="W40" s="55"/>
      <c r="X40" s="55"/>
      <c r="Y40" s="55"/>
      <c r="Z40" s="55"/>
    </row>
    <row r="41">
      <c r="A41" s="628"/>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624"/>
      <c r="B42" s="55"/>
      <c r="C42" s="53" t="s">
        <v>2033</v>
      </c>
      <c r="D42" s="55"/>
      <c r="E42" s="55"/>
      <c r="F42" s="55"/>
      <c r="G42" s="55"/>
      <c r="H42" s="55"/>
      <c r="I42" s="55"/>
      <c r="J42" s="55"/>
      <c r="K42" s="55"/>
      <c r="L42" s="55"/>
      <c r="M42" s="55"/>
      <c r="N42" s="55"/>
      <c r="O42" s="55"/>
      <c r="P42" s="55"/>
      <c r="Q42" s="55"/>
      <c r="R42" s="55"/>
      <c r="S42" s="55"/>
      <c r="T42" s="55"/>
      <c r="U42" s="55"/>
      <c r="V42" s="55"/>
      <c r="W42" s="55"/>
      <c r="X42" s="55"/>
      <c r="Y42" s="55"/>
      <c r="Z42" s="55"/>
    </row>
    <row r="43">
      <c r="A43" s="624"/>
      <c r="B43" s="55"/>
      <c r="C43" s="4" t="s">
        <v>2034</v>
      </c>
      <c r="E43" s="55"/>
      <c r="F43" s="55"/>
      <c r="G43" s="55"/>
      <c r="H43" s="55"/>
      <c r="I43" s="55"/>
      <c r="J43" s="55"/>
      <c r="K43" s="55"/>
      <c r="L43" s="55"/>
      <c r="M43" s="55"/>
      <c r="N43" s="55"/>
      <c r="O43" s="55"/>
      <c r="P43" s="55"/>
      <c r="Q43" s="55"/>
      <c r="R43" s="55"/>
      <c r="S43" s="55"/>
      <c r="T43" s="55"/>
      <c r="U43" s="55"/>
      <c r="V43" s="55"/>
      <c r="W43" s="55"/>
      <c r="X43" s="55"/>
      <c r="Y43" s="55"/>
      <c r="Z43" s="55"/>
    </row>
    <row r="44">
      <c r="A44" s="624"/>
      <c r="B44" s="55"/>
      <c r="C44" s="4" t="s">
        <v>2035</v>
      </c>
      <c r="E44" s="55"/>
      <c r="F44" s="55"/>
      <c r="G44" s="55"/>
      <c r="H44" s="55"/>
      <c r="I44" s="55"/>
      <c r="J44" s="55"/>
      <c r="K44" s="55"/>
      <c r="L44" s="55"/>
      <c r="M44" s="55"/>
      <c r="N44" s="55"/>
      <c r="O44" s="55"/>
      <c r="P44" s="55"/>
      <c r="Q44" s="55"/>
      <c r="R44" s="55"/>
      <c r="S44" s="55"/>
      <c r="T44" s="55"/>
      <c r="U44" s="55"/>
      <c r="V44" s="55"/>
      <c r="W44" s="55"/>
      <c r="X44" s="55"/>
      <c r="Y44" s="55"/>
      <c r="Z44" s="55"/>
    </row>
    <row r="45">
      <c r="A45" s="624"/>
      <c r="B45" s="55"/>
      <c r="C45" s="4" t="s">
        <v>2036</v>
      </c>
      <c r="E45" s="55"/>
      <c r="F45" s="55"/>
      <c r="G45" s="55"/>
      <c r="H45" s="55"/>
      <c r="I45" s="55"/>
      <c r="J45" s="55"/>
      <c r="K45" s="55"/>
      <c r="L45" s="55"/>
      <c r="M45" s="55"/>
      <c r="N45" s="55"/>
      <c r="O45" s="55"/>
      <c r="P45" s="55"/>
      <c r="Q45" s="55"/>
      <c r="R45" s="55"/>
      <c r="S45" s="55"/>
      <c r="T45" s="55"/>
      <c r="U45" s="55"/>
      <c r="V45" s="55"/>
      <c r="W45" s="55"/>
      <c r="X45" s="55"/>
      <c r="Y45" s="55"/>
      <c r="Z45" s="55"/>
    </row>
    <row r="46">
      <c r="A46" s="624"/>
      <c r="B46" s="55"/>
      <c r="C46" s="4" t="s">
        <v>2037</v>
      </c>
      <c r="E46" s="55"/>
      <c r="F46" s="55"/>
      <c r="G46" s="55"/>
      <c r="H46" s="55"/>
      <c r="I46" s="55"/>
      <c r="J46" s="55"/>
      <c r="K46" s="55"/>
      <c r="L46" s="55"/>
      <c r="M46" s="55"/>
      <c r="N46" s="55"/>
      <c r="O46" s="55"/>
      <c r="P46" s="55"/>
      <c r="Q46" s="55"/>
      <c r="R46" s="55"/>
      <c r="S46" s="55"/>
      <c r="T46" s="55"/>
      <c r="U46" s="55"/>
      <c r="V46" s="55"/>
      <c r="W46" s="55"/>
      <c r="X46" s="55"/>
      <c r="Y46" s="55"/>
      <c r="Z46" s="55"/>
    </row>
    <row r="47">
      <c r="A47" s="624"/>
      <c r="B47" s="55"/>
      <c r="C47" s="4" t="s">
        <v>2038</v>
      </c>
      <c r="E47" s="55"/>
      <c r="F47" s="55"/>
      <c r="G47" s="55"/>
      <c r="H47" s="55"/>
      <c r="I47" s="55"/>
      <c r="J47" s="55"/>
      <c r="K47" s="55"/>
      <c r="L47" s="55"/>
      <c r="M47" s="55"/>
      <c r="N47" s="55"/>
      <c r="O47" s="55"/>
      <c r="P47" s="55"/>
      <c r="Q47" s="55"/>
      <c r="R47" s="55"/>
      <c r="S47" s="55"/>
      <c r="T47" s="55"/>
      <c r="U47" s="55"/>
      <c r="V47" s="55"/>
      <c r="W47" s="55"/>
      <c r="X47" s="55"/>
      <c r="Y47" s="55"/>
      <c r="Z47" s="55"/>
    </row>
    <row r="48">
      <c r="A48" s="624"/>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624"/>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624"/>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624"/>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624"/>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624"/>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624"/>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624"/>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624"/>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624"/>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624"/>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624"/>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624"/>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624"/>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624"/>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624"/>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624"/>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624"/>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624"/>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624"/>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624"/>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624"/>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624"/>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624"/>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624"/>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624"/>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624"/>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624"/>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624"/>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624"/>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624"/>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624"/>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624"/>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624"/>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624"/>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624"/>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624"/>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624"/>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624"/>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624"/>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624"/>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624"/>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624"/>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624"/>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624"/>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624"/>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624"/>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624"/>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624"/>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624"/>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624"/>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624"/>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624"/>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624"/>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624"/>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624"/>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624"/>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624"/>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624"/>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624"/>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624"/>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624"/>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624"/>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624"/>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624"/>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624"/>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624"/>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624"/>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624"/>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624"/>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624"/>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624"/>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624"/>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624"/>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624"/>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624"/>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624"/>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624"/>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624"/>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624"/>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624"/>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624"/>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624"/>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624"/>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624"/>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624"/>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624"/>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624"/>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624"/>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624"/>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624"/>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624"/>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624"/>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624"/>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624"/>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624"/>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624"/>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624"/>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624"/>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624"/>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624"/>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624"/>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624"/>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624"/>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624"/>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624"/>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624"/>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624"/>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624"/>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624"/>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624"/>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624"/>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624"/>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624"/>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624"/>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624"/>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624"/>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624"/>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624"/>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624"/>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624"/>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624"/>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624"/>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624"/>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624"/>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624"/>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624"/>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624"/>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624"/>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624"/>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624"/>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624"/>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624"/>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624"/>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624"/>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624"/>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624"/>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624"/>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624"/>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624"/>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624"/>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624"/>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624"/>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624"/>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624"/>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624"/>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624"/>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624"/>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624"/>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624"/>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624"/>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624"/>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624"/>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624"/>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624"/>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624"/>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624"/>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624"/>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624"/>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624"/>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624"/>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624"/>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624"/>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624"/>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624"/>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624"/>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624"/>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624"/>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624"/>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624"/>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624"/>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624"/>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624"/>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624"/>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624"/>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624"/>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624"/>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624"/>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624"/>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624"/>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624"/>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624"/>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624"/>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624"/>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624"/>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624"/>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624"/>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624"/>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624"/>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624"/>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624"/>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624"/>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624"/>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624"/>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624"/>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624"/>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624"/>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624"/>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624"/>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624"/>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624"/>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624"/>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624"/>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624"/>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624"/>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624"/>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624"/>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624"/>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624"/>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624"/>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624"/>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624"/>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624"/>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624"/>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624"/>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624"/>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624"/>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624"/>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624"/>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624"/>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624"/>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624"/>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624"/>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624"/>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624"/>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624"/>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624"/>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624"/>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624"/>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624"/>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624"/>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624"/>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624"/>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624"/>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624"/>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624"/>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624"/>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624"/>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624"/>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624"/>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624"/>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624"/>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624"/>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624"/>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624"/>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624"/>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624"/>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624"/>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624"/>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624"/>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624"/>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624"/>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624"/>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624"/>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624"/>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624"/>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624"/>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624"/>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624"/>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624"/>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624"/>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624"/>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624"/>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624"/>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624"/>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624"/>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624"/>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624"/>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624"/>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624"/>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624"/>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624"/>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624"/>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624"/>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624"/>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624"/>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624"/>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624"/>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624"/>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624"/>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624"/>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624"/>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624"/>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624"/>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624"/>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624"/>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624"/>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624"/>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624"/>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624"/>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624"/>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624"/>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624"/>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624"/>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624"/>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624"/>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624"/>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624"/>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624"/>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624"/>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624"/>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624"/>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624"/>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624"/>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624"/>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624"/>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624"/>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624"/>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624"/>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624"/>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624"/>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624"/>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624"/>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624"/>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624"/>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624"/>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624"/>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624"/>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624"/>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624"/>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624"/>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624"/>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624"/>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624"/>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624"/>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624"/>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624"/>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624"/>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624"/>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624"/>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624"/>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624"/>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624"/>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624"/>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624"/>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624"/>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624"/>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624"/>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624"/>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624"/>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624"/>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624"/>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624"/>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624"/>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624"/>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624"/>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624"/>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624"/>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624"/>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624"/>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624"/>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624"/>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624"/>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624"/>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624"/>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624"/>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624"/>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624"/>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624"/>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624"/>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624"/>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624"/>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624"/>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624"/>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624"/>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624"/>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624"/>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624"/>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624"/>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624"/>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624"/>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624"/>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624"/>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624"/>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624"/>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624"/>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624"/>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624"/>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624"/>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624"/>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624"/>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624"/>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624"/>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624"/>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624"/>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624"/>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624"/>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624"/>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624"/>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624"/>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624"/>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624"/>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624"/>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624"/>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624"/>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624"/>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624"/>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624"/>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624"/>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624"/>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624"/>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624"/>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624"/>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624"/>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624"/>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624"/>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624"/>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624"/>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624"/>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624"/>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624"/>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624"/>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624"/>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624"/>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624"/>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624"/>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624"/>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624"/>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624"/>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624"/>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624"/>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624"/>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624"/>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624"/>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624"/>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624"/>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624"/>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624"/>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624"/>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624"/>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624"/>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624"/>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624"/>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624"/>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624"/>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624"/>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624"/>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624"/>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624"/>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624"/>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624"/>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624"/>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624"/>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624"/>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624"/>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624"/>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624"/>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624"/>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624"/>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624"/>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624"/>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624"/>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624"/>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624"/>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624"/>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624"/>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624"/>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624"/>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624"/>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624"/>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624"/>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624"/>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624"/>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624"/>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624"/>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624"/>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624"/>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624"/>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624"/>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624"/>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624"/>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624"/>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624"/>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624"/>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624"/>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624"/>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624"/>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624"/>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624"/>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624"/>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624"/>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624"/>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624"/>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624"/>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624"/>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624"/>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624"/>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624"/>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624"/>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624"/>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624"/>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624"/>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624"/>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624"/>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624"/>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624"/>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624"/>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624"/>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624"/>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624"/>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624"/>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624"/>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624"/>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624"/>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624"/>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624"/>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624"/>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624"/>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624"/>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624"/>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624"/>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624"/>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624"/>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624"/>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624"/>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624"/>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624"/>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624"/>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624"/>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624"/>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624"/>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624"/>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624"/>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624"/>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624"/>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624"/>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624"/>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624"/>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624"/>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624"/>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624"/>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624"/>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624"/>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624"/>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624"/>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624"/>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624"/>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624"/>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624"/>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624"/>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624"/>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624"/>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624"/>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624"/>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624"/>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624"/>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624"/>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624"/>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624"/>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624"/>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624"/>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624"/>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624"/>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624"/>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624"/>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624"/>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624"/>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624"/>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624"/>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624"/>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624"/>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624"/>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624"/>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624"/>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624"/>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624"/>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624"/>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624"/>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624"/>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624"/>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624"/>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624"/>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624"/>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624"/>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624"/>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624"/>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624"/>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624"/>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624"/>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624"/>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624"/>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624"/>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624"/>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624"/>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624"/>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624"/>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624"/>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624"/>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624"/>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624"/>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624"/>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624"/>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624"/>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624"/>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624"/>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624"/>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624"/>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624"/>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624"/>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624"/>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624"/>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624"/>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624"/>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624"/>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624"/>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624"/>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624"/>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624"/>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624"/>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624"/>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624"/>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624"/>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624"/>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624"/>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624"/>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624"/>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624"/>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624"/>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624"/>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624"/>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624"/>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624"/>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624"/>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624"/>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624"/>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624"/>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624"/>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624"/>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624"/>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624"/>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624"/>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624"/>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624"/>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624"/>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624"/>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624"/>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624"/>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624"/>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624"/>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624"/>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624"/>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624"/>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624"/>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624"/>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624"/>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624"/>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624"/>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624"/>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624"/>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624"/>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624"/>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624"/>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624"/>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624"/>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624"/>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624"/>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624"/>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624"/>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624"/>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624"/>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624"/>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624"/>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624"/>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624"/>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624"/>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624"/>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624"/>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624"/>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624"/>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624"/>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624"/>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624"/>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624"/>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624"/>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624"/>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624"/>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624"/>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624"/>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624"/>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624"/>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624"/>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624"/>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624"/>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624"/>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624"/>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624"/>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62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624"/>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624"/>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624"/>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624"/>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624"/>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624"/>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624"/>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624"/>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624"/>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62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624"/>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624"/>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624"/>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624"/>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624"/>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624"/>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624"/>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624"/>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624"/>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62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624"/>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624"/>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624"/>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624"/>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624"/>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624"/>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624"/>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624"/>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624"/>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62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624"/>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624"/>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624"/>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624"/>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624"/>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624"/>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624"/>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624"/>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624"/>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62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624"/>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624"/>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624"/>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624"/>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624"/>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624"/>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624"/>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624"/>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624"/>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62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624"/>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624"/>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624"/>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624"/>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624"/>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624"/>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624"/>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624"/>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624"/>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62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624"/>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624"/>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624"/>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624"/>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624"/>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624"/>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624"/>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624"/>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624"/>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62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624"/>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624"/>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624"/>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624"/>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624"/>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624"/>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624"/>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624"/>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624"/>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62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624"/>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624"/>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624"/>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624"/>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624"/>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624"/>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624"/>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624"/>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624"/>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6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624"/>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624"/>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624"/>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624"/>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624"/>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624"/>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624"/>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624"/>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624"/>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62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624"/>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624"/>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624"/>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624"/>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624"/>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624"/>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624"/>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624"/>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624"/>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62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624"/>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624"/>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624"/>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624"/>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624"/>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624"/>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624"/>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624"/>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624"/>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62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624"/>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624"/>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624"/>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624"/>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624"/>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624"/>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624"/>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624"/>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624"/>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62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624"/>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624"/>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624"/>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624"/>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624"/>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624"/>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624"/>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624"/>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624"/>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62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624"/>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624"/>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624"/>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624"/>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624"/>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624"/>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624"/>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624"/>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624"/>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62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624"/>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624"/>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624"/>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624"/>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624"/>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624"/>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624"/>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624"/>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624"/>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62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624"/>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624"/>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624"/>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624"/>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624"/>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624"/>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624"/>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624"/>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624"/>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62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624"/>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624"/>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624"/>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624"/>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624"/>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624"/>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624"/>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624"/>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624"/>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62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624"/>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624"/>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624"/>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624"/>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624"/>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624"/>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624"/>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624"/>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624"/>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62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624"/>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624"/>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624"/>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624"/>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624"/>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624"/>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624"/>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624"/>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624"/>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62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624"/>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624"/>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624"/>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624"/>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624"/>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624"/>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624"/>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624"/>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624"/>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62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624"/>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624"/>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624"/>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624"/>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624"/>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624"/>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624"/>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624"/>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624"/>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62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624"/>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624"/>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624"/>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624"/>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624"/>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624"/>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624"/>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624"/>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624"/>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62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624"/>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624"/>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624"/>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624"/>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624"/>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624"/>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624"/>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624"/>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624"/>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62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624"/>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624"/>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624"/>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624"/>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624"/>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624"/>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624"/>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624"/>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624"/>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62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624"/>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624"/>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624"/>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624"/>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624"/>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624"/>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624"/>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624"/>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624"/>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62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624"/>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624"/>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624"/>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624"/>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624"/>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624"/>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c r="A1001" s="624"/>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row r="1002">
      <c r="A1002" s="624"/>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row>
    <row r="1003">
      <c r="A1003" s="624"/>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row>
    <row r="1004">
      <c r="A1004" s="62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row>
    <row r="1005">
      <c r="A1005" s="624"/>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row>
    <row r="1006">
      <c r="A1006" s="624"/>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row>
    <row r="1007">
      <c r="A1007" s="624"/>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row>
    <row r="1008">
      <c r="A1008" s="624"/>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row>
    <row r="1009">
      <c r="A1009" s="624"/>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row>
  </sheetData>
  <mergeCells count="35">
    <mergeCell ref="F15:G15"/>
    <mergeCell ref="I15:J15"/>
    <mergeCell ref="C7:D7"/>
    <mergeCell ref="F7:G7"/>
    <mergeCell ref="I7:J7"/>
    <mergeCell ref="C8:D8"/>
    <mergeCell ref="F8:G8"/>
    <mergeCell ref="I8:J8"/>
    <mergeCell ref="C15:D15"/>
    <mergeCell ref="I23:J23"/>
    <mergeCell ref="I24:J24"/>
    <mergeCell ref="C16:D16"/>
    <mergeCell ref="F16:G16"/>
    <mergeCell ref="I16:J16"/>
    <mergeCell ref="C23:D23"/>
    <mergeCell ref="F23:G23"/>
    <mergeCell ref="C24:D24"/>
    <mergeCell ref="F24:G24"/>
    <mergeCell ref="F39:G39"/>
    <mergeCell ref="I39:J39"/>
    <mergeCell ref="C40:D40"/>
    <mergeCell ref="F40:G40"/>
    <mergeCell ref="I40:J40"/>
    <mergeCell ref="C43:D43"/>
    <mergeCell ref="C44:D44"/>
    <mergeCell ref="C45:D45"/>
    <mergeCell ref="C46:D46"/>
    <mergeCell ref="C47:D47"/>
    <mergeCell ref="C31:D31"/>
    <mergeCell ref="F31:G31"/>
    <mergeCell ref="I31:J31"/>
    <mergeCell ref="C32:D32"/>
    <mergeCell ref="F32:G32"/>
    <mergeCell ref="I32:J32"/>
    <mergeCell ref="C39:D3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16.5"/>
    <col customWidth="1" min="3" max="4" width="9.0"/>
    <col customWidth="1" min="5" max="5" width="5.13"/>
    <col customWidth="1" min="6" max="6" width="12.75"/>
    <col customWidth="1" min="7" max="7" width="5.13"/>
    <col customWidth="1" min="8" max="8" width="12.63"/>
    <col customWidth="1" min="9" max="9" width="5.13"/>
    <col customWidth="1" min="10" max="10" width="10.0"/>
    <col customWidth="1" min="11" max="11" width="24.38"/>
    <col customWidth="1" hidden="1" min="12" max="12" width="14.38"/>
    <col customWidth="1" min="13" max="13" width="13.75"/>
    <col customWidth="1" hidden="1" min="14" max="104" width="2.88"/>
  </cols>
  <sheetData>
    <row r="1">
      <c r="A1" s="459"/>
      <c r="C1" s="276"/>
      <c r="D1" s="276"/>
      <c r="E1" s="651"/>
      <c r="F1" s="55"/>
      <c r="G1" s="651"/>
      <c r="H1" s="55"/>
      <c r="I1" s="651"/>
      <c r="K1" s="652"/>
      <c r="M1" s="276"/>
    </row>
    <row r="2">
      <c r="A2" s="653"/>
      <c r="B2" s="654" t="s">
        <v>2039</v>
      </c>
      <c r="C2" s="655" t="s">
        <v>2040</v>
      </c>
      <c r="D2" s="656" t="s">
        <v>2041</v>
      </c>
      <c r="E2" s="657"/>
      <c r="F2" s="658" t="s">
        <v>2042</v>
      </c>
      <c r="G2" s="657"/>
      <c r="H2" s="658" t="s">
        <v>2043</v>
      </c>
      <c r="I2" s="657"/>
      <c r="J2" s="654" t="s">
        <v>2044</v>
      </c>
      <c r="K2" s="657" t="s">
        <v>2045</v>
      </c>
      <c r="L2" s="654" t="s">
        <v>2046</v>
      </c>
      <c r="M2" s="656" t="s">
        <v>2047</v>
      </c>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ht="45.0" customHeight="1">
      <c r="A3" s="459"/>
      <c r="B3" s="659" t="s">
        <v>258</v>
      </c>
      <c r="C3" s="660">
        <v>80.0</v>
      </c>
      <c r="D3" s="660">
        <f t="shared" ref="D3:D7" si="1">C3</f>
        <v>80</v>
      </c>
      <c r="E3" s="661"/>
      <c r="F3" s="662"/>
      <c r="G3" s="661"/>
      <c r="H3" s="662"/>
      <c r="I3" s="661"/>
      <c r="J3" s="544"/>
      <c r="K3" s="663" t="s">
        <v>2048</v>
      </c>
      <c r="L3" s="544"/>
      <c r="M3" s="664"/>
      <c r="N3" s="285" t="str">
        <f t="shared" ref="N3:N51" si="2">A3</f>
        <v/>
      </c>
    </row>
    <row r="4" ht="45.0" customHeight="1">
      <c r="A4" s="459"/>
      <c r="B4" s="659" t="s">
        <v>263</v>
      </c>
      <c r="C4" s="660">
        <v>80.0</v>
      </c>
      <c r="D4" s="660">
        <f t="shared" si="1"/>
        <v>80</v>
      </c>
      <c r="E4" s="661"/>
      <c r="F4" s="662"/>
      <c r="G4" s="661"/>
      <c r="H4" s="662"/>
      <c r="I4" s="661"/>
      <c r="J4" s="544"/>
      <c r="K4" s="663" t="s">
        <v>2049</v>
      </c>
      <c r="L4" s="544"/>
      <c r="M4" s="665"/>
      <c r="N4" s="285" t="str">
        <f t="shared" si="2"/>
        <v/>
      </c>
    </row>
    <row r="5" ht="45.0" customHeight="1">
      <c r="A5" s="459"/>
      <c r="B5" s="659" t="s">
        <v>257</v>
      </c>
      <c r="C5" s="660">
        <v>80.0</v>
      </c>
      <c r="D5" s="660">
        <f t="shared" si="1"/>
        <v>80</v>
      </c>
      <c r="E5" s="661"/>
      <c r="F5" s="662"/>
      <c r="G5" s="661"/>
      <c r="H5" s="662"/>
      <c r="I5" s="661"/>
      <c r="J5" s="544"/>
      <c r="K5" s="663" t="s">
        <v>2050</v>
      </c>
      <c r="L5" s="544"/>
      <c r="M5" s="666"/>
      <c r="N5" s="285" t="str">
        <f t="shared" si="2"/>
        <v/>
      </c>
    </row>
    <row r="6" ht="45.0" customHeight="1">
      <c r="A6" s="459"/>
      <c r="B6" s="659" t="s">
        <v>262</v>
      </c>
      <c r="C6" s="660">
        <v>80.0</v>
      </c>
      <c r="D6" s="660">
        <f t="shared" si="1"/>
        <v>80</v>
      </c>
      <c r="E6" s="661"/>
      <c r="F6" s="662"/>
      <c r="G6" s="661"/>
      <c r="H6" s="662"/>
      <c r="I6" s="661"/>
      <c r="J6" s="544"/>
      <c r="K6" s="663" t="s">
        <v>126</v>
      </c>
      <c r="L6" s="544"/>
      <c r="M6" s="459"/>
      <c r="N6" s="285" t="str">
        <f t="shared" si="2"/>
        <v/>
      </c>
    </row>
    <row r="7" ht="45.0" customHeight="1">
      <c r="A7" s="459"/>
      <c r="B7" s="659" t="s">
        <v>261</v>
      </c>
      <c r="C7" s="660">
        <v>80.0</v>
      </c>
      <c r="D7" s="660">
        <f t="shared" si="1"/>
        <v>80</v>
      </c>
      <c r="E7" s="661"/>
      <c r="F7" s="662"/>
      <c r="G7" s="661"/>
      <c r="H7" s="662"/>
      <c r="I7" s="661"/>
      <c r="J7" s="544"/>
      <c r="K7" s="663" t="s">
        <v>2051</v>
      </c>
      <c r="L7" s="544"/>
      <c r="M7" s="664"/>
      <c r="N7" s="285" t="str">
        <f t="shared" si="2"/>
        <v/>
      </c>
    </row>
    <row r="8" ht="45.0" customHeight="1">
      <c r="A8" s="459"/>
      <c r="B8" s="659" t="s">
        <v>268</v>
      </c>
      <c r="C8" s="660">
        <v>120.0</v>
      </c>
      <c r="D8" s="660">
        <f t="shared" ref="D8:D51" si="3">C8+M8</f>
        <v>200</v>
      </c>
      <c r="E8" s="667" t="str">
        <f t="shared" ref="E8:E51" si="4">VLOOKUP(F8,$B:$N,13,false)</f>
        <v/>
      </c>
      <c r="F8" s="668" t="s">
        <v>258</v>
      </c>
      <c r="G8" s="661"/>
      <c r="H8" s="662"/>
      <c r="I8" s="661"/>
      <c r="J8" s="544"/>
      <c r="K8" s="663" t="s">
        <v>2052</v>
      </c>
      <c r="L8" s="544" t="str">
        <f t="shared" ref="L8:L14" si="5">F8</f>
        <v>Ironworking</v>
      </c>
      <c r="M8" s="669">
        <f t="shared" ref="M8:M14" si="6">VLOOKUP(L8,$B:$D,2,false)</f>
        <v>80</v>
      </c>
      <c r="N8" s="285" t="str">
        <f t="shared" si="2"/>
        <v/>
      </c>
    </row>
    <row r="9" ht="45.0" customHeight="1">
      <c r="A9" s="459"/>
      <c r="B9" s="659" t="s">
        <v>259</v>
      </c>
      <c r="C9" s="660">
        <v>120.0</v>
      </c>
      <c r="D9" s="660">
        <f t="shared" si="3"/>
        <v>200</v>
      </c>
      <c r="E9" s="667" t="str">
        <f t="shared" si="4"/>
        <v/>
      </c>
      <c r="F9" s="668" t="s">
        <v>258</v>
      </c>
      <c r="G9" s="661"/>
      <c r="H9" s="662"/>
      <c r="I9" s="661"/>
      <c r="J9" s="544"/>
      <c r="K9" s="663" t="s">
        <v>2053</v>
      </c>
      <c r="L9" s="544" t="str">
        <f t="shared" si="5"/>
        <v>Ironworking</v>
      </c>
      <c r="M9" s="669">
        <f t="shared" si="6"/>
        <v>80</v>
      </c>
      <c r="N9" s="285" t="str">
        <f t="shared" si="2"/>
        <v/>
      </c>
    </row>
    <row r="10" ht="45.0" customHeight="1">
      <c r="A10" s="459"/>
      <c r="B10" s="659" t="s">
        <v>269</v>
      </c>
      <c r="C10" s="660">
        <v>120.0</v>
      </c>
      <c r="D10" s="660">
        <f t="shared" si="3"/>
        <v>200</v>
      </c>
      <c r="E10" s="667" t="str">
        <f t="shared" si="4"/>
        <v/>
      </c>
      <c r="F10" s="668" t="s">
        <v>263</v>
      </c>
      <c r="G10" s="661"/>
      <c r="H10" s="662"/>
      <c r="I10" s="661"/>
      <c r="J10" s="544"/>
      <c r="K10" s="663" t="s">
        <v>2054</v>
      </c>
      <c r="L10" s="544" t="str">
        <f t="shared" si="5"/>
        <v>Stonecutting</v>
      </c>
      <c r="M10" s="669">
        <f t="shared" si="6"/>
        <v>80</v>
      </c>
      <c r="N10" s="285" t="str">
        <f t="shared" si="2"/>
        <v/>
      </c>
    </row>
    <row r="11" ht="45.0" customHeight="1">
      <c r="A11" s="459"/>
      <c r="B11" s="659" t="s">
        <v>270</v>
      </c>
      <c r="C11" s="660">
        <v>120.0</v>
      </c>
      <c r="D11" s="660">
        <f t="shared" si="3"/>
        <v>200</v>
      </c>
      <c r="E11" s="667" t="str">
        <f t="shared" si="4"/>
        <v/>
      </c>
      <c r="F11" s="668" t="s">
        <v>263</v>
      </c>
      <c r="G11" s="661"/>
      <c r="H11" s="662"/>
      <c r="I11" s="661"/>
      <c r="J11" s="544"/>
      <c r="K11" s="663" t="s">
        <v>2055</v>
      </c>
      <c r="L11" s="544" t="str">
        <f t="shared" si="5"/>
        <v>Stonecutting</v>
      </c>
      <c r="M11" s="669">
        <f t="shared" si="6"/>
        <v>80</v>
      </c>
      <c r="N11" s="285" t="str">
        <f t="shared" si="2"/>
        <v/>
      </c>
    </row>
    <row r="12" ht="45.0" customHeight="1">
      <c r="A12" s="459"/>
      <c r="B12" s="659" t="s">
        <v>264</v>
      </c>
      <c r="C12" s="660">
        <v>120.0</v>
      </c>
      <c r="D12" s="660">
        <f t="shared" si="3"/>
        <v>200</v>
      </c>
      <c r="E12" s="667" t="str">
        <f t="shared" si="4"/>
        <v/>
      </c>
      <c r="F12" s="668" t="s">
        <v>257</v>
      </c>
      <c r="G12" s="661"/>
      <c r="H12" s="662"/>
      <c r="I12" s="661"/>
      <c r="J12" s="544"/>
      <c r="K12" s="663" t="s">
        <v>2056</v>
      </c>
      <c r="L12" s="544" t="str">
        <f t="shared" si="5"/>
        <v>Trapping</v>
      </c>
      <c r="M12" s="669">
        <f t="shared" si="6"/>
        <v>80</v>
      </c>
      <c r="N12" s="285" t="str">
        <f t="shared" si="2"/>
        <v/>
      </c>
    </row>
    <row r="13" ht="45.0" customHeight="1">
      <c r="A13" s="459"/>
      <c r="B13" s="659" t="s">
        <v>267</v>
      </c>
      <c r="C13" s="660">
        <v>120.0</v>
      </c>
      <c r="D13" s="660">
        <f t="shared" si="3"/>
        <v>200</v>
      </c>
      <c r="E13" s="667" t="str">
        <f t="shared" si="4"/>
        <v/>
      </c>
      <c r="F13" s="668" t="s">
        <v>262</v>
      </c>
      <c r="G13" s="661"/>
      <c r="H13" s="662"/>
      <c r="I13" s="661"/>
      <c r="J13" s="544"/>
      <c r="K13" s="670" t="s">
        <v>2057</v>
      </c>
      <c r="L13" s="544" t="str">
        <f t="shared" si="5"/>
        <v>Divination</v>
      </c>
      <c r="M13" s="669">
        <f t="shared" si="6"/>
        <v>80</v>
      </c>
      <c r="N13" s="285" t="str">
        <f t="shared" si="2"/>
        <v/>
      </c>
    </row>
    <row r="14" ht="45.0" customHeight="1">
      <c r="A14" s="459"/>
      <c r="B14" s="659" t="s">
        <v>266</v>
      </c>
      <c r="C14" s="660">
        <v>120.0</v>
      </c>
      <c r="D14" s="660">
        <f t="shared" si="3"/>
        <v>200</v>
      </c>
      <c r="E14" s="667" t="str">
        <f t="shared" si="4"/>
        <v/>
      </c>
      <c r="F14" s="668" t="s">
        <v>261</v>
      </c>
      <c r="G14" s="661"/>
      <c r="H14" s="662"/>
      <c r="I14" s="661"/>
      <c r="J14" s="544"/>
      <c r="K14" s="663" t="s">
        <v>2058</v>
      </c>
      <c r="L14" s="544" t="str">
        <f t="shared" si="5"/>
        <v>Administration</v>
      </c>
      <c r="M14" s="669">
        <f t="shared" si="6"/>
        <v>80</v>
      </c>
      <c r="N14" s="285" t="str">
        <f t="shared" si="2"/>
        <v/>
      </c>
    </row>
    <row r="15" ht="45.0" customHeight="1">
      <c r="A15" s="459"/>
      <c r="B15" s="659" t="s">
        <v>1943</v>
      </c>
      <c r="C15" s="660">
        <v>200.0</v>
      </c>
      <c r="D15" s="660">
        <f t="shared" si="3"/>
        <v>400</v>
      </c>
      <c r="E15" s="667" t="str">
        <f t="shared" si="4"/>
        <v/>
      </c>
      <c r="F15" s="668" t="s">
        <v>268</v>
      </c>
      <c r="G15" s="661"/>
      <c r="H15" s="662"/>
      <c r="I15" s="661"/>
      <c r="J15" s="544"/>
      <c r="K15" s="663" t="s">
        <v>2059</v>
      </c>
      <c r="L15" s="544" t="str">
        <f t="shared" ref="L15:L51" si="7">TEXTJOIN(",",true,O15:AI15)</f>
        <v>Labor Force,Ironworking</v>
      </c>
      <c r="M15" s="669">
        <f t="array" ref="M15">SUM(IF(O15:AZ15=0,0,VLOOKUP(O15:AZ15,$B:$C,2,false)))</f>
        <v>200</v>
      </c>
      <c r="N15" s="285" t="str">
        <f t="shared" si="2"/>
        <v/>
      </c>
      <c r="O15" s="285" t="str">
        <f t="shared" ref="O15:O51" si="8">UNIQUE(BB15:CN15,true)</f>
        <v>Labor Force</v>
      </c>
      <c r="P15" s="285" t="s">
        <v>258</v>
      </c>
      <c r="Q15" s="285"/>
      <c r="BA15" s="285" t="str">
        <f t="shared" ref="BA15:BA51" si="9">IF(F15="","",F15&amp;","&amp;VLOOKUP(F15,B:L,11,false)&amp;",")&amp;IF(H15="","",H15&amp;","&amp;VLOOKUP(H15,B:L,11,false)&amp;",")&amp;IF(J15="","",J15&amp;","&amp;VLOOKUP(J15,B:L,11,false))</f>
        <v>Labor Force,Ironworking,</v>
      </c>
      <c r="BB15" s="285" t="str">
        <f>IFERROR(__xludf.DUMMYFUNCTION("SPLIT(BA15,"","")"),"Labor Force")</f>
        <v>Labor Force</v>
      </c>
      <c r="BC15" s="285" t="str">
        <f>IFERROR(__xludf.DUMMYFUNCTION("""COMPUTED_VALUE"""),"Ironworking")</f>
        <v>Ironworking</v>
      </c>
    </row>
    <row r="16" ht="45.0" customHeight="1">
      <c r="A16" s="459"/>
      <c r="B16" s="659" t="s">
        <v>2060</v>
      </c>
      <c r="C16" s="660">
        <v>200.0</v>
      </c>
      <c r="D16" s="660">
        <f t="shared" si="3"/>
        <v>400</v>
      </c>
      <c r="E16" s="667" t="str">
        <f t="shared" si="4"/>
        <v/>
      </c>
      <c r="F16" s="668" t="s">
        <v>268</v>
      </c>
      <c r="G16" s="661"/>
      <c r="H16" s="662"/>
      <c r="I16" s="661"/>
      <c r="J16" s="544"/>
      <c r="K16" s="663" t="s">
        <v>2061</v>
      </c>
      <c r="L16" s="544" t="str">
        <f t="shared" si="7"/>
        <v>Labor Force,Ironworking</v>
      </c>
      <c r="M16" s="669">
        <f t="array" ref="M16">SUM(IF(O16:AZ16=0,0,VLOOKUP(O16:AZ16,$B:$C,2,false)))</f>
        <v>200</v>
      </c>
      <c r="N16" s="285" t="str">
        <f t="shared" si="2"/>
        <v/>
      </c>
      <c r="O16" s="285" t="str">
        <f t="shared" si="8"/>
        <v>Labor Force</v>
      </c>
      <c r="P16" s="285" t="s">
        <v>258</v>
      </c>
      <c r="Q16" s="285"/>
      <c r="BA16" s="285" t="str">
        <f t="shared" si="9"/>
        <v>Labor Force,Ironworking,</v>
      </c>
      <c r="BB16" s="285" t="str">
        <f>IFERROR(__xludf.DUMMYFUNCTION("SPLIT(BA16,"","")"),"Labor Force")</f>
        <v>Labor Force</v>
      </c>
      <c r="BC16" s="285" t="str">
        <f>IFERROR(__xludf.DUMMYFUNCTION("""COMPUTED_VALUE"""),"Ironworking")</f>
        <v>Ironworking</v>
      </c>
    </row>
    <row r="17" ht="45.0" customHeight="1">
      <c r="A17" s="459"/>
      <c r="B17" s="659" t="s">
        <v>2062</v>
      </c>
      <c r="C17" s="660">
        <v>200.0</v>
      </c>
      <c r="D17" s="660">
        <f t="shared" si="3"/>
        <v>400</v>
      </c>
      <c r="E17" s="667" t="str">
        <f t="shared" si="4"/>
        <v/>
      </c>
      <c r="F17" s="668" t="s">
        <v>259</v>
      </c>
      <c r="G17" s="661"/>
      <c r="H17" s="662"/>
      <c r="I17" s="661"/>
      <c r="J17" s="544"/>
      <c r="K17" s="663" t="s">
        <v>2063</v>
      </c>
      <c r="L17" s="544" t="str">
        <f t="shared" si="7"/>
        <v>Husbandry,Ironworking</v>
      </c>
      <c r="M17" s="669">
        <f t="array" ref="M17">SUM(IF(O17:AZ17=0,0,VLOOKUP(O17:AZ17,$B:$C,2,false)))</f>
        <v>200</v>
      </c>
      <c r="N17" s="285" t="str">
        <f t="shared" si="2"/>
        <v/>
      </c>
      <c r="O17" s="285" t="str">
        <f t="shared" si="8"/>
        <v>Husbandry</v>
      </c>
      <c r="P17" s="285" t="s">
        <v>258</v>
      </c>
      <c r="Q17" s="285"/>
      <c r="BA17" s="285" t="str">
        <f t="shared" si="9"/>
        <v>Husbandry,Ironworking,</v>
      </c>
      <c r="BB17" s="285" t="str">
        <f>IFERROR(__xludf.DUMMYFUNCTION("SPLIT(BA17,"","")"),"Husbandry")</f>
        <v>Husbandry</v>
      </c>
      <c r="BC17" s="285" t="str">
        <f>IFERROR(__xludf.DUMMYFUNCTION("""COMPUTED_VALUE"""),"Ironworking")</f>
        <v>Ironworking</v>
      </c>
    </row>
    <row r="18" ht="45.0" customHeight="1">
      <c r="A18" s="459"/>
      <c r="B18" s="659" t="s">
        <v>1798</v>
      </c>
      <c r="C18" s="660">
        <v>200.0</v>
      </c>
      <c r="D18" s="660">
        <f t="shared" si="3"/>
        <v>400</v>
      </c>
      <c r="E18" s="667" t="str">
        <f t="shared" si="4"/>
        <v/>
      </c>
      <c r="F18" s="668" t="s">
        <v>270</v>
      </c>
      <c r="G18" s="667"/>
      <c r="H18" s="662"/>
      <c r="I18" s="661"/>
      <c r="J18" s="544"/>
      <c r="K18" s="663" t="s">
        <v>2064</v>
      </c>
      <c r="L18" s="544" t="str">
        <f t="shared" si="7"/>
        <v>Polis,Stonecutting</v>
      </c>
      <c r="M18" s="669">
        <f t="array" ref="M18">SUM(IF(O18:AZ18=0,0,VLOOKUP(O18:AZ18,$B:$C,2,false)))</f>
        <v>200</v>
      </c>
      <c r="N18" s="285" t="str">
        <f t="shared" si="2"/>
        <v/>
      </c>
      <c r="O18" s="285" t="str">
        <f t="shared" si="8"/>
        <v>Polis</v>
      </c>
      <c r="P18" s="285" t="s">
        <v>263</v>
      </c>
      <c r="Q18" s="285"/>
      <c r="BA18" s="285" t="str">
        <f t="shared" si="9"/>
        <v>Polis,Stonecutting,</v>
      </c>
      <c r="BB18" s="285" t="str">
        <f>IFERROR(__xludf.DUMMYFUNCTION("SPLIT(BA18,"","")"),"Polis")</f>
        <v>Polis</v>
      </c>
      <c r="BC18" s="285" t="str">
        <f>IFERROR(__xludf.DUMMYFUNCTION("""COMPUTED_VALUE"""),"Stonecutting")</f>
        <v>Stonecutting</v>
      </c>
    </row>
    <row r="19" ht="45.0" customHeight="1">
      <c r="A19" s="459"/>
      <c r="B19" s="659" t="s">
        <v>2065</v>
      </c>
      <c r="C19" s="660">
        <v>200.0</v>
      </c>
      <c r="D19" s="660">
        <f t="shared" si="3"/>
        <v>480</v>
      </c>
      <c r="E19" s="667" t="str">
        <f t="shared" si="4"/>
        <v/>
      </c>
      <c r="F19" s="668" t="s">
        <v>264</v>
      </c>
      <c r="G19" s="667" t="str">
        <f t="shared" ref="G19:G20" si="10">VLOOKUP(H19,$B:$N,13,false)</f>
        <v/>
      </c>
      <c r="H19" s="668" t="s">
        <v>258</v>
      </c>
      <c r="I19" s="661"/>
      <c r="J19" s="544"/>
      <c r="K19" s="663" t="s">
        <v>2066</v>
      </c>
      <c r="L19" s="544" t="str">
        <f t="shared" si="7"/>
        <v>Military Drill,Trapping,Ironworking</v>
      </c>
      <c r="M19" s="669">
        <f t="array" ref="M19">SUM(IF(O19:AZ19=0,0,VLOOKUP(O19:AZ19,$B:$C,2,false)))</f>
        <v>280</v>
      </c>
      <c r="N19" s="285" t="str">
        <f t="shared" si="2"/>
        <v/>
      </c>
      <c r="O19" s="285" t="str">
        <f t="shared" si="8"/>
        <v>Military Drill</v>
      </c>
      <c r="P19" s="285" t="s">
        <v>257</v>
      </c>
      <c r="Q19" s="285" t="s">
        <v>258</v>
      </c>
      <c r="R19" s="285"/>
      <c r="BA19" s="285" t="str">
        <f t="shared" si="9"/>
        <v>Military Drill,Trapping,Ironworking,,</v>
      </c>
      <c r="BB19" s="285" t="str">
        <f>IFERROR(__xludf.DUMMYFUNCTION("SPLIT(BA19,"","")"),"Military Drill")</f>
        <v>Military Drill</v>
      </c>
      <c r="BC19" s="285" t="str">
        <f>IFERROR(__xludf.DUMMYFUNCTION("""COMPUTED_VALUE"""),"Trapping")</f>
        <v>Trapping</v>
      </c>
      <c r="BD19" s="285" t="str">
        <f>IFERROR(__xludf.DUMMYFUNCTION("""COMPUTED_VALUE"""),"Ironworking")</f>
        <v>Ironworking</v>
      </c>
    </row>
    <row r="20" ht="45.0" customHeight="1">
      <c r="A20" s="459"/>
      <c r="B20" s="659" t="s">
        <v>1942</v>
      </c>
      <c r="C20" s="660">
        <v>200.0</v>
      </c>
      <c r="D20" s="660">
        <f t="shared" si="3"/>
        <v>600</v>
      </c>
      <c r="E20" s="667" t="str">
        <f t="shared" si="4"/>
        <v/>
      </c>
      <c r="F20" s="668" t="s">
        <v>267</v>
      </c>
      <c r="G20" s="667" t="str">
        <f t="shared" si="10"/>
        <v/>
      </c>
      <c r="H20" s="668" t="s">
        <v>266</v>
      </c>
      <c r="I20" s="661"/>
      <c r="J20" s="544"/>
      <c r="K20" s="663" t="s">
        <v>2067</v>
      </c>
      <c r="L20" s="544" t="str">
        <f t="shared" si="7"/>
        <v>Aristocracy,Divination,Rhetoric,Administration</v>
      </c>
      <c r="M20" s="669">
        <f t="array" ref="M20">SUM(IF(O20:AZ20=0,0,VLOOKUP(O20:AZ20,$B:$C,2,false)))</f>
        <v>400</v>
      </c>
      <c r="N20" s="285" t="str">
        <f t="shared" si="2"/>
        <v/>
      </c>
      <c r="O20" s="285" t="str">
        <f t="shared" si="8"/>
        <v>Aristocracy</v>
      </c>
      <c r="P20" s="285" t="s">
        <v>262</v>
      </c>
      <c r="Q20" s="285" t="s">
        <v>266</v>
      </c>
      <c r="R20" s="285" t="s">
        <v>261</v>
      </c>
      <c r="S20" s="285"/>
      <c r="BA20" s="285" t="str">
        <f t="shared" si="9"/>
        <v>Aristocracy,Divination,Rhetoric,Administration,</v>
      </c>
      <c r="BB20" s="285" t="str">
        <f>IFERROR(__xludf.DUMMYFUNCTION("SPLIT(BA20,"","")"),"Aristocracy")</f>
        <v>Aristocracy</v>
      </c>
      <c r="BC20" s="285" t="str">
        <f>IFERROR(__xludf.DUMMYFUNCTION("""COMPUTED_VALUE"""),"Divination")</f>
        <v>Divination</v>
      </c>
      <c r="BD20" s="285" t="str">
        <f>IFERROR(__xludf.DUMMYFUNCTION("""COMPUTED_VALUE"""),"Rhetoric")</f>
        <v>Rhetoric</v>
      </c>
      <c r="BE20" s="285" t="str">
        <f>IFERROR(__xludf.DUMMYFUNCTION("""COMPUTED_VALUE"""),"Administration")</f>
        <v>Administration</v>
      </c>
    </row>
    <row r="21" ht="45.0" customHeight="1">
      <c r="A21" s="459"/>
      <c r="B21" s="659" t="s">
        <v>1796</v>
      </c>
      <c r="C21" s="660">
        <v>200.0</v>
      </c>
      <c r="D21" s="660">
        <f t="shared" si="3"/>
        <v>400</v>
      </c>
      <c r="E21" s="667" t="str">
        <f t="shared" si="4"/>
        <v/>
      </c>
      <c r="F21" s="668" t="s">
        <v>266</v>
      </c>
      <c r="G21" s="661"/>
      <c r="H21" s="662"/>
      <c r="I21" s="661"/>
      <c r="J21" s="544"/>
      <c r="K21" s="670" t="s">
        <v>2068</v>
      </c>
      <c r="L21" s="544" t="str">
        <f t="shared" si="7"/>
        <v>Rhetoric,Administration</v>
      </c>
      <c r="M21" s="669">
        <f t="array" ref="M21">SUM(IF(O21:AZ21=0,0,VLOOKUP(O21:AZ21,$B:$C,2,false)))</f>
        <v>200</v>
      </c>
      <c r="N21" s="285" t="str">
        <f t="shared" si="2"/>
        <v/>
      </c>
      <c r="O21" s="285" t="str">
        <f t="shared" si="8"/>
        <v>Rhetoric</v>
      </c>
      <c r="P21" s="285" t="s">
        <v>261</v>
      </c>
      <c r="Q21" s="285"/>
      <c r="BA21" s="285" t="str">
        <f t="shared" si="9"/>
        <v>Rhetoric,Administration,</v>
      </c>
      <c r="BB21" s="285" t="str">
        <f>IFERROR(__xludf.DUMMYFUNCTION("SPLIT(BA21,"","")"),"Rhetoric")</f>
        <v>Rhetoric</v>
      </c>
      <c r="BC21" s="285" t="str">
        <f>IFERROR(__xludf.DUMMYFUNCTION("""COMPUTED_VALUE"""),"Administration")</f>
        <v>Administration</v>
      </c>
    </row>
    <row r="22" ht="45.0" customHeight="1">
      <c r="A22" s="459"/>
      <c r="B22" s="659" t="s">
        <v>2069</v>
      </c>
      <c r="C22" s="660">
        <v>400.0</v>
      </c>
      <c r="D22" s="660">
        <f t="shared" si="3"/>
        <v>800</v>
      </c>
      <c r="E22" s="667" t="str">
        <f t="shared" si="4"/>
        <v/>
      </c>
      <c r="F22" s="668" t="s">
        <v>1943</v>
      </c>
      <c r="G22" s="661"/>
      <c r="H22" s="662"/>
      <c r="I22" s="661"/>
      <c r="J22" s="544"/>
      <c r="K22" s="663" t="s">
        <v>2070</v>
      </c>
      <c r="L22" s="544" t="str">
        <f t="shared" si="7"/>
        <v>Navigation,Labor Force,Ironworking</v>
      </c>
      <c r="M22" s="669">
        <f t="array" ref="M22">SUM(IF(O22:AZ22=0,0,VLOOKUP(O22:AZ22,$B:$C,2,false)))</f>
        <v>400</v>
      </c>
      <c r="N22" s="285" t="str">
        <f t="shared" si="2"/>
        <v/>
      </c>
      <c r="O22" s="285" t="str">
        <f t="shared" si="8"/>
        <v>Navigation</v>
      </c>
      <c r="P22" s="285" t="s">
        <v>268</v>
      </c>
      <c r="Q22" s="285" t="s">
        <v>258</v>
      </c>
      <c r="R22" s="285"/>
      <c r="BA22" s="285" t="str">
        <f t="shared" si="9"/>
        <v>Navigation,Labor Force,Ironworking,</v>
      </c>
      <c r="BB22" s="285" t="str">
        <f>IFERROR(__xludf.DUMMYFUNCTION("SPLIT(BA22,"","")"),"Navigation")</f>
        <v>Navigation</v>
      </c>
      <c r="BC22" s="285" t="str">
        <f>IFERROR(__xludf.DUMMYFUNCTION("""COMPUTED_VALUE"""),"Labor Force")</f>
        <v>Labor Force</v>
      </c>
      <c r="BD22" s="285" t="str">
        <f>IFERROR(__xludf.DUMMYFUNCTION("""COMPUTED_VALUE"""),"Ironworking")</f>
        <v>Ironworking</v>
      </c>
    </row>
    <row r="23" ht="45.0" customHeight="1">
      <c r="A23" s="459"/>
      <c r="B23" s="659" t="s">
        <v>1969</v>
      </c>
      <c r="C23" s="660">
        <v>400.0</v>
      </c>
      <c r="D23" s="660">
        <f t="shared" si="3"/>
        <v>800</v>
      </c>
      <c r="E23" s="667" t="str">
        <f t="shared" si="4"/>
        <v/>
      </c>
      <c r="F23" s="668" t="s">
        <v>2060</v>
      </c>
      <c r="G23" s="661"/>
      <c r="H23" s="662"/>
      <c r="I23" s="661"/>
      <c r="J23" s="544"/>
      <c r="K23" s="663" t="s">
        <v>2071</v>
      </c>
      <c r="L23" s="544" t="str">
        <f t="shared" si="7"/>
        <v>Phalanx,Labor Force,Ironworking</v>
      </c>
      <c r="M23" s="669">
        <f t="array" ref="M23">SUM(IF(O23:AZ23=0,0,VLOOKUP(O23:AZ23,$B:$C,2,false)))</f>
        <v>400</v>
      </c>
      <c r="N23" s="285" t="str">
        <f t="shared" si="2"/>
        <v/>
      </c>
      <c r="O23" s="285" t="str">
        <f t="shared" si="8"/>
        <v>Phalanx</v>
      </c>
      <c r="P23" s="285" t="s">
        <v>268</v>
      </c>
      <c r="Q23" s="285" t="s">
        <v>258</v>
      </c>
      <c r="R23" s="285"/>
      <c r="BA23" s="285" t="str">
        <f t="shared" si="9"/>
        <v>Phalanx,Labor Force,Ironworking,</v>
      </c>
      <c r="BB23" s="285" t="str">
        <f>IFERROR(__xludf.DUMMYFUNCTION("SPLIT(BA23,"","")"),"Phalanx")</f>
        <v>Phalanx</v>
      </c>
      <c r="BC23" s="285" t="str">
        <f>IFERROR(__xludf.DUMMYFUNCTION("""COMPUTED_VALUE"""),"Labor Force")</f>
        <v>Labor Force</v>
      </c>
      <c r="BD23" s="285" t="str">
        <f>IFERROR(__xludf.DUMMYFUNCTION("""COMPUTED_VALUE"""),"Ironworking")</f>
        <v>Ironworking</v>
      </c>
    </row>
    <row r="24" ht="45.0" customHeight="1">
      <c r="A24" s="459"/>
      <c r="B24" s="659" t="s">
        <v>2072</v>
      </c>
      <c r="C24" s="660">
        <v>400.0</v>
      </c>
      <c r="D24" s="660">
        <f t="shared" si="3"/>
        <v>1000</v>
      </c>
      <c r="E24" s="667" t="str">
        <f t="shared" si="4"/>
        <v/>
      </c>
      <c r="F24" s="668" t="s">
        <v>2062</v>
      </c>
      <c r="G24" s="667" t="str">
        <f>VLOOKUP(H24,$B:$N,13,false)</f>
        <v/>
      </c>
      <c r="H24" s="668" t="s">
        <v>269</v>
      </c>
      <c r="I24" s="661"/>
      <c r="J24" s="544"/>
      <c r="K24" s="663" t="s">
        <v>2073</v>
      </c>
      <c r="L24" s="544" t="str">
        <f t="shared" si="7"/>
        <v>Spoked Wheel,Husbandry,Ironworking,Drama,Stonecutting</v>
      </c>
      <c r="M24" s="669">
        <f t="array" ref="M24">SUM(IF(O24:AZ24=0,0,VLOOKUP(O24:AZ24,$B:$C,2,false)))</f>
        <v>600</v>
      </c>
      <c r="N24" s="285" t="str">
        <f t="shared" si="2"/>
        <v/>
      </c>
      <c r="O24" s="285" t="str">
        <f t="shared" si="8"/>
        <v>Spoked Wheel</v>
      </c>
      <c r="P24" s="285" t="s">
        <v>259</v>
      </c>
      <c r="Q24" s="285" t="s">
        <v>258</v>
      </c>
      <c r="R24" s="285" t="s">
        <v>269</v>
      </c>
      <c r="S24" s="285" t="s">
        <v>263</v>
      </c>
      <c r="T24" s="285"/>
      <c r="BA24" s="285" t="str">
        <f t="shared" si="9"/>
        <v>Spoked Wheel,Husbandry,Ironworking,Drama,Stonecutting,</v>
      </c>
      <c r="BB24" s="285" t="str">
        <f>IFERROR(__xludf.DUMMYFUNCTION("SPLIT(BA24,"","")"),"Spoked Wheel")</f>
        <v>Spoked Wheel</v>
      </c>
      <c r="BC24" s="285" t="str">
        <f>IFERROR(__xludf.DUMMYFUNCTION("""COMPUTED_VALUE"""),"Husbandry")</f>
        <v>Husbandry</v>
      </c>
      <c r="BD24" s="285" t="str">
        <f>IFERROR(__xludf.DUMMYFUNCTION("""COMPUTED_VALUE"""),"Ironworking")</f>
        <v>Ironworking</v>
      </c>
      <c r="BE24" s="285" t="str">
        <f>IFERROR(__xludf.DUMMYFUNCTION("""COMPUTED_VALUE"""),"Drama")</f>
        <v>Drama</v>
      </c>
      <c r="BF24" s="285" t="str">
        <f>IFERROR(__xludf.DUMMYFUNCTION("""COMPUTED_VALUE"""),"Stonecutting")</f>
        <v>Stonecutting</v>
      </c>
    </row>
    <row r="25" ht="45.0" customHeight="1">
      <c r="A25" s="459"/>
      <c r="B25" s="659" t="s">
        <v>2074</v>
      </c>
      <c r="C25" s="660">
        <v>400.0</v>
      </c>
      <c r="D25" s="660">
        <f t="shared" si="3"/>
        <v>800</v>
      </c>
      <c r="E25" s="667" t="str">
        <f t="shared" si="4"/>
        <v/>
      </c>
      <c r="F25" s="668" t="s">
        <v>1798</v>
      </c>
      <c r="G25" s="661"/>
      <c r="H25" s="662"/>
      <c r="I25" s="661"/>
      <c r="J25" s="544"/>
      <c r="K25" s="670" t="s">
        <v>2075</v>
      </c>
      <c r="L25" s="544" t="str">
        <f t="shared" si="7"/>
        <v>Forestry,Polis,Stonecutting</v>
      </c>
      <c r="M25" s="669">
        <f t="array" ref="M25">SUM(IF(O25:AZ25=0,0,VLOOKUP(O25:AZ25,$B:$C,2,false)))</f>
        <v>400</v>
      </c>
      <c r="N25" s="285" t="str">
        <f t="shared" si="2"/>
        <v/>
      </c>
      <c r="O25" s="285" t="str">
        <f t="shared" si="8"/>
        <v>Forestry</v>
      </c>
      <c r="P25" s="285" t="s">
        <v>270</v>
      </c>
      <c r="Q25" s="285" t="s">
        <v>263</v>
      </c>
      <c r="R25" s="285"/>
      <c r="BA25" s="285" t="str">
        <f t="shared" si="9"/>
        <v>Forestry,Polis,Stonecutting,</v>
      </c>
      <c r="BB25" s="285" t="str">
        <f>IFERROR(__xludf.DUMMYFUNCTION("SPLIT(BA25,"","")"),"Forestry")</f>
        <v>Forestry</v>
      </c>
      <c r="BC25" s="285" t="str">
        <f>IFERROR(__xludf.DUMMYFUNCTION("""COMPUTED_VALUE"""),"Polis")</f>
        <v>Polis</v>
      </c>
      <c r="BD25" s="285" t="str">
        <f>IFERROR(__xludf.DUMMYFUNCTION("""COMPUTED_VALUE"""),"Stonecutting")</f>
        <v>Stonecutting</v>
      </c>
    </row>
    <row r="26" ht="45.0" customHeight="1">
      <c r="A26" s="459"/>
      <c r="B26" s="659" t="s">
        <v>2076</v>
      </c>
      <c r="C26" s="660">
        <v>400.0</v>
      </c>
      <c r="D26" s="660">
        <f t="shared" si="3"/>
        <v>600</v>
      </c>
      <c r="E26" s="667" t="str">
        <f t="shared" si="4"/>
        <v/>
      </c>
      <c r="F26" s="668" t="s">
        <v>264</v>
      </c>
      <c r="G26" s="661"/>
      <c r="H26" s="662"/>
      <c r="I26" s="661"/>
      <c r="J26" s="544"/>
      <c r="K26" s="663" t="s">
        <v>2077</v>
      </c>
      <c r="L26" s="544" t="str">
        <f t="shared" si="7"/>
        <v>Military Drill,Trapping</v>
      </c>
      <c r="M26" s="669">
        <f t="array" ref="M26">SUM(IF(O26:AZ26=0,0,VLOOKUP(O26:AZ26,$B:$C,2,false)))</f>
        <v>200</v>
      </c>
      <c r="N26" s="285" t="str">
        <f t="shared" si="2"/>
        <v/>
      </c>
      <c r="O26" s="285" t="str">
        <f t="shared" si="8"/>
        <v>Military Drill</v>
      </c>
      <c r="P26" s="285" t="s">
        <v>257</v>
      </c>
      <c r="Q26" s="285"/>
      <c r="BA26" s="285" t="str">
        <f t="shared" si="9"/>
        <v>Military Drill,Trapping,</v>
      </c>
      <c r="BB26" s="285" t="str">
        <f>IFERROR(__xludf.DUMMYFUNCTION("SPLIT(BA26,"","")"),"Military Drill")</f>
        <v>Military Drill</v>
      </c>
      <c r="BC26" s="285" t="str">
        <f>IFERROR(__xludf.DUMMYFUNCTION("""COMPUTED_VALUE"""),"Trapping")</f>
        <v>Trapping</v>
      </c>
    </row>
    <row r="27" ht="45.0" customHeight="1">
      <c r="A27" s="459"/>
      <c r="B27" s="659" t="s">
        <v>1944</v>
      </c>
      <c r="C27" s="660">
        <v>400.0</v>
      </c>
      <c r="D27" s="660">
        <f t="shared" si="3"/>
        <v>600</v>
      </c>
      <c r="E27" s="667" t="str">
        <f t="shared" si="4"/>
        <v/>
      </c>
      <c r="F27" s="668" t="s">
        <v>267</v>
      </c>
      <c r="G27" s="661"/>
      <c r="H27" s="662"/>
      <c r="I27" s="661"/>
      <c r="J27" s="544"/>
      <c r="K27" s="663" t="s">
        <v>2078</v>
      </c>
      <c r="L27" s="544" t="str">
        <f t="shared" si="7"/>
        <v>Aristocracy,Divination</v>
      </c>
      <c r="M27" s="669">
        <f t="array" ref="M27">SUM(IF(O27:AZ27=0,0,VLOOKUP(O27:AZ27,$B:$C,2,false)))</f>
        <v>200</v>
      </c>
      <c r="N27" s="285" t="str">
        <f t="shared" si="2"/>
        <v/>
      </c>
      <c r="O27" s="285" t="str">
        <f t="shared" si="8"/>
        <v>Aristocracy</v>
      </c>
      <c r="P27" s="285" t="s">
        <v>262</v>
      </c>
      <c r="Q27" s="285"/>
      <c r="BA27" s="285" t="str">
        <f t="shared" si="9"/>
        <v>Aristocracy,Divination,</v>
      </c>
      <c r="BB27" s="285" t="str">
        <f>IFERROR(__xludf.DUMMYFUNCTION("SPLIT(BA27,"","")"),"Aristocracy")</f>
        <v>Aristocracy</v>
      </c>
      <c r="BC27" s="285" t="str">
        <f>IFERROR(__xludf.DUMMYFUNCTION("""COMPUTED_VALUE"""),"Divination")</f>
        <v>Divination</v>
      </c>
    </row>
    <row r="28" ht="45.0" customHeight="1">
      <c r="A28" s="459"/>
      <c r="B28" s="659" t="s">
        <v>2079</v>
      </c>
      <c r="C28" s="660">
        <v>400.0</v>
      </c>
      <c r="D28" s="660">
        <f t="shared" si="3"/>
        <v>1000</v>
      </c>
      <c r="E28" s="667" t="str">
        <f t="shared" si="4"/>
        <v/>
      </c>
      <c r="F28" s="668" t="s">
        <v>1942</v>
      </c>
      <c r="G28" s="661"/>
      <c r="H28" s="662"/>
      <c r="I28" s="661"/>
      <c r="J28" s="544"/>
      <c r="K28" s="663" t="s">
        <v>2080</v>
      </c>
      <c r="L28" s="544" t="str">
        <f t="shared" si="7"/>
        <v>Sovereignty,Aristocracy,Divination,Rhetoric,Administration</v>
      </c>
      <c r="M28" s="669">
        <f t="array" ref="M28">SUM(IF(O28:AZ28=0,0,VLOOKUP(O28:AZ28,$B:$C,2,false)))</f>
        <v>600</v>
      </c>
      <c r="N28" s="285" t="str">
        <f t="shared" si="2"/>
        <v/>
      </c>
      <c r="O28" s="285" t="str">
        <f t="shared" si="8"/>
        <v>Sovereignty</v>
      </c>
      <c r="P28" s="285" t="s">
        <v>267</v>
      </c>
      <c r="Q28" s="285" t="s">
        <v>262</v>
      </c>
      <c r="R28" s="285" t="s">
        <v>266</v>
      </c>
      <c r="S28" s="285" t="s">
        <v>261</v>
      </c>
      <c r="T28" s="285"/>
      <c r="BA28" s="285" t="str">
        <f t="shared" si="9"/>
        <v>Sovereignty,Aristocracy,Divination,Rhetoric,Administration,</v>
      </c>
      <c r="BB28" s="285" t="str">
        <f>IFERROR(__xludf.DUMMYFUNCTION("SPLIT(BA28,"","")"),"Sovereignty")</f>
        <v>Sovereignty</v>
      </c>
      <c r="BC28" s="285" t="str">
        <f>IFERROR(__xludf.DUMMYFUNCTION("""COMPUTED_VALUE"""),"Aristocracy")</f>
        <v>Aristocracy</v>
      </c>
      <c r="BD28" s="285" t="str">
        <f>IFERROR(__xludf.DUMMYFUNCTION("""COMPUTED_VALUE"""),"Divination")</f>
        <v>Divination</v>
      </c>
      <c r="BE28" s="285" t="str">
        <f>IFERROR(__xludf.DUMMYFUNCTION("""COMPUTED_VALUE"""),"Rhetoric")</f>
        <v>Rhetoric</v>
      </c>
      <c r="BF28" s="285" t="str">
        <f>IFERROR(__xludf.DUMMYFUNCTION("""COMPUTED_VALUE"""),"Administration")</f>
        <v>Administration</v>
      </c>
    </row>
    <row r="29" ht="45.0" customHeight="1">
      <c r="A29" s="459"/>
      <c r="B29" s="659" t="s">
        <v>2081</v>
      </c>
      <c r="C29" s="660">
        <v>600.0</v>
      </c>
      <c r="D29" s="660">
        <f t="shared" si="3"/>
        <v>1400</v>
      </c>
      <c r="E29" s="667" t="str">
        <f t="shared" si="4"/>
        <v/>
      </c>
      <c r="F29" s="668" t="s">
        <v>1969</v>
      </c>
      <c r="G29" s="661"/>
      <c r="H29" s="662"/>
      <c r="I29" s="661"/>
      <c r="J29" s="544"/>
      <c r="K29" s="670" t="s">
        <v>2082</v>
      </c>
      <c r="L29" s="544" t="str">
        <f t="shared" si="7"/>
        <v>Citizenship,Phalanx,Labor Force,Ironworking</v>
      </c>
      <c r="M29" s="669">
        <f t="array" ref="M29">SUM(IF(O29:AZ29=0,0,VLOOKUP(O29:AZ29,$B:$C,2,false)))</f>
        <v>800</v>
      </c>
      <c r="N29" s="285" t="str">
        <f t="shared" si="2"/>
        <v/>
      </c>
      <c r="O29" s="285" t="str">
        <f t="shared" si="8"/>
        <v>Citizenship</v>
      </c>
      <c r="P29" s="285" t="s">
        <v>2060</v>
      </c>
      <c r="Q29" s="285" t="s">
        <v>268</v>
      </c>
      <c r="R29" s="285" t="s">
        <v>258</v>
      </c>
      <c r="S29" s="285"/>
      <c r="BA29" s="285" t="str">
        <f t="shared" si="9"/>
        <v>Citizenship,Phalanx,Labor Force,Ironworking,</v>
      </c>
      <c r="BB29" s="285" t="str">
        <f>IFERROR(__xludf.DUMMYFUNCTION("SPLIT(BA29,"","")"),"Citizenship")</f>
        <v>Citizenship</v>
      </c>
      <c r="BC29" s="285" t="str">
        <f>IFERROR(__xludf.DUMMYFUNCTION("""COMPUTED_VALUE"""),"Phalanx")</f>
        <v>Phalanx</v>
      </c>
      <c r="BD29" s="285" t="str">
        <f>IFERROR(__xludf.DUMMYFUNCTION("""COMPUTED_VALUE"""),"Labor Force")</f>
        <v>Labor Force</v>
      </c>
      <c r="BE29" s="285" t="str">
        <f>IFERROR(__xludf.DUMMYFUNCTION("""COMPUTED_VALUE"""),"Ironworking")</f>
        <v>Ironworking</v>
      </c>
    </row>
    <row r="30" ht="45.0" customHeight="1">
      <c r="A30" s="459"/>
      <c r="B30" s="659" t="s">
        <v>2083</v>
      </c>
      <c r="C30" s="660">
        <v>600.0</v>
      </c>
      <c r="D30" s="660">
        <f t="shared" si="3"/>
        <v>1720</v>
      </c>
      <c r="E30" s="667" t="str">
        <f t="shared" si="4"/>
        <v/>
      </c>
      <c r="F30" s="668" t="s">
        <v>2062</v>
      </c>
      <c r="G30" s="667" t="str">
        <f>VLOOKUP(H30,$B:$N,13,false)</f>
        <v/>
      </c>
      <c r="H30" s="668" t="s">
        <v>1969</v>
      </c>
      <c r="I30" s="661"/>
      <c r="J30" s="544"/>
      <c r="K30" s="663" t="s">
        <v>2084</v>
      </c>
      <c r="L30" s="544" t="str">
        <f t="shared" si="7"/>
        <v>Spoked Wheel,Husbandry,Ironworking,Citizenship,Phalanx,Labor Force</v>
      </c>
      <c r="M30" s="669">
        <f t="array" ref="M30">SUM(IF(O30:AZ30=0,0,VLOOKUP(O30:AZ30,$B:$C,2,false)))</f>
        <v>1120</v>
      </c>
      <c r="N30" s="285" t="str">
        <f t="shared" si="2"/>
        <v/>
      </c>
      <c r="O30" s="285" t="str">
        <f t="shared" si="8"/>
        <v>Spoked Wheel</v>
      </c>
      <c r="P30" s="285" t="s">
        <v>259</v>
      </c>
      <c r="Q30" s="285" t="s">
        <v>258</v>
      </c>
      <c r="R30" s="285" t="s">
        <v>1969</v>
      </c>
      <c r="S30" s="285" t="s">
        <v>2060</v>
      </c>
      <c r="T30" s="285" t="s">
        <v>268</v>
      </c>
      <c r="U30" s="285"/>
      <c r="BA30" s="285" t="str">
        <f t="shared" si="9"/>
        <v>Spoked Wheel,Husbandry,Ironworking,Citizenship,Phalanx,Labor Force,Ironworking,</v>
      </c>
      <c r="BB30" s="285" t="str">
        <f>IFERROR(__xludf.DUMMYFUNCTION("SPLIT(BA30,"","")"),"Spoked Wheel")</f>
        <v>Spoked Wheel</v>
      </c>
      <c r="BC30" s="285" t="str">
        <f>IFERROR(__xludf.DUMMYFUNCTION("""COMPUTED_VALUE"""),"Husbandry")</f>
        <v>Husbandry</v>
      </c>
      <c r="BD30" s="285" t="str">
        <f>IFERROR(__xludf.DUMMYFUNCTION("""COMPUTED_VALUE"""),"Ironworking")</f>
        <v>Ironworking</v>
      </c>
      <c r="BE30" s="285" t="str">
        <f>IFERROR(__xludf.DUMMYFUNCTION("""COMPUTED_VALUE"""),"Citizenship")</f>
        <v>Citizenship</v>
      </c>
      <c r="BF30" s="285" t="str">
        <f>IFERROR(__xludf.DUMMYFUNCTION("""COMPUTED_VALUE"""),"Phalanx")</f>
        <v>Phalanx</v>
      </c>
      <c r="BG30" s="285" t="str">
        <f>IFERROR(__xludf.DUMMYFUNCTION("""COMPUTED_VALUE"""),"Labor Force")</f>
        <v>Labor Force</v>
      </c>
      <c r="BH30" s="285" t="str">
        <f>IFERROR(__xludf.DUMMYFUNCTION("""COMPUTED_VALUE"""),"Ironworking")</f>
        <v>Ironworking</v>
      </c>
    </row>
    <row r="31" ht="45.0" customHeight="1">
      <c r="A31" s="459"/>
      <c r="B31" s="659" t="s">
        <v>1971</v>
      </c>
      <c r="C31" s="660">
        <v>600.0</v>
      </c>
      <c r="D31" s="660">
        <f t="shared" si="3"/>
        <v>1600</v>
      </c>
      <c r="E31" s="667" t="str">
        <f t="shared" si="4"/>
        <v/>
      </c>
      <c r="F31" s="668" t="s">
        <v>2072</v>
      </c>
      <c r="G31" s="661"/>
      <c r="H31" s="662"/>
      <c r="I31" s="661"/>
      <c r="J31" s="544"/>
      <c r="K31" s="663" t="s">
        <v>2085</v>
      </c>
      <c r="L31" s="544" t="str">
        <f t="shared" si="7"/>
        <v>Portcullis,Spoked Wheel,Husbandry,Ironworking,Drama,Stonecutting</v>
      </c>
      <c r="M31" s="669">
        <f t="array" ref="M31">SUM(IF(O31:AZ31=0,0,VLOOKUP(O31:AZ31,$B:$C,2,false)))</f>
        <v>1000</v>
      </c>
      <c r="N31" s="285" t="str">
        <f t="shared" si="2"/>
        <v/>
      </c>
      <c r="O31" s="285" t="str">
        <f t="shared" si="8"/>
        <v>Portcullis</v>
      </c>
      <c r="P31" s="285" t="s">
        <v>2062</v>
      </c>
      <c r="Q31" s="285" t="s">
        <v>259</v>
      </c>
      <c r="R31" s="285" t="s">
        <v>258</v>
      </c>
      <c r="S31" s="285" t="s">
        <v>269</v>
      </c>
      <c r="T31" s="285" t="s">
        <v>263</v>
      </c>
      <c r="U31" s="285"/>
      <c r="BA31" s="285" t="str">
        <f t="shared" si="9"/>
        <v>Portcullis,Spoked Wheel,Husbandry,Ironworking,Drama,Stonecutting,</v>
      </c>
      <c r="BB31" s="285" t="str">
        <f>IFERROR(__xludf.DUMMYFUNCTION("SPLIT(BA31,"","")"),"Portcullis")</f>
        <v>Portcullis</v>
      </c>
      <c r="BC31" s="285" t="str">
        <f>IFERROR(__xludf.DUMMYFUNCTION("""COMPUTED_VALUE"""),"Spoked Wheel")</f>
        <v>Spoked Wheel</v>
      </c>
      <c r="BD31" s="285" t="str">
        <f>IFERROR(__xludf.DUMMYFUNCTION("""COMPUTED_VALUE"""),"Husbandry")</f>
        <v>Husbandry</v>
      </c>
      <c r="BE31" s="285" t="str">
        <f>IFERROR(__xludf.DUMMYFUNCTION("""COMPUTED_VALUE"""),"Ironworking")</f>
        <v>Ironworking</v>
      </c>
      <c r="BF31" s="285" t="str">
        <f>IFERROR(__xludf.DUMMYFUNCTION("""COMPUTED_VALUE"""),"Drama")</f>
        <v>Drama</v>
      </c>
      <c r="BG31" s="285" t="str">
        <f>IFERROR(__xludf.DUMMYFUNCTION("""COMPUTED_VALUE"""),"Stonecutting")</f>
        <v>Stonecutting</v>
      </c>
    </row>
    <row r="32" ht="45.0" customHeight="1">
      <c r="A32" s="459"/>
      <c r="B32" s="659" t="s">
        <v>1997</v>
      </c>
      <c r="C32" s="660">
        <v>600.0</v>
      </c>
      <c r="D32" s="660">
        <f t="shared" si="3"/>
        <v>2000</v>
      </c>
      <c r="E32" s="667" t="str">
        <f t="shared" si="4"/>
        <v/>
      </c>
      <c r="F32" s="668" t="s">
        <v>2074</v>
      </c>
      <c r="G32" s="667" t="str">
        <f t="shared" ref="G32:G33" si="11">VLOOKUP(H32,$B:$N,13,false)</f>
        <v/>
      </c>
      <c r="H32" s="668" t="s">
        <v>2076</v>
      </c>
      <c r="I32" s="661"/>
      <c r="J32" s="544"/>
      <c r="K32" s="663" t="s">
        <v>2086</v>
      </c>
      <c r="L32" s="544" t="str">
        <f t="shared" si="7"/>
        <v>Land Consolidation,Forestry,Polis,Stonecutting,Composite Bow,Military Drill,Trapping</v>
      </c>
      <c r="M32" s="669">
        <f t="array" ref="M32">SUM(IF(O32:AZ32=0,0,VLOOKUP(O32:AZ32,$B:$C,2,false)))</f>
        <v>1400</v>
      </c>
      <c r="N32" s="285" t="str">
        <f t="shared" si="2"/>
        <v/>
      </c>
      <c r="O32" s="285" t="str">
        <f t="shared" si="8"/>
        <v>Land Consolidation</v>
      </c>
      <c r="P32" s="285" t="s">
        <v>1798</v>
      </c>
      <c r="Q32" s="285" t="s">
        <v>270</v>
      </c>
      <c r="R32" s="285" t="s">
        <v>263</v>
      </c>
      <c r="S32" s="285" t="s">
        <v>2076</v>
      </c>
      <c r="T32" s="285" t="s">
        <v>264</v>
      </c>
      <c r="U32" s="285" t="s">
        <v>257</v>
      </c>
      <c r="V32" s="285"/>
      <c r="BA32" s="285" t="str">
        <f t="shared" si="9"/>
        <v>Land Consolidation,Forestry,Polis,Stonecutting,Composite Bow,Military Drill,Trapping,</v>
      </c>
      <c r="BB32" s="285" t="str">
        <f>IFERROR(__xludf.DUMMYFUNCTION("SPLIT(BA32,"","")"),"Land Consolidation")</f>
        <v>Land Consolidation</v>
      </c>
      <c r="BC32" s="285" t="str">
        <f>IFERROR(__xludf.DUMMYFUNCTION("""COMPUTED_VALUE"""),"Forestry")</f>
        <v>Forestry</v>
      </c>
      <c r="BD32" s="285" t="str">
        <f>IFERROR(__xludf.DUMMYFUNCTION("""COMPUTED_VALUE"""),"Polis")</f>
        <v>Polis</v>
      </c>
      <c r="BE32" s="285" t="str">
        <f>IFERROR(__xludf.DUMMYFUNCTION("""COMPUTED_VALUE"""),"Stonecutting")</f>
        <v>Stonecutting</v>
      </c>
      <c r="BF32" s="285" t="str">
        <f>IFERROR(__xludf.DUMMYFUNCTION("""COMPUTED_VALUE"""),"Composite Bow")</f>
        <v>Composite Bow</v>
      </c>
      <c r="BG32" s="285" t="str">
        <f>IFERROR(__xludf.DUMMYFUNCTION("""COMPUTED_VALUE"""),"Military Drill")</f>
        <v>Military Drill</v>
      </c>
      <c r="BH32" s="285" t="str">
        <f>IFERROR(__xludf.DUMMYFUNCTION("""COMPUTED_VALUE"""),"Trapping")</f>
        <v>Trapping</v>
      </c>
    </row>
    <row r="33" ht="45.0" customHeight="1">
      <c r="A33" s="459"/>
      <c r="B33" s="659" t="s">
        <v>2087</v>
      </c>
      <c r="C33" s="660">
        <v>600.0</v>
      </c>
      <c r="D33" s="660">
        <f t="shared" si="3"/>
        <v>1400</v>
      </c>
      <c r="E33" s="667" t="str">
        <f t="shared" si="4"/>
        <v/>
      </c>
      <c r="F33" s="668" t="s">
        <v>2060</v>
      </c>
      <c r="G33" s="667" t="str">
        <f t="shared" si="11"/>
        <v/>
      </c>
      <c r="H33" s="668" t="s">
        <v>2065</v>
      </c>
      <c r="I33" s="661"/>
      <c r="J33" s="544"/>
      <c r="K33" s="663" t="s">
        <v>2088</v>
      </c>
      <c r="L33" s="544" t="str">
        <f t="shared" si="7"/>
        <v>Phalanx,Labor Force,Ironworking,Steel,Military Drill,Trapping</v>
      </c>
      <c r="M33" s="669">
        <f t="array" ref="M33">SUM(IF(O33:AZ33=0,0,VLOOKUP(O33:AZ33,$B:$C,2,false)))</f>
        <v>800</v>
      </c>
      <c r="N33" s="285" t="str">
        <f t="shared" si="2"/>
        <v/>
      </c>
      <c r="O33" s="285" t="str">
        <f t="shared" si="8"/>
        <v>Phalanx</v>
      </c>
      <c r="P33" s="285" t="s">
        <v>268</v>
      </c>
      <c r="Q33" s="285" t="s">
        <v>258</v>
      </c>
      <c r="R33" s="285" t="s">
        <v>2065</v>
      </c>
      <c r="S33" s="285" t="s">
        <v>264</v>
      </c>
      <c r="T33" s="285" t="s">
        <v>257</v>
      </c>
      <c r="U33" s="285"/>
      <c r="BA33" s="285" t="str">
        <f t="shared" si="9"/>
        <v>Phalanx,Labor Force,Ironworking,Steel,Military Drill,Trapping,Ironworking,</v>
      </c>
      <c r="BB33" s="285" t="str">
        <f>IFERROR(__xludf.DUMMYFUNCTION("SPLIT(BA33,"","")"),"Phalanx")</f>
        <v>Phalanx</v>
      </c>
      <c r="BC33" s="285" t="str">
        <f>IFERROR(__xludf.DUMMYFUNCTION("""COMPUTED_VALUE"""),"Labor Force")</f>
        <v>Labor Force</v>
      </c>
      <c r="BD33" s="285" t="str">
        <f>IFERROR(__xludf.DUMMYFUNCTION("""COMPUTED_VALUE"""),"Ironworking")</f>
        <v>Ironworking</v>
      </c>
      <c r="BE33" s="285" t="str">
        <f>IFERROR(__xludf.DUMMYFUNCTION("""COMPUTED_VALUE"""),"Steel")</f>
        <v>Steel</v>
      </c>
      <c r="BF33" s="285" t="str">
        <f>IFERROR(__xludf.DUMMYFUNCTION("""COMPUTED_VALUE"""),"Military Drill")</f>
        <v>Military Drill</v>
      </c>
      <c r="BG33" s="285" t="str">
        <f>IFERROR(__xludf.DUMMYFUNCTION("""COMPUTED_VALUE"""),"Trapping")</f>
        <v>Trapping</v>
      </c>
      <c r="BH33" s="285" t="str">
        <f>IFERROR(__xludf.DUMMYFUNCTION("""COMPUTED_VALUE"""),"Ironworking")</f>
        <v>Ironworking</v>
      </c>
    </row>
    <row r="34" ht="45.0" customHeight="1">
      <c r="A34" s="459"/>
      <c r="B34" s="659" t="s">
        <v>1970</v>
      </c>
      <c r="C34" s="660">
        <v>600.0</v>
      </c>
      <c r="D34" s="660">
        <f t="shared" si="3"/>
        <v>1200</v>
      </c>
      <c r="E34" s="667" t="str">
        <f t="shared" si="4"/>
        <v/>
      </c>
      <c r="F34" s="668" t="s">
        <v>1944</v>
      </c>
      <c r="G34" s="661"/>
      <c r="H34" s="662"/>
      <c r="I34" s="661"/>
      <c r="J34" s="544"/>
      <c r="K34" s="663" t="s">
        <v>2089</v>
      </c>
      <c r="L34" s="544" t="str">
        <f t="shared" si="7"/>
        <v>Monasticism,Aristocracy,Divination</v>
      </c>
      <c r="M34" s="669">
        <f t="array" ref="M34">SUM(IF(O34:AZ34=0,0,VLOOKUP(O34:AZ34,$B:$C,2,false)))</f>
        <v>600</v>
      </c>
      <c r="N34" s="285" t="str">
        <f t="shared" si="2"/>
        <v/>
      </c>
      <c r="O34" s="285" t="str">
        <f t="shared" si="8"/>
        <v>Monasticism</v>
      </c>
      <c r="P34" s="285" t="s">
        <v>267</v>
      </c>
      <c r="Q34" s="285" t="s">
        <v>262</v>
      </c>
      <c r="R34" s="285"/>
      <c r="BA34" s="285" t="str">
        <f t="shared" si="9"/>
        <v>Monasticism,Aristocracy,Divination,</v>
      </c>
      <c r="BB34" s="285" t="str">
        <f>IFERROR(__xludf.DUMMYFUNCTION("SPLIT(BA34,"","")"),"Monasticism")</f>
        <v>Monasticism</v>
      </c>
      <c r="BC34" s="285" t="str">
        <f>IFERROR(__xludf.DUMMYFUNCTION("""COMPUTED_VALUE"""),"Aristocracy")</f>
        <v>Aristocracy</v>
      </c>
      <c r="BD34" s="285" t="str">
        <f>IFERROR(__xludf.DUMMYFUNCTION("""COMPUTED_VALUE"""),"Divination")</f>
        <v>Divination</v>
      </c>
    </row>
    <row r="35" ht="45.0" customHeight="1">
      <c r="A35" s="459"/>
      <c r="B35" s="659" t="s">
        <v>2090</v>
      </c>
      <c r="C35" s="660">
        <v>600.0</v>
      </c>
      <c r="D35" s="660">
        <f t="shared" si="3"/>
        <v>1600</v>
      </c>
      <c r="E35" s="667" t="str">
        <f t="shared" si="4"/>
        <v/>
      </c>
      <c r="F35" s="668" t="s">
        <v>2079</v>
      </c>
      <c r="G35" s="661"/>
      <c r="H35" s="662"/>
      <c r="I35" s="661"/>
      <c r="J35" s="544"/>
      <c r="K35" s="671" t="s">
        <v>2091</v>
      </c>
      <c r="L35" s="544" t="str">
        <f t="shared" si="7"/>
        <v>Machinery,Sovereignty,Aristocracy,Divination,Rhetoric,Administration</v>
      </c>
      <c r="M35" s="669">
        <f t="array" ref="M35">SUM(IF(O35:AZ35=0,0,VLOOKUP(O35:AZ35,$B:$C,2,false)))</f>
        <v>1000</v>
      </c>
      <c r="N35" s="285" t="str">
        <f t="shared" si="2"/>
        <v/>
      </c>
      <c r="O35" s="285" t="str">
        <f t="shared" si="8"/>
        <v>Machinery</v>
      </c>
      <c r="P35" s="285" t="s">
        <v>1942</v>
      </c>
      <c r="Q35" s="285" t="s">
        <v>267</v>
      </c>
      <c r="R35" s="285" t="s">
        <v>262</v>
      </c>
      <c r="S35" s="285" t="s">
        <v>266</v>
      </c>
      <c r="T35" s="285" t="s">
        <v>261</v>
      </c>
      <c r="U35" s="285"/>
      <c r="BA35" s="285" t="str">
        <f t="shared" si="9"/>
        <v>Machinery,Sovereignty,Aristocracy,Divination,Rhetoric,Administration,</v>
      </c>
      <c r="BB35" s="285" t="str">
        <f>IFERROR(__xludf.DUMMYFUNCTION("SPLIT(BA35,"","")"),"Machinery")</f>
        <v>Machinery</v>
      </c>
      <c r="BC35" s="285" t="str">
        <f>IFERROR(__xludf.DUMMYFUNCTION("""COMPUTED_VALUE"""),"Sovereignty")</f>
        <v>Sovereignty</v>
      </c>
      <c r="BD35" s="285" t="str">
        <f>IFERROR(__xludf.DUMMYFUNCTION("""COMPUTED_VALUE"""),"Aristocracy")</f>
        <v>Aristocracy</v>
      </c>
      <c r="BE35" s="285" t="str">
        <f>IFERROR(__xludf.DUMMYFUNCTION("""COMPUTED_VALUE"""),"Divination")</f>
        <v>Divination</v>
      </c>
      <c r="BF35" s="285" t="str">
        <f>IFERROR(__xludf.DUMMYFUNCTION("""COMPUTED_VALUE"""),"Rhetoric")</f>
        <v>Rhetoric</v>
      </c>
      <c r="BG35" s="285" t="str">
        <f>IFERROR(__xludf.DUMMYFUNCTION("""COMPUTED_VALUE"""),"Administration")</f>
        <v>Administration</v>
      </c>
    </row>
    <row r="36" ht="45.0" customHeight="1">
      <c r="A36" s="459"/>
      <c r="B36" s="659" t="s">
        <v>2092</v>
      </c>
      <c r="C36" s="660">
        <v>600.0</v>
      </c>
      <c r="D36" s="660">
        <f t="shared" si="3"/>
        <v>1400</v>
      </c>
      <c r="E36" s="667" t="str">
        <f t="shared" si="4"/>
        <v/>
      </c>
      <c r="F36" s="668" t="s">
        <v>1943</v>
      </c>
      <c r="G36" s="667" t="str">
        <f t="shared" ref="G36:G37" si="12">VLOOKUP(H36,$B:$N,13,false)</f>
        <v/>
      </c>
      <c r="H36" s="668" t="s">
        <v>1796</v>
      </c>
      <c r="I36" s="661"/>
      <c r="J36" s="544"/>
      <c r="K36" s="663" t="s">
        <v>2093</v>
      </c>
      <c r="L36" s="544" t="str">
        <f t="shared" si="7"/>
        <v>Navigation,Labor Force,Ironworking,Metaphysics,Rhetoric,Administration</v>
      </c>
      <c r="M36" s="669">
        <f t="array" ref="M36">SUM(IF(O36:AZ36=0,0,VLOOKUP(O36:AZ36,$B:$C,2,false)))</f>
        <v>800</v>
      </c>
      <c r="N36" s="285" t="str">
        <f t="shared" si="2"/>
        <v/>
      </c>
      <c r="O36" s="285" t="str">
        <f t="shared" si="8"/>
        <v>Navigation</v>
      </c>
      <c r="P36" s="285" t="s">
        <v>268</v>
      </c>
      <c r="Q36" s="285" t="s">
        <v>258</v>
      </c>
      <c r="R36" s="285" t="s">
        <v>1796</v>
      </c>
      <c r="S36" s="285" t="s">
        <v>266</v>
      </c>
      <c r="T36" s="285" t="s">
        <v>261</v>
      </c>
      <c r="U36" s="285"/>
      <c r="BA36" s="285" t="str">
        <f t="shared" si="9"/>
        <v>Navigation,Labor Force,Ironworking,Metaphysics,Rhetoric,Administration,</v>
      </c>
      <c r="BB36" s="285" t="str">
        <f>IFERROR(__xludf.DUMMYFUNCTION("SPLIT(BA36,"","")"),"Navigation")</f>
        <v>Navigation</v>
      </c>
      <c r="BC36" s="285" t="str">
        <f>IFERROR(__xludf.DUMMYFUNCTION("""COMPUTED_VALUE"""),"Labor Force")</f>
        <v>Labor Force</v>
      </c>
      <c r="BD36" s="285" t="str">
        <f>IFERROR(__xludf.DUMMYFUNCTION("""COMPUTED_VALUE"""),"Ironworking")</f>
        <v>Ironworking</v>
      </c>
      <c r="BE36" s="285" t="str">
        <f>IFERROR(__xludf.DUMMYFUNCTION("""COMPUTED_VALUE"""),"Metaphysics")</f>
        <v>Metaphysics</v>
      </c>
      <c r="BF36" s="285" t="str">
        <f>IFERROR(__xludf.DUMMYFUNCTION("""COMPUTED_VALUE"""),"Rhetoric")</f>
        <v>Rhetoric</v>
      </c>
      <c r="BG36" s="285" t="str">
        <f>IFERROR(__xludf.DUMMYFUNCTION("""COMPUTED_VALUE"""),"Administration")</f>
        <v>Administration</v>
      </c>
    </row>
    <row r="37" ht="45.0" customHeight="1">
      <c r="A37" s="459"/>
      <c r="B37" s="659" t="s">
        <v>2028</v>
      </c>
      <c r="C37" s="660">
        <v>1000.0</v>
      </c>
      <c r="D37" s="660">
        <f t="shared" si="3"/>
        <v>2800</v>
      </c>
      <c r="E37" s="667" t="str">
        <f t="shared" si="4"/>
        <v/>
      </c>
      <c r="F37" s="668" t="s">
        <v>2069</v>
      </c>
      <c r="G37" s="667" t="str">
        <f t="shared" si="12"/>
        <v/>
      </c>
      <c r="H37" s="668" t="s">
        <v>2092</v>
      </c>
      <c r="I37" s="661"/>
      <c r="J37" s="544"/>
      <c r="K37" s="663" t="s">
        <v>2094</v>
      </c>
      <c r="L37" s="544" t="str">
        <f t="shared" si="7"/>
        <v>Coinage,Navigation,Labor Force,Ironworking,Cartography,Metaphysics,Rhetoric,Administration</v>
      </c>
      <c r="M37" s="669">
        <f t="array" ref="M37">SUM(IF(O37:AZ37=0,0,VLOOKUP(O37:AZ37,$B:$C,2,false)))</f>
        <v>1800</v>
      </c>
      <c r="N37" s="285" t="str">
        <f t="shared" si="2"/>
        <v/>
      </c>
      <c r="O37" s="285" t="str">
        <f t="shared" si="8"/>
        <v>Coinage</v>
      </c>
      <c r="P37" s="285" t="s">
        <v>1943</v>
      </c>
      <c r="Q37" s="285" t="s">
        <v>268</v>
      </c>
      <c r="R37" s="285" t="s">
        <v>258</v>
      </c>
      <c r="S37" s="285" t="s">
        <v>2092</v>
      </c>
      <c r="T37" s="285" t="s">
        <v>1796</v>
      </c>
      <c r="U37" s="285" t="s">
        <v>266</v>
      </c>
      <c r="V37" s="285" t="s">
        <v>261</v>
      </c>
      <c r="W37" s="285"/>
      <c r="BA37" s="285" t="str">
        <f t="shared" si="9"/>
        <v>Coinage,Navigation,Labor Force,Ironworking,Cartography,Navigation,Labor Force,Ironworking,Metaphysics,Rhetoric,Administration,</v>
      </c>
      <c r="BB37" s="285" t="str">
        <f>IFERROR(__xludf.DUMMYFUNCTION("SPLIT(BA37,"","")"),"Coinage")</f>
        <v>Coinage</v>
      </c>
      <c r="BC37" s="285" t="str">
        <f>IFERROR(__xludf.DUMMYFUNCTION("""COMPUTED_VALUE"""),"Navigation")</f>
        <v>Navigation</v>
      </c>
      <c r="BD37" s="285" t="str">
        <f>IFERROR(__xludf.DUMMYFUNCTION("""COMPUTED_VALUE"""),"Labor Force")</f>
        <v>Labor Force</v>
      </c>
      <c r="BE37" s="285" t="str">
        <f>IFERROR(__xludf.DUMMYFUNCTION("""COMPUTED_VALUE"""),"Ironworking")</f>
        <v>Ironworking</v>
      </c>
      <c r="BF37" s="285" t="str">
        <f>IFERROR(__xludf.DUMMYFUNCTION("""COMPUTED_VALUE"""),"Cartography")</f>
        <v>Cartography</v>
      </c>
      <c r="BG37" s="285" t="str">
        <f>IFERROR(__xludf.DUMMYFUNCTION("""COMPUTED_VALUE"""),"Navigation")</f>
        <v>Navigation</v>
      </c>
      <c r="BH37" s="285" t="str">
        <f>IFERROR(__xludf.DUMMYFUNCTION("""COMPUTED_VALUE"""),"Labor Force")</f>
        <v>Labor Force</v>
      </c>
      <c r="BI37" s="285" t="str">
        <f>IFERROR(__xludf.DUMMYFUNCTION("""COMPUTED_VALUE"""),"Ironworking")</f>
        <v>Ironworking</v>
      </c>
      <c r="BJ37" s="285" t="str">
        <f>IFERROR(__xludf.DUMMYFUNCTION("""COMPUTED_VALUE"""),"Metaphysics")</f>
        <v>Metaphysics</v>
      </c>
      <c r="BK37" s="285" t="str">
        <f>IFERROR(__xludf.DUMMYFUNCTION("""COMPUTED_VALUE"""),"Rhetoric")</f>
        <v>Rhetoric</v>
      </c>
      <c r="BL37" s="285" t="str">
        <f>IFERROR(__xludf.DUMMYFUNCTION("""COMPUTED_VALUE"""),"Administration")</f>
        <v>Administration</v>
      </c>
    </row>
    <row r="38" ht="45.0" customHeight="1">
      <c r="A38" s="459"/>
      <c r="B38" s="659" t="s">
        <v>2027</v>
      </c>
      <c r="C38" s="660">
        <v>1000.0</v>
      </c>
      <c r="D38" s="660">
        <f t="shared" si="3"/>
        <v>2400</v>
      </c>
      <c r="E38" s="667" t="str">
        <f t="shared" si="4"/>
        <v/>
      </c>
      <c r="F38" s="668" t="s">
        <v>2081</v>
      </c>
      <c r="G38" s="661"/>
      <c r="H38" s="662"/>
      <c r="I38" s="661"/>
      <c r="J38" s="544"/>
      <c r="K38" s="663" t="s">
        <v>2095</v>
      </c>
      <c r="L38" s="544" t="str">
        <f t="shared" si="7"/>
        <v>Scholarship,Citizenship,Phalanx,Labor Force,Ironworking</v>
      </c>
      <c r="M38" s="669">
        <f t="array" ref="M38">SUM(IF(O38:AZ38=0,0,VLOOKUP(O38:AZ38,$B:$C,2,false)))</f>
        <v>1400</v>
      </c>
      <c r="N38" s="285" t="str">
        <f t="shared" si="2"/>
        <v/>
      </c>
      <c r="O38" s="285" t="str">
        <f t="shared" si="8"/>
        <v>Scholarship</v>
      </c>
      <c r="P38" s="285" t="s">
        <v>1969</v>
      </c>
      <c r="Q38" s="285" t="s">
        <v>2060</v>
      </c>
      <c r="R38" s="285" t="s">
        <v>268</v>
      </c>
      <c r="S38" s="285" t="s">
        <v>258</v>
      </c>
      <c r="T38" s="285"/>
      <c r="BA38" s="285" t="str">
        <f t="shared" si="9"/>
        <v>Scholarship,Citizenship,Phalanx,Labor Force,Ironworking,</v>
      </c>
      <c r="BB38" s="285" t="str">
        <f>IFERROR(__xludf.DUMMYFUNCTION("SPLIT(BA38,"","")"),"Scholarship")</f>
        <v>Scholarship</v>
      </c>
      <c r="BC38" s="285" t="str">
        <f>IFERROR(__xludf.DUMMYFUNCTION("""COMPUTED_VALUE"""),"Citizenship")</f>
        <v>Citizenship</v>
      </c>
      <c r="BD38" s="285" t="str">
        <f>IFERROR(__xludf.DUMMYFUNCTION("""COMPUTED_VALUE"""),"Phalanx")</f>
        <v>Phalanx</v>
      </c>
      <c r="BE38" s="285" t="str">
        <f>IFERROR(__xludf.DUMMYFUNCTION("""COMPUTED_VALUE"""),"Labor Force")</f>
        <v>Labor Force</v>
      </c>
      <c r="BF38" s="285" t="str">
        <f>IFERROR(__xludf.DUMMYFUNCTION("""COMPUTED_VALUE"""),"Ironworking")</f>
        <v>Ironworking</v>
      </c>
    </row>
    <row r="39" ht="45.0" customHeight="1">
      <c r="A39" s="459"/>
      <c r="B39" s="659" t="s">
        <v>1999</v>
      </c>
      <c r="C39" s="660">
        <v>1000.0</v>
      </c>
      <c r="D39" s="660">
        <f t="shared" si="3"/>
        <v>2720</v>
      </c>
      <c r="E39" s="667" t="str">
        <f t="shared" si="4"/>
        <v/>
      </c>
      <c r="F39" s="668" t="s">
        <v>2083</v>
      </c>
      <c r="G39" s="661"/>
      <c r="H39" s="662"/>
      <c r="I39" s="661"/>
      <c r="J39" s="544"/>
      <c r="K39" s="663" t="s">
        <v>2096</v>
      </c>
      <c r="L39" s="544" t="str">
        <f t="shared" si="7"/>
        <v>Stirrups,Spoked Wheel,Husbandry,Ironworking,Citizenship,Phalanx,Labor Force</v>
      </c>
      <c r="M39" s="669">
        <f t="array" ref="M39">SUM(IF(O39:AZ39=0,0,VLOOKUP(O39:AZ39,$B:$C,2,false)))</f>
        <v>1720</v>
      </c>
      <c r="N39" s="285" t="str">
        <f t="shared" si="2"/>
        <v/>
      </c>
      <c r="O39" s="285" t="str">
        <f t="shared" si="8"/>
        <v>Stirrups</v>
      </c>
      <c r="P39" s="285" t="s">
        <v>2062</v>
      </c>
      <c r="Q39" s="285" t="s">
        <v>259</v>
      </c>
      <c r="R39" s="285" t="s">
        <v>258</v>
      </c>
      <c r="S39" s="285" t="s">
        <v>1969</v>
      </c>
      <c r="T39" s="285" t="s">
        <v>2060</v>
      </c>
      <c r="U39" s="285" t="s">
        <v>268</v>
      </c>
      <c r="V39" s="285"/>
      <c r="BA39" s="285" t="str">
        <f t="shared" si="9"/>
        <v>Stirrups,Spoked Wheel,Husbandry,Ironworking,Citizenship,Phalanx,Labor Force,</v>
      </c>
      <c r="BB39" s="285" t="str">
        <f>IFERROR(__xludf.DUMMYFUNCTION("SPLIT(BA39,"","")"),"Stirrups")</f>
        <v>Stirrups</v>
      </c>
      <c r="BC39" s="285" t="str">
        <f>IFERROR(__xludf.DUMMYFUNCTION("""COMPUTED_VALUE"""),"Spoked Wheel")</f>
        <v>Spoked Wheel</v>
      </c>
      <c r="BD39" s="285" t="str">
        <f>IFERROR(__xludf.DUMMYFUNCTION("""COMPUTED_VALUE"""),"Husbandry")</f>
        <v>Husbandry</v>
      </c>
      <c r="BE39" s="285" t="str">
        <f>IFERROR(__xludf.DUMMYFUNCTION("""COMPUTED_VALUE"""),"Ironworking")</f>
        <v>Ironworking</v>
      </c>
      <c r="BF39" s="285" t="str">
        <f>IFERROR(__xludf.DUMMYFUNCTION("""COMPUTED_VALUE"""),"Citizenship")</f>
        <v>Citizenship</v>
      </c>
      <c r="BG39" s="285" t="str">
        <f>IFERROR(__xludf.DUMMYFUNCTION("""COMPUTED_VALUE"""),"Phalanx")</f>
        <v>Phalanx</v>
      </c>
      <c r="BH39" s="285" t="str">
        <f>IFERROR(__xludf.DUMMYFUNCTION("""COMPUTED_VALUE"""),"Labor Force")</f>
        <v>Labor Force</v>
      </c>
    </row>
    <row r="40" ht="45.0" customHeight="1">
      <c r="A40" s="459"/>
      <c r="B40" s="659" t="s">
        <v>1998</v>
      </c>
      <c r="C40" s="660">
        <v>1000.0</v>
      </c>
      <c r="D40" s="660">
        <f t="shared" si="3"/>
        <v>2600</v>
      </c>
      <c r="E40" s="667" t="str">
        <f t="shared" si="4"/>
        <v/>
      </c>
      <c r="F40" s="668" t="s">
        <v>1971</v>
      </c>
      <c r="G40" s="661"/>
      <c r="H40" s="662"/>
      <c r="I40" s="661"/>
      <c r="J40" s="544"/>
      <c r="K40" s="663" t="s">
        <v>2097</v>
      </c>
      <c r="L40" s="544" t="str">
        <f t="shared" si="7"/>
        <v>Architecture,Portcullis,Spoked Wheel,Husbandry,Ironworking,Drama,Stonecutting</v>
      </c>
      <c r="M40" s="669">
        <f t="array" ref="M40">SUM(IF(O40:AZ40=0,0,VLOOKUP(O40:AZ40,$B:$C,2,false)))</f>
        <v>1600</v>
      </c>
      <c r="N40" s="285" t="str">
        <f t="shared" si="2"/>
        <v/>
      </c>
      <c r="O40" s="285" t="str">
        <f t="shared" si="8"/>
        <v>Architecture</v>
      </c>
      <c r="P40" s="285" t="s">
        <v>2072</v>
      </c>
      <c r="Q40" s="285" t="s">
        <v>2062</v>
      </c>
      <c r="R40" s="285" t="s">
        <v>259</v>
      </c>
      <c r="S40" s="285" t="s">
        <v>258</v>
      </c>
      <c r="T40" s="285" t="s">
        <v>269</v>
      </c>
      <c r="U40" s="285" t="s">
        <v>263</v>
      </c>
      <c r="V40" s="285"/>
      <c r="BA40" s="285" t="str">
        <f t="shared" si="9"/>
        <v>Architecture,Portcullis,Spoked Wheel,Husbandry,Ironworking,Drama,Stonecutting,</v>
      </c>
      <c r="BB40" s="285" t="str">
        <f>IFERROR(__xludf.DUMMYFUNCTION("SPLIT(BA40,"","")"),"Architecture")</f>
        <v>Architecture</v>
      </c>
      <c r="BC40" s="285" t="str">
        <f>IFERROR(__xludf.DUMMYFUNCTION("""COMPUTED_VALUE"""),"Portcullis")</f>
        <v>Portcullis</v>
      </c>
      <c r="BD40" s="285" t="str">
        <f>IFERROR(__xludf.DUMMYFUNCTION("""COMPUTED_VALUE"""),"Spoked Wheel")</f>
        <v>Spoked Wheel</v>
      </c>
      <c r="BE40" s="285" t="str">
        <f>IFERROR(__xludf.DUMMYFUNCTION("""COMPUTED_VALUE"""),"Husbandry")</f>
        <v>Husbandry</v>
      </c>
      <c r="BF40" s="285" t="str">
        <f>IFERROR(__xludf.DUMMYFUNCTION("""COMPUTED_VALUE"""),"Ironworking")</f>
        <v>Ironworking</v>
      </c>
      <c r="BG40" s="285" t="str">
        <f>IFERROR(__xludf.DUMMYFUNCTION("""COMPUTED_VALUE"""),"Drama")</f>
        <v>Drama</v>
      </c>
      <c r="BH40" s="285" t="str">
        <f>IFERROR(__xludf.DUMMYFUNCTION("""COMPUTED_VALUE"""),"Stonecutting")</f>
        <v>Stonecutting</v>
      </c>
    </row>
    <row r="41" ht="45.0" customHeight="1">
      <c r="A41" s="459"/>
      <c r="B41" s="659" t="s">
        <v>2098</v>
      </c>
      <c r="C41" s="660">
        <v>1000.0</v>
      </c>
      <c r="D41" s="660">
        <f t="shared" si="3"/>
        <v>3000</v>
      </c>
      <c r="E41" s="667" t="str">
        <f t="shared" si="4"/>
        <v/>
      </c>
      <c r="F41" s="668" t="s">
        <v>1997</v>
      </c>
      <c r="G41" s="661"/>
      <c r="H41" s="662"/>
      <c r="I41" s="661"/>
      <c r="J41" s="544"/>
      <c r="K41" s="663" t="s">
        <v>2099</v>
      </c>
      <c r="L41" s="544" t="str">
        <f t="shared" si="7"/>
        <v>Manor,Land Consolidation,Forestry,Polis,Stonecutting,Composite Bow,Military Drill,Trapping</v>
      </c>
      <c r="M41" s="669">
        <f t="array" ref="M41">SUM(IF(O41:AZ41=0,0,VLOOKUP(O41:AZ41,$B:$C,2,false)))</f>
        <v>2000</v>
      </c>
      <c r="N41" s="285" t="str">
        <f t="shared" si="2"/>
        <v/>
      </c>
      <c r="O41" s="285" t="str">
        <f t="shared" si="8"/>
        <v>Manor</v>
      </c>
      <c r="P41" s="285" t="s">
        <v>2074</v>
      </c>
      <c r="Q41" s="285" t="s">
        <v>1798</v>
      </c>
      <c r="R41" s="285" t="s">
        <v>270</v>
      </c>
      <c r="S41" s="285" t="s">
        <v>263</v>
      </c>
      <c r="T41" s="285" t="s">
        <v>2076</v>
      </c>
      <c r="U41" s="285" t="s">
        <v>264</v>
      </c>
      <c r="V41" s="285" t="s">
        <v>257</v>
      </c>
      <c r="W41" s="285"/>
      <c r="BA41" s="285" t="str">
        <f t="shared" si="9"/>
        <v>Manor,Land Consolidation,Forestry,Polis,Stonecutting,Composite Bow,Military Drill,Trapping,</v>
      </c>
      <c r="BB41" s="285" t="str">
        <f>IFERROR(__xludf.DUMMYFUNCTION("SPLIT(BA41,"","")"),"Manor")</f>
        <v>Manor</v>
      </c>
      <c r="BC41" s="285" t="str">
        <f>IFERROR(__xludf.DUMMYFUNCTION("""COMPUTED_VALUE"""),"Land Consolidation")</f>
        <v>Land Consolidation</v>
      </c>
      <c r="BD41" s="285" t="str">
        <f>IFERROR(__xludf.DUMMYFUNCTION("""COMPUTED_VALUE"""),"Forestry")</f>
        <v>Forestry</v>
      </c>
      <c r="BE41" s="285" t="str">
        <f>IFERROR(__xludf.DUMMYFUNCTION("""COMPUTED_VALUE"""),"Polis")</f>
        <v>Polis</v>
      </c>
      <c r="BF41" s="285" t="str">
        <f>IFERROR(__xludf.DUMMYFUNCTION("""COMPUTED_VALUE"""),"Stonecutting")</f>
        <v>Stonecutting</v>
      </c>
      <c r="BG41" s="285" t="str">
        <f>IFERROR(__xludf.DUMMYFUNCTION("""COMPUTED_VALUE"""),"Composite Bow")</f>
        <v>Composite Bow</v>
      </c>
      <c r="BH41" s="285" t="str">
        <f>IFERROR(__xludf.DUMMYFUNCTION("""COMPUTED_VALUE"""),"Military Drill")</f>
        <v>Military Drill</v>
      </c>
      <c r="BI41" s="285" t="str">
        <f>IFERROR(__xludf.DUMMYFUNCTION("""COMPUTED_VALUE"""),"Trapping")</f>
        <v>Trapping</v>
      </c>
    </row>
    <row r="42" ht="45.0" customHeight="1">
      <c r="A42" s="459"/>
      <c r="B42" s="659" t="s">
        <v>2100</v>
      </c>
      <c r="C42" s="660">
        <v>1000.0</v>
      </c>
      <c r="D42" s="660">
        <f t="shared" si="3"/>
        <v>4200</v>
      </c>
      <c r="E42" s="667" t="str">
        <f t="shared" si="4"/>
        <v/>
      </c>
      <c r="F42" s="668" t="s">
        <v>1971</v>
      </c>
      <c r="G42" s="667" t="str">
        <f t="shared" ref="G42:G45" si="13">VLOOKUP(H42,$B:$N,13,false)</f>
        <v/>
      </c>
      <c r="H42" s="668" t="s">
        <v>2090</v>
      </c>
      <c r="I42" s="661"/>
      <c r="J42" s="544"/>
      <c r="K42" s="663" t="s">
        <v>2101</v>
      </c>
      <c r="L42" s="544" t="str">
        <f t="shared" si="7"/>
        <v>Architecture,Portcullis,Spoked Wheel,Husbandry,Ironworking,Drama,Stonecutting,Hydraulics,Machinery,Sovereignty,Aristocracy,Divination,Rhetoric,Administration</v>
      </c>
      <c r="M42" s="669">
        <f t="array" ref="M42">SUM(IF(O42:AZ42=0,0,VLOOKUP(O42:AZ42,$B:$C,2,false)))</f>
        <v>3200</v>
      </c>
      <c r="N42" s="285" t="str">
        <f t="shared" si="2"/>
        <v/>
      </c>
      <c r="O42" s="285" t="str">
        <f t="shared" si="8"/>
        <v>Architecture</v>
      </c>
      <c r="P42" s="285" t="s">
        <v>2072</v>
      </c>
      <c r="Q42" s="285" t="s">
        <v>2062</v>
      </c>
      <c r="R42" s="285" t="s">
        <v>259</v>
      </c>
      <c r="S42" s="285" t="s">
        <v>258</v>
      </c>
      <c r="T42" s="285" t="s">
        <v>269</v>
      </c>
      <c r="U42" s="285" t="s">
        <v>263</v>
      </c>
      <c r="V42" s="285" t="s">
        <v>2090</v>
      </c>
      <c r="W42" s="285" t="s">
        <v>2079</v>
      </c>
      <c r="X42" s="285" t="s">
        <v>1942</v>
      </c>
      <c r="Y42" s="285" t="s">
        <v>267</v>
      </c>
      <c r="Z42" s="285" t="s">
        <v>262</v>
      </c>
      <c r="AA42" s="285" t="s">
        <v>266</v>
      </c>
      <c r="AB42" s="285" t="s">
        <v>261</v>
      </c>
      <c r="AC42" s="285"/>
      <c r="BA42" s="285" t="str">
        <f t="shared" si="9"/>
        <v>Architecture,Portcullis,Spoked Wheel,Husbandry,Ironworking,Drama,Stonecutting,Hydraulics,Machinery,Sovereignty,Aristocracy,Divination,Rhetoric,Administration,</v>
      </c>
      <c r="BB42" s="285" t="str">
        <f>IFERROR(__xludf.DUMMYFUNCTION("SPLIT(BA42,"","")"),"Architecture")</f>
        <v>Architecture</v>
      </c>
      <c r="BC42" s="285" t="str">
        <f>IFERROR(__xludf.DUMMYFUNCTION("""COMPUTED_VALUE"""),"Portcullis")</f>
        <v>Portcullis</v>
      </c>
      <c r="BD42" s="285" t="str">
        <f>IFERROR(__xludf.DUMMYFUNCTION("""COMPUTED_VALUE"""),"Spoked Wheel")</f>
        <v>Spoked Wheel</v>
      </c>
      <c r="BE42" s="285" t="str">
        <f>IFERROR(__xludf.DUMMYFUNCTION("""COMPUTED_VALUE"""),"Husbandry")</f>
        <v>Husbandry</v>
      </c>
      <c r="BF42" s="285" t="str">
        <f>IFERROR(__xludf.DUMMYFUNCTION("""COMPUTED_VALUE"""),"Ironworking")</f>
        <v>Ironworking</v>
      </c>
      <c r="BG42" s="285" t="str">
        <f>IFERROR(__xludf.DUMMYFUNCTION("""COMPUTED_VALUE"""),"Drama")</f>
        <v>Drama</v>
      </c>
      <c r="BH42" s="285" t="str">
        <f>IFERROR(__xludf.DUMMYFUNCTION("""COMPUTED_VALUE"""),"Stonecutting")</f>
        <v>Stonecutting</v>
      </c>
      <c r="BI42" s="285" t="str">
        <f>IFERROR(__xludf.DUMMYFUNCTION("""COMPUTED_VALUE"""),"Hydraulics")</f>
        <v>Hydraulics</v>
      </c>
      <c r="BJ42" s="285" t="str">
        <f>IFERROR(__xludf.DUMMYFUNCTION("""COMPUTED_VALUE"""),"Machinery")</f>
        <v>Machinery</v>
      </c>
      <c r="BK42" s="285" t="str">
        <f>IFERROR(__xludf.DUMMYFUNCTION("""COMPUTED_VALUE"""),"Sovereignty")</f>
        <v>Sovereignty</v>
      </c>
      <c r="BL42" s="285" t="str">
        <f>IFERROR(__xludf.DUMMYFUNCTION("""COMPUTED_VALUE"""),"Aristocracy")</f>
        <v>Aristocracy</v>
      </c>
      <c r="BM42" s="285" t="str">
        <f>IFERROR(__xludf.DUMMYFUNCTION("""COMPUTED_VALUE"""),"Divination")</f>
        <v>Divination</v>
      </c>
      <c r="BN42" s="285" t="str">
        <f>IFERROR(__xludf.DUMMYFUNCTION("""COMPUTED_VALUE"""),"Rhetoric")</f>
        <v>Rhetoric</v>
      </c>
      <c r="BO42" s="285" t="str">
        <f>IFERROR(__xludf.DUMMYFUNCTION("""COMPUTED_VALUE"""),"Administration")</f>
        <v>Administration</v>
      </c>
    </row>
    <row r="43" ht="45.0" customHeight="1">
      <c r="A43" s="459"/>
      <c r="B43" s="659" t="s">
        <v>2029</v>
      </c>
      <c r="C43" s="660">
        <v>1500.0</v>
      </c>
      <c r="D43" s="660">
        <f t="shared" si="3"/>
        <v>6500</v>
      </c>
      <c r="E43" s="667" t="str">
        <f t="shared" si="4"/>
        <v/>
      </c>
      <c r="F43" s="668" t="s">
        <v>2028</v>
      </c>
      <c r="G43" s="667" t="str">
        <f t="shared" si="13"/>
        <v/>
      </c>
      <c r="H43" s="668" t="s">
        <v>2027</v>
      </c>
      <c r="I43" s="661"/>
      <c r="J43" s="544"/>
      <c r="K43" s="663" t="s">
        <v>2102</v>
      </c>
      <c r="L43" s="544" t="str">
        <f t="shared" si="7"/>
        <v>Lateen Sail,Coinage,Navigation,Labor Force,Ironworking,Cartography,Metaphysics,Rhetoric,Administration,Jurisprudence,Scholarship,Citizenship,Phalanx</v>
      </c>
      <c r="M43" s="669">
        <f t="array" ref="M43">SUM(IF(O43:AZ43=0,0,VLOOKUP(O43:AZ43,$B:$C,2,false)))</f>
        <v>5000</v>
      </c>
      <c r="N43" s="285" t="str">
        <f t="shared" si="2"/>
        <v/>
      </c>
      <c r="O43" s="285" t="str">
        <f t="shared" si="8"/>
        <v>Lateen Sail</v>
      </c>
      <c r="P43" s="285" t="s">
        <v>2069</v>
      </c>
      <c r="Q43" s="285" t="s">
        <v>1943</v>
      </c>
      <c r="R43" s="285" t="s">
        <v>268</v>
      </c>
      <c r="S43" s="285" t="s">
        <v>258</v>
      </c>
      <c r="T43" s="285" t="s">
        <v>2092</v>
      </c>
      <c r="U43" s="285" t="s">
        <v>1796</v>
      </c>
      <c r="V43" s="285" t="s">
        <v>266</v>
      </c>
      <c r="W43" s="285" t="s">
        <v>261</v>
      </c>
      <c r="X43" s="285" t="s">
        <v>2027</v>
      </c>
      <c r="Y43" s="285" t="s">
        <v>2081</v>
      </c>
      <c r="Z43" s="285" t="s">
        <v>1969</v>
      </c>
      <c r="AA43" s="285" t="s">
        <v>2060</v>
      </c>
      <c r="AB43" s="285"/>
      <c r="BA43" s="285" t="str">
        <f t="shared" si="9"/>
        <v>Lateen Sail,Coinage,Navigation,Labor Force,Ironworking,Cartography,Metaphysics,Rhetoric,Administration,Jurisprudence,Scholarship,Citizenship,Phalanx,Labor Force,Ironworking,</v>
      </c>
      <c r="BB43" s="285" t="str">
        <f>IFERROR(__xludf.DUMMYFUNCTION("SPLIT(BA43,"","")"),"Lateen Sail")</f>
        <v>Lateen Sail</v>
      </c>
      <c r="BC43" s="285" t="str">
        <f>IFERROR(__xludf.DUMMYFUNCTION("""COMPUTED_VALUE"""),"Coinage")</f>
        <v>Coinage</v>
      </c>
      <c r="BD43" s="285" t="str">
        <f>IFERROR(__xludf.DUMMYFUNCTION("""COMPUTED_VALUE"""),"Navigation")</f>
        <v>Navigation</v>
      </c>
      <c r="BE43" s="285" t="str">
        <f>IFERROR(__xludf.DUMMYFUNCTION("""COMPUTED_VALUE"""),"Labor Force")</f>
        <v>Labor Force</v>
      </c>
      <c r="BF43" s="285" t="str">
        <f>IFERROR(__xludf.DUMMYFUNCTION("""COMPUTED_VALUE"""),"Ironworking")</f>
        <v>Ironworking</v>
      </c>
      <c r="BG43" s="285" t="str">
        <f>IFERROR(__xludf.DUMMYFUNCTION("""COMPUTED_VALUE"""),"Cartography")</f>
        <v>Cartography</v>
      </c>
      <c r="BH43" s="285" t="str">
        <f>IFERROR(__xludf.DUMMYFUNCTION("""COMPUTED_VALUE"""),"Metaphysics")</f>
        <v>Metaphysics</v>
      </c>
      <c r="BI43" s="285" t="str">
        <f>IFERROR(__xludf.DUMMYFUNCTION("""COMPUTED_VALUE"""),"Rhetoric")</f>
        <v>Rhetoric</v>
      </c>
      <c r="BJ43" s="285" t="str">
        <f>IFERROR(__xludf.DUMMYFUNCTION("""COMPUTED_VALUE"""),"Administration")</f>
        <v>Administration</v>
      </c>
      <c r="BK43" s="285" t="str">
        <f>IFERROR(__xludf.DUMMYFUNCTION("""COMPUTED_VALUE"""),"Jurisprudence")</f>
        <v>Jurisprudence</v>
      </c>
      <c r="BL43" s="285" t="str">
        <f>IFERROR(__xludf.DUMMYFUNCTION("""COMPUTED_VALUE"""),"Scholarship")</f>
        <v>Scholarship</v>
      </c>
      <c r="BM43" s="285" t="str">
        <f>IFERROR(__xludf.DUMMYFUNCTION("""COMPUTED_VALUE"""),"Citizenship")</f>
        <v>Citizenship</v>
      </c>
      <c r="BN43" s="285" t="str">
        <f>IFERROR(__xludf.DUMMYFUNCTION("""COMPUTED_VALUE"""),"Phalanx")</f>
        <v>Phalanx</v>
      </c>
      <c r="BO43" s="285" t="str">
        <f>IFERROR(__xludf.DUMMYFUNCTION("""COMPUTED_VALUE"""),"Labor Force")</f>
        <v>Labor Force</v>
      </c>
      <c r="BP43" s="285" t="str">
        <f>IFERROR(__xludf.DUMMYFUNCTION("""COMPUTED_VALUE"""),"Ironworking")</f>
        <v>Ironworking</v>
      </c>
    </row>
    <row r="44" ht="45.0" customHeight="1">
      <c r="A44" s="459"/>
      <c r="B44" s="659" t="s">
        <v>2103</v>
      </c>
      <c r="C44" s="660">
        <v>1500.0</v>
      </c>
      <c r="D44" s="660">
        <f t="shared" si="3"/>
        <v>5220</v>
      </c>
      <c r="E44" s="667" t="str">
        <f t="shared" si="4"/>
        <v/>
      </c>
      <c r="F44" s="668" t="s">
        <v>2087</v>
      </c>
      <c r="G44" s="667" t="str">
        <f t="shared" si="13"/>
        <v/>
      </c>
      <c r="H44" s="668" t="s">
        <v>1999</v>
      </c>
      <c r="I44" s="661"/>
      <c r="J44" s="544"/>
      <c r="K44" s="663" t="s">
        <v>2104</v>
      </c>
      <c r="L44" s="544" t="str">
        <f t="shared" si="7"/>
        <v>Battle Line,Phalanx,Labor Force,Ironworking,Steel,Military Drill,Trapping,Martial Code,Stirrups,Spoked Wheel,Husbandry,Citizenship</v>
      </c>
      <c r="M44" s="669">
        <f t="array" ref="M44">SUM(IF(O44:AZ44=0,0,VLOOKUP(O44:AZ44,$B:$C,2,false)))</f>
        <v>3720</v>
      </c>
      <c r="N44" s="285" t="str">
        <f t="shared" si="2"/>
        <v/>
      </c>
      <c r="O44" s="285" t="str">
        <f t="shared" si="8"/>
        <v>Battle Line</v>
      </c>
      <c r="P44" s="285" t="s">
        <v>2060</v>
      </c>
      <c r="Q44" s="285" t="s">
        <v>268</v>
      </c>
      <c r="R44" s="285" t="s">
        <v>258</v>
      </c>
      <c r="S44" s="285" t="s">
        <v>2065</v>
      </c>
      <c r="T44" s="285" t="s">
        <v>264</v>
      </c>
      <c r="U44" s="285" t="s">
        <v>257</v>
      </c>
      <c r="V44" s="285" t="s">
        <v>1999</v>
      </c>
      <c r="W44" s="285" t="s">
        <v>2083</v>
      </c>
      <c r="X44" s="285" t="s">
        <v>2062</v>
      </c>
      <c r="Y44" s="285" t="s">
        <v>259</v>
      </c>
      <c r="Z44" s="285" t="s">
        <v>1969</v>
      </c>
      <c r="AA44" s="285"/>
      <c r="BA44" s="285" t="str">
        <f t="shared" si="9"/>
        <v>Battle Line,Phalanx,Labor Force,Ironworking,Steel,Military Drill,Trapping,Martial Code,Stirrups,Spoked Wheel,Husbandry,Ironworking,Citizenship,Phalanx,Labor Force,</v>
      </c>
      <c r="BB44" s="285" t="str">
        <f>IFERROR(__xludf.DUMMYFUNCTION("SPLIT(BA44,"","")"),"Battle Line")</f>
        <v>Battle Line</v>
      </c>
      <c r="BC44" s="285" t="str">
        <f>IFERROR(__xludf.DUMMYFUNCTION("""COMPUTED_VALUE"""),"Phalanx")</f>
        <v>Phalanx</v>
      </c>
      <c r="BD44" s="285" t="str">
        <f>IFERROR(__xludf.DUMMYFUNCTION("""COMPUTED_VALUE"""),"Labor Force")</f>
        <v>Labor Force</v>
      </c>
      <c r="BE44" s="285" t="str">
        <f>IFERROR(__xludf.DUMMYFUNCTION("""COMPUTED_VALUE"""),"Ironworking")</f>
        <v>Ironworking</v>
      </c>
      <c r="BF44" s="285" t="str">
        <f>IFERROR(__xludf.DUMMYFUNCTION("""COMPUTED_VALUE"""),"Steel")</f>
        <v>Steel</v>
      </c>
      <c r="BG44" s="285" t="str">
        <f>IFERROR(__xludf.DUMMYFUNCTION("""COMPUTED_VALUE"""),"Military Drill")</f>
        <v>Military Drill</v>
      </c>
      <c r="BH44" s="285" t="str">
        <f>IFERROR(__xludf.DUMMYFUNCTION("""COMPUTED_VALUE"""),"Trapping")</f>
        <v>Trapping</v>
      </c>
      <c r="BI44" s="285" t="str">
        <f>IFERROR(__xludf.DUMMYFUNCTION("""COMPUTED_VALUE"""),"Martial Code")</f>
        <v>Martial Code</v>
      </c>
      <c r="BJ44" s="285" t="str">
        <f>IFERROR(__xludf.DUMMYFUNCTION("""COMPUTED_VALUE"""),"Stirrups")</f>
        <v>Stirrups</v>
      </c>
      <c r="BK44" s="285" t="str">
        <f>IFERROR(__xludf.DUMMYFUNCTION("""COMPUTED_VALUE"""),"Spoked Wheel")</f>
        <v>Spoked Wheel</v>
      </c>
      <c r="BL44" s="285" t="str">
        <f>IFERROR(__xludf.DUMMYFUNCTION("""COMPUTED_VALUE"""),"Husbandry")</f>
        <v>Husbandry</v>
      </c>
      <c r="BM44" s="285" t="str">
        <f>IFERROR(__xludf.DUMMYFUNCTION("""COMPUTED_VALUE"""),"Ironworking")</f>
        <v>Ironworking</v>
      </c>
      <c r="BN44" s="285" t="str">
        <f>IFERROR(__xludf.DUMMYFUNCTION("""COMPUTED_VALUE"""),"Citizenship")</f>
        <v>Citizenship</v>
      </c>
      <c r="BO44" s="285" t="str">
        <f>IFERROR(__xludf.DUMMYFUNCTION("""COMPUTED_VALUE"""),"Phalanx")</f>
        <v>Phalanx</v>
      </c>
      <c r="BP44" s="285" t="str">
        <f>IFERROR(__xludf.DUMMYFUNCTION("""COMPUTED_VALUE"""),"Labor Force")</f>
        <v>Labor Force</v>
      </c>
    </row>
    <row r="45" ht="45.0" customHeight="1">
      <c r="A45" s="459"/>
      <c r="B45" s="659" t="s">
        <v>2105</v>
      </c>
      <c r="C45" s="660">
        <v>1500.0</v>
      </c>
      <c r="D45" s="660">
        <f t="shared" si="3"/>
        <v>4700</v>
      </c>
      <c r="E45" s="667" t="str">
        <f t="shared" si="4"/>
        <v/>
      </c>
      <c r="F45" s="668" t="s">
        <v>1997</v>
      </c>
      <c r="G45" s="667" t="str">
        <f t="shared" si="13"/>
        <v/>
      </c>
      <c r="H45" s="668" t="s">
        <v>2087</v>
      </c>
      <c r="I45" s="661"/>
      <c r="J45" s="544"/>
      <c r="K45" s="663" t="s">
        <v>2106</v>
      </c>
      <c r="L45" s="544" t="str">
        <f t="shared" si="7"/>
        <v>Manor,Land Consolidation,Forestry,Polis,Stonecutting,Composite Bow,Military Drill,Trapping,Battle Line,Phalanx,Labor Force,Ironworking,Steel</v>
      </c>
      <c r="M45" s="669">
        <f t="array" ref="M45">SUM(IF(O45:AZ45=0,0,VLOOKUP(O45:AZ45,$B:$C,2,false)))</f>
        <v>3200</v>
      </c>
      <c r="N45" s="285" t="str">
        <f t="shared" si="2"/>
        <v/>
      </c>
      <c r="O45" s="285" t="str">
        <f t="shared" si="8"/>
        <v>Manor</v>
      </c>
      <c r="P45" s="285" t="s">
        <v>2074</v>
      </c>
      <c r="Q45" s="285" t="s">
        <v>1798</v>
      </c>
      <c r="R45" s="285" t="s">
        <v>270</v>
      </c>
      <c r="S45" s="285" t="s">
        <v>263</v>
      </c>
      <c r="T45" s="285" t="s">
        <v>2076</v>
      </c>
      <c r="U45" s="285" t="s">
        <v>264</v>
      </c>
      <c r="V45" s="285" t="s">
        <v>257</v>
      </c>
      <c r="W45" s="285" t="s">
        <v>2087</v>
      </c>
      <c r="X45" s="285" t="s">
        <v>2060</v>
      </c>
      <c r="Y45" s="285" t="s">
        <v>268</v>
      </c>
      <c r="Z45" s="285" t="s">
        <v>258</v>
      </c>
      <c r="AA45" s="285" t="s">
        <v>2065</v>
      </c>
      <c r="AB45" s="285"/>
      <c r="BA45" s="285" t="str">
        <f t="shared" si="9"/>
        <v>Manor,Land Consolidation,Forestry,Polis,Stonecutting,Composite Bow,Military Drill,Trapping,Battle Line,Phalanx,Labor Force,Ironworking,Steel,Military Drill,Trapping,</v>
      </c>
      <c r="BB45" s="285" t="str">
        <f>IFERROR(__xludf.DUMMYFUNCTION("SPLIT(BA45,"","")"),"Manor")</f>
        <v>Manor</v>
      </c>
      <c r="BC45" s="285" t="str">
        <f>IFERROR(__xludf.DUMMYFUNCTION("""COMPUTED_VALUE"""),"Land Consolidation")</f>
        <v>Land Consolidation</v>
      </c>
      <c r="BD45" s="285" t="str">
        <f>IFERROR(__xludf.DUMMYFUNCTION("""COMPUTED_VALUE"""),"Forestry")</f>
        <v>Forestry</v>
      </c>
      <c r="BE45" s="285" t="str">
        <f>IFERROR(__xludf.DUMMYFUNCTION("""COMPUTED_VALUE"""),"Polis")</f>
        <v>Polis</v>
      </c>
      <c r="BF45" s="285" t="str">
        <f>IFERROR(__xludf.DUMMYFUNCTION("""COMPUTED_VALUE"""),"Stonecutting")</f>
        <v>Stonecutting</v>
      </c>
      <c r="BG45" s="285" t="str">
        <f>IFERROR(__xludf.DUMMYFUNCTION("""COMPUTED_VALUE"""),"Composite Bow")</f>
        <v>Composite Bow</v>
      </c>
      <c r="BH45" s="285" t="str">
        <f>IFERROR(__xludf.DUMMYFUNCTION("""COMPUTED_VALUE"""),"Military Drill")</f>
        <v>Military Drill</v>
      </c>
      <c r="BI45" s="285" t="str">
        <f>IFERROR(__xludf.DUMMYFUNCTION("""COMPUTED_VALUE"""),"Trapping")</f>
        <v>Trapping</v>
      </c>
      <c r="BJ45" s="285" t="str">
        <f>IFERROR(__xludf.DUMMYFUNCTION("""COMPUTED_VALUE"""),"Battle Line")</f>
        <v>Battle Line</v>
      </c>
      <c r="BK45" s="285" t="str">
        <f>IFERROR(__xludf.DUMMYFUNCTION("""COMPUTED_VALUE"""),"Phalanx")</f>
        <v>Phalanx</v>
      </c>
      <c r="BL45" s="285" t="str">
        <f>IFERROR(__xludf.DUMMYFUNCTION("""COMPUTED_VALUE"""),"Labor Force")</f>
        <v>Labor Force</v>
      </c>
      <c r="BM45" s="285" t="str">
        <f>IFERROR(__xludf.DUMMYFUNCTION("""COMPUTED_VALUE"""),"Ironworking")</f>
        <v>Ironworking</v>
      </c>
      <c r="BN45" s="285" t="str">
        <f>IFERROR(__xludf.DUMMYFUNCTION("""COMPUTED_VALUE"""),"Steel")</f>
        <v>Steel</v>
      </c>
      <c r="BO45" s="285" t="str">
        <f>IFERROR(__xludf.DUMMYFUNCTION("""COMPUTED_VALUE"""),"Military Drill")</f>
        <v>Military Drill</v>
      </c>
      <c r="BP45" s="285" t="str">
        <f>IFERROR(__xludf.DUMMYFUNCTION("""COMPUTED_VALUE"""),"Trapping")</f>
        <v>Trapping</v>
      </c>
    </row>
    <row r="46" ht="45.0" customHeight="1">
      <c r="A46" s="459"/>
      <c r="B46" s="659" t="s">
        <v>2107</v>
      </c>
      <c r="C46" s="660">
        <v>1500.0</v>
      </c>
      <c r="D46" s="660">
        <f t="shared" si="3"/>
        <v>2900</v>
      </c>
      <c r="E46" s="667" t="str">
        <f t="shared" si="4"/>
        <v/>
      </c>
      <c r="F46" s="668" t="s">
        <v>2087</v>
      </c>
      <c r="G46" s="661"/>
      <c r="H46" s="662"/>
      <c r="I46" s="661"/>
      <c r="J46" s="544"/>
      <c r="K46" s="663" t="s">
        <v>2108</v>
      </c>
      <c r="L46" s="544" t="str">
        <f t="shared" si="7"/>
        <v>Battle Line,Phalanx,Labor Force,Ironworking,Steel,Military Drill,Trapping</v>
      </c>
      <c r="M46" s="669">
        <f t="array" ref="M46">SUM(IF(O46:AZ46=0,0,VLOOKUP(O46:AZ46,$B:$C,2,false)))</f>
        <v>1400</v>
      </c>
      <c r="N46" s="285" t="str">
        <f t="shared" si="2"/>
        <v/>
      </c>
      <c r="O46" s="285" t="str">
        <f t="shared" si="8"/>
        <v>Battle Line</v>
      </c>
      <c r="P46" s="285" t="s">
        <v>2060</v>
      </c>
      <c r="Q46" s="285" t="s">
        <v>268</v>
      </c>
      <c r="R46" s="285" t="s">
        <v>258</v>
      </c>
      <c r="S46" s="285" t="s">
        <v>2065</v>
      </c>
      <c r="T46" s="285" t="s">
        <v>264</v>
      </c>
      <c r="U46" s="285" t="s">
        <v>257</v>
      </c>
      <c r="V46" s="285"/>
      <c r="BA46" s="285" t="str">
        <f t="shared" si="9"/>
        <v>Battle Line,Phalanx,Labor Force,Ironworking,Steel,Military Drill,Trapping,</v>
      </c>
      <c r="BB46" s="285" t="str">
        <f>IFERROR(__xludf.DUMMYFUNCTION("SPLIT(BA46,"","")"),"Battle Line")</f>
        <v>Battle Line</v>
      </c>
      <c r="BC46" s="285" t="str">
        <f>IFERROR(__xludf.DUMMYFUNCTION("""COMPUTED_VALUE"""),"Phalanx")</f>
        <v>Phalanx</v>
      </c>
      <c r="BD46" s="285" t="str">
        <f>IFERROR(__xludf.DUMMYFUNCTION("""COMPUTED_VALUE"""),"Labor Force")</f>
        <v>Labor Force</v>
      </c>
      <c r="BE46" s="285" t="str">
        <f>IFERROR(__xludf.DUMMYFUNCTION("""COMPUTED_VALUE"""),"Ironworking")</f>
        <v>Ironworking</v>
      </c>
      <c r="BF46" s="285" t="str">
        <f>IFERROR(__xludf.DUMMYFUNCTION("""COMPUTED_VALUE"""),"Steel")</f>
        <v>Steel</v>
      </c>
      <c r="BG46" s="285" t="str">
        <f>IFERROR(__xludf.DUMMYFUNCTION("""COMPUTED_VALUE"""),"Military Drill")</f>
        <v>Military Drill</v>
      </c>
      <c r="BH46" s="285" t="str">
        <f>IFERROR(__xludf.DUMMYFUNCTION("""COMPUTED_VALUE"""),"Trapping")</f>
        <v>Trapping</v>
      </c>
    </row>
    <row r="47" ht="45.0" customHeight="1">
      <c r="A47" s="459"/>
      <c r="B47" s="659" t="s">
        <v>2109</v>
      </c>
      <c r="C47" s="660">
        <v>1500.0</v>
      </c>
      <c r="D47" s="660">
        <f t="shared" si="3"/>
        <v>5700</v>
      </c>
      <c r="E47" s="667" t="str">
        <f t="shared" si="4"/>
        <v/>
      </c>
      <c r="F47" s="668" t="s">
        <v>2100</v>
      </c>
      <c r="G47" s="661"/>
      <c r="H47" s="662"/>
      <c r="I47" s="661"/>
      <c r="J47" s="544"/>
      <c r="K47" s="663" t="s">
        <v>2110</v>
      </c>
      <c r="L47" s="544" t="str">
        <f t="shared" si="7"/>
        <v>Windlass,Architecture,Portcullis,Spoked Wheel,Husbandry,Ironworking,Drama,Stonecutting,Hydraulics,Machinery,Sovereignty,Aristocracy,Divination,Rhetoric,Administration</v>
      </c>
      <c r="M47" s="669">
        <f t="array" ref="M47">SUM(IF(O47:AZ47=0,0,VLOOKUP(O47:AZ47,$B:$C,2,false)))</f>
        <v>4200</v>
      </c>
      <c r="N47" s="285" t="str">
        <f t="shared" si="2"/>
        <v/>
      </c>
      <c r="O47" s="285" t="str">
        <f t="shared" si="8"/>
        <v>Windlass</v>
      </c>
      <c r="P47" s="285" t="s">
        <v>1971</v>
      </c>
      <c r="Q47" s="285" t="s">
        <v>2072</v>
      </c>
      <c r="R47" s="285" t="s">
        <v>2062</v>
      </c>
      <c r="S47" s="285" t="s">
        <v>259</v>
      </c>
      <c r="T47" s="285" t="s">
        <v>258</v>
      </c>
      <c r="U47" s="285" t="s">
        <v>269</v>
      </c>
      <c r="V47" s="285" t="s">
        <v>263</v>
      </c>
      <c r="W47" s="285" t="s">
        <v>2090</v>
      </c>
      <c r="X47" s="285" t="s">
        <v>2079</v>
      </c>
      <c r="Y47" s="285" t="s">
        <v>1942</v>
      </c>
      <c r="Z47" s="285" t="s">
        <v>267</v>
      </c>
      <c r="AA47" s="285" t="s">
        <v>262</v>
      </c>
      <c r="AB47" s="285" t="s">
        <v>266</v>
      </c>
      <c r="AC47" s="285" t="s">
        <v>261</v>
      </c>
      <c r="AD47" s="285"/>
      <c r="BA47" s="285" t="str">
        <f t="shared" si="9"/>
        <v>Windlass,Architecture,Portcullis,Spoked Wheel,Husbandry,Ironworking,Drama,Stonecutting,Hydraulics,Machinery,Sovereignty,Aristocracy,Divination,Rhetoric,Administration,</v>
      </c>
      <c r="BB47" s="285" t="str">
        <f>IFERROR(__xludf.DUMMYFUNCTION("SPLIT(BA47,"","")"),"Windlass")</f>
        <v>Windlass</v>
      </c>
      <c r="BC47" s="285" t="str">
        <f>IFERROR(__xludf.DUMMYFUNCTION("""COMPUTED_VALUE"""),"Architecture")</f>
        <v>Architecture</v>
      </c>
      <c r="BD47" s="285" t="str">
        <f>IFERROR(__xludf.DUMMYFUNCTION("""COMPUTED_VALUE"""),"Portcullis")</f>
        <v>Portcullis</v>
      </c>
      <c r="BE47" s="285" t="str">
        <f>IFERROR(__xludf.DUMMYFUNCTION("""COMPUTED_VALUE"""),"Spoked Wheel")</f>
        <v>Spoked Wheel</v>
      </c>
      <c r="BF47" s="285" t="str">
        <f>IFERROR(__xludf.DUMMYFUNCTION("""COMPUTED_VALUE"""),"Husbandry")</f>
        <v>Husbandry</v>
      </c>
      <c r="BG47" s="285" t="str">
        <f>IFERROR(__xludf.DUMMYFUNCTION("""COMPUTED_VALUE"""),"Ironworking")</f>
        <v>Ironworking</v>
      </c>
      <c r="BH47" s="285" t="str">
        <f>IFERROR(__xludf.DUMMYFUNCTION("""COMPUTED_VALUE"""),"Drama")</f>
        <v>Drama</v>
      </c>
      <c r="BI47" s="285" t="str">
        <f>IFERROR(__xludf.DUMMYFUNCTION("""COMPUTED_VALUE"""),"Stonecutting")</f>
        <v>Stonecutting</v>
      </c>
      <c r="BJ47" s="285" t="str">
        <f>IFERROR(__xludf.DUMMYFUNCTION("""COMPUTED_VALUE"""),"Hydraulics")</f>
        <v>Hydraulics</v>
      </c>
      <c r="BK47" s="285" t="str">
        <f>IFERROR(__xludf.DUMMYFUNCTION("""COMPUTED_VALUE"""),"Machinery")</f>
        <v>Machinery</v>
      </c>
      <c r="BL47" s="285" t="str">
        <f>IFERROR(__xludf.DUMMYFUNCTION("""COMPUTED_VALUE"""),"Sovereignty")</f>
        <v>Sovereignty</v>
      </c>
      <c r="BM47" s="285" t="str">
        <f>IFERROR(__xludf.DUMMYFUNCTION("""COMPUTED_VALUE"""),"Aristocracy")</f>
        <v>Aristocracy</v>
      </c>
      <c r="BN47" s="285" t="str">
        <f>IFERROR(__xludf.DUMMYFUNCTION("""COMPUTED_VALUE"""),"Divination")</f>
        <v>Divination</v>
      </c>
      <c r="BO47" s="285" t="str">
        <f>IFERROR(__xludf.DUMMYFUNCTION("""COMPUTED_VALUE"""),"Rhetoric")</f>
        <v>Rhetoric</v>
      </c>
      <c r="BP47" s="285" t="str">
        <f>IFERROR(__xludf.DUMMYFUNCTION("""COMPUTED_VALUE"""),"Administration")</f>
        <v>Administration</v>
      </c>
    </row>
    <row r="48" ht="45.0" customHeight="1">
      <c r="A48" s="459"/>
      <c r="B48" s="659" t="s">
        <v>2111</v>
      </c>
      <c r="C48" s="660">
        <v>1500.0</v>
      </c>
      <c r="D48" s="660">
        <f t="shared" si="3"/>
        <v>4300</v>
      </c>
      <c r="E48" s="667" t="str">
        <f t="shared" si="4"/>
        <v/>
      </c>
      <c r="F48" s="668" t="s">
        <v>2092</v>
      </c>
      <c r="G48" s="667" t="str">
        <f>VLOOKUP(H48,$B:$N,13,false)</f>
        <v/>
      </c>
      <c r="H48" s="668" t="s">
        <v>2090</v>
      </c>
      <c r="I48" s="661"/>
      <c r="J48" s="544"/>
      <c r="K48" s="663" t="s">
        <v>2112</v>
      </c>
      <c r="L48" s="544" t="str">
        <f t="shared" si="7"/>
        <v>Cartography,Navigation,Labor Force,Ironworking,Metaphysics,Rhetoric,Administration,Hydraulics,Machinery,Sovereignty,Aristocracy,Divination</v>
      </c>
      <c r="M48" s="669">
        <f t="array" ref="M48">SUM(IF(O48:AZ48=0,0,VLOOKUP(O48:AZ48,$B:$C,2,false)))</f>
        <v>2800</v>
      </c>
      <c r="N48" s="285" t="str">
        <f t="shared" si="2"/>
        <v/>
      </c>
      <c r="O48" s="285" t="str">
        <f t="shared" si="8"/>
        <v>Cartography</v>
      </c>
      <c r="P48" s="285" t="s">
        <v>1943</v>
      </c>
      <c r="Q48" s="285" t="s">
        <v>268</v>
      </c>
      <c r="R48" s="285" t="s">
        <v>258</v>
      </c>
      <c r="S48" s="285" t="s">
        <v>1796</v>
      </c>
      <c r="T48" s="285" t="s">
        <v>266</v>
      </c>
      <c r="U48" s="285" t="s">
        <v>261</v>
      </c>
      <c r="V48" s="285" t="s">
        <v>2090</v>
      </c>
      <c r="W48" s="285" t="s">
        <v>2079</v>
      </c>
      <c r="X48" s="285" t="s">
        <v>1942</v>
      </c>
      <c r="Y48" s="285" t="s">
        <v>267</v>
      </c>
      <c r="Z48" s="285" t="s">
        <v>262</v>
      </c>
      <c r="AA48" s="285"/>
      <c r="BA48" s="285" t="str">
        <f t="shared" si="9"/>
        <v>Cartography,Navigation,Labor Force,Ironworking,Metaphysics,Rhetoric,Administration,Hydraulics,Machinery,Sovereignty,Aristocracy,Divination,Rhetoric,Administration,</v>
      </c>
      <c r="BB48" s="285" t="str">
        <f>IFERROR(__xludf.DUMMYFUNCTION("SPLIT(BA48,"","")"),"Cartography")</f>
        <v>Cartography</v>
      </c>
      <c r="BC48" s="285" t="str">
        <f>IFERROR(__xludf.DUMMYFUNCTION("""COMPUTED_VALUE"""),"Navigation")</f>
        <v>Navigation</v>
      </c>
      <c r="BD48" s="285" t="str">
        <f>IFERROR(__xludf.DUMMYFUNCTION("""COMPUTED_VALUE"""),"Labor Force")</f>
        <v>Labor Force</v>
      </c>
      <c r="BE48" s="285" t="str">
        <f>IFERROR(__xludf.DUMMYFUNCTION("""COMPUTED_VALUE"""),"Ironworking")</f>
        <v>Ironworking</v>
      </c>
      <c r="BF48" s="285" t="str">
        <f>IFERROR(__xludf.DUMMYFUNCTION("""COMPUTED_VALUE"""),"Metaphysics")</f>
        <v>Metaphysics</v>
      </c>
      <c r="BG48" s="285" t="str">
        <f>IFERROR(__xludf.DUMMYFUNCTION("""COMPUTED_VALUE"""),"Rhetoric")</f>
        <v>Rhetoric</v>
      </c>
      <c r="BH48" s="285" t="str">
        <f>IFERROR(__xludf.DUMMYFUNCTION("""COMPUTED_VALUE"""),"Administration")</f>
        <v>Administration</v>
      </c>
      <c r="BI48" s="285" t="str">
        <f>IFERROR(__xludf.DUMMYFUNCTION("""COMPUTED_VALUE"""),"Hydraulics")</f>
        <v>Hydraulics</v>
      </c>
      <c r="BJ48" s="285" t="str">
        <f>IFERROR(__xludf.DUMMYFUNCTION("""COMPUTED_VALUE"""),"Machinery")</f>
        <v>Machinery</v>
      </c>
      <c r="BK48" s="285" t="str">
        <f>IFERROR(__xludf.DUMMYFUNCTION("""COMPUTED_VALUE"""),"Sovereignty")</f>
        <v>Sovereignty</v>
      </c>
      <c r="BL48" s="285" t="str">
        <f>IFERROR(__xludf.DUMMYFUNCTION("""COMPUTED_VALUE"""),"Aristocracy")</f>
        <v>Aristocracy</v>
      </c>
      <c r="BM48" s="285" t="str">
        <f>IFERROR(__xludf.DUMMYFUNCTION("""COMPUTED_VALUE"""),"Divination")</f>
        <v>Divination</v>
      </c>
      <c r="BN48" s="285" t="str">
        <f>IFERROR(__xludf.DUMMYFUNCTION("""COMPUTED_VALUE"""),"Rhetoric")</f>
        <v>Rhetoric</v>
      </c>
      <c r="BO48" s="285" t="str">
        <f>IFERROR(__xludf.DUMMYFUNCTION("""COMPUTED_VALUE"""),"Administration")</f>
        <v>Administration</v>
      </c>
    </row>
    <row r="49" ht="45.0" customHeight="1">
      <c r="A49" s="459"/>
      <c r="B49" s="672" t="s">
        <v>2113</v>
      </c>
      <c r="C49" s="660">
        <v>2000.0</v>
      </c>
      <c r="D49" s="660">
        <f t="shared" si="3"/>
        <v>8500</v>
      </c>
      <c r="E49" s="667" t="str">
        <f t="shared" si="4"/>
        <v/>
      </c>
      <c r="F49" s="668" t="s">
        <v>2029</v>
      </c>
      <c r="G49" s="661"/>
      <c r="H49" s="662"/>
      <c r="I49" s="661"/>
      <c r="J49" s="544"/>
      <c r="K49" s="673" t="s">
        <v>2114</v>
      </c>
      <c r="L49" s="544" t="str">
        <f t="shared" si="7"/>
        <v>Fiscal Policy,Lateen Sail,Coinage,Navigation,Labor Force,Ironworking,Cartography,Metaphysics,Rhetoric,Administration,Jurisprudence,Scholarship,Citizenship,Phalanx</v>
      </c>
      <c r="M49" s="669">
        <f t="array" ref="M49">SUM(IF(O49:AZ49=0,0,VLOOKUP(O49:AZ49,$B:$C,2,false)))</f>
        <v>6500</v>
      </c>
      <c r="N49" s="285" t="str">
        <f t="shared" si="2"/>
        <v/>
      </c>
      <c r="O49" s="285" t="str">
        <f t="shared" si="8"/>
        <v>Fiscal Policy</v>
      </c>
      <c r="P49" s="285" t="s">
        <v>2028</v>
      </c>
      <c r="Q49" s="285" t="s">
        <v>2069</v>
      </c>
      <c r="R49" s="285" t="s">
        <v>1943</v>
      </c>
      <c r="S49" s="285" t="s">
        <v>268</v>
      </c>
      <c r="T49" s="285" t="s">
        <v>258</v>
      </c>
      <c r="U49" s="285" t="s">
        <v>2092</v>
      </c>
      <c r="V49" s="285" t="s">
        <v>1796</v>
      </c>
      <c r="W49" s="285" t="s">
        <v>266</v>
      </c>
      <c r="X49" s="285" t="s">
        <v>261</v>
      </c>
      <c r="Y49" s="285" t="s">
        <v>2027</v>
      </c>
      <c r="Z49" s="285" t="s">
        <v>2081</v>
      </c>
      <c r="AA49" s="285" t="s">
        <v>1969</v>
      </c>
      <c r="AB49" s="285" t="s">
        <v>2060</v>
      </c>
      <c r="AC49" s="285"/>
      <c r="BA49" s="285" t="str">
        <f t="shared" si="9"/>
        <v>Fiscal Policy,Lateen Sail,Coinage,Navigation,Labor Force,Ironworking,Cartography,Metaphysics,Rhetoric,Administration,Jurisprudence,Scholarship,Citizenship,Phalanx,</v>
      </c>
      <c r="BB49" s="285" t="str">
        <f>IFERROR(__xludf.DUMMYFUNCTION("SPLIT(BA49,"","")"),"Fiscal Policy")</f>
        <v>Fiscal Policy</v>
      </c>
      <c r="BC49" s="285" t="str">
        <f>IFERROR(__xludf.DUMMYFUNCTION("""COMPUTED_VALUE"""),"Lateen Sail")</f>
        <v>Lateen Sail</v>
      </c>
      <c r="BD49" s="285" t="str">
        <f>IFERROR(__xludf.DUMMYFUNCTION("""COMPUTED_VALUE"""),"Coinage")</f>
        <v>Coinage</v>
      </c>
      <c r="BE49" s="285" t="str">
        <f>IFERROR(__xludf.DUMMYFUNCTION("""COMPUTED_VALUE"""),"Navigation")</f>
        <v>Navigation</v>
      </c>
      <c r="BF49" s="285" t="str">
        <f>IFERROR(__xludf.DUMMYFUNCTION("""COMPUTED_VALUE"""),"Labor Force")</f>
        <v>Labor Force</v>
      </c>
      <c r="BG49" s="285" t="str">
        <f>IFERROR(__xludf.DUMMYFUNCTION("""COMPUTED_VALUE"""),"Ironworking")</f>
        <v>Ironworking</v>
      </c>
      <c r="BH49" s="285" t="str">
        <f>IFERROR(__xludf.DUMMYFUNCTION("""COMPUTED_VALUE"""),"Cartography")</f>
        <v>Cartography</v>
      </c>
      <c r="BI49" s="285" t="str">
        <f>IFERROR(__xludf.DUMMYFUNCTION("""COMPUTED_VALUE"""),"Metaphysics")</f>
        <v>Metaphysics</v>
      </c>
      <c r="BJ49" s="285" t="str">
        <f>IFERROR(__xludf.DUMMYFUNCTION("""COMPUTED_VALUE"""),"Rhetoric")</f>
        <v>Rhetoric</v>
      </c>
      <c r="BK49" s="285" t="str">
        <f>IFERROR(__xludf.DUMMYFUNCTION("""COMPUTED_VALUE"""),"Administration")</f>
        <v>Administration</v>
      </c>
      <c r="BL49" s="285" t="str">
        <f>IFERROR(__xludf.DUMMYFUNCTION("""COMPUTED_VALUE"""),"Jurisprudence")</f>
        <v>Jurisprudence</v>
      </c>
      <c r="BM49" s="285" t="str">
        <f>IFERROR(__xludf.DUMMYFUNCTION("""COMPUTED_VALUE"""),"Scholarship")</f>
        <v>Scholarship</v>
      </c>
      <c r="BN49" s="285" t="str">
        <f>IFERROR(__xludf.DUMMYFUNCTION("""COMPUTED_VALUE"""),"Citizenship")</f>
        <v>Citizenship</v>
      </c>
      <c r="BO49" s="285" t="str">
        <f>IFERROR(__xludf.DUMMYFUNCTION("""COMPUTED_VALUE"""),"Phalanx")</f>
        <v>Phalanx</v>
      </c>
    </row>
    <row r="50" ht="45.0" customHeight="1">
      <c r="A50" s="459"/>
      <c r="B50" s="672" t="s">
        <v>2115</v>
      </c>
      <c r="C50" s="660">
        <v>2000.0</v>
      </c>
      <c r="D50" s="660">
        <f t="shared" si="3"/>
        <v>11520</v>
      </c>
      <c r="E50" s="667" t="str">
        <f t="shared" si="4"/>
        <v/>
      </c>
      <c r="F50" s="668" t="s">
        <v>2103</v>
      </c>
      <c r="G50" s="667" t="str">
        <f t="shared" ref="G50:G51" si="14">VLOOKUP(H50,$B:$N,13,false)</f>
        <v/>
      </c>
      <c r="H50" s="668" t="s">
        <v>2098</v>
      </c>
      <c r="I50" s="667" t="str">
        <f>VLOOKUP(J50,$B:$N,13,false)</f>
        <v/>
      </c>
      <c r="J50" s="674" t="s">
        <v>2105</v>
      </c>
      <c r="K50" s="673" t="s">
        <v>2116</v>
      </c>
      <c r="L50" s="544" t="str">
        <f t="shared" si="7"/>
        <v>Barding,Battle Line,Phalanx,Labor Force,Ironworking,Steel,Military Drill,Trapping,Martial Code,Stirrups,Spoked Wheel,Husbandry,Citizenship,Bodkin Arrow,Manor,Land Consolidation,Forestry,Polis,Stonecutting,Composite Bow,Cohorts</v>
      </c>
      <c r="M50" s="669">
        <f t="array" ref="M50">SUM(IF(O50:AZ50=0,0,VLOOKUP(O50:AZ50,$B:$C,2,false)))</f>
        <v>9520</v>
      </c>
      <c r="N50" s="285" t="str">
        <f t="shared" si="2"/>
        <v/>
      </c>
      <c r="O50" s="285" t="str">
        <f t="shared" si="8"/>
        <v>Barding</v>
      </c>
      <c r="P50" s="285" t="s">
        <v>2087</v>
      </c>
      <c r="Q50" s="285" t="s">
        <v>2060</v>
      </c>
      <c r="R50" s="285" t="s">
        <v>268</v>
      </c>
      <c r="S50" s="285" t="s">
        <v>258</v>
      </c>
      <c r="T50" s="285" t="s">
        <v>2065</v>
      </c>
      <c r="U50" s="285" t="s">
        <v>264</v>
      </c>
      <c r="V50" s="285" t="s">
        <v>257</v>
      </c>
      <c r="W50" s="285" t="s">
        <v>1999</v>
      </c>
      <c r="X50" s="285" t="s">
        <v>2083</v>
      </c>
      <c r="Y50" s="285" t="s">
        <v>2062</v>
      </c>
      <c r="Z50" s="285" t="s">
        <v>259</v>
      </c>
      <c r="AA50" s="285" t="s">
        <v>1969</v>
      </c>
      <c r="AB50" s="285" t="s">
        <v>2098</v>
      </c>
      <c r="AC50" s="285" t="s">
        <v>1997</v>
      </c>
      <c r="AD50" s="285" t="s">
        <v>2074</v>
      </c>
      <c r="AE50" s="285" t="s">
        <v>1798</v>
      </c>
      <c r="AF50" s="285" t="s">
        <v>270</v>
      </c>
      <c r="AG50" s="285" t="s">
        <v>263</v>
      </c>
      <c r="AH50" s="285" t="s">
        <v>2076</v>
      </c>
      <c r="AI50" s="285" t="s">
        <v>2105</v>
      </c>
      <c r="AJ50" s="285"/>
      <c r="BA50" s="285" t="str">
        <f t="shared" si="9"/>
        <v>Barding,Battle Line,Phalanx,Labor Force,Ironworking,Steel,Military Drill,Trapping,Martial Code,Stirrups,Spoked Wheel,Husbandry,Citizenship,Bodkin Arrow,Manor,Land Consolidation,Forestry,Polis,Stonecutting,Composite Bow,Military Drill,Trapping,Cohorts,Manor,Land Consolidation,Forestry,Polis,Stonecutting,Composite Bow,Military Drill,Trapping,Battle Line,Phalanx,Labor Force,Ironworking,Steel</v>
      </c>
      <c r="BB50" s="285" t="str">
        <f>IFERROR(__xludf.DUMMYFUNCTION("SPLIT(BA50,"","")"),"Barding")</f>
        <v>Barding</v>
      </c>
      <c r="BC50" s="285" t="str">
        <f>IFERROR(__xludf.DUMMYFUNCTION("""COMPUTED_VALUE"""),"Battle Line")</f>
        <v>Battle Line</v>
      </c>
      <c r="BD50" s="285" t="str">
        <f>IFERROR(__xludf.DUMMYFUNCTION("""COMPUTED_VALUE"""),"Phalanx")</f>
        <v>Phalanx</v>
      </c>
      <c r="BE50" s="285" t="str">
        <f>IFERROR(__xludf.DUMMYFUNCTION("""COMPUTED_VALUE"""),"Labor Force")</f>
        <v>Labor Force</v>
      </c>
      <c r="BF50" s="285" t="str">
        <f>IFERROR(__xludf.DUMMYFUNCTION("""COMPUTED_VALUE"""),"Ironworking")</f>
        <v>Ironworking</v>
      </c>
      <c r="BG50" s="285" t="str">
        <f>IFERROR(__xludf.DUMMYFUNCTION("""COMPUTED_VALUE"""),"Steel")</f>
        <v>Steel</v>
      </c>
      <c r="BH50" s="285" t="str">
        <f>IFERROR(__xludf.DUMMYFUNCTION("""COMPUTED_VALUE"""),"Military Drill")</f>
        <v>Military Drill</v>
      </c>
      <c r="BI50" s="285" t="str">
        <f>IFERROR(__xludf.DUMMYFUNCTION("""COMPUTED_VALUE"""),"Trapping")</f>
        <v>Trapping</v>
      </c>
      <c r="BJ50" s="285" t="str">
        <f>IFERROR(__xludf.DUMMYFUNCTION("""COMPUTED_VALUE"""),"Martial Code")</f>
        <v>Martial Code</v>
      </c>
      <c r="BK50" s="285" t="str">
        <f>IFERROR(__xludf.DUMMYFUNCTION("""COMPUTED_VALUE"""),"Stirrups")</f>
        <v>Stirrups</v>
      </c>
      <c r="BL50" s="285" t="str">
        <f>IFERROR(__xludf.DUMMYFUNCTION("""COMPUTED_VALUE"""),"Spoked Wheel")</f>
        <v>Spoked Wheel</v>
      </c>
      <c r="BM50" s="285" t="str">
        <f>IFERROR(__xludf.DUMMYFUNCTION("""COMPUTED_VALUE"""),"Husbandry")</f>
        <v>Husbandry</v>
      </c>
      <c r="BN50" s="285" t="str">
        <f>IFERROR(__xludf.DUMMYFUNCTION("""COMPUTED_VALUE"""),"Citizenship")</f>
        <v>Citizenship</v>
      </c>
      <c r="BO50" s="285" t="str">
        <f>IFERROR(__xludf.DUMMYFUNCTION("""COMPUTED_VALUE"""),"Bodkin Arrow")</f>
        <v>Bodkin Arrow</v>
      </c>
      <c r="BP50" s="285" t="str">
        <f>IFERROR(__xludf.DUMMYFUNCTION("""COMPUTED_VALUE"""),"Manor")</f>
        <v>Manor</v>
      </c>
      <c r="BQ50" s="285" t="str">
        <f>IFERROR(__xludf.DUMMYFUNCTION("""COMPUTED_VALUE"""),"Land Consolidation")</f>
        <v>Land Consolidation</v>
      </c>
      <c r="BR50" s="285" t="str">
        <f>IFERROR(__xludf.DUMMYFUNCTION("""COMPUTED_VALUE"""),"Forestry")</f>
        <v>Forestry</v>
      </c>
      <c r="BS50" s="285" t="str">
        <f>IFERROR(__xludf.DUMMYFUNCTION("""COMPUTED_VALUE"""),"Polis")</f>
        <v>Polis</v>
      </c>
      <c r="BT50" s="285" t="str">
        <f>IFERROR(__xludf.DUMMYFUNCTION("""COMPUTED_VALUE"""),"Stonecutting")</f>
        <v>Stonecutting</v>
      </c>
      <c r="BU50" s="285" t="str">
        <f>IFERROR(__xludf.DUMMYFUNCTION("""COMPUTED_VALUE"""),"Composite Bow")</f>
        <v>Composite Bow</v>
      </c>
      <c r="BV50" s="285" t="str">
        <f>IFERROR(__xludf.DUMMYFUNCTION("""COMPUTED_VALUE"""),"Military Drill")</f>
        <v>Military Drill</v>
      </c>
      <c r="BW50" s="285" t="str">
        <f>IFERROR(__xludf.DUMMYFUNCTION("""COMPUTED_VALUE"""),"Trapping")</f>
        <v>Trapping</v>
      </c>
      <c r="BX50" s="285" t="str">
        <f>IFERROR(__xludf.DUMMYFUNCTION("""COMPUTED_VALUE"""),"Cohorts")</f>
        <v>Cohorts</v>
      </c>
      <c r="BY50" s="285" t="str">
        <f>IFERROR(__xludf.DUMMYFUNCTION("""COMPUTED_VALUE"""),"Manor")</f>
        <v>Manor</v>
      </c>
      <c r="BZ50" s="285" t="str">
        <f>IFERROR(__xludf.DUMMYFUNCTION("""COMPUTED_VALUE"""),"Land Consolidation")</f>
        <v>Land Consolidation</v>
      </c>
      <c r="CA50" s="285" t="str">
        <f>IFERROR(__xludf.DUMMYFUNCTION("""COMPUTED_VALUE"""),"Forestry")</f>
        <v>Forestry</v>
      </c>
      <c r="CB50" s="285" t="str">
        <f>IFERROR(__xludf.DUMMYFUNCTION("""COMPUTED_VALUE"""),"Polis")</f>
        <v>Polis</v>
      </c>
      <c r="CC50" s="285" t="str">
        <f>IFERROR(__xludf.DUMMYFUNCTION("""COMPUTED_VALUE"""),"Stonecutting")</f>
        <v>Stonecutting</v>
      </c>
      <c r="CD50" s="285" t="str">
        <f>IFERROR(__xludf.DUMMYFUNCTION("""COMPUTED_VALUE"""),"Composite Bow")</f>
        <v>Composite Bow</v>
      </c>
      <c r="CE50" s="285" t="str">
        <f>IFERROR(__xludf.DUMMYFUNCTION("""COMPUTED_VALUE"""),"Military Drill")</f>
        <v>Military Drill</v>
      </c>
      <c r="CF50" s="285" t="str">
        <f>IFERROR(__xludf.DUMMYFUNCTION("""COMPUTED_VALUE"""),"Trapping")</f>
        <v>Trapping</v>
      </c>
      <c r="CG50" s="285" t="str">
        <f>IFERROR(__xludf.DUMMYFUNCTION("""COMPUTED_VALUE"""),"Battle Line")</f>
        <v>Battle Line</v>
      </c>
      <c r="CH50" s="285" t="str">
        <f>IFERROR(__xludf.DUMMYFUNCTION("""COMPUTED_VALUE"""),"Phalanx")</f>
        <v>Phalanx</v>
      </c>
      <c r="CI50" s="285" t="str">
        <f>IFERROR(__xludf.DUMMYFUNCTION("""COMPUTED_VALUE"""),"Labor Force")</f>
        <v>Labor Force</v>
      </c>
      <c r="CJ50" s="285" t="str">
        <f>IFERROR(__xludf.DUMMYFUNCTION("""COMPUTED_VALUE"""),"Ironworking")</f>
        <v>Ironworking</v>
      </c>
      <c r="CK50" s="285" t="str">
        <f>IFERROR(__xludf.DUMMYFUNCTION("""COMPUTED_VALUE"""),"Steel")</f>
        <v>Steel</v>
      </c>
    </row>
    <row r="51" ht="45.0" customHeight="1">
      <c r="A51" s="459"/>
      <c r="B51" s="672" t="s">
        <v>2117</v>
      </c>
      <c r="C51" s="660">
        <v>2000.0</v>
      </c>
      <c r="D51" s="660">
        <f t="shared" si="3"/>
        <v>10320</v>
      </c>
      <c r="E51" s="667" t="str">
        <f t="shared" si="4"/>
        <v/>
      </c>
      <c r="F51" s="668" t="s">
        <v>2109</v>
      </c>
      <c r="G51" s="667" t="str">
        <f t="shared" si="14"/>
        <v/>
      </c>
      <c r="H51" s="668" t="s">
        <v>2111</v>
      </c>
      <c r="I51" s="667"/>
      <c r="J51" s="544"/>
      <c r="K51" s="673" t="s">
        <v>2118</v>
      </c>
      <c r="L51" s="544" t="str">
        <f t="shared" si="7"/>
        <v>Chain Drive,Windlass,Architecture,Portcullis,Spoked Wheel,Husbandry,Ironworking,Drama,Stonecutting,Hydraulics,Machinery,Sovereignty,Aristocracy,Divination,Rhetoric,Administration,Ballistics,Cartography,Navigation,Labor Force,Metaphysics</v>
      </c>
      <c r="M51" s="669">
        <f t="array" ref="M51">SUM(IF(O51:AZ51=0,0,VLOOKUP(O51:AZ51,$B:$C,2,false)))</f>
        <v>8320</v>
      </c>
      <c r="N51" s="285" t="str">
        <f t="shared" si="2"/>
        <v/>
      </c>
      <c r="O51" s="285" t="str">
        <f t="shared" si="8"/>
        <v>Chain Drive</v>
      </c>
      <c r="P51" s="285" t="s">
        <v>2100</v>
      </c>
      <c r="Q51" s="285" t="s">
        <v>1971</v>
      </c>
      <c r="R51" s="285" t="s">
        <v>2072</v>
      </c>
      <c r="S51" s="285" t="s">
        <v>2062</v>
      </c>
      <c r="T51" s="285" t="s">
        <v>259</v>
      </c>
      <c r="U51" s="285" t="s">
        <v>258</v>
      </c>
      <c r="V51" s="285" t="s">
        <v>269</v>
      </c>
      <c r="W51" s="285" t="s">
        <v>263</v>
      </c>
      <c r="X51" s="285" t="s">
        <v>2090</v>
      </c>
      <c r="Y51" s="285" t="s">
        <v>2079</v>
      </c>
      <c r="Z51" s="285" t="s">
        <v>1942</v>
      </c>
      <c r="AA51" s="285" t="s">
        <v>267</v>
      </c>
      <c r="AB51" s="285" t="s">
        <v>262</v>
      </c>
      <c r="AC51" s="285" t="s">
        <v>266</v>
      </c>
      <c r="AD51" s="285" t="s">
        <v>261</v>
      </c>
      <c r="AE51" s="285" t="s">
        <v>2111</v>
      </c>
      <c r="AF51" s="285" t="s">
        <v>2092</v>
      </c>
      <c r="AG51" s="285" t="s">
        <v>1943</v>
      </c>
      <c r="AH51" s="285" t="s">
        <v>268</v>
      </c>
      <c r="AI51" s="285" t="s">
        <v>1796</v>
      </c>
      <c r="AJ51" s="285"/>
      <c r="BA51" s="285" t="str">
        <f t="shared" si="9"/>
        <v>Chain Drive,Windlass,Architecture,Portcullis,Spoked Wheel,Husbandry,Ironworking,Drama,Stonecutting,Hydraulics,Machinery,Sovereignty,Aristocracy,Divination,Rhetoric,Administration,Ballistics,Cartography,Navigation,Labor Force,Ironworking,Metaphysics,Rhetoric,Administration,Hydraulics,Machinery,Sovereignty,Aristocracy,Divination,</v>
      </c>
      <c r="BB51" s="285" t="str">
        <f>IFERROR(__xludf.DUMMYFUNCTION("SPLIT(BA51,"","")"),"Chain Drive")</f>
        <v>Chain Drive</v>
      </c>
      <c r="BC51" s="285" t="str">
        <f>IFERROR(__xludf.DUMMYFUNCTION("""COMPUTED_VALUE"""),"Windlass")</f>
        <v>Windlass</v>
      </c>
      <c r="BD51" s="285" t="str">
        <f>IFERROR(__xludf.DUMMYFUNCTION("""COMPUTED_VALUE"""),"Architecture")</f>
        <v>Architecture</v>
      </c>
      <c r="BE51" s="285" t="str">
        <f>IFERROR(__xludf.DUMMYFUNCTION("""COMPUTED_VALUE"""),"Portcullis")</f>
        <v>Portcullis</v>
      </c>
      <c r="BF51" s="285" t="str">
        <f>IFERROR(__xludf.DUMMYFUNCTION("""COMPUTED_VALUE"""),"Spoked Wheel")</f>
        <v>Spoked Wheel</v>
      </c>
      <c r="BG51" s="285" t="str">
        <f>IFERROR(__xludf.DUMMYFUNCTION("""COMPUTED_VALUE"""),"Husbandry")</f>
        <v>Husbandry</v>
      </c>
      <c r="BH51" s="285" t="str">
        <f>IFERROR(__xludf.DUMMYFUNCTION("""COMPUTED_VALUE"""),"Ironworking")</f>
        <v>Ironworking</v>
      </c>
      <c r="BI51" s="285" t="str">
        <f>IFERROR(__xludf.DUMMYFUNCTION("""COMPUTED_VALUE"""),"Drama")</f>
        <v>Drama</v>
      </c>
      <c r="BJ51" s="285" t="str">
        <f>IFERROR(__xludf.DUMMYFUNCTION("""COMPUTED_VALUE"""),"Stonecutting")</f>
        <v>Stonecutting</v>
      </c>
      <c r="BK51" s="285" t="str">
        <f>IFERROR(__xludf.DUMMYFUNCTION("""COMPUTED_VALUE"""),"Hydraulics")</f>
        <v>Hydraulics</v>
      </c>
      <c r="BL51" s="285" t="str">
        <f>IFERROR(__xludf.DUMMYFUNCTION("""COMPUTED_VALUE"""),"Machinery")</f>
        <v>Machinery</v>
      </c>
      <c r="BM51" s="285" t="str">
        <f>IFERROR(__xludf.DUMMYFUNCTION("""COMPUTED_VALUE"""),"Sovereignty")</f>
        <v>Sovereignty</v>
      </c>
      <c r="BN51" s="285" t="str">
        <f>IFERROR(__xludf.DUMMYFUNCTION("""COMPUTED_VALUE"""),"Aristocracy")</f>
        <v>Aristocracy</v>
      </c>
      <c r="BO51" s="285" t="str">
        <f>IFERROR(__xludf.DUMMYFUNCTION("""COMPUTED_VALUE"""),"Divination")</f>
        <v>Divination</v>
      </c>
      <c r="BP51" s="285" t="str">
        <f>IFERROR(__xludf.DUMMYFUNCTION("""COMPUTED_VALUE"""),"Rhetoric")</f>
        <v>Rhetoric</v>
      </c>
      <c r="BQ51" s="285" t="str">
        <f>IFERROR(__xludf.DUMMYFUNCTION("""COMPUTED_VALUE"""),"Administration")</f>
        <v>Administration</v>
      </c>
      <c r="BR51" s="285" t="str">
        <f>IFERROR(__xludf.DUMMYFUNCTION("""COMPUTED_VALUE"""),"Ballistics")</f>
        <v>Ballistics</v>
      </c>
      <c r="BS51" s="285" t="str">
        <f>IFERROR(__xludf.DUMMYFUNCTION("""COMPUTED_VALUE"""),"Cartography")</f>
        <v>Cartography</v>
      </c>
      <c r="BT51" s="285" t="str">
        <f>IFERROR(__xludf.DUMMYFUNCTION("""COMPUTED_VALUE"""),"Navigation")</f>
        <v>Navigation</v>
      </c>
      <c r="BU51" s="285" t="str">
        <f>IFERROR(__xludf.DUMMYFUNCTION("""COMPUTED_VALUE"""),"Labor Force")</f>
        <v>Labor Force</v>
      </c>
      <c r="BV51" s="285" t="str">
        <f>IFERROR(__xludf.DUMMYFUNCTION("""COMPUTED_VALUE"""),"Ironworking")</f>
        <v>Ironworking</v>
      </c>
      <c r="BW51" s="285" t="str">
        <f>IFERROR(__xludf.DUMMYFUNCTION("""COMPUTED_VALUE"""),"Metaphysics")</f>
        <v>Metaphysics</v>
      </c>
      <c r="BX51" s="285" t="str">
        <f>IFERROR(__xludf.DUMMYFUNCTION("""COMPUTED_VALUE"""),"Rhetoric")</f>
        <v>Rhetoric</v>
      </c>
      <c r="BY51" s="285" t="str">
        <f>IFERROR(__xludf.DUMMYFUNCTION("""COMPUTED_VALUE"""),"Administration")</f>
        <v>Administration</v>
      </c>
      <c r="BZ51" s="285" t="str">
        <f>IFERROR(__xludf.DUMMYFUNCTION("""COMPUTED_VALUE"""),"Hydraulics")</f>
        <v>Hydraulics</v>
      </c>
      <c r="CA51" s="285" t="str">
        <f>IFERROR(__xludf.DUMMYFUNCTION("""COMPUTED_VALUE"""),"Machinery")</f>
        <v>Machinery</v>
      </c>
      <c r="CB51" s="285" t="str">
        <f>IFERROR(__xludf.DUMMYFUNCTION("""COMPUTED_VALUE"""),"Sovereignty")</f>
        <v>Sovereignty</v>
      </c>
      <c r="CC51" s="285" t="str">
        <f>IFERROR(__xludf.DUMMYFUNCTION("""COMPUTED_VALUE"""),"Aristocracy")</f>
        <v>Aristocracy</v>
      </c>
      <c r="CD51" s="285" t="str">
        <f>IFERROR(__xludf.DUMMYFUNCTION("""COMPUTED_VALUE"""),"Divination")</f>
        <v>Divination</v>
      </c>
    </row>
    <row r="52">
      <c r="A52" s="459"/>
      <c r="C52" s="675"/>
      <c r="D52" s="675"/>
      <c r="E52" s="667"/>
      <c r="F52" s="55"/>
      <c r="G52" s="667"/>
      <c r="H52" s="55"/>
      <c r="I52" s="667"/>
      <c r="K52" s="652"/>
      <c r="L52" s="544"/>
      <c r="M52" s="276"/>
    </row>
    <row r="53">
      <c r="A53" s="459"/>
      <c r="B53" s="676" t="s">
        <v>2119</v>
      </c>
      <c r="C53" s="677">
        <v>0.0</v>
      </c>
      <c r="D53" s="678">
        <f t="shared" ref="D53:D55" si="15">C53+M53</f>
        <v>7900</v>
      </c>
      <c r="E53" s="667" t="str">
        <f t="shared" ref="E53:E55" si="16">VLOOKUP(F53,$B:$N,13,false)</f>
        <v/>
      </c>
      <c r="F53" s="105" t="s">
        <v>2029</v>
      </c>
      <c r="G53" s="667" t="str">
        <f t="shared" ref="G53:G55" si="17">VLOOKUP(H53,$B:$N,13,false)</f>
        <v/>
      </c>
      <c r="H53" s="105" t="s">
        <v>1970</v>
      </c>
      <c r="I53" s="667" t="str">
        <f t="shared" ref="I53:I54" si="18">VLOOKUP(J53,$B:$N,13,false)</f>
        <v/>
      </c>
      <c r="J53" s="34" t="s">
        <v>1942</v>
      </c>
      <c r="K53" s="652"/>
      <c r="L53" s="544" t="str">
        <f t="shared" ref="L53:L55" si="19">TEXTJOIN(",",true,O53:AI53)</f>
        <v>Fiscal Policy,Lateen Sail,Coinage,Navigation,Labor Force,Ironworking,Cartography,Metaphysics,Rhetoric,Administration,Jurisprudence,Scholarship,Citizenship,Phalanx,Doctrine,Monasticism,Aristocracy,Divination,Sovereignty</v>
      </c>
      <c r="M53" s="669">
        <f t="array" ref="M53">SUM(IF(O53:AZ53=0,0,VLOOKUP(O53:AZ53,$B:$C,2,false)))</f>
        <v>7900</v>
      </c>
      <c r="N53" s="285" t="str">
        <f t="shared" ref="N53:N55" si="20">A53</f>
        <v/>
      </c>
      <c r="O53" s="285" t="str">
        <f t="shared" ref="O53:O55" si="21">UNIQUE(BB53:CN53,true)</f>
        <v>Fiscal Policy</v>
      </c>
      <c r="P53" s="285" t="s">
        <v>2028</v>
      </c>
      <c r="Q53" s="285" t="s">
        <v>2069</v>
      </c>
      <c r="R53" s="285" t="s">
        <v>1943</v>
      </c>
      <c r="S53" s="285" t="s">
        <v>268</v>
      </c>
      <c r="T53" s="285" t="s">
        <v>258</v>
      </c>
      <c r="U53" s="285" t="s">
        <v>2092</v>
      </c>
      <c r="V53" s="285" t="s">
        <v>1796</v>
      </c>
      <c r="W53" s="285" t="s">
        <v>266</v>
      </c>
      <c r="X53" s="285" t="s">
        <v>261</v>
      </c>
      <c r="Y53" s="285" t="s">
        <v>2027</v>
      </c>
      <c r="Z53" s="285" t="s">
        <v>2081</v>
      </c>
      <c r="AA53" s="285" t="s">
        <v>1969</v>
      </c>
      <c r="AB53" s="285" t="s">
        <v>2060</v>
      </c>
      <c r="AC53" s="285" t="s">
        <v>1970</v>
      </c>
      <c r="AD53" s="285" t="s">
        <v>1944</v>
      </c>
      <c r="AE53" s="285" t="s">
        <v>267</v>
      </c>
      <c r="AF53" s="285" t="s">
        <v>262</v>
      </c>
      <c r="AG53" s="285" t="s">
        <v>1942</v>
      </c>
      <c r="AH53" s="285"/>
      <c r="BA53" s="285" t="str">
        <f t="shared" ref="BA53:BA55" si="22">IF(F53="","",F53&amp;","&amp;VLOOKUP(F53,B:L,11,false)&amp;",")&amp;IF(H53="","",H53&amp;","&amp;VLOOKUP(H53,B:L,11,false)&amp;",")&amp;IF(J53="","",J53&amp;","&amp;VLOOKUP(J53,B:L,11,false))</f>
        <v>Fiscal Policy,Lateen Sail,Coinage,Navigation,Labor Force,Ironworking,Cartography,Metaphysics,Rhetoric,Administration,Jurisprudence,Scholarship,Citizenship,Phalanx,Doctrine,Monasticism,Aristocracy,Divination,Sovereignty,Aristocracy,Divination,Rhetoric,Administration</v>
      </c>
      <c r="BB53" s="285" t="str">
        <f>IFERROR(__xludf.DUMMYFUNCTION("SPLIT(BA53,"","")"),"Fiscal Policy")</f>
        <v>Fiscal Policy</v>
      </c>
      <c r="BC53" s="285" t="str">
        <f>IFERROR(__xludf.DUMMYFUNCTION("""COMPUTED_VALUE"""),"Lateen Sail")</f>
        <v>Lateen Sail</v>
      </c>
      <c r="BD53" s="285" t="str">
        <f>IFERROR(__xludf.DUMMYFUNCTION("""COMPUTED_VALUE"""),"Coinage")</f>
        <v>Coinage</v>
      </c>
      <c r="BE53" s="285" t="str">
        <f>IFERROR(__xludf.DUMMYFUNCTION("""COMPUTED_VALUE"""),"Navigation")</f>
        <v>Navigation</v>
      </c>
      <c r="BF53" s="285" t="str">
        <f>IFERROR(__xludf.DUMMYFUNCTION("""COMPUTED_VALUE"""),"Labor Force")</f>
        <v>Labor Force</v>
      </c>
      <c r="BG53" s="285" t="str">
        <f>IFERROR(__xludf.DUMMYFUNCTION("""COMPUTED_VALUE"""),"Ironworking")</f>
        <v>Ironworking</v>
      </c>
      <c r="BH53" s="285" t="str">
        <f>IFERROR(__xludf.DUMMYFUNCTION("""COMPUTED_VALUE"""),"Cartography")</f>
        <v>Cartography</v>
      </c>
      <c r="BI53" s="285" t="str">
        <f>IFERROR(__xludf.DUMMYFUNCTION("""COMPUTED_VALUE"""),"Metaphysics")</f>
        <v>Metaphysics</v>
      </c>
      <c r="BJ53" s="285" t="str">
        <f>IFERROR(__xludf.DUMMYFUNCTION("""COMPUTED_VALUE"""),"Rhetoric")</f>
        <v>Rhetoric</v>
      </c>
      <c r="BK53" s="285" t="str">
        <f>IFERROR(__xludf.DUMMYFUNCTION("""COMPUTED_VALUE"""),"Administration")</f>
        <v>Administration</v>
      </c>
      <c r="BL53" s="285" t="str">
        <f>IFERROR(__xludf.DUMMYFUNCTION("""COMPUTED_VALUE"""),"Jurisprudence")</f>
        <v>Jurisprudence</v>
      </c>
      <c r="BM53" s="285" t="str">
        <f>IFERROR(__xludf.DUMMYFUNCTION("""COMPUTED_VALUE"""),"Scholarship")</f>
        <v>Scholarship</v>
      </c>
      <c r="BN53" s="285" t="str">
        <f>IFERROR(__xludf.DUMMYFUNCTION("""COMPUTED_VALUE"""),"Citizenship")</f>
        <v>Citizenship</v>
      </c>
      <c r="BO53" s="285" t="str">
        <f>IFERROR(__xludf.DUMMYFUNCTION("""COMPUTED_VALUE"""),"Phalanx")</f>
        <v>Phalanx</v>
      </c>
      <c r="BP53" s="285" t="str">
        <f>IFERROR(__xludf.DUMMYFUNCTION("""COMPUTED_VALUE"""),"Doctrine")</f>
        <v>Doctrine</v>
      </c>
      <c r="BQ53" s="285" t="str">
        <f>IFERROR(__xludf.DUMMYFUNCTION("""COMPUTED_VALUE"""),"Monasticism")</f>
        <v>Monasticism</v>
      </c>
      <c r="BR53" s="285" t="str">
        <f>IFERROR(__xludf.DUMMYFUNCTION("""COMPUTED_VALUE"""),"Aristocracy")</f>
        <v>Aristocracy</v>
      </c>
      <c r="BS53" s="285" t="str">
        <f>IFERROR(__xludf.DUMMYFUNCTION("""COMPUTED_VALUE"""),"Divination")</f>
        <v>Divination</v>
      </c>
      <c r="BT53" s="285" t="str">
        <f>IFERROR(__xludf.DUMMYFUNCTION("""COMPUTED_VALUE"""),"Sovereignty")</f>
        <v>Sovereignty</v>
      </c>
      <c r="BU53" s="285" t="str">
        <f>IFERROR(__xludf.DUMMYFUNCTION("""COMPUTED_VALUE"""),"Aristocracy")</f>
        <v>Aristocracy</v>
      </c>
      <c r="BV53" s="285" t="str">
        <f>IFERROR(__xludf.DUMMYFUNCTION("""COMPUTED_VALUE"""),"Divination")</f>
        <v>Divination</v>
      </c>
      <c r="BW53" s="285" t="str">
        <f>IFERROR(__xludf.DUMMYFUNCTION("""COMPUTED_VALUE"""),"Rhetoric")</f>
        <v>Rhetoric</v>
      </c>
      <c r="BX53" s="285" t="str">
        <f>IFERROR(__xludf.DUMMYFUNCTION("""COMPUTED_VALUE"""),"Administration")</f>
        <v>Administration</v>
      </c>
    </row>
    <row r="54">
      <c r="A54" s="459"/>
      <c r="B54" s="676" t="s">
        <v>2120</v>
      </c>
      <c r="C54" s="677">
        <v>0.0</v>
      </c>
      <c r="D54" s="678">
        <f t="shared" si="15"/>
        <v>6840</v>
      </c>
      <c r="E54" s="667" t="str">
        <f t="shared" si="16"/>
        <v/>
      </c>
      <c r="F54" s="105" t="s">
        <v>1999</v>
      </c>
      <c r="G54" s="667" t="str">
        <f t="shared" si="17"/>
        <v/>
      </c>
      <c r="H54" s="105" t="s">
        <v>1998</v>
      </c>
      <c r="I54" s="667" t="str">
        <f t="shared" si="18"/>
        <v/>
      </c>
      <c r="J54" s="34" t="s">
        <v>1997</v>
      </c>
      <c r="K54" s="652"/>
      <c r="L54" s="544" t="str">
        <f t="shared" si="19"/>
        <v>Martial Code,Stirrups,Spoked Wheel,Husbandry,Ironworking,Citizenship,Phalanx,Labor Force,Vaulting,Architecture,Portcullis,Drama,Stonecutting,Manor,Land Consolidation,Forestry,Polis,Composite Bow,Military Drill,Trapping</v>
      </c>
      <c r="M54" s="669">
        <f t="array" ref="M54">SUM(IF(O54:AZ54=0,0,VLOOKUP(O54:AZ54,$B:$C,2,false)))</f>
        <v>6840</v>
      </c>
      <c r="N54" s="285" t="str">
        <f t="shared" si="20"/>
        <v/>
      </c>
      <c r="O54" s="285" t="str">
        <f t="shared" si="21"/>
        <v>Martial Code</v>
      </c>
      <c r="P54" s="285" t="s">
        <v>2083</v>
      </c>
      <c r="Q54" s="285" t="s">
        <v>2062</v>
      </c>
      <c r="R54" s="285" t="s">
        <v>259</v>
      </c>
      <c r="S54" s="285" t="s">
        <v>258</v>
      </c>
      <c r="T54" s="285" t="s">
        <v>1969</v>
      </c>
      <c r="U54" s="285" t="s">
        <v>2060</v>
      </c>
      <c r="V54" s="285" t="s">
        <v>268</v>
      </c>
      <c r="W54" s="285" t="s">
        <v>1998</v>
      </c>
      <c r="X54" s="285" t="s">
        <v>1971</v>
      </c>
      <c r="Y54" s="285" t="s">
        <v>2072</v>
      </c>
      <c r="Z54" s="285" t="s">
        <v>269</v>
      </c>
      <c r="AA54" s="285" t="s">
        <v>263</v>
      </c>
      <c r="AB54" s="285" t="s">
        <v>1997</v>
      </c>
      <c r="AC54" s="285" t="s">
        <v>2074</v>
      </c>
      <c r="AD54" s="285" t="s">
        <v>1798</v>
      </c>
      <c r="AE54" s="285" t="s">
        <v>270</v>
      </c>
      <c r="AF54" s="285" t="s">
        <v>2076</v>
      </c>
      <c r="AG54" s="285" t="s">
        <v>264</v>
      </c>
      <c r="AH54" s="285" t="s">
        <v>257</v>
      </c>
      <c r="AI54" s="285"/>
      <c r="BA54" s="285" t="str">
        <f t="shared" si="22"/>
        <v>Martial Code,Stirrups,Spoked Wheel,Husbandry,Ironworking,Citizenship,Phalanx,Labor Force,Vaulting,Architecture,Portcullis,Spoked Wheel,Husbandry,Ironworking,Drama,Stonecutting,Manor,Land Consolidation,Forestry,Polis,Stonecutting,Composite Bow,Military Drill,Trapping</v>
      </c>
      <c r="BB54" s="285" t="str">
        <f>IFERROR(__xludf.DUMMYFUNCTION("SPLIT(BA54,"","")"),"Martial Code")</f>
        <v>Martial Code</v>
      </c>
      <c r="BC54" s="285" t="str">
        <f>IFERROR(__xludf.DUMMYFUNCTION("""COMPUTED_VALUE"""),"Stirrups")</f>
        <v>Stirrups</v>
      </c>
      <c r="BD54" s="285" t="str">
        <f>IFERROR(__xludf.DUMMYFUNCTION("""COMPUTED_VALUE"""),"Spoked Wheel")</f>
        <v>Spoked Wheel</v>
      </c>
      <c r="BE54" s="285" t="str">
        <f>IFERROR(__xludf.DUMMYFUNCTION("""COMPUTED_VALUE"""),"Husbandry")</f>
        <v>Husbandry</v>
      </c>
      <c r="BF54" s="285" t="str">
        <f>IFERROR(__xludf.DUMMYFUNCTION("""COMPUTED_VALUE"""),"Ironworking")</f>
        <v>Ironworking</v>
      </c>
      <c r="BG54" s="285" t="str">
        <f>IFERROR(__xludf.DUMMYFUNCTION("""COMPUTED_VALUE"""),"Citizenship")</f>
        <v>Citizenship</v>
      </c>
      <c r="BH54" s="285" t="str">
        <f>IFERROR(__xludf.DUMMYFUNCTION("""COMPUTED_VALUE"""),"Phalanx")</f>
        <v>Phalanx</v>
      </c>
      <c r="BI54" s="285" t="str">
        <f>IFERROR(__xludf.DUMMYFUNCTION("""COMPUTED_VALUE"""),"Labor Force")</f>
        <v>Labor Force</v>
      </c>
      <c r="BJ54" s="285" t="str">
        <f>IFERROR(__xludf.DUMMYFUNCTION("""COMPUTED_VALUE"""),"Vaulting")</f>
        <v>Vaulting</v>
      </c>
      <c r="BK54" s="285" t="str">
        <f>IFERROR(__xludf.DUMMYFUNCTION("""COMPUTED_VALUE"""),"Architecture")</f>
        <v>Architecture</v>
      </c>
      <c r="BL54" s="285" t="str">
        <f>IFERROR(__xludf.DUMMYFUNCTION("""COMPUTED_VALUE"""),"Portcullis")</f>
        <v>Portcullis</v>
      </c>
      <c r="BM54" s="285" t="str">
        <f>IFERROR(__xludf.DUMMYFUNCTION("""COMPUTED_VALUE"""),"Spoked Wheel")</f>
        <v>Spoked Wheel</v>
      </c>
      <c r="BN54" s="285" t="str">
        <f>IFERROR(__xludf.DUMMYFUNCTION("""COMPUTED_VALUE"""),"Husbandry")</f>
        <v>Husbandry</v>
      </c>
      <c r="BO54" s="285" t="str">
        <f>IFERROR(__xludf.DUMMYFUNCTION("""COMPUTED_VALUE"""),"Ironworking")</f>
        <v>Ironworking</v>
      </c>
      <c r="BP54" s="285" t="str">
        <f>IFERROR(__xludf.DUMMYFUNCTION("""COMPUTED_VALUE"""),"Drama")</f>
        <v>Drama</v>
      </c>
      <c r="BQ54" s="285" t="str">
        <f>IFERROR(__xludf.DUMMYFUNCTION("""COMPUTED_VALUE"""),"Stonecutting")</f>
        <v>Stonecutting</v>
      </c>
      <c r="BR54" s="285" t="str">
        <f>IFERROR(__xludf.DUMMYFUNCTION("""COMPUTED_VALUE"""),"Manor")</f>
        <v>Manor</v>
      </c>
      <c r="BS54" s="285" t="str">
        <f>IFERROR(__xludf.DUMMYFUNCTION("""COMPUTED_VALUE"""),"Land Consolidation")</f>
        <v>Land Consolidation</v>
      </c>
      <c r="BT54" s="285" t="str">
        <f>IFERROR(__xludf.DUMMYFUNCTION("""COMPUTED_VALUE"""),"Forestry")</f>
        <v>Forestry</v>
      </c>
      <c r="BU54" s="285" t="str">
        <f>IFERROR(__xludf.DUMMYFUNCTION("""COMPUTED_VALUE"""),"Polis")</f>
        <v>Polis</v>
      </c>
      <c r="BV54" s="285" t="str">
        <f>IFERROR(__xludf.DUMMYFUNCTION("""COMPUTED_VALUE"""),"Stonecutting")</f>
        <v>Stonecutting</v>
      </c>
      <c r="BW54" s="285" t="str">
        <f>IFERROR(__xludf.DUMMYFUNCTION("""COMPUTED_VALUE"""),"Composite Bow")</f>
        <v>Composite Bow</v>
      </c>
      <c r="BX54" s="285" t="str">
        <f>IFERROR(__xludf.DUMMYFUNCTION("""COMPUTED_VALUE"""),"Military Drill")</f>
        <v>Military Drill</v>
      </c>
      <c r="BY54" s="285" t="str">
        <f>IFERROR(__xludf.DUMMYFUNCTION("""COMPUTED_VALUE"""),"Trapping")</f>
        <v>Trapping</v>
      </c>
    </row>
    <row r="55">
      <c r="A55" s="459"/>
      <c r="B55" s="34" t="s">
        <v>2121</v>
      </c>
      <c r="C55" s="677">
        <v>0.0</v>
      </c>
      <c r="D55" s="660">
        <f t="shared" si="15"/>
        <v>13740</v>
      </c>
      <c r="E55" s="667" t="str">
        <f t="shared" si="16"/>
        <v/>
      </c>
      <c r="F55" s="105" t="s">
        <v>2119</v>
      </c>
      <c r="G55" s="667" t="str">
        <f t="shared" si="17"/>
        <v/>
      </c>
      <c r="H55" s="105" t="s">
        <v>2120</v>
      </c>
      <c r="I55" s="667"/>
      <c r="J55" s="2"/>
      <c r="K55" s="652"/>
      <c r="L55" s="544" t="str">
        <f t="shared" si="19"/>
        <v>all Laws part 1,Fiscal Policy,Lateen Sail,Coinage,Navigation,Labor Force,Ironworking,Cartography,Metaphysics,Rhetoric,Administration,Jurisprudence,Scholarship,Citizenship,Phalanx,Doctrine,Monasticism,Aristocracy,Divination,Sovereignty,all Laws part 2</v>
      </c>
      <c r="M55" s="669">
        <f t="array" ref="M55">SUM(IF(O55:AZ55=0,0,VLOOKUP(O55:AZ55,$B:$C,2,false)))</f>
        <v>13740</v>
      </c>
      <c r="N55" s="285" t="str">
        <f t="shared" si="20"/>
        <v/>
      </c>
      <c r="O55" s="285" t="str">
        <f t="shared" si="21"/>
        <v>all Laws part 1</v>
      </c>
      <c r="P55" s="285" t="s">
        <v>2029</v>
      </c>
      <c r="Q55" s="285" t="s">
        <v>2028</v>
      </c>
      <c r="R55" s="285" t="s">
        <v>2069</v>
      </c>
      <c r="S55" s="285" t="s">
        <v>1943</v>
      </c>
      <c r="T55" s="285" t="s">
        <v>268</v>
      </c>
      <c r="U55" s="285" t="s">
        <v>258</v>
      </c>
      <c r="V55" s="285" t="s">
        <v>2092</v>
      </c>
      <c r="W55" s="285" t="s">
        <v>1796</v>
      </c>
      <c r="X55" s="285" t="s">
        <v>266</v>
      </c>
      <c r="Y55" s="285" t="s">
        <v>261</v>
      </c>
      <c r="Z55" s="285" t="s">
        <v>2027</v>
      </c>
      <c r="AA55" s="285" t="s">
        <v>2081</v>
      </c>
      <c r="AB55" s="285" t="s">
        <v>1969</v>
      </c>
      <c r="AC55" s="285" t="s">
        <v>2060</v>
      </c>
      <c r="AD55" s="285" t="s">
        <v>1970</v>
      </c>
      <c r="AE55" s="285" t="s">
        <v>1944</v>
      </c>
      <c r="AF55" s="285" t="s">
        <v>267</v>
      </c>
      <c r="AG55" s="285" t="s">
        <v>262</v>
      </c>
      <c r="AH55" s="285" t="s">
        <v>1942</v>
      </c>
      <c r="AI55" s="285" t="s">
        <v>2120</v>
      </c>
      <c r="AJ55" s="285" t="s">
        <v>1999</v>
      </c>
      <c r="AK55" s="285" t="s">
        <v>2083</v>
      </c>
      <c r="AL55" s="285" t="s">
        <v>2062</v>
      </c>
      <c r="AM55" s="285" t="s">
        <v>259</v>
      </c>
      <c r="AN55" s="285" t="s">
        <v>1998</v>
      </c>
      <c r="AO55" s="285" t="s">
        <v>1971</v>
      </c>
      <c r="AP55" s="285" t="s">
        <v>2072</v>
      </c>
      <c r="AQ55" s="285" t="s">
        <v>269</v>
      </c>
      <c r="AR55" s="285" t="s">
        <v>263</v>
      </c>
      <c r="AS55" s="285" t="s">
        <v>1997</v>
      </c>
      <c r="AT55" s="285" t="s">
        <v>2074</v>
      </c>
      <c r="AU55" s="285" t="s">
        <v>1798</v>
      </c>
      <c r="AV55" s="285" t="s">
        <v>270</v>
      </c>
      <c r="AW55" s="285" t="s">
        <v>2076</v>
      </c>
      <c r="BA55" s="285" t="str">
        <f t="shared" si="22"/>
        <v>all Laws part 1,Fiscal Policy,Lateen Sail,Coinage,Navigation,Labor Force,Ironworking,Cartography,Metaphysics,Rhetoric,Administration,Jurisprudence,Scholarship,Citizenship,Phalanx,Doctrine,Monasticism,Aristocracy,Divination,Sovereignty,all Laws part 2,Martial Code,Stirrups,Spoked Wheel,Husbandry,Ironworking,Citizenship,Phalanx,Labor Force,Vaulting,Architecture,Portcullis,Drama,Stonecutting,Manor,Land Consolidation,Forestry,Polis,Composite Bow,Military Drill,Trapping,</v>
      </c>
      <c r="BB55" s="285" t="str">
        <f>IFERROR(__xludf.DUMMYFUNCTION("SPLIT(BA55,"","")"),"all Laws part 1")</f>
        <v>all Laws part 1</v>
      </c>
      <c r="BC55" s="285" t="str">
        <f>IFERROR(__xludf.DUMMYFUNCTION("""COMPUTED_VALUE"""),"Fiscal Policy")</f>
        <v>Fiscal Policy</v>
      </c>
      <c r="BD55" s="285" t="str">
        <f>IFERROR(__xludf.DUMMYFUNCTION("""COMPUTED_VALUE"""),"Lateen Sail")</f>
        <v>Lateen Sail</v>
      </c>
      <c r="BE55" s="285" t="str">
        <f>IFERROR(__xludf.DUMMYFUNCTION("""COMPUTED_VALUE"""),"Coinage")</f>
        <v>Coinage</v>
      </c>
      <c r="BF55" s="285" t="str">
        <f>IFERROR(__xludf.DUMMYFUNCTION("""COMPUTED_VALUE"""),"Navigation")</f>
        <v>Navigation</v>
      </c>
      <c r="BG55" s="285" t="str">
        <f>IFERROR(__xludf.DUMMYFUNCTION("""COMPUTED_VALUE"""),"Labor Force")</f>
        <v>Labor Force</v>
      </c>
      <c r="BH55" s="285" t="str">
        <f>IFERROR(__xludf.DUMMYFUNCTION("""COMPUTED_VALUE"""),"Ironworking")</f>
        <v>Ironworking</v>
      </c>
      <c r="BI55" s="285" t="str">
        <f>IFERROR(__xludf.DUMMYFUNCTION("""COMPUTED_VALUE"""),"Cartography")</f>
        <v>Cartography</v>
      </c>
      <c r="BJ55" s="285" t="str">
        <f>IFERROR(__xludf.DUMMYFUNCTION("""COMPUTED_VALUE"""),"Metaphysics")</f>
        <v>Metaphysics</v>
      </c>
      <c r="BK55" s="285" t="str">
        <f>IFERROR(__xludf.DUMMYFUNCTION("""COMPUTED_VALUE"""),"Rhetoric")</f>
        <v>Rhetoric</v>
      </c>
      <c r="BL55" s="285" t="str">
        <f>IFERROR(__xludf.DUMMYFUNCTION("""COMPUTED_VALUE"""),"Administration")</f>
        <v>Administration</v>
      </c>
      <c r="BM55" s="285" t="str">
        <f>IFERROR(__xludf.DUMMYFUNCTION("""COMPUTED_VALUE"""),"Jurisprudence")</f>
        <v>Jurisprudence</v>
      </c>
      <c r="BN55" s="285" t="str">
        <f>IFERROR(__xludf.DUMMYFUNCTION("""COMPUTED_VALUE"""),"Scholarship")</f>
        <v>Scholarship</v>
      </c>
      <c r="BO55" s="285" t="str">
        <f>IFERROR(__xludf.DUMMYFUNCTION("""COMPUTED_VALUE"""),"Citizenship")</f>
        <v>Citizenship</v>
      </c>
      <c r="BP55" s="285" t="str">
        <f>IFERROR(__xludf.DUMMYFUNCTION("""COMPUTED_VALUE"""),"Phalanx")</f>
        <v>Phalanx</v>
      </c>
      <c r="BQ55" s="285" t="str">
        <f>IFERROR(__xludf.DUMMYFUNCTION("""COMPUTED_VALUE"""),"Doctrine")</f>
        <v>Doctrine</v>
      </c>
      <c r="BR55" s="285" t="str">
        <f>IFERROR(__xludf.DUMMYFUNCTION("""COMPUTED_VALUE"""),"Monasticism")</f>
        <v>Monasticism</v>
      </c>
      <c r="BS55" s="285" t="str">
        <f>IFERROR(__xludf.DUMMYFUNCTION("""COMPUTED_VALUE"""),"Aristocracy")</f>
        <v>Aristocracy</v>
      </c>
      <c r="BT55" s="285" t="str">
        <f>IFERROR(__xludf.DUMMYFUNCTION("""COMPUTED_VALUE"""),"Divination")</f>
        <v>Divination</v>
      </c>
      <c r="BU55" s="285" t="str">
        <f>IFERROR(__xludf.DUMMYFUNCTION("""COMPUTED_VALUE"""),"Sovereignty")</f>
        <v>Sovereignty</v>
      </c>
      <c r="BV55" s="285" t="str">
        <f>IFERROR(__xludf.DUMMYFUNCTION("""COMPUTED_VALUE"""),"all Laws part 2")</f>
        <v>all Laws part 2</v>
      </c>
      <c r="BW55" s="285" t="str">
        <f>IFERROR(__xludf.DUMMYFUNCTION("""COMPUTED_VALUE"""),"Martial Code")</f>
        <v>Martial Code</v>
      </c>
      <c r="BX55" s="285" t="str">
        <f>IFERROR(__xludf.DUMMYFUNCTION("""COMPUTED_VALUE"""),"Stirrups")</f>
        <v>Stirrups</v>
      </c>
      <c r="BY55" s="285" t="str">
        <f>IFERROR(__xludf.DUMMYFUNCTION("""COMPUTED_VALUE"""),"Spoked Wheel")</f>
        <v>Spoked Wheel</v>
      </c>
      <c r="BZ55" s="285" t="str">
        <f>IFERROR(__xludf.DUMMYFUNCTION("""COMPUTED_VALUE"""),"Husbandry")</f>
        <v>Husbandry</v>
      </c>
      <c r="CA55" s="285" t="str">
        <f>IFERROR(__xludf.DUMMYFUNCTION("""COMPUTED_VALUE"""),"Ironworking")</f>
        <v>Ironworking</v>
      </c>
      <c r="CB55" s="285" t="str">
        <f>IFERROR(__xludf.DUMMYFUNCTION("""COMPUTED_VALUE"""),"Citizenship")</f>
        <v>Citizenship</v>
      </c>
      <c r="CC55" s="285" t="str">
        <f>IFERROR(__xludf.DUMMYFUNCTION("""COMPUTED_VALUE"""),"Phalanx")</f>
        <v>Phalanx</v>
      </c>
      <c r="CD55" s="285" t="str">
        <f>IFERROR(__xludf.DUMMYFUNCTION("""COMPUTED_VALUE"""),"Labor Force")</f>
        <v>Labor Force</v>
      </c>
      <c r="CE55" s="285" t="str">
        <f>IFERROR(__xludf.DUMMYFUNCTION("""COMPUTED_VALUE"""),"Vaulting")</f>
        <v>Vaulting</v>
      </c>
      <c r="CF55" s="285" t="str">
        <f>IFERROR(__xludf.DUMMYFUNCTION("""COMPUTED_VALUE"""),"Architecture")</f>
        <v>Architecture</v>
      </c>
      <c r="CG55" s="285" t="str">
        <f>IFERROR(__xludf.DUMMYFUNCTION("""COMPUTED_VALUE"""),"Portcullis")</f>
        <v>Portcullis</v>
      </c>
      <c r="CH55" s="285" t="str">
        <f>IFERROR(__xludf.DUMMYFUNCTION("""COMPUTED_VALUE"""),"Drama")</f>
        <v>Drama</v>
      </c>
      <c r="CI55" s="285" t="str">
        <f>IFERROR(__xludf.DUMMYFUNCTION("""COMPUTED_VALUE"""),"Stonecutting")</f>
        <v>Stonecutting</v>
      </c>
      <c r="CJ55" s="285" t="str">
        <f>IFERROR(__xludf.DUMMYFUNCTION("""COMPUTED_VALUE"""),"Manor")</f>
        <v>Manor</v>
      </c>
      <c r="CK55" s="285" t="str">
        <f>IFERROR(__xludf.DUMMYFUNCTION("""COMPUTED_VALUE"""),"Land Consolidation")</f>
        <v>Land Consolidation</v>
      </c>
      <c r="CL55" s="285" t="str">
        <f>IFERROR(__xludf.DUMMYFUNCTION("""COMPUTED_VALUE"""),"Forestry")</f>
        <v>Forestry</v>
      </c>
      <c r="CM55" s="285" t="str">
        <f>IFERROR(__xludf.DUMMYFUNCTION("""COMPUTED_VALUE"""),"Polis")</f>
        <v>Polis</v>
      </c>
      <c r="CN55" s="285" t="str">
        <f>IFERROR(__xludf.DUMMYFUNCTION("""COMPUTED_VALUE"""),"Composite Bow")</f>
        <v>Composite Bow</v>
      </c>
      <c r="CO55" s="285" t="str">
        <f>IFERROR(__xludf.DUMMYFUNCTION("""COMPUTED_VALUE"""),"Military Drill")</f>
        <v>Military Drill</v>
      </c>
      <c r="CP55" s="285" t="str">
        <f>IFERROR(__xludf.DUMMYFUNCTION("""COMPUTED_VALUE"""),"Trapping")</f>
        <v>Trapping</v>
      </c>
    </row>
    <row r="56">
      <c r="A56" s="459"/>
      <c r="C56" s="276"/>
      <c r="D56" s="276"/>
      <c r="E56" s="651"/>
      <c r="F56" s="55"/>
      <c r="G56" s="651"/>
      <c r="H56" s="55"/>
      <c r="I56" s="651"/>
      <c r="K56" s="652"/>
      <c r="M56" s="276"/>
    </row>
    <row r="57">
      <c r="A57" s="459"/>
      <c r="C57" s="276"/>
      <c r="D57" s="276"/>
      <c r="E57" s="651"/>
      <c r="F57" s="55"/>
      <c r="G57" s="651"/>
      <c r="H57" s="55"/>
      <c r="I57" s="651"/>
      <c r="K57" s="652"/>
      <c r="M57" s="276"/>
    </row>
    <row r="58">
      <c r="A58" s="459"/>
      <c r="C58" s="276"/>
      <c r="D58" s="276"/>
      <c r="E58" s="651"/>
      <c r="F58" s="55"/>
      <c r="G58" s="651"/>
      <c r="H58" s="55"/>
      <c r="I58" s="651"/>
      <c r="K58" s="652"/>
      <c r="M58" s="276"/>
    </row>
    <row r="59">
      <c r="A59" s="459"/>
      <c r="C59" s="276"/>
      <c r="D59" s="276"/>
      <c r="E59" s="651"/>
      <c r="F59" s="55"/>
      <c r="G59" s="651"/>
      <c r="H59" s="55"/>
      <c r="I59" s="651"/>
      <c r="K59" s="652"/>
      <c r="M59" s="276"/>
    </row>
    <row r="60">
      <c r="A60" s="459"/>
      <c r="C60" s="276"/>
      <c r="D60" s="276"/>
      <c r="E60" s="651"/>
      <c r="F60" s="55"/>
      <c r="G60" s="651"/>
      <c r="H60" s="55"/>
      <c r="I60" s="651"/>
      <c r="K60" s="652"/>
      <c r="M60" s="276"/>
    </row>
    <row r="61">
      <c r="A61" s="459"/>
      <c r="C61" s="276"/>
      <c r="D61" s="276"/>
      <c r="E61" s="651"/>
      <c r="F61" s="55"/>
      <c r="G61" s="651"/>
      <c r="H61" s="55"/>
      <c r="I61" s="651"/>
      <c r="K61" s="652"/>
      <c r="M61" s="276"/>
    </row>
    <row r="62">
      <c r="A62" s="459"/>
      <c r="C62" s="276"/>
      <c r="D62" s="276"/>
      <c r="E62" s="651"/>
      <c r="F62" s="55"/>
      <c r="G62" s="651"/>
      <c r="H62" s="55"/>
      <c r="I62" s="651"/>
      <c r="K62" s="652"/>
      <c r="M62" s="276"/>
    </row>
    <row r="63">
      <c r="A63" s="459"/>
      <c r="C63" s="276"/>
      <c r="D63" s="276"/>
      <c r="E63" s="651"/>
      <c r="F63" s="55"/>
      <c r="G63" s="651"/>
      <c r="H63" s="55"/>
      <c r="I63" s="651"/>
      <c r="K63" s="652"/>
      <c r="M63" s="276"/>
    </row>
    <row r="64">
      <c r="A64" s="459"/>
      <c r="C64" s="276"/>
      <c r="D64" s="276"/>
      <c r="E64" s="651"/>
      <c r="F64" s="55"/>
      <c r="G64" s="651"/>
      <c r="H64" s="55"/>
      <c r="I64" s="651"/>
      <c r="K64" s="652"/>
      <c r="M64" s="276"/>
    </row>
    <row r="65">
      <c r="A65" s="459"/>
      <c r="C65" s="276"/>
      <c r="D65" s="276"/>
      <c r="E65" s="651"/>
      <c r="F65" s="55"/>
      <c r="G65" s="651"/>
      <c r="H65" s="55"/>
      <c r="I65" s="651"/>
      <c r="K65" s="652"/>
      <c r="M65" s="276"/>
    </row>
    <row r="66">
      <c r="A66" s="459"/>
      <c r="C66" s="276"/>
      <c r="D66" s="276"/>
      <c r="E66" s="651"/>
      <c r="F66" s="55"/>
      <c r="G66" s="651"/>
      <c r="H66" s="55"/>
      <c r="I66" s="651"/>
      <c r="K66" s="652"/>
      <c r="M66" s="276"/>
    </row>
    <row r="67">
      <c r="A67" s="459"/>
      <c r="C67" s="276"/>
      <c r="D67" s="276"/>
      <c r="E67" s="651"/>
      <c r="F67" s="55"/>
      <c r="G67" s="651"/>
      <c r="H67" s="55"/>
      <c r="I67" s="651"/>
      <c r="K67" s="652"/>
      <c r="M67" s="276"/>
    </row>
    <row r="68">
      <c r="A68" s="459"/>
      <c r="C68" s="276"/>
      <c r="D68" s="276"/>
      <c r="E68" s="651"/>
      <c r="F68" s="55"/>
      <c r="G68" s="651"/>
      <c r="H68" s="55"/>
      <c r="I68" s="651"/>
      <c r="K68" s="652"/>
      <c r="M68" s="276"/>
    </row>
    <row r="69">
      <c r="A69" s="459"/>
      <c r="C69" s="276"/>
      <c r="D69" s="276"/>
      <c r="E69" s="651"/>
      <c r="F69" s="55"/>
      <c r="G69" s="651"/>
      <c r="H69" s="55"/>
      <c r="I69" s="651"/>
      <c r="K69" s="652"/>
      <c r="M69" s="276"/>
    </row>
    <row r="70">
      <c r="A70" s="459"/>
      <c r="C70" s="276"/>
      <c r="D70" s="276"/>
      <c r="E70" s="651"/>
      <c r="F70" s="55"/>
      <c r="G70" s="651"/>
      <c r="H70" s="55"/>
      <c r="I70" s="651"/>
      <c r="K70" s="652"/>
      <c r="M70" s="276"/>
    </row>
    <row r="71">
      <c r="A71" s="459"/>
      <c r="C71" s="276"/>
      <c r="D71" s="276"/>
      <c r="E71" s="651"/>
      <c r="F71" s="55"/>
      <c r="G71" s="651"/>
      <c r="H71" s="55"/>
      <c r="I71" s="651"/>
      <c r="K71" s="652"/>
      <c r="M71" s="276"/>
    </row>
    <row r="72">
      <c r="A72" s="459"/>
      <c r="C72" s="276"/>
      <c r="D72" s="276"/>
      <c r="E72" s="651"/>
      <c r="F72" s="55"/>
      <c r="G72" s="651"/>
      <c r="H72" s="55"/>
      <c r="I72" s="651"/>
      <c r="K72" s="652"/>
      <c r="M72" s="276"/>
    </row>
    <row r="73">
      <c r="A73" s="459"/>
      <c r="C73" s="276"/>
      <c r="D73" s="276"/>
      <c r="E73" s="651"/>
      <c r="F73" s="55"/>
      <c r="G73" s="651"/>
      <c r="H73" s="55"/>
      <c r="I73" s="651"/>
      <c r="K73" s="652"/>
      <c r="M73" s="276"/>
    </row>
    <row r="74">
      <c r="A74" s="459"/>
      <c r="C74" s="276"/>
      <c r="D74" s="276"/>
      <c r="E74" s="651"/>
      <c r="F74" s="55"/>
      <c r="G74" s="651"/>
      <c r="H74" s="55"/>
      <c r="I74" s="651"/>
      <c r="K74" s="652"/>
      <c r="M74" s="276"/>
    </row>
    <row r="75">
      <c r="A75" s="459"/>
      <c r="C75" s="276"/>
      <c r="D75" s="276"/>
      <c r="E75" s="651"/>
      <c r="F75" s="55"/>
      <c r="G75" s="651"/>
      <c r="H75" s="55"/>
      <c r="I75" s="651"/>
      <c r="K75" s="652"/>
      <c r="M75" s="276"/>
    </row>
    <row r="76">
      <c r="A76" s="459"/>
      <c r="C76" s="276"/>
      <c r="D76" s="276"/>
      <c r="E76" s="651"/>
      <c r="F76" s="55"/>
      <c r="G76" s="651"/>
      <c r="H76" s="55"/>
      <c r="I76" s="651"/>
      <c r="K76" s="652"/>
      <c r="M76" s="276"/>
    </row>
    <row r="77">
      <c r="A77" s="459"/>
      <c r="C77" s="276"/>
      <c r="D77" s="276"/>
      <c r="E77" s="651"/>
      <c r="F77" s="55"/>
      <c r="G77" s="651"/>
      <c r="H77" s="55"/>
      <c r="I77" s="651"/>
      <c r="K77" s="652"/>
      <c r="M77" s="276"/>
    </row>
    <row r="78">
      <c r="A78" s="459"/>
      <c r="C78" s="276"/>
      <c r="D78" s="276"/>
      <c r="E78" s="651"/>
      <c r="F78" s="55"/>
      <c r="G78" s="651"/>
      <c r="H78" s="55"/>
      <c r="I78" s="651"/>
      <c r="K78" s="652"/>
      <c r="M78" s="276"/>
    </row>
    <row r="79">
      <c r="A79" s="459"/>
      <c r="C79" s="276"/>
      <c r="D79" s="276"/>
      <c r="E79" s="651"/>
      <c r="F79" s="55"/>
      <c r="G79" s="651"/>
      <c r="H79" s="55"/>
      <c r="I79" s="651"/>
      <c r="K79" s="652"/>
      <c r="M79" s="276"/>
    </row>
    <row r="80">
      <c r="A80" s="459"/>
      <c r="C80" s="276"/>
      <c r="D80" s="276"/>
      <c r="E80" s="651"/>
      <c r="F80" s="55"/>
      <c r="G80" s="651"/>
      <c r="H80" s="55"/>
      <c r="I80" s="651"/>
      <c r="K80" s="652"/>
      <c r="M80" s="276"/>
    </row>
    <row r="81">
      <c r="A81" s="459"/>
      <c r="C81" s="276"/>
      <c r="D81" s="276"/>
      <c r="E81" s="651"/>
      <c r="F81" s="55"/>
      <c r="G81" s="651"/>
      <c r="H81" s="55"/>
      <c r="I81" s="651"/>
      <c r="K81" s="652"/>
      <c r="M81" s="276"/>
    </row>
    <row r="82">
      <c r="A82" s="459"/>
      <c r="C82" s="276"/>
      <c r="D82" s="276"/>
      <c r="E82" s="651"/>
      <c r="F82" s="55"/>
      <c r="G82" s="651"/>
      <c r="H82" s="55"/>
      <c r="I82" s="651"/>
      <c r="K82" s="652"/>
      <c r="M82" s="276"/>
    </row>
    <row r="83">
      <c r="A83" s="459"/>
      <c r="C83" s="276"/>
      <c r="D83" s="276"/>
      <c r="E83" s="651"/>
      <c r="F83" s="55"/>
      <c r="G83" s="651"/>
      <c r="H83" s="55"/>
      <c r="I83" s="651"/>
      <c r="K83" s="652"/>
      <c r="M83" s="276"/>
    </row>
    <row r="84">
      <c r="A84" s="459"/>
      <c r="C84" s="276"/>
      <c r="D84" s="276"/>
      <c r="E84" s="651"/>
      <c r="F84" s="55"/>
      <c r="G84" s="651"/>
      <c r="H84" s="55"/>
      <c r="I84" s="651"/>
      <c r="K84" s="652"/>
      <c r="M84" s="276"/>
    </row>
    <row r="85">
      <c r="A85" s="459"/>
      <c r="C85" s="276"/>
      <c r="D85" s="276"/>
      <c r="E85" s="651"/>
      <c r="F85" s="55"/>
      <c r="G85" s="651"/>
      <c r="H85" s="55"/>
      <c r="I85" s="651"/>
      <c r="K85" s="652"/>
      <c r="M85" s="276"/>
    </row>
    <row r="86">
      <c r="A86" s="459"/>
      <c r="C86" s="276"/>
      <c r="D86" s="276"/>
      <c r="E86" s="651"/>
      <c r="F86" s="55"/>
      <c r="G86" s="651"/>
      <c r="H86" s="55"/>
      <c r="I86" s="651"/>
      <c r="K86" s="652"/>
      <c r="M86" s="276"/>
    </row>
    <row r="87">
      <c r="A87" s="459"/>
      <c r="C87" s="276"/>
      <c r="D87" s="276"/>
      <c r="E87" s="651"/>
      <c r="F87" s="55"/>
      <c r="G87" s="651"/>
      <c r="H87" s="55"/>
      <c r="I87" s="651"/>
      <c r="K87" s="652"/>
      <c r="M87" s="276"/>
    </row>
    <row r="88">
      <c r="A88" s="459"/>
      <c r="C88" s="276"/>
      <c r="D88" s="276"/>
      <c r="E88" s="651"/>
      <c r="F88" s="55"/>
      <c r="G88" s="651"/>
      <c r="H88" s="55"/>
      <c r="I88" s="651"/>
      <c r="K88" s="652"/>
      <c r="M88" s="276"/>
    </row>
    <row r="89">
      <c r="A89" s="459"/>
      <c r="C89" s="276"/>
      <c r="D89" s="276"/>
      <c r="E89" s="651"/>
      <c r="F89" s="55"/>
      <c r="G89" s="651"/>
      <c r="H89" s="55"/>
      <c r="I89" s="651"/>
      <c r="K89" s="652"/>
      <c r="M89" s="276"/>
    </row>
    <row r="90">
      <c r="A90" s="459"/>
      <c r="C90" s="276"/>
      <c r="D90" s="276"/>
      <c r="E90" s="651"/>
      <c r="F90" s="55"/>
      <c r="G90" s="651"/>
      <c r="H90" s="55"/>
      <c r="I90" s="651"/>
      <c r="K90" s="652"/>
      <c r="M90" s="276"/>
    </row>
    <row r="91">
      <c r="A91" s="459"/>
      <c r="C91" s="276"/>
      <c r="D91" s="276"/>
      <c r="E91" s="651"/>
      <c r="F91" s="55"/>
      <c r="G91" s="651"/>
      <c r="H91" s="55"/>
      <c r="I91" s="651"/>
      <c r="K91" s="652"/>
      <c r="M91" s="276"/>
    </row>
    <row r="92">
      <c r="A92" s="459"/>
      <c r="C92" s="276"/>
      <c r="D92" s="276"/>
      <c r="E92" s="651"/>
      <c r="F92" s="55"/>
      <c r="G92" s="651"/>
      <c r="H92" s="55"/>
      <c r="I92" s="651"/>
      <c r="K92" s="652"/>
      <c r="M92" s="276"/>
    </row>
    <row r="93">
      <c r="A93" s="459"/>
      <c r="C93" s="276"/>
      <c r="D93" s="276"/>
      <c r="E93" s="651"/>
      <c r="F93" s="55"/>
      <c r="G93" s="651"/>
      <c r="H93" s="55"/>
      <c r="I93" s="651"/>
      <c r="K93" s="652"/>
      <c r="M93" s="276"/>
    </row>
    <row r="94">
      <c r="A94" s="459"/>
      <c r="C94" s="276"/>
      <c r="D94" s="276"/>
      <c r="E94" s="651"/>
      <c r="F94" s="55"/>
      <c r="G94" s="651"/>
      <c r="H94" s="55"/>
      <c r="I94" s="651"/>
      <c r="K94" s="652"/>
      <c r="M94" s="276"/>
    </row>
    <row r="95">
      <c r="A95" s="459"/>
      <c r="C95" s="276"/>
      <c r="D95" s="276"/>
      <c r="E95" s="651"/>
      <c r="F95" s="55"/>
      <c r="G95" s="651"/>
      <c r="H95" s="55"/>
      <c r="I95" s="651"/>
      <c r="K95" s="652"/>
      <c r="M95" s="276"/>
    </row>
    <row r="96">
      <c r="A96" s="459"/>
      <c r="C96" s="276"/>
      <c r="D96" s="276"/>
      <c r="E96" s="651"/>
      <c r="F96" s="55"/>
      <c r="G96" s="651"/>
      <c r="H96" s="55"/>
      <c r="I96" s="651"/>
      <c r="K96" s="652"/>
      <c r="M96" s="276"/>
    </row>
    <row r="97">
      <c r="A97" s="459"/>
      <c r="C97" s="276"/>
      <c r="D97" s="276"/>
      <c r="E97" s="651"/>
      <c r="F97" s="55"/>
      <c r="G97" s="651"/>
      <c r="H97" s="55"/>
      <c r="I97" s="651"/>
      <c r="K97" s="652"/>
      <c r="M97" s="276"/>
    </row>
    <row r="98">
      <c r="A98" s="459"/>
      <c r="C98" s="276"/>
      <c r="D98" s="276"/>
      <c r="E98" s="651"/>
      <c r="F98" s="55"/>
      <c r="G98" s="651"/>
      <c r="H98" s="55"/>
      <c r="I98" s="651"/>
      <c r="K98" s="652"/>
      <c r="M98" s="276"/>
    </row>
    <row r="99">
      <c r="A99" s="459"/>
      <c r="C99" s="276"/>
      <c r="D99" s="276"/>
      <c r="E99" s="651"/>
      <c r="F99" s="55"/>
      <c r="G99" s="651"/>
      <c r="H99" s="55"/>
      <c r="I99" s="651"/>
      <c r="K99" s="652"/>
      <c r="M99" s="276"/>
    </row>
    <row r="100">
      <c r="A100" s="459"/>
      <c r="C100" s="276"/>
      <c r="D100" s="276"/>
      <c r="E100" s="651"/>
      <c r="F100" s="55"/>
      <c r="G100" s="651"/>
      <c r="H100" s="55"/>
      <c r="I100" s="651"/>
      <c r="K100" s="652"/>
      <c r="M100" s="276"/>
    </row>
    <row r="101">
      <c r="A101" s="459"/>
      <c r="C101" s="276"/>
      <c r="D101" s="276"/>
      <c r="E101" s="651"/>
      <c r="F101" s="55"/>
      <c r="G101" s="651"/>
      <c r="H101" s="55"/>
      <c r="I101" s="651"/>
      <c r="K101" s="652"/>
      <c r="M101" s="276"/>
    </row>
    <row r="102">
      <c r="A102" s="459"/>
      <c r="C102" s="276"/>
      <c r="D102" s="276"/>
      <c r="E102" s="651"/>
      <c r="F102" s="55"/>
      <c r="G102" s="651"/>
      <c r="H102" s="55"/>
      <c r="I102" s="651"/>
      <c r="K102" s="652"/>
      <c r="M102" s="276"/>
    </row>
    <row r="103">
      <c r="A103" s="459"/>
      <c r="C103" s="276"/>
      <c r="D103" s="276"/>
      <c r="E103" s="651"/>
      <c r="F103" s="55"/>
      <c r="G103" s="651"/>
      <c r="H103" s="55"/>
      <c r="I103" s="651"/>
      <c r="K103" s="652"/>
      <c r="M103" s="276"/>
    </row>
    <row r="104">
      <c r="A104" s="459"/>
      <c r="C104" s="276"/>
      <c r="D104" s="276"/>
      <c r="E104" s="651"/>
      <c r="F104" s="55"/>
      <c r="G104" s="651"/>
      <c r="H104" s="55"/>
      <c r="I104" s="651"/>
      <c r="K104" s="652"/>
      <c r="M104" s="276"/>
    </row>
    <row r="105">
      <c r="A105" s="459"/>
      <c r="C105" s="276"/>
      <c r="D105" s="276"/>
      <c r="E105" s="651"/>
      <c r="F105" s="55"/>
      <c r="G105" s="651"/>
      <c r="H105" s="55"/>
      <c r="I105" s="651"/>
      <c r="K105" s="652"/>
      <c r="M105" s="276"/>
    </row>
    <row r="106">
      <c r="A106" s="459"/>
      <c r="C106" s="276"/>
      <c r="D106" s="276"/>
      <c r="E106" s="651"/>
      <c r="F106" s="55"/>
      <c r="G106" s="651"/>
      <c r="H106" s="55"/>
      <c r="I106" s="651"/>
      <c r="K106" s="652"/>
      <c r="M106" s="276"/>
    </row>
    <row r="107">
      <c r="A107" s="459"/>
      <c r="C107" s="276"/>
      <c r="D107" s="276"/>
      <c r="E107" s="651"/>
      <c r="F107" s="55"/>
      <c r="G107" s="651"/>
      <c r="H107" s="55"/>
      <c r="I107" s="651"/>
      <c r="K107" s="652"/>
      <c r="M107" s="276"/>
    </row>
    <row r="108">
      <c r="A108" s="459"/>
      <c r="C108" s="276"/>
      <c r="D108" s="276"/>
      <c r="E108" s="651"/>
      <c r="F108" s="55"/>
      <c r="G108" s="651"/>
      <c r="H108" s="55"/>
      <c r="I108" s="651"/>
      <c r="K108" s="652"/>
      <c r="M108" s="276"/>
    </row>
    <row r="109">
      <c r="A109" s="459"/>
      <c r="C109" s="276"/>
      <c r="D109" s="276"/>
      <c r="E109" s="651"/>
      <c r="F109" s="55"/>
      <c r="G109" s="651"/>
      <c r="H109" s="55"/>
      <c r="I109" s="651"/>
      <c r="K109" s="652"/>
      <c r="M109" s="276"/>
    </row>
    <row r="110">
      <c r="A110" s="459"/>
      <c r="C110" s="276"/>
      <c r="D110" s="276"/>
      <c r="E110" s="651"/>
      <c r="F110" s="55"/>
      <c r="G110" s="651"/>
      <c r="H110" s="55"/>
      <c r="I110" s="651"/>
      <c r="K110" s="652"/>
      <c r="M110" s="276"/>
    </row>
    <row r="111">
      <c r="A111" s="459"/>
      <c r="C111" s="276"/>
      <c r="D111" s="276"/>
      <c r="E111" s="651"/>
      <c r="F111" s="55"/>
      <c r="G111" s="651"/>
      <c r="H111" s="55"/>
      <c r="I111" s="651"/>
      <c r="K111" s="652"/>
      <c r="M111" s="276"/>
    </row>
    <row r="112">
      <c r="A112" s="459"/>
      <c r="C112" s="276"/>
      <c r="D112" s="276"/>
      <c r="E112" s="651"/>
      <c r="F112" s="55"/>
      <c r="G112" s="651"/>
      <c r="H112" s="55"/>
      <c r="I112" s="651"/>
      <c r="K112" s="652"/>
      <c r="M112" s="276"/>
    </row>
    <row r="113">
      <c r="A113" s="459"/>
      <c r="C113" s="276"/>
      <c r="D113" s="276"/>
      <c r="E113" s="651"/>
      <c r="F113" s="55"/>
      <c r="G113" s="651"/>
      <c r="H113" s="55"/>
      <c r="I113" s="651"/>
      <c r="K113" s="652"/>
      <c r="M113" s="276"/>
    </row>
    <row r="114">
      <c r="A114" s="459"/>
      <c r="C114" s="276"/>
      <c r="D114" s="276"/>
      <c r="E114" s="651"/>
      <c r="F114" s="55"/>
      <c r="G114" s="651"/>
      <c r="H114" s="55"/>
      <c r="I114" s="651"/>
      <c r="K114" s="652"/>
      <c r="M114" s="276"/>
    </row>
    <row r="115">
      <c r="A115" s="459"/>
      <c r="C115" s="276"/>
      <c r="D115" s="276"/>
      <c r="E115" s="651"/>
      <c r="F115" s="55"/>
      <c r="G115" s="651"/>
      <c r="H115" s="55"/>
      <c r="I115" s="651"/>
      <c r="K115" s="652"/>
      <c r="M115" s="276"/>
    </row>
    <row r="116">
      <c r="A116" s="459"/>
      <c r="C116" s="276"/>
      <c r="D116" s="276"/>
      <c r="E116" s="651"/>
      <c r="F116" s="55"/>
      <c r="G116" s="651"/>
      <c r="H116" s="55"/>
      <c r="I116" s="651"/>
      <c r="K116" s="652"/>
      <c r="M116" s="276"/>
    </row>
    <row r="117">
      <c r="A117" s="459"/>
      <c r="C117" s="276"/>
      <c r="D117" s="276"/>
      <c r="E117" s="651"/>
      <c r="F117" s="55"/>
      <c r="G117" s="651"/>
      <c r="H117" s="55"/>
      <c r="I117" s="651"/>
      <c r="K117" s="652"/>
      <c r="M117" s="276"/>
    </row>
    <row r="118">
      <c r="A118" s="459"/>
      <c r="C118" s="276"/>
      <c r="D118" s="276"/>
      <c r="E118" s="651"/>
      <c r="F118" s="55"/>
      <c r="G118" s="651"/>
      <c r="H118" s="55"/>
      <c r="I118" s="651"/>
      <c r="K118" s="652"/>
      <c r="M118" s="276"/>
    </row>
    <row r="119">
      <c r="A119" s="459"/>
      <c r="C119" s="276"/>
      <c r="D119" s="276"/>
      <c r="E119" s="651"/>
      <c r="F119" s="55"/>
      <c r="G119" s="651"/>
      <c r="H119" s="55"/>
      <c r="I119" s="651"/>
      <c r="K119" s="652"/>
      <c r="M119" s="276"/>
    </row>
    <row r="120">
      <c r="A120" s="459"/>
      <c r="C120" s="276"/>
      <c r="D120" s="276"/>
      <c r="E120" s="651"/>
      <c r="F120" s="55"/>
      <c r="G120" s="651"/>
      <c r="H120" s="55"/>
      <c r="I120" s="651"/>
      <c r="K120" s="652"/>
      <c r="M120" s="276"/>
    </row>
    <row r="121">
      <c r="A121" s="459"/>
      <c r="C121" s="276"/>
      <c r="D121" s="276"/>
      <c r="E121" s="651"/>
      <c r="F121" s="55"/>
      <c r="G121" s="651"/>
      <c r="H121" s="55"/>
      <c r="I121" s="651"/>
      <c r="K121" s="652"/>
      <c r="M121" s="276"/>
    </row>
    <row r="122">
      <c r="A122" s="459"/>
      <c r="C122" s="276"/>
      <c r="D122" s="276"/>
      <c r="E122" s="651"/>
      <c r="F122" s="55"/>
      <c r="G122" s="651"/>
      <c r="H122" s="55"/>
      <c r="I122" s="651"/>
      <c r="K122" s="652"/>
      <c r="M122" s="276"/>
    </row>
    <row r="123">
      <c r="A123" s="459"/>
      <c r="C123" s="276"/>
      <c r="D123" s="276"/>
      <c r="E123" s="651"/>
      <c r="F123" s="55"/>
      <c r="G123" s="651"/>
      <c r="H123" s="55"/>
      <c r="I123" s="651"/>
      <c r="K123" s="652"/>
      <c r="M123" s="276"/>
    </row>
    <row r="124">
      <c r="A124" s="459"/>
      <c r="C124" s="276"/>
      <c r="D124" s="276"/>
      <c r="E124" s="651"/>
      <c r="F124" s="55"/>
      <c r="G124" s="651"/>
      <c r="H124" s="55"/>
      <c r="I124" s="651"/>
      <c r="K124" s="652"/>
      <c r="M124" s="276"/>
    </row>
    <row r="125">
      <c r="A125" s="459"/>
      <c r="C125" s="276"/>
      <c r="D125" s="276"/>
      <c r="E125" s="651"/>
      <c r="F125" s="55"/>
      <c r="G125" s="651"/>
      <c r="H125" s="55"/>
      <c r="I125" s="651"/>
      <c r="K125" s="652"/>
      <c r="M125" s="276"/>
    </row>
    <row r="126">
      <c r="A126" s="459"/>
      <c r="C126" s="276"/>
      <c r="D126" s="276"/>
      <c r="E126" s="651"/>
      <c r="F126" s="55"/>
      <c r="G126" s="651"/>
      <c r="H126" s="55"/>
      <c r="I126" s="651"/>
      <c r="K126" s="652"/>
      <c r="M126" s="276"/>
    </row>
    <row r="127">
      <c r="A127" s="459"/>
      <c r="C127" s="276"/>
      <c r="D127" s="276"/>
      <c r="E127" s="651"/>
      <c r="F127" s="55"/>
      <c r="G127" s="651"/>
      <c r="H127" s="55"/>
      <c r="I127" s="651"/>
      <c r="K127" s="652"/>
      <c r="M127" s="276"/>
    </row>
    <row r="128">
      <c r="A128" s="459"/>
      <c r="C128" s="276"/>
      <c r="D128" s="276"/>
      <c r="E128" s="651"/>
      <c r="F128" s="55"/>
      <c r="G128" s="651"/>
      <c r="H128" s="55"/>
      <c r="I128" s="651"/>
      <c r="K128" s="652"/>
      <c r="M128" s="276"/>
    </row>
    <row r="129">
      <c r="A129" s="459"/>
      <c r="C129" s="276"/>
      <c r="D129" s="276"/>
      <c r="E129" s="651"/>
      <c r="F129" s="55"/>
      <c r="G129" s="651"/>
      <c r="H129" s="55"/>
      <c r="I129" s="651"/>
      <c r="K129" s="652"/>
      <c r="M129" s="276"/>
    </row>
    <row r="130">
      <c r="A130" s="459"/>
      <c r="C130" s="276"/>
      <c r="D130" s="276"/>
      <c r="E130" s="651"/>
      <c r="F130" s="55"/>
      <c r="G130" s="651"/>
      <c r="H130" s="55"/>
      <c r="I130" s="651"/>
      <c r="K130" s="652"/>
      <c r="M130" s="276"/>
    </row>
    <row r="131">
      <c r="A131" s="459"/>
      <c r="C131" s="276"/>
      <c r="D131" s="276"/>
      <c r="E131" s="651"/>
      <c r="F131" s="55"/>
      <c r="G131" s="651"/>
      <c r="H131" s="55"/>
      <c r="I131" s="651"/>
      <c r="K131" s="652"/>
      <c r="M131" s="276"/>
    </row>
    <row r="132">
      <c r="A132" s="459"/>
      <c r="C132" s="276"/>
      <c r="D132" s="276"/>
      <c r="E132" s="651"/>
      <c r="F132" s="55"/>
      <c r="G132" s="651"/>
      <c r="H132" s="55"/>
      <c r="I132" s="651"/>
      <c r="K132" s="652"/>
      <c r="M132" s="276"/>
    </row>
    <row r="133">
      <c r="A133" s="459"/>
      <c r="C133" s="276"/>
      <c r="D133" s="276"/>
      <c r="E133" s="651"/>
      <c r="F133" s="55"/>
      <c r="G133" s="651"/>
      <c r="H133" s="55"/>
      <c r="I133" s="651"/>
      <c r="K133" s="652"/>
      <c r="M133" s="276"/>
    </row>
    <row r="134">
      <c r="A134" s="459"/>
      <c r="C134" s="276"/>
      <c r="D134" s="276"/>
      <c r="E134" s="651"/>
      <c r="F134" s="55"/>
      <c r="G134" s="651"/>
      <c r="H134" s="55"/>
      <c r="I134" s="651"/>
      <c r="K134" s="652"/>
      <c r="M134" s="276"/>
    </row>
    <row r="135">
      <c r="A135" s="459"/>
      <c r="C135" s="276"/>
      <c r="D135" s="276"/>
      <c r="E135" s="651"/>
      <c r="F135" s="55"/>
      <c r="G135" s="651"/>
      <c r="H135" s="55"/>
      <c r="I135" s="651"/>
      <c r="K135" s="652"/>
      <c r="M135" s="276"/>
    </row>
    <row r="136">
      <c r="A136" s="459"/>
      <c r="C136" s="276"/>
      <c r="D136" s="276"/>
      <c r="E136" s="651"/>
      <c r="F136" s="55"/>
      <c r="G136" s="651"/>
      <c r="H136" s="55"/>
      <c r="I136" s="651"/>
      <c r="K136" s="652"/>
      <c r="M136" s="276"/>
    </row>
    <row r="137">
      <c r="A137" s="459"/>
      <c r="C137" s="276"/>
      <c r="D137" s="276"/>
      <c r="E137" s="651"/>
      <c r="F137" s="55"/>
      <c r="G137" s="651"/>
      <c r="H137" s="55"/>
      <c r="I137" s="651"/>
      <c r="K137" s="652"/>
      <c r="M137" s="276"/>
    </row>
    <row r="138">
      <c r="A138" s="459"/>
      <c r="C138" s="276"/>
      <c r="D138" s="276"/>
      <c r="E138" s="651"/>
      <c r="F138" s="55"/>
      <c r="G138" s="651"/>
      <c r="H138" s="55"/>
      <c r="I138" s="651"/>
      <c r="K138" s="652"/>
      <c r="M138" s="276"/>
    </row>
    <row r="139">
      <c r="A139" s="459"/>
      <c r="C139" s="276"/>
      <c r="D139" s="276"/>
      <c r="E139" s="651"/>
      <c r="F139" s="55"/>
      <c r="G139" s="651"/>
      <c r="H139" s="55"/>
      <c r="I139" s="651"/>
      <c r="K139" s="652"/>
      <c r="M139" s="276"/>
    </row>
    <row r="140">
      <c r="A140" s="459"/>
      <c r="C140" s="276"/>
      <c r="D140" s="276"/>
      <c r="E140" s="651"/>
      <c r="F140" s="55"/>
      <c r="G140" s="651"/>
      <c r="H140" s="55"/>
      <c r="I140" s="651"/>
      <c r="K140" s="652"/>
      <c r="M140" s="276"/>
    </row>
    <row r="141">
      <c r="A141" s="459"/>
      <c r="C141" s="276"/>
      <c r="D141" s="276"/>
      <c r="E141" s="651"/>
      <c r="F141" s="55"/>
      <c r="G141" s="651"/>
      <c r="H141" s="55"/>
      <c r="I141" s="651"/>
      <c r="K141" s="652"/>
      <c r="M141" s="276"/>
    </row>
    <row r="142">
      <c r="A142" s="459"/>
      <c r="C142" s="276"/>
      <c r="D142" s="276"/>
      <c r="E142" s="651"/>
      <c r="F142" s="55"/>
      <c r="G142" s="651"/>
      <c r="H142" s="55"/>
      <c r="I142" s="651"/>
      <c r="K142" s="652"/>
      <c r="M142" s="276"/>
    </row>
    <row r="143">
      <c r="A143" s="459"/>
      <c r="C143" s="276"/>
      <c r="D143" s="276"/>
      <c r="E143" s="651"/>
      <c r="F143" s="55"/>
      <c r="G143" s="651"/>
      <c r="H143" s="55"/>
      <c r="I143" s="651"/>
      <c r="K143" s="652"/>
      <c r="M143" s="276"/>
    </row>
    <row r="144">
      <c r="A144" s="459"/>
      <c r="C144" s="276"/>
      <c r="D144" s="276"/>
      <c r="E144" s="651"/>
      <c r="F144" s="55"/>
      <c r="G144" s="651"/>
      <c r="H144" s="55"/>
      <c r="I144" s="651"/>
      <c r="K144" s="652"/>
      <c r="M144" s="276"/>
    </row>
    <row r="145">
      <c r="A145" s="459"/>
      <c r="C145" s="276"/>
      <c r="D145" s="276"/>
      <c r="E145" s="651"/>
      <c r="F145" s="55"/>
      <c r="G145" s="651"/>
      <c r="H145" s="55"/>
      <c r="I145" s="651"/>
      <c r="K145" s="652"/>
      <c r="M145" s="276"/>
    </row>
    <row r="146">
      <c r="A146" s="459"/>
      <c r="C146" s="276"/>
      <c r="D146" s="276"/>
      <c r="E146" s="651"/>
      <c r="F146" s="55"/>
      <c r="G146" s="651"/>
      <c r="H146" s="55"/>
      <c r="I146" s="651"/>
      <c r="K146" s="652"/>
      <c r="M146" s="276"/>
    </row>
    <row r="147">
      <c r="A147" s="459"/>
      <c r="C147" s="276"/>
      <c r="D147" s="276"/>
      <c r="E147" s="651"/>
      <c r="F147" s="55"/>
      <c r="G147" s="651"/>
      <c r="H147" s="55"/>
      <c r="I147" s="651"/>
      <c r="K147" s="652"/>
      <c r="M147" s="276"/>
    </row>
    <row r="148">
      <c r="A148" s="459"/>
      <c r="C148" s="276"/>
      <c r="D148" s="276"/>
      <c r="E148" s="651"/>
      <c r="F148" s="55"/>
      <c r="G148" s="651"/>
      <c r="H148" s="55"/>
      <c r="I148" s="651"/>
      <c r="K148" s="652"/>
      <c r="M148" s="276"/>
    </row>
    <row r="149">
      <c r="A149" s="459"/>
      <c r="C149" s="276"/>
      <c r="D149" s="276"/>
      <c r="E149" s="651"/>
      <c r="F149" s="55"/>
      <c r="G149" s="651"/>
      <c r="H149" s="55"/>
      <c r="I149" s="651"/>
      <c r="K149" s="652"/>
      <c r="M149" s="276"/>
    </row>
    <row r="150">
      <c r="A150" s="459"/>
      <c r="C150" s="276"/>
      <c r="D150" s="276"/>
      <c r="E150" s="651"/>
      <c r="F150" s="55"/>
      <c r="G150" s="651"/>
      <c r="H150" s="55"/>
      <c r="I150" s="651"/>
      <c r="K150" s="652"/>
      <c r="M150" s="276"/>
    </row>
    <row r="151">
      <c r="A151" s="459"/>
      <c r="C151" s="276"/>
      <c r="D151" s="276"/>
      <c r="E151" s="651"/>
      <c r="F151" s="55"/>
      <c r="G151" s="651"/>
      <c r="H151" s="55"/>
      <c r="I151" s="651"/>
      <c r="K151" s="652"/>
      <c r="M151" s="276"/>
    </row>
    <row r="152">
      <c r="A152" s="459"/>
      <c r="C152" s="276"/>
      <c r="D152" s="276"/>
      <c r="E152" s="651"/>
      <c r="F152" s="55"/>
      <c r="G152" s="651"/>
      <c r="H152" s="55"/>
      <c r="I152" s="651"/>
      <c r="K152" s="652"/>
      <c r="M152" s="276"/>
    </row>
    <row r="153">
      <c r="A153" s="459"/>
      <c r="C153" s="276"/>
      <c r="D153" s="276"/>
      <c r="E153" s="651"/>
      <c r="F153" s="55"/>
      <c r="G153" s="651"/>
      <c r="H153" s="55"/>
      <c r="I153" s="651"/>
      <c r="K153" s="652"/>
      <c r="M153" s="276"/>
    </row>
    <row r="154">
      <c r="A154" s="459"/>
      <c r="C154" s="276"/>
      <c r="D154" s="276"/>
      <c r="E154" s="651"/>
      <c r="F154" s="55"/>
      <c r="G154" s="651"/>
      <c r="H154" s="55"/>
      <c r="I154" s="651"/>
      <c r="K154" s="652"/>
      <c r="M154" s="276"/>
    </row>
    <row r="155">
      <c r="A155" s="459"/>
      <c r="C155" s="276"/>
      <c r="D155" s="276"/>
      <c r="E155" s="651"/>
      <c r="F155" s="55"/>
      <c r="G155" s="651"/>
      <c r="H155" s="55"/>
      <c r="I155" s="651"/>
      <c r="K155" s="652"/>
      <c r="M155" s="276"/>
    </row>
    <row r="156">
      <c r="A156" s="459"/>
      <c r="C156" s="276"/>
      <c r="D156" s="276"/>
      <c r="E156" s="651"/>
      <c r="F156" s="55"/>
      <c r="G156" s="651"/>
      <c r="H156" s="55"/>
      <c r="I156" s="651"/>
      <c r="K156" s="652"/>
      <c r="M156" s="276"/>
    </row>
    <row r="157">
      <c r="A157" s="459"/>
      <c r="C157" s="276"/>
      <c r="D157" s="276"/>
      <c r="E157" s="651"/>
      <c r="F157" s="55"/>
      <c r="G157" s="651"/>
      <c r="H157" s="55"/>
      <c r="I157" s="651"/>
      <c r="K157" s="652"/>
      <c r="M157" s="276"/>
    </row>
    <row r="158">
      <c r="A158" s="459"/>
      <c r="C158" s="276"/>
      <c r="D158" s="276"/>
      <c r="E158" s="651"/>
      <c r="F158" s="55"/>
      <c r="G158" s="651"/>
      <c r="H158" s="55"/>
      <c r="I158" s="651"/>
      <c r="K158" s="652"/>
      <c r="M158" s="276"/>
    </row>
    <row r="159">
      <c r="A159" s="459"/>
      <c r="C159" s="276"/>
      <c r="D159" s="276"/>
      <c r="E159" s="651"/>
      <c r="F159" s="55"/>
      <c r="G159" s="651"/>
      <c r="H159" s="55"/>
      <c r="I159" s="651"/>
      <c r="K159" s="652"/>
      <c r="M159" s="276"/>
    </row>
    <row r="160">
      <c r="A160" s="459"/>
      <c r="C160" s="276"/>
      <c r="D160" s="276"/>
      <c r="E160" s="651"/>
      <c r="F160" s="55"/>
      <c r="G160" s="651"/>
      <c r="H160" s="55"/>
      <c r="I160" s="651"/>
      <c r="K160" s="652"/>
      <c r="M160" s="276"/>
    </row>
    <row r="161">
      <c r="A161" s="459"/>
      <c r="C161" s="276"/>
      <c r="D161" s="276"/>
      <c r="E161" s="651"/>
      <c r="F161" s="55"/>
      <c r="G161" s="651"/>
      <c r="H161" s="55"/>
      <c r="I161" s="651"/>
      <c r="K161" s="652"/>
      <c r="M161" s="276"/>
    </row>
    <row r="162">
      <c r="A162" s="459"/>
      <c r="C162" s="276"/>
      <c r="D162" s="276"/>
      <c r="E162" s="651"/>
      <c r="F162" s="55"/>
      <c r="G162" s="651"/>
      <c r="H162" s="55"/>
      <c r="I162" s="651"/>
      <c r="K162" s="652"/>
      <c r="M162" s="276"/>
    </row>
    <row r="163">
      <c r="A163" s="459"/>
      <c r="C163" s="276"/>
      <c r="D163" s="276"/>
      <c r="E163" s="651"/>
      <c r="F163" s="55"/>
      <c r="G163" s="651"/>
      <c r="H163" s="55"/>
      <c r="I163" s="651"/>
      <c r="K163" s="652"/>
      <c r="M163" s="276"/>
    </row>
    <row r="164">
      <c r="A164" s="459"/>
      <c r="C164" s="276"/>
      <c r="D164" s="276"/>
      <c r="E164" s="651"/>
      <c r="F164" s="55"/>
      <c r="G164" s="651"/>
      <c r="H164" s="55"/>
      <c r="I164" s="651"/>
      <c r="K164" s="652"/>
      <c r="M164" s="276"/>
    </row>
    <row r="165">
      <c r="A165" s="459"/>
      <c r="C165" s="276"/>
      <c r="D165" s="276"/>
      <c r="E165" s="651"/>
      <c r="F165" s="55"/>
      <c r="G165" s="651"/>
      <c r="H165" s="55"/>
      <c r="I165" s="651"/>
      <c r="K165" s="652"/>
      <c r="M165" s="276"/>
    </row>
    <row r="166">
      <c r="A166" s="459"/>
      <c r="C166" s="276"/>
      <c r="D166" s="276"/>
      <c r="E166" s="651"/>
      <c r="F166" s="55"/>
      <c r="G166" s="651"/>
      <c r="H166" s="55"/>
      <c r="I166" s="651"/>
      <c r="K166" s="652"/>
      <c r="M166" s="276"/>
    </row>
    <row r="167">
      <c r="A167" s="459"/>
      <c r="C167" s="276"/>
      <c r="D167" s="276"/>
      <c r="E167" s="651"/>
      <c r="F167" s="55"/>
      <c r="G167" s="651"/>
      <c r="H167" s="55"/>
      <c r="I167" s="651"/>
      <c r="K167" s="652"/>
      <c r="M167" s="276"/>
    </row>
    <row r="168">
      <c r="A168" s="459"/>
      <c r="C168" s="276"/>
      <c r="D168" s="276"/>
      <c r="E168" s="651"/>
      <c r="F168" s="55"/>
      <c r="G168" s="651"/>
      <c r="H168" s="55"/>
      <c r="I168" s="651"/>
      <c r="K168" s="652"/>
      <c r="M168" s="276"/>
    </row>
    <row r="169">
      <c r="A169" s="459"/>
      <c r="C169" s="276"/>
      <c r="D169" s="276"/>
      <c r="E169" s="651"/>
      <c r="F169" s="55"/>
      <c r="G169" s="651"/>
      <c r="H169" s="55"/>
      <c r="I169" s="651"/>
      <c r="K169" s="652"/>
      <c r="M169" s="276"/>
    </row>
    <row r="170">
      <c r="A170" s="459"/>
      <c r="C170" s="276"/>
      <c r="D170" s="276"/>
      <c r="E170" s="651"/>
      <c r="F170" s="55"/>
      <c r="G170" s="651"/>
      <c r="H170" s="55"/>
      <c r="I170" s="651"/>
      <c r="K170" s="652"/>
      <c r="M170" s="276"/>
    </row>
    <row r="171">
      <c r="A171" s="459"/>
      <c r="C171" s="276"/>
      <c r="D171" s="276"/>
      <c r="E171" s="651"/>
      <c r="F171" s="55"/>
      <c r="G171" s="651"/>
      <c r="H171" s="55"/>
      <c r="I171" s="651"/>
      <c r="K171" s="652"/>
      <c r="M171" s="276"/>
    </row>
    <row r="172">
      <c r="A172" s="459"/>
      <c r="C172" s="276"/>
      <c r="D172" s="276"/>
      <c r="E172" s="651"/>
      <c r="F172" s="55"/>
      <c r="G172" s="651"/>
      <c r="H172" s="55"/>
      <c r="I172" s="651"/>
      <c r="K172" s="652"/>
      <c r="M172" s="276"/>
    </row>
    <row r="173">
      <c r="A173" s="459"/>
      <c r="C173" s="276"/>
      <c r="D173" s="276"/>
      <c r="E173" s="651"/>
      <c r="F173" s="55"/>
      <c r="G173" s="651"/>
      <c r="H173" s="55"/>
      <c r="I173" s="651"/>
      <c r="K173" s="652"/>
      <c r="M173" s="276"/>
    </row>
    <row r="174">
      <c r="A174" s="459"/>
      <c r="C174" s="276"/>
      <c r="D174" s="276"/>
      <c r="E174" s="651"/>
      <c r="F174" s="55"/>
      <c r="G174" s="651"/>
      <c r="H174" s="55"/>
      <c r="I174" s="651"/>
      <c r="K174" s="652"/>
      <c r="M174" s="276"/>
    </row>
    <row r="175">
      <c r="A175" s="459"/>
      <c r="C175" s="276"/>
      <c r="D175" s="276"/>
      <c r="E175" s="651"/>
      <c r="F175" s="55"/>
      <c r="G175" s="651"/>
      <c r="H175" s="55"/>
      <c r="I175" s="651"/>
      <c r="K175" s="652"/>
      <c r="M175" s="276"/>
    </row>
    <row r="176">
      <c r="A176" s="459"/>
      <c r="C176" s="276"/>
      <c r="D176" s="276"/>
      <c r="E176" s="651"/>
      <c r="F176" s="55"/>
      <c r="G176" s="651"/>
      <c r="H176" s="55"/>
      <c r="I176" s="651"/>
      <c r="K176" s="652"/>
      <c r="M176" s="276"/>
    </row>
    <row r="177">
      <c r="A177" s="459"/>
      <c r="C177" s="276"/>
      <c r="D177" s="276"/>
      <c r="E177" s="651"/>
      <c r="F177" s="55"/>
      <c r="G177" s="651"/>
      <c r="H177" s="55"/>
      <c r="I177" s="651"/>
      <c r="K177" s="652"/>
      <c r="M177" s="276"/>
    </row>
    <row r="178">
      <c r="A178" s="459"/>
      <c r="C178" s="276"/>
      <c r="D178" s="276"/>
      <c r="E178" s="651"/>
      <c r="F178" s="55"/>
      <c r="G178" s="651"/>
      <c r="H178" s="55"/>
      <c r="I178" s="651"/>
      <c r="K178" s="652"/>
      <c r="M178" s="276"/>
    </row>
    <row r="179">
      <c r="A179" s="459"/>
      <c r="C179" s="276"/>
      <c r="D179" s="276"/>
      <c r="E179" s="651"/>
      <c r="F179" s="55"/>
      <c r="G179" s="651"/>
      <c r="H179" s="55"/>
      <c r="I179" s="651"/>
      <c r="K179" s="652"/>
      <c r="M179" s="276"/>
    </row>
    <row r="180">
      <c r="A180" s="459"/>
      <c r="C180" s="276"/>
      <c r="D180" s="276"/>
      <c r="E180" s="651"/>
      <c r="F180" s="55"/>
      <c r="G180" s="651"/>
      <c r="H180" s="55"/>
      <c r="I180" s="651"/>
      <c r="K180" s="652"/>
      <c r="M180" s="276"/>
    </row>
    <row r="181">
      <c r="A181" s="459"/>
      <c r="C181" s="276"/>
      <c r="D181" s="276"/>
      <c r="E181" s="651"/>
      <c r="F181" s="55"/>
      <c r="G181" s="651"/>
      <c r="H181" s="55"/>
      <c r="I181" s="651"/>
      <c r="K181" s="652"/>
      <c r="M181" s="276"/>
    </row>
    <row r="182">
      <c r="A182" s="459"/>
      <c r="C182" s="276"/>
      <c r="D182" s="276"/>
      <c r="E182" s="651"/>
      <c r="F182" s="55"/>
      <c r="G182" s="651"/>
      <c r="H182" s="55"/>
      <c r="I182" s="651"/>
      <c r="K182" s="652"/>
      <c r="M182" s="276"/>
    </row>
    <row r="183">
      <c r="A183" s="459"/>
      <c r="C183" s="276"/>
      <c r="D183" s="276"/>
      <c r="E183" s="651"/>
      <c r="F183" s="55"/>
      <c r="G183" s="651"/>
      <c r="H183" s="55"/>
      <c r="I183" s="651"/>
      <c r="K183" s="652"/>
      <c r="M183" s="276"/>
    </row>
    <row r="184">
      <c r="A184" s="459"/>
      <c r="C184" s="276"/>
      <c r="D184" s="276"/>
      <c r="E184" s="651"/>
      <c r="F184" s="55"/>
      <c r="G184" s="651"/>
      <c r="H184" s="55"/>
      <c r="I184" s="651"/>
      <c r="K184" s="652"/>
      <c r="M184" s="276"/>
    </row>
    <row r="185">
      <c r="A185" s="459"/>
      <c r="C185" s="276"/>
      <c r="D185" s="276"/>
      <c r="E185" s="651"/>
      <c r="F185" s="55"/>
      <c r="G185" s="651"/>
      <c r="H185" s="55"/>
      <c r="I185" s="651"/>
      <c r="K185" s="652"/>
      <c r="M185" s="276"/>
    </row>
    <row r="186">
      <c r="A186" s="459"/>
      <c r="C186" s="276"/>
      <c r="D186" s="276"/>
      <c r="E186" s="651"/>
      <c r="F186" s="55"/>
      <c r="G186" s="651"/>
      <c r="H186" s="55"/>
      <c r="I186" s="651"/>
      <c r="K186" s="652"/>
      <c r="M186" s="276"/>
    </row>
    <row r="187">
      <c r="A187" s="459"/>
      <c r="C187" s="276"/>
      <c r="D187" s="276"/>
      <c r="E187" s="651"/>
      <c r="F187" s="55"/>
      <c r="G187" s="651"/>
      <c r="H187" s="55"/>
      <c r="I187" s="651"/>
      <c r="K187" s="652"/>
      <c r="M187" s="276"/>
    </row>
    <row r="188">
      <c r="A188" s="459"/>
      <c r="C188" s="276"/>
      <c r="D188" s="276"/>
      <c r="E188" s="651"/>
      <c r="F188" s="55"/>
      <c r="G188" s="651"/>
      <c r="H188" s="55"/>
      <c r="I188" s="651"/>
      <c r="K188" s="652"/>
      <c r="M188" s="276"/>
    </row>
    <row r="189">
      <c r="A189" s="459"/>
      <c r="C189" s="276"/>
      <c r="D189" s="276"/>
      <c r="E189" s="651"/>
      <c r="F189" s="55"/>
      <c r="G189" s="651"/>
      <c r="H189" s="55"/>
      <c r="I189" s="651"/>
      <c r="K189" s="652"/>
      <c r="M189" s="276"/>
    </row>
    <row r="190">
      <c r="A190" s="459"/>
      <c r="C190" s="276"/>
      <c r="D190" s="276"/>
      <c r="E190" s="651"/>
      <c r="F190" s="55"/>
      <c r="G190" s="651"/>
      <c r="H190" s="55"/>
      <c r="I190" s="651"/>
      <c r="K190" s="652"/>
      <c r="M190" s="276"/>
    </row>
    <row r="191">
      <c r="A191" s="459"/>
      <c r="C191" s="276"/>
      <c r="D191" s="276"/>
      <c r="E191" s="651"/>
      <c r="F191" s="55"/>
      <c r="G191" s="651"/>
      <c r="H191" s="55"/>
      <c r="I191" s="651"/>
      <c r="K191" s="652"/>
      <c r="M191" s="276"/>
    </row>
    <row r="192">
      <c r="A192" s="459"/>
      <c r="C192" s="276"/>
      <c r="D192" s="276"/>
      <c r="E192" s="651"/>
      <c r="F192" s="55"/>
      <c r="G192" s="651"/>
      <c r="H192" s="55"/>
      <c r="I192" s="651"/>
      <c r="K192" s="652"/>
      <c r="M192" s="276"/>
    </row>
    <row r="193">
      <c r="A193" s="459"/>
      <c r="C193" s="276"/>
      <c r="D193" s="276"/>
      <c r="E193" s="651"/>
      <c r="F193" s="55"/>
      <c r="G193" s="651"/>
      <c r="H193" s="55"/>
      <c r="I193" s="651"/>
      <c r="K193" s="652"/>
      <c r="M193" s="276"/>
    </row>
    <row r="194">
      <c r="A194" s="459"/>
      <c r="C194" s="276"/>
      <c r="D194" s="276"/>
      <c r="E194" s="651"/>
      <c r="F194" s="55"/>
      <c r="G194" s="651"/>
      <c r="H194" s="55"/>
      <c r="I194" s="651"/>
      <c r="K194" s="652"/>
      <c r="M194" s="276"/>
    </row>
    <row r="195">
      <c r="A195" s="459"/>
      <c r="C195" s="276"/>
      <c r="D195" s="276"/>
      <c r="E195" s="651"/>
      <c r="F195" s="55"/>
      <c r="G195" s="651"/>
      <c r="H195" s="55"/>
      <c r="I195" s="651"/>
      <c r="K195" s="652"/>
      <c r="M195" s="276"/>
    </row>
    <row r="196">
      <c r="A196" s="459"/>
      <c r="C196" s="276"/>
      <c r="D196" s="276"/>
      <c r="E196" s="651"/>
      <c r="F196" s="55"/>
      <c r="G196" s="651"/>
      <c r="H196" s="55"/>
      <c r="I196" s="651"/>
      <c r="K196" s="652"/>
      <c r="M196" s="276"/>
    </row>
    <row r="197">
      <c r="A197" s="459"/>
      <c r="C197" s="276"/>
      <c r="D197" s="276"/>
      <c r="E197" s="651"/>
      <c r="F197" s="55"/>
      <c r="G197" s="651"/>
      <c r="H197" s="55"/>
      <c r="I197" s="651"/>
      <c r="K197" s="652"/>
      <c r="M197" s="276"/>
    </row>
    <row r="198">
      <c r="A198" s="459"/>
      <c r="C198" s="276"/>
      <c r="D198" s="276"/>
      <c r="E198" s="651"/>
      <c r="F198" s="55"/>
      <c r="G198" s="651"/>
      <c r="H198" s="55"/>
      <c r="I198" s="651"/>
      <c r="K198" s="652"/>
      <c r="M198" s="276"/>
    </row>
    <row r="199">
      <c r="A199" s="459"/>
      <c r="C199" s="276"/>
      <c r="D199" s="276"/>
      <c r="E199" s="651"/>
      <c r="F199" s="55"/>
      <c r="G199" s="651"/>
      <c r="H199" s="55"/>
      <c r="I199" s="651"/>
      <c r="K199" s="652"/>
      <c r="M199" s="276"/>
    </row>
    <row r="200">
      <c r="A200" s="459"/>
      <c r="C200" s="276"/>
      <c r="D200" s="276"/>
      <c r="E200" s="651"/>
      <c r="F200" s="55"/>
      <c r="G200" s="651"/>
      <c r="H200" s="55"/>
      <c r="I200" s="651"/>
      <c r="K200" s="652"/>
      <c r="M200" s="276"/>
    </row>
    <row r="201">
      <c r="A201" s="459"/>
      <c r="C201" s="276"/>
      <c r="D201" s="276"/>
      <c r="E201" s="651"/>
      <c r="F201" s="55"/>
      <c r="G201" s="651"/>
      <c r="H201" s="55"/>
      <c r="I201" s="651"/>
      <c r="K201" s="652"/>
      <c r="M201" s="276"/>
    </row>
    <row r="202">
      <c r="A202" s="459"/>
      <c r="C202" s="276"/>
      <c r="D202" s="276"/>
      <c r="E202" s="651"/>
      <c r="F202" s="55"/>
      <c r="G202" s="651"/>
      <c r="H202" s="55"/>
      <c r="I202" s="651"/>
      <c r="K202" s="652"/>
      <c r="M202" s="276"/>
    </row>
    <row r="203">
      <c r="A203" s="459"/>
      <c r="C203" s="276"/>
      <c r="D203" s="276"/>
      <c r="E203" s="651"/>
      <c r="F203" s="55"/>
      <c r="G203" s="651"/>
      <c r="H203" s="55"/>
      <c r="I203" s="651"/>
      <c r="K203" s="652"/>
      <c r="M203" s="276"/>
    </row>
    <row r="204">
      <c r="A204" s="459"/>
      <c r="C204" s="276"/>
      <c r="D204" s="276"/>
      <c r="E204" s="651"/>
      <c r="F204" s="55"/>
      <c r="G204" s="651"/>
      <c r="H204" s="55"/>
      <c r="I204" s="651"/>
      <c r="K204" s="652"/>
      <c r="M204" s="276"/>
    </row>
    <row r="205">
      <c r="A205" s="459"/>
      <c r="C205" s="276"/>
      <c r="D205" s="276"/>
      <c r="E205" s="651"/>
      <c r="F205" s="55"/>
      <c r="G205" s="651"/>
      <c r="H205" s="55"/>
      <c r="I205" s="651"/>
      <c r="K205" s="652"/>
      <c r="M205" s="276"/>
    </row>
    <row r="206">
      <c r="A206" s="459"/>
      <c r="C206" s="276"/>
      <c r="D206" s="276"/>
      <c r="E206" s="651"/>
      <c r="F206" s="55"/>
      <c r="G206" s="651"/>
      <c r="H206" s="55"/>
      <c r="I206" s="651"/>
      <c r="K206" s="652"/>
      <c r="M206" s="276"/>
    </row>
    <row r="207">
      <c r="A207" s="459"/>
      <c r="C207" s="276"/>
      <c r="D207" s="276"/>
      <c r="E207" s="651"/>
      <c r="F207" s="55"/>
      <c r="G207" s="651"/>
      <c r="H207" s="55"/>
      <c r="I207" s="651"/>
      <c r="K207" s="652"/>
      <c r="M207" s="276"/>
    </row>
    <row r="208">
      <c r="A208" s="459"/>
      <c r="C208" s="276"/>
      <c r="D208" s="276"/>
      <c r="E208" s="651"/>
      <c r="F208" s="55"/>
      <c r="G208" s="651"/>
      <c r="H208" s="55"/>
      <c r="I208" s="651"/>
      <c r="K208" s="652"/>
      <c r="M208" s="276"/>
    </row>
    <row r="209">
      <c r="A209" s="459"/>
      <c r="C209" s="276"/>
      <c r="D209" s="276"/>
      <c r="E209" s="651"/>
      <c r="F209" s="55"/>
      <c r="G209" s="651"/>
      <c r="H209" s="55"/>
      <c r="I209" s="651"/>
      <c r="K209" s="652"/>
      <c r="M209" s="276"/>
    </row>
    <row r="210">
      <c r="A210" s="459"/>
      <c r="C210" s="276"/>
      <c r="D210" s="276"/>
      <c r="E210" s="651"/>
      <c r="F210" s="55"/>
      <c r="G210" s="651"/>
      <c r="H210" s="55"/>
      <c r="I210" s="651"/>
      <c r="K210" s="652"/>
      <c r="M210" s="276"/>
    </row>
    <row r="211">
      <c r="A211" s="459"/>
      <c r="C211" s="276"/>
      <c r="D211" s="276"/>
      <c r="E211" s="651"/>
      <c r="F211" s="55"/>
      <c r="G211" s="651"/>
      <c r="H211" s="55"/>
      <c r="I211" s="651"/>
      <c r="K211" s="652"/>
      <c r="M211" s="276"/>
    </row>
    <row r="212">
      <c r="A212" s="459"/>
      <c r="C212" s="276"/>
      <c r="D212" s="276"/>
      <c r="E212" s="651"/>
      <c r="F212" s="55"/>
      <c r="G212" s="651"/>
      <c r="H212" s="55"/>
      <c r="I212" s="651"/>
      <c r="K212" s="652"/>
      <c r="M212" s="276"/>
    </row>
    <row r="213">
      <c r="A213" s="459"/>
      <c r="C213" s="276"/>
      <c r="D213" s="276"/>
      <c r="E213" s="651"/>
      <c r="F213" s="55"/>
      <c r="G213" s="651"/>
      <c r="H213" s="55"/>
      <c r="I213" s="651"/>
      <c r="K213" s="652"/>
      <c r="M213" s="276"/>
    </row>
    <row r="214">
      <c r="A214" s="459"/>
      <c r="C214" s="276"/>
      <c r="D214" s="276"/>
      <c r="E214" s="651"/>
      <c r="F214" s="55"/>
      <c r="G214" s="651"/>
      <c r="H214" s="55"/>
      <c r="I214" s="651"/>
      <c r="K214" s="652"/>
      <c r="M214" s="276"/>
    </row>
    <row r="215">
      <c r="A215" s="459"/>
      <c r="C215" s="276"/>
      <c r="D215" s="276"/>
      <c r="E215" s="651"/>
      <c r="F215" s="55"/>
      <c r="G215" s="651"/>
      <c r="H215" s="55"/>
      <c r="I215" s="651"/>
      <c r="K215" s="652"/>
      <c r="M215" s="276"/>
    </row>
    <row r="216">
      <c r="A216" s="459"/>
      <c r="C216" s="276"/>
      <c r="D216" s="276"/>
      <c r="E216" s="651"/>
      <c r="F216" s="55"/>
      <c r="G216" s="651"/>
      <c r="H216" s="55"/>
      <c r="I216" s="651"/>
      <c r="K216" s="652"/>
      <c r="M216" s="276"/>
    </row>
    <row r="217">
      <c r="A217" s="459"/>
      <c r="C217" s="276"/>
      <c r="D217" s="276"/>
      <c r="E217" s="651"/>
      <c r="F217" s="55"/>
      <c r="G217" s="651"/>
      <c r="H217" s="55"/>
      <c r="I217" s="651"/>
      <c r="K217" s="652"/>
      <c r="M217" s="276"/>
    </row>
    <row r="218">
      <c r="A218" s="459"/>
      <c r="C218" s="276"/>
      <c r="D218" s="276"/>
      <c r="E218" s="651"/>
      <c r="F218" s="55"/>
      <c r="G218" s="651"/>
      <c r="H218" s="55"/>
      <c r="I218" s="651"/>
      <c r="K218" s="652"/>
      <c r="M218" s="276"/>
    </row>
    <row r="219">
      <c r="A219" s="459"/>
      <c r="C219" s="276"/>
      <c r="D219" s="276"/>
      <c r="E219" s="651"/>
      <c r="F219" s="55"/>
      <c r="G219" s="651"/>
      <c r="H219" s="55"/>
      <c r="I219" s="651"/>
      <c r="K219" s="652"/>
      <c r="M219" s="276"/>
    </row>
    <row r="220">
      <c r="A220" s="459"/>
      <c r="C220" s="276"/>
      <c r="D220" s="276"/>
      <c r="E220" s="651"/>
      <c r="F220" s="55"/>
      <c r="G220" s="651"/>
      <c r="H220" s="55"/>
      <c r="I220" s="651"/>
      <c r="K220" s="652"/>
      <c r="M220" s="276"/>
    </row>
    <row r="221">
      <c r="A221" s="459"/>
      <c r="C221" s="276"/>
      <c r="D221" s="276"/>
      <c r="E221" s="651"/>
      <c r="F221" s="55"/>
      <c r="G221" s="651"/>
      <c r="H221" s="55"/>
      <c r="I221" s="651"/>
      <c r="K221" s="652"/>
      <c r="M221" s="276"/>
    </row>
    <row r="222">
      <c r="A222" s="459"/>
      <c r="C222" s="276"/>
      <c r="D222" s="276"/>
      <c r="E222" s="651"/>
      <c r="F222" s="55"/>
      <c r="G222" s="651"/>
      <c r="H222" s="55"/>
      <c r="I222" s="651"/>
      <c r="K222" s="652"/>
      <c r="M222" s="276"/>
    </row>
    <row r="223">
      <c r="A223" s="459"/>
      <c r="C223" s="276"/>
      <c r="D223" s="276"/>
      <c r="E223" s="651"/>
      <c r="F223" s="55"/>
      <c r="G223" s="651"/>
      <c r="H223" s="55"/>
      <c r="I223" s="651"/>
      <c r="K223" s="652"/>
      <c r="M223" s="276"/>
    </row>
    <row r="224">
      <c r="A224" s="459"/>
      <c r="C224" s="276"/>
      <c r="D224" s="276"/>
      <c r="E224" s="651"/>
      <c r="F224" s="55"/>
      <c r="G224" s="651"/>
      <c r="H224" s="55"/>
      <c r="I224" s="651"/>
      <c r="K224" s="652"/>
      <c r="M224" s="276"/>
    </row>
    <row r="225">
      <c r="A225" s="459"/>
      <c r="C225" s="276"/>
      <c r="D225" s="276"/>
      <c r="E225" s="651"/>
      <c r="F225" s="55"/>
      <c r="G225" s="651"/>
      <c r="H225" s="55"/>
      <c r="I225" s="651"/>
      <c r="K225" s="652"/>
      <c r="M225" s="276"/>
    </row>
    <row r="226">
      <c r="A226" s="459"/>
      <c r="C226" s="276"/>
      <c r="D226" s="276"/>
      <c r="E226" s="651"/>
      <c r="F226" s="55"/>
      <c r="G226" s="651"/>
      <c r="H226" s="55"/>
      <c r="I226" s="651"/>
      <c r="K226" s="652"/>
      <c r="M226" s="276"/>
    </row>
    <row r="227">
      <c r="A227" s="459"/>
      <c r="C227" s="276"/>
      <c r="D227" s="276"/>
      <c r="E227" s="651"/>
      <c r="F227" s="55"/>
      <c r="G227" s="651"/>
      <c r="H227" s="55"/>
      <c r="I227" s="651"/>
      <c r="K227" s="652"/>
      <c r="M227" s="276"/>
    </row>
    <row r="228">
      <c r="A228" s="459"/>
      <c r="C228" s="276"/>
      <c r="D228" s="276"/>
      <c r="E228" s="651"/>
      <c r="F228" s="55"/>
      <c r="G228" s="651"/>
      <c r="H228" s="55"/>
      <c r="I228" s="651"/>
      <c r="K228" s="652"/>
      <c r="M228" s="276"/>
    </row>
    <row r="229">
      <c r="A229" s="459"/>
      <c r="C229" s="276"/>
      <c r="D229" s="276"/>
      <c r="E229" s="651"/>
      <c r="F229" s="55"/>
      <c r="G229" s="651"/>
      <c r="H229" s="55"/>
      <c r="I229" s="651"/>
      <c r="K229" s="652"/>
      <c r="M229" s="276"/>
    </row>
    <row r="230">
      <c r="A230" s="459"/>
      <c r="C230" s="276"/>
      <c r="D230" s="276"/>
      <c r="E230" s="651"/>
      <c r="F230" s="55"/>
      <c r="G230" s="651"/>
      <c r="H230" s="55"/>
      <c r="I230" s="651"/>
      <c r="K230" s="652"/>
      <c r="M230" s="276"/>
    </row>
    <row r="231">
      <c r="A231" s="459"/>
      <c r="C231" s="276"/>
      <c r="D231" s="276"/>
      <c r="E231" s="651"/>
      <c r="F231" s="55"/>
      <c r="G231" s="651"/>
      <c r="H231" s="55"/>
      <c r="I231" s="651"/>
      <c r="K231" s="652"/>
      <c r="M231" s="276"/>
    </row>
    <row r="232">
      <c r="A232" s="459"/>
      <c r="C232" s="276"/>
      <c r="D232" s="276"/>
      <c r="E232" s="651"/>
      <c r="F232" s="55"/>
      <c r="G232" s="651"/>
      <c r="H232" s="55"/>
      <c r="I232" s="651"/>
      <c r="K232" s="652"/>
      <c r="M232" s="276"/>
    </row>
    <row r="233">
      <c r="A233" s="459"/>
      <c r="C233" s="276"/>
      <c r="D233" s="276"/>
      <c r="E233" s="651"/>
      <c r="F233" s="55"/>
      <c r="G233" s="651"/>
      <c r="H233" s="55"/>
      <c r="I233" s="651"/>
      <c r="K233" s="652"/>
      <c r="M233" s="276"/>
    </row>
    <row r="234">
      <c r="A234" s="459"/>
      <c r="C234" s="276"/>
      <c r="D234" s="276"/>
      <c r="E234" s="651"/>
      <c r="F234" s="55"/>
      <c r="G234" s="651"/>
      <c r="H234" s="55"/>
      <c r="I234" s="651"/>
      <c r="K234" s="652"/>
      <c r="M234" s="276"/>
    </row>
    <row r="235">
      <c r="A235" s="459"/>
      <c r="C235" s="276"/>
      <c r="D235" s="276"/>
      <c r="E235" s="651"/>
      <c r="F235" s="55"/>
      <c r="G235" s="651"/>
      <c r="H235" s="55"/>
      <c r="I235" s="651"/>
      <c r="K235" s="652"/>
      <c r="M235" s="276"/>
    </row>
    <row r="236">
      <c r="A236" s="459"/>
      <c r="C236" s="276"/>
      <c r="D236" s="276"/>
      <c r="E236" s="651"/>
      <c r="F236" s="55"/>
      <c r="G236" s="651"/>
      <c r="H236" s="55"/>
      <c r="I236" s="651"/>
      <c r="K236" s="652"/>
      <c r="M236" s="276"/>
    </row>
    <row r="237">
      <c r="A237" s="459"/>
      <c r="C237" s="276"/>
      <c r="D237" s="276"/>
      <c r="E237" s="651"/>
      <c r="F237" s="55"/>
      <c r="G237" s="651"/>
      <c r="H237" s="55"/>
      <c r="I237" s="651"/>
      <c r="K237" s="652"/>
      <c r="M237" s="276"/>
    </row>
    <row r="238">
      <c r="A238" s="459"/>
      <c r="C238" s="276"/>
      <c r="D238" s="276"/>
      <c r="E238" s="651"/>
      <c r="F238" s="55"/>
      <c r="G238" s="651"/>
      <c r="H238" s="55"/>
      <c r="I238" s="651"/>
      <c r="K238" s="652"/>
      <c r="M238" s="276"/>
    </row>
    <row r="239">
      <c r="A239" s="459"/>
      <c r="C239" s="276"/>
      <c r="D239" s="276"/>
      <c r="E239" s="651"/>
      <c r="F239" s="55"/>
      <c r="G239" s="651"/>
      <c r="H239" s="55"/>
      <c r="I239" s="651"/>
      <c r="K239" s="652"/>
      <c r="M239" s="276"/>
    </row>
    <row r="240">
      <c r="A240" s="459"/>
      <c r="C240" s="276"/>
      <c r="D240" s="276"/>
      <c r="E240" s="651"/>
      <c r="F240" s="55"/>
      <c r="G240" s="651"/>
      <c r="H240" s="55"/>
      <c r="I240" s="651"/>
      <c r="K240" s="652"/>
      <c r="M240" s="276"/>
    </row>
    <row r="241">
      <c r="A241" s="459"/>
      <c r="C241" s="276"/>
      <c r="D241" s="276"/>
      <c r="E241" s="651"/>
      <c r="F241" s="55"/>
      <c r="G241" s="651"/>
      <c r="H241" s="55"/>
      <c r="I241" s="651"/>
      <c r="K241" s="652"/>
      <c r="M241" s="276"/>
    </row>
    <row r="242">
      <c r="A242" s="459"/>
      <c r="C242" s="276"/>
      <c r="D242" s="276"/>
      <c r="E242" s="651"/>
      <c r="F242" s="55"/>
      <c r="G242" s="651"/>
      <c r="H242" s="55"/>
      <c r="I242" s="651"/>
      <c r="K242" s="652"/>
      <c r="M242" s="276"/>
    </row>
    <row r="243">
      <c r="A243" s="459"/>
      <c r="C243" s="276"/>
      <c r="D243" s="276"/>
      <c r="E243" s="651"/>
      <c r="F243" s="55"/>
      <c r="G243" s="651"/>
      <c r="H243" s="55"/>
      <c r="I243" s="651"/>
      <c r="K243" s="652"/>
      <c r="M243" s="276"/>
    </row>
    <row r="244">
      <c r="A244" s="459"/>
      <c r="C244" s="276"/>
      <c r="D244" s="276"/>
      <c r="E244" s="651"/>
      <c r="F244" s="55"/>
      <c r="G244" s="651"/>
      <c r="H244" s="55"/>
      <c r="I244" s="651"/>
      <c r="K244" s="652"/>
      <c r="M244" s="276"/>
    </row>
    <row r="245">
      <c r="A245" s="459"/>
      <c r="C245" s="276"/>
      <c r="D245" s="276"/>
      <c r="E245" s="651"/>
      <c r="F245" s="55"/>
      <c r="G245" s="651"/>
      <c r="H245" s="55"/>
      <c r="I245" s="651"/>
      <c r="K245" s="652"/>
      <c r="M245" s="276"/>
    </row>
    <row r="246">
      <c r="A246" s="459"/>
      <c r="C246" s="276"/>
      <c r="D246" s="276"/>
      <c r="E246" s="651"/>
      <c r="F246" s="55"/>
      <c r="G246" s="651"/>
      <c r="H246" s="55"/>
      <c r="I246" s="651"/>
      <c r="K246" s="652"/>
      <c r="M246" s="276"/>
    </row>
    <row r="247">
      <c r="A247" s="459"/>
      <c r="C247" s="276"/>
      <c r="D247" s="276"/>
      <c r="E247" s="651"/>
      <c r="F247" s="55"/>
      <c r="G247" s="651"/>
      <c r="H247" s="55"/>
      <c r="I247" s="651"/>
      <c r="K247" s="652"/>
      <c r="M247" s="276"/>
    </row>
    <row r="248">
      <c r="A248" s="459"/>
      <c r="C248" s="276"/>
      <c r="D248" s="276"/>
      <c r="E248" s="651"/>
      <c r="F248" s="55"/>
      <c r="G248" s="651"/>
      <c r="H248" s="55"/>
      <c r="I248" s="651"/>
      <c r="K248" s="652"/>
      <c r="M248" s="276"/>
    </row>
    <row r="249">
      <c r="A249" s="459"/>
      <c r="C249" s="276"/>
      <c r="D249" s="276"/>
      <c r="E249" s="651"/>
      <c r="F249" s="55"/>
      <c r="G249" s="651"/>
      <c r="H249" s="55"/>
      <c r="I249" s="651"/>
      <c r="K249" s="652"/>
      <c r="M249" s="276"/>
    </row>
    <row r="250">
      <c r="A250" s="459"/>
      <c r="C250" s="276"/>
      <c r="D250" s="276"/>
      <c r="E250" s="651"/>
      <c r="F250" s="55"/>
      <c r="G250" s="651"/>
      <c r="H250" s="55"/>
      <c r="I250" s="651"/>
      <c r="K250" s="652"/>
      <c r="M250" s="276"/>
    </row>
    <row r="251">
      <c r="A251" s="459"/>
      <c r="C251" s="276"/>
      <c r="D251" s="276"/>
      <c r="E251" s="651"/>
      <c r="F251" s="55"/>
      <c r="G251" s="651"/>
      <c r="H251" s="55"/>
      <c r="I251" s="651"/>
      <c r="K251" s="652"/>
      <c r="M251" s="276"/>
    </row>
    <row r="252">
      <c r="A252" s="459"/>
      <c r="C252" s="276"/>
      <c r="D252" s="276"/>
      <c r="E252" s="651"/>
      <c r="F252" s="55"/>
      <c r="G252" s="651"/>
      <c r="H252" s="55"/>
      <c r="I252" s="651"/>
      <c r="K252" s="652"/>
      <c r="M252" s="276"/>
    </row>
    <row r="253">
      <c r="A253" s="459"/>
      <c r="C253" s="276"/>
      <c r="D253" s="276"/>
      <c r="E253" s="651"/>
      <c r="F253" s="55"/>
      <c r="G253" s="651"/>
      <c r="H253" s="55"/>
      <c r="I253" s="651"/>
      <c r="K253" s="652"/>
      <c r="M253" s="276"/>
    </row>
    <row r="254">
      <c r="A254" s="459"/>
      <c r="C254" s="276"/>
      <c r="D254" s="276"/>
      <c r="E254" s="651"/>
      <c r="F254" s="55"/>
      <c r="G254" s="651"/>
      <c r="H254" s="55"/>
      <c r="I254" s="651"/>
      <c r="K254" s="652"/>
      <c r="M254" s="276"/>
    </row>
    <row r="255">
      <c r="A255" s="459"/>
      <c r="C255" s="276"/>
      <c r="D255" s="276"/>
      <c r="E255" s="651"/>
      <c r="F255" s="55"/>
      <c r="G255" s="651"/>
      <c r="H255" s="55"/>
      <c r="I255" s="651"/>
      <c r="K255" s="652"/>
      <c r="M255" s="276"/>
    </row>
    <row r="256">
      <c r="A256" s="459"/>
      <c r="C256" s="276"/>
      <c r="D256" s="276"/>
      <c r="E256" s="651"/>
      <c r="F256" s="55"/>
      <c r="G256" s="651"/>
      <c r="H256" s="55"/>
      <c r="I256" s="651"/>
      <c r="K256" s="652"/>
      <c r="M256" s="276"/>
    </row>
    <row r="257">
      <c r="A257" s="459"/>
      <c r="C257" s="276"/>
      <c r="D257" s="276"/>
      <c r="E257" s="651"/>
      <c r="F257" s="55"/>
      <c r="G257" s="651"/>
      <c r="H257" s="55"/>
      <c r="I257" s="651"/>
      <c r="K257" s="652"/>
      <c r="M257" s="276"/>
    </row>
    <row r="258">
      <c r="A258" s="459"/>
      <c r="C258" s="276"/>
      <c r="D258" s="276"/>
      <c r="E258" s="651"/>
      <c r="F258" s="55"/>
      <c r="G258" s="651"/>
      <c r="H258" s="55"/>
      <c r="I258" s="651"/>
      <c r="K258" s="652"/>
      <c r="M258" s="276"/>
    </row>
    <row r="259">
      <c r="A259" s="459"/>
      <c r="C259" s="276"/>
      <c r="D259" s="276"/>
      <c r="E259" s="651"/>
      <c r="F259" s="55"/>
      <c r="G259" s="651"/>
      <c r="H259" s="55"/>
      <c r="I259" s="651"/>
      <c r="K259" s="652"/>
      <c r="M259" s="276"/>
    </row>
    <row r="260">
      <c r="A260" s="459"/>
      <c r="C260" s="276"/>
      <c r="D260" s="276"/>
      <c r="E260" s="651"/>
      <c r="F260" s="55"/>
      <c r="G260" s="651"/>
      <c r="H260" s="55"/>
      <c r="I260" s="651"/>
      <c r="K260" s="652"/>
      <c r="M260" s="276"/>
    </row>
    <row r="261">
      <c r="A261" s="459"/>
      <c r="C261" s="276"/>
      <c r="D261" s="276"/>
      <c r="E261" s="651"/>
      <c r="F261" s="55"/>
      <c r="G261" s="651"/>
      <c r="H261" s="55"/>
      <c r="I261" s="651"/>
      <c r="K261" s="652"/>
      <c r="M261" s="276"/>
    </row>
    <row r="262">
      <c r="A262" s="459"/>
      <c r="C262" s="276"/>
      <c r="D262" s="276"/>
      <c r="E262" s="651"/>
      <c r="F262" s="55"/>
      <c r="G262" s="651"/>
      <c r="H262" s="55"/>
      <c r="I262" s="651"/>
      <c r="K262" s="652"/>
      <c r="M262" s="276"/>
    </row>
    <row r="263">
      <c r="A263" s="459"/>
      <c r="C263" s="276"/>
      <c r="D263" s="276"/>
      <c r="E263" s="651"/>
      <c r="F263" s="55"/>
      <c r="G263" s="651"/>
      <c r="H263" s="55"/>
      <c r="I263" s="651"/>
      <c r="K263" s="652"/>
      <c r="M263" s="276"/>
    </row>
    <row r="264">
      <c r="A264" s="459"/>
      <c r="C264" s="276"/>
      <c r="D264" s="276"/>
      <c r="E264" s="651"/>
      <c r="F264" s="55"/>
      <c r="G264" s="651"/>
      <c r="H264" s="55"/>
      <c r="I264" s="651"/>
      <c r="K264" s="652"/>
      <c r="M264" s="276"/>
    </row>
    <row r="265">
      <c r="A265" s="459"/>
      <c r="C265" s="276"/>
      <c r="D265" s="276"/>
      <c r="E265" s="651"/>
      <c r="F265" s="55"/>
      <c r="G265" s="651"/>
      <c r="H265" s="55"/>
      <c r="I265" s="651"/>
      <c r="K265" s="652"/>
      <c r="M265" s="276"/>
    </row>
    <row r="266">
      <c r="A266" s="459"/>
      <c r="C266" s="276"/>
      <c r="D266" s="276"/>
      <c r="E266" s="651"/>
      <c r="F266" s="55"/>
      <c r="G266" s="651"/>
      <c r="H266" s="55"/>
      <c r="I266" s="651"/>
      <c r="K266" s="652"/>
      <c r="M266" s="276"/>
    </row>
    <row r="267">
      <c r="A267" s="459"/>
      <c r="C267" s="276"/>
      <c r="D267" s="276"/>
      <c r="E267" s="651"/>
      <c r="F267" s="55"/>
      <c r="G267" s="651"/>
      <c r="H267" s="55"/>
      <c r="I267" s="651"/>
      <c r="K267" s="652"/>
      <c r="M267" s="276"/>
    </row>
    <row r="268">
      <c r="A268" s="459"/>
      <c r="C268" s="276"/>
      <c r="D268" s="276"/>
      <c r="E268" s="651"/>
      <c r="F268" s="55"/>
      <c r="G268" s="651"/>
      <c r="H268" s="55"/>
      <c r="I268" s="651"/>
      <c r="K268" s="652"/>
      <c r="M268" s="276"/>
    </row>
    <row r="269">
      <c r="A269" s="459"/>
      <c r="C269" s="276"/>
      <c r="D269" s="276"/>
      <c r="E269" s="651"/>
      <c r="F269" s="55"/>
      <c r="G269" s="651"/>
      <c r="H269" s="55"/>
      <c r="I269" s="651"/>
      <c r="K269" s="652"/>
      <c r="M269" s="276"/>
    </row>
    <row r="270">
      <c r="A270" s="459"/>
      <c r="C270" s="276"/>
      <c r="D270" s="276"/>
      <c r="E270" s="651"/>
      <c r="F270" s="55"/>
      <c r="G270" s="651"/>
      <c r="H270" s="55"/>
      <c r="I270" s="651"/>
      <c r="K270" s="652"/>
      <c r="M270" s="276"/>
    </row>
    <row r="271">
      <c r="A271" s="459"/>
      <c r="C271" s="276"/>
      <c r="D271" s="276"/>
      <c r="E271" s="651"/>
      <c r="F271" s="55"/>
      <c r="G271" s="651"/>
      <c r="H271" s="55"/>
      <c r="I271" s="651"/>
      <c r="K271" s="652"/>
      <c r="M271" s="276"/>
    </row>
    <row r="272">
      <c r="A272" s="459"/>
      <c r="C272" s="276"/>
      <c r="D272" s="276"/>
      <c r="E272" s="651"/>
      <c r="F272" s="55"/>
      <c r="G272" s="651"/>
      <c r="H272" s="55"/>
      <c r="I272" s="651"/>
      <c r="K272" s="652"/>
      <c r="M272" s="276"/>
    </row>
    <row r="273">
      <c r="A273" s="459"/>
      <c r="C273" s="276"/>
      <c r="D273" s="276"/>
      <c r="E273" s="651"/>
      <c r="F273" s="55"/>
      <c r="G273" s="651"/>
      <c r="H273" s="55"/>
      <c r="I273" s="651"/>
      <c r="K273" s="652"/>
      <c r="M273" s="276"/>
    </row>
    <row r="274">
      <c r="A274" s="459"/>
      <c r="C274" s="276"/>
      <c r="D274" s="276"/>
      <c r="E274" s="651"/>
      <c r="F274" s="55"/>
      <c r="G274" s="651"/>
      <c r="H274" s="55"/>
      <c r="I274" s="651"/>
      <c r="K274" s="652"/>
      <c r="M274" s="276"/>
    </row>
    <row r="275">
      <c r="A275" s="459"/>
      <c r="C275" s="276"/>
      <c r="D275" s="276"/>
      <c r="E275" s="651"/>
      <c r="F275" s="55"/>
      <c r="G275" s="651"/>
      <c r="H275" s="55"/>
      <c r="I275" s="651"/>
      <c r="K275" s="652"/>
      <c r="M275" s="276"/>
    </row>
    <row r="276">
      <c r="A276" s="459"/>
      <c r="C276" s="276"/>
      <c r="D276" s="276"/>
      <c r="E276" s="651"/>
      <c r="F276" s="55"/>
      <c r="G276" s="651"/>
      <c r="H276" s="55"/>
      <c r="I276" s="651"/>
      <c r="K276" s="652"/>
      <c r="M276" s="276"/>
    </row>
    <row r="277">
      <c r="A277" s="459"/>
      <c r="C277" s="276"/>
      <c r="D277" s="276"/>
      <c r="E277" s="651"/>
      <c r="F277" s="55"/>
      <c r="G277" s="651"/>
      <c r="H277" s="55"/>
      <c r="I277" s="651"/>
      <c r="K277" s="652"/>
      <c r="M277" s="276"/>
    </row>
    <row r="278">
      <c r="A278" s="459"/>
      <c r="C278" s="276"/>
      <c r="D278" s="276"/>
      <c r="E278" s="651"/>
      <c r="F278" s="55"/>
      <c r="G278" s="651"/>
      <c r="H278" s="55"/>
      <c r="I278" s="651"/>
      <c r="K278" s="652"/>
      <c r="M278" s="276"/>
    </row>
    <row r="279">
      <c r="A279" s="459"/>
      <c r="C279" s="276"/>
      <c r="D279" s="276"/>
      <c r="E279" s="651"/>
      <c r="F279" s="55"/>
      <c r="G279" s="651"/>
      <c r="H279" s="55"/>
      <c r="I279" s="651"/>
      <c r="K279" s="652"/>
      <c r="M279" s="276"/>
    </row>
    <row r="280">
      <c r="A280" s="459"/>
      <c r="C280" s="276"/>
      <c r="D280" s="276"/>
      <c r="E280" s="651"/>
      <c r="F280" s="55"/>
      <c r="G280" s="651"/>
      <c r="H280" s="55"/>
      <c r="I280" s="651"/>
      <c r="K280" s="652"/>
      <c r="M280" s="276"/>
    </row>
    <row r="281">
      <c r="A281" s="459"/>
      <c r="C281" s="276"/>
      <c r="D281" s="276"/>
      <c r="E281" s="651"/>
      <c r="F281" s="55"/>
      <c r="G281" s="651"/>
      <c r="H281" s="55"/>
      <c r="I281" s="651"/>
      <c r="K281" s="652"/>
      <c r="M281" s="276"/>
    </row>
    <row r="282">
      <c r="A282" s="459"/>
      <c r="C282" s="276"/>
      <c r="D282" s="276"/>
      <c r="E282" s="651"/>
      <c r="F282" s="55"/>
      <c r="G282" s="651"/>
      <c r="H282" s="55"/>
      <c r="I282" s="651"/>
      <c r="K282" s="652"/>
      <c r="M282" s="276"/>
    </row>
    <row r="283">
      <c r="A283" s="459"/>
      <c r="C283" s="276"/>
      <c r="D283" s="276"/>
      <c r="E283" s="651"/>
      <c r="F283" s="55"/>
      <c r="G283" s="651"/>
      <c r="H283" s="55"/>
      <c r="I283" s="651"/>
      <c r="K283" s="652"/>
      <c r="M283" s="276"/>
    </row>
    <row r="284">
      <c r="A284" s="459"/>
      <c r="C284" s="276"/>
      <c r="D284" s="276"/>
      <c r="E284" s="651"/>
      <c r="F284" s="55"/>
      <c r="G284" s="651"/>
      <c r="H284" s="55"/>
      <c r="I284" s="651"/>
      <c r="K284" s="652"/>
      <c r="M284" s="276"/>
    </row>
    <row r="285">
      <c r="A285" s="459"/>
      <c r="C285" s="276"/>
      <c r="D285" s="276"/>
      <c r="E285" s="651"/>
      <c r="F285" s="55"/>
      <c r="G285" s="651"/>
      <c r="H285" s="55"/>
      <c r="I285" s="651"/>
      <c r="K285" s="652"/>
      <c r="M285" s="276"/>
    </row>
    <row r="286">
      <c r="A286" s="459"/>
      <c r="C286" s="276"/>
      <c r="D286" s="276"/>
      <c r="E286" s="651"/>
      <c r="F286" s="55"/>
      <c r="G286" s="651"/>
      <c r="H286" s="55"/>
      <c r="I286" s="651"/>
      <c r="K286" s="652"/>
      <c r="M286" s="276"/>
    </row>
    <row r="287">
      <c r="A287" s="459"/>
      <c r="C287" s="276"/>
      <c r="D287" s="276"/>
      <c r="E287" s="651"/>
      <c r="F287" s="55"/>
      <c r="G287" s="651"/>
      <c r="H287" s="55"/>
      <c r="I287" s="651"/>
      <c r="K287" s="652"/>
      <c r="M287" s="276"/>
    </row>
    <row r="288">
      <c r="A288" s="459"/>
      <c r="C288" s="276"/>
      <c r="D288" s="276"/>
      <c r="E288" s="651"/>
      <c r="F288" s="55"/>
      <c r="G288" s="651"/>
      <c r="H288" s="55"/>
      <c r="I288" s="651"/>
      <c r="K288" s="652"/>
      <c r="M288" s="276"/>
    </row>
    <row r="289">
      <c r="A289" s="459"/>
      <c r="C289" s="276"/>
      <c r="D289" s="276"/>
      <c r="E289" s="651"/>
      <c r="F289" s="55"/>
      <c r="G289" s="651"/>
      <c r="H289" s="55"/>
      <c r="I289" s="651"/>
      <c r="K289" s="652"/>
      <c r="M289" s="276"/>
    </row>
    <row r="290">
      <c r="A290" s="459"/>
      <c r="C290" s="276"/>
      <c r="D290" s="276"/>
      <c r="E290" s="651"/>
      <c r="F290" s="55"/>
      <c r="G290" s="651"/>
      <c r="H290" s="55"/>
      <c r="I290" s="651"/>
      <c r="K290" s="652"/>
      <c r="M290" s="276"/>
    </row>
    <row r="291">
      <c r="A291" s="459"/>
      <c r="C291" s="276"/>
      <c r="D291" s="276"/>
      <c r="E291" s="651"/>
      <c r="F291" s="55"/>
      <c r="G291" s="651"/>
      <c r="H291" s="55"/>
      <c r="I291" s="651"/>
      <c r="K291" s="652"/>
      <c r="M291" s="276"/>
    </row>
    <row r="292">
      <c r="A292" s="459"/>
      <c r="C292" s="276"/>
      <c r="D292" s="276"/>
      <c r="E292" s="651"/>
      <c r="F292" s="55"/>
      <c r="G292" s="651"/>
      <c r="H292" s="55"/>
      <c r="I292" s="651"/>
      <c r="K292" s="652"/>
      <c r="M292" s="276"/>
    </row>
    <row r="293">
      <c r="A293" s="459"/>
      <c r="C293" s="276"/>
      <c r="D293" s="276"/>
      <c r="E293" s="651"/>
      <c r="F293" s="55"/>
      <c r="G293" s="651"/>
      <c r="H293" s="55"/>
      <c r="I293" s="651"/>
      <c r="K293" s="652"/>
      <c r="M293" s="276"/>
    </row>
    <row r="294">
      <c r="A294" s="459"/>
      <c r="C294" s="276"/>
      <c r="D294" s="276"/>
      <c r="E294" s="651"/>
      <c r="F294" s="55"/>
      <c r="G294" s="651"/>
      <c r="H294" s="55"/>
      <c r="I294" s="651"/>
      <c r="K294" s="652"/>
      <c r="M294" s="276"/>
    </row>
    <row r="295">
      <c r="A295" s="459"/>
      <c r="C295" s="276"/>
      <c r="D295" s="276"/>
      <c r="E295" s="651"/>
      <c r="F295" s="55"/>
      <c r="G295" s="651"/>
      <c r="H295" s="55"/>
      <c r="I295" s="651"/>
      <c r="K295" s="652"/>
      <c r="M295" s="276"/>
    </row>
    <row r="296">
      <c r="A296" s="459"/>
      <c r="C296" s="276"/>
      <c r="D296" s="276"/>
      <c r="E296" s="651"/>
      <c r="F296" s="55"/>
      <c r="G296" s="651"/>
      <c r="H296" s="55"/>
      <c r="I296" s="651"/>
      <c r="K296" s="652"/>
      <c r="M296" s="276"/>
    </row>
    <row r="297">
      <c r="A297" s="459"/>
      <c r="C297" s="276"/>
      <c r="D297" s="276"/>
      <c r="E297" s="651"/>
      <c r="F297" s="55"/>
      <c r="G297" s="651"/>
      <c r="H297" s="55"/>
      <c r="I297" s="651"/>
      <c r="K297" s="652"/>
      <c r="M297" s="276"/>
    </row>
    <row r="298">
      <c r="A298" s="459"/>
      <c r="C298" s="276"/>
      <c r="D298" s="276"/>
      <c r="E298" s="651"/>
      <c r="F298" s="55"/>
      <c r="G298" s="651"/>
      <c r="H298" s="55"/>
      <c r="I298" s="651"/>
      <c r="K298" s="652"/>
      <c r="M298" s="276"/>
    </row>
    <row r="299">
      <c r="A299" s="459"/>
      <c r="C299" s="276"/>
      <c r="D299" s="276"/>
      <c r="E299" s="651"/>
      <c r="F299" s="55"/>
      <c r="G299" s="651"/>
      <c r="H299" s="55"/>
      <c r="I299" s="651"/>
      <c r="K299" s="652"/>
      <c r="M299" s="276"/>
    </row>
    <row r="300">
      <c r="A300" s="459"/>
      <c r="C300" s="276"/>
      <c r="D300" s="276"/>
      <c r="E300" s="651"/>
      <c r="F300" s="55"/>
      <c r="G300" s="651"/>
      <c r="H300" s="55"/>
      <c r="I300" s="651"/>
      <c r="K300" s="652"/>
      <c r="M300" s="276"/>
    </row>
    <row r="301">
      <c r="A301" s="459"/>
      <c r="C301" s="276"/>
      <c r="D301" s="276"/>
      <c r="E301" s="651"/>
      <c r="F301" s="55"/>
      <c r="G301" s="651"/>
      <c r="H301" s="55"/>
      <c r="I301" s="651"/>
      <c r="K301" s="652"/>
      <c r="M301" s="276"/>
    </row>
    <row r="302">
      <c r="A302" s="459"/>
      <c r="C302" s="276"/>
      <c r="D302" s="276"/>
      <c r="E302" s="651"/>
      <c r="F302" s="55"/>
      <c r="G302" s="651"/>
      <c r="H302" s="55"/>
      <c r="I302" s="651"/>
      <c r="K302" s="652"/>
      <c r="M302" s="276"/>
    </row>
    <row r="303">
      <c r="A303" s="459"/>
      <c r="C303" s="276"/>
      <c r="D303" s="276"/>
      <c r="E303" s="651"/>
      <c r="F303" s="55"/>
      <c r="G303" s="651"/>
      <c r="H303" s="55"/>
      <c r="I303" s="651"/>
      <c r="K303" s="652"/>
      <c r="M303" s="276"/>
    </row>
    <row r="304">
      <c r="A304" s="459"/>
      <c r="C304" s="276"/>
      <c r="D304" s="276"/>
      <c r="E304" s="651"/>
      <c r="F304" s="55"/>
      <c r="G304" s="651"/>
      <c r="H304" s="55"/>
      <c r="I304" s="651"/>
      <c r="K304" s="652"/>
      <c r="M304" s="276"/>
    </row>
    <row r="305">
      <c r="A305" s="459"/>
      <c r="C305" s="276"/>
      <c r="D305" s="276"/>
      <c r="E305" s="651"/>
      <c r="F305" s="55"/>
      <c r="G305" s="651"/>
      <c r="H305" s="55"/>
      <c r="I305" s="651"/>
      <c r="K305" s="652"/>
      <c r="M305" s="276"/>
    </row>
    <row r="306">
      <c r="A306" s="459"/>
      <c r="C306" s="276"/>
      <c r="D306" s="276"/>
      <c r="E306" s="651"/>
      <c r="F306" s="55"/>
      <c r="G306" s="651"/>
      <c r="H306" s="55"/>
      <c r="I306" s="651"/>
      <c r="K306" s="652"/>
      <c r="M306" s="276"/>
    </row>
    <row r="307">
      <c r="A307" s="459"/>
      <c r="C307" s="276"/>
      <c r="D307" s="276"/>
      <c r="E307" s="651"/>
      <c r="F307" s="55"/>
      <c r="G307" s="651"/>
      <c r="H307" s="55"/>
      <c r="I307" s="651"/>
      <c r="K307" s="652"/>
      <c r="M307" s="276"/>
    </row>
    <row r="308">
      <c r="A308" s="459"/>
      <c r="C308" s="276"/>
      <c r="D308" s="276"/>
      <c r="E308" s="651"/>
      <c r="F308" s="55"/>
      <c r="G308" s="651"/>
      <c r="H308" s="55"/>
      <c r="I308" s="651"/>
      <c r="K308" s="652"/>
      <c r="M308" s="276"/>
    </row>
    <row r="309">
      <c r="A309" s="459"/>
      <c r="C309" s="276"/>
      <c r="D309" s="276"/>
      <c r="E309" s="651"/>
      <c r="F309" s="55"/>
      <c r="G309" s="651"/>
      <c r="H309" s="55"/>
      <c r="I309" s="651"/>
      <c r="K309" s="652"/>
      <c r="M309" s="276"/>
    </row>
    <row r="310">
      <c r="A310" s="459"/>
      <c r="C310" s="276"/>
      <c r="D310" s="276"/>
      <c r="E310" s="651"/>
      <c r="F310" s="55"/>
      <c r="G310" s="651"/>
      <c r="H310" s="55"/>
      <c r="I310" s="651"/>
      <c r="K310" s="652"/>
      <c r="M310" s="276"/>
    </row>
    <row r="311">
      <c r="A311" s="459"/>
      <c r="C311" s="276"/>
      <c r="D311" s="276"/>
      <c r="E311" s="651"/>
      <c r="F311" s="55"/>
      <c r="G311" s="651"/>
      <c r="H311" s="55"/>
      <c r="I311" s="651"/>
      <c r="K311" s="652"/>
      <c r="M311" s="276"/>
    </row>
    <row r="312">
      <c r="A312" s="459"/>
      <c r="C312" s="276"/>
      <c r="D312" s="276"/>
      <c r="E312" s="651"/>
      <c r="F312" s="55"/>
      <c r="G312" s="651"/>
      <c r="H312" s="55"/>
      <c r="I312" s="651"/>
      <c r="K312" s="652"/>
      <c r="M312" s="276"/>
    </row>
    <row r="313">
      <c r="A313" s="459"/>
      <c r="C313" s="276"/>
      <c r="D313" s="276"/>
      <c r="E313" s="651"/>
      <c r="F313" s="55"/>
      <c r="G313" s="651"/>
      <c r="H313" s="55"/>
      <c r="I313" s="651"/>
      <c r="K313" s="652"/>
      <c r="M313" s="276"/>
    </row>
    <row r="314">
      <c r="A314" s="459"/>
      <c r="C314" s="276"/>
      <c r="D314" s="276"/>
      <c r="E314" s="651"/>
      <c r="F314" s="55"/>
      <c r="G314" s="651"/>
      <c r="H314" s="55"/>
      <c r="I314" s="651"/>
      <c r="K314" s="652"/>
      <c r="M314" s="276"/>
    </row>
    <row r="315">
      <c r="A315" s="459"/>
      <c r="C315" s="276"/>
      <c r="D315" s="276"/>
      <c r="E315" s="651"/>
      <c r="F315" s="55"/>
      <c r="G315" s="651"/>
      <c r="H315" s="55"/>
      <c r="I315" s="651"/>
      <c r="K315" s="652"/>
      <c r="M315" s="276"/>
    </row>
    <row r="316">
      <c r="A316" s="459"/>
      <c r="C316" s="276"/>
      <c r="D316" s="276"/>
      <c r="E316" s="651"/>
      <c r="F316" s="55"/>
      <c r="G316" s="651"/>
      <c r="H316" s="55"/>
      <c r="I316" s="651"/>
      <c r="K316" s="652"/>
      <c r="M316" s="276"/>
    </row>
    <row r="317">
      <c r="A317" s="459"/>
      <c r="C317" s="276"/>
      <c r="D317" s="276"/>
      <c r="E317" s="651"/>
      <c r="F317" s="55"/>
      <c r="G317" s="651"/>
      <c r="H317" s="55"/>
      <c r="I317" s="651"/>
      <c r="K317" s="652"/>
      <c r="M317" s="276"/>
    </row>
    <row r="318">
      <c r="A318" s="459"/>
      <c r="C318" s="276"/>
      <c r="D318" s="276"/>
      <c r="E318" s="651"/>
      <c r="F318" s="55"/>
      <c r="G318" s="651"/>
      <c r="H318" s="55"/>
      <c r="I318" s="651"/>
      <c r="K318" s="652"/>
      <c r="M318" s="276"/>
    </row>
    <row r="319">
      <c r="A319" s="459"/>
      <c r="C319" s="276"/>
      <c r="D319" s="276"/>
      <c r="E319" s="651"/>
      <c r="F319" s="55"/>
      <c r="G319" s="651"/>
      <c r="H319" s="55"/>
      <c r="I319" s="651"/>
      <c r="K319" s="652"/>
      <c r="M319" s="276"/>
    </row>
    <row r="320">
      <c r="A320" s="459"/>
      <c r="C320" s="276"/>
      <c r="D320" s="276"/>
      <c r="E320" s="651"/>
      <c r="F320" s="55"/>
      <c r="G320" s="651"/>
      <c r="H320" s="55"/>
      <c r="I320" s="651"/>
      <c r="K320" s="652"/>
      <c r="M320" s="276"/>
    </row>
    <row r="321">
      <c r="A321" s="459"/>
      <c r="C321" s="276"/>
      <c r="D321" s="276"/>
      <c r="E321" s="651"/>
      <c r="F321" s="55"/>
      <c r="G321" s="651"/>
      <c r="H321" s="55"/>
      <c r="I321" s="651"/>
      <c r="K321" s="652"/>
      <c r="M321" s="276"/>
    </row>
    <row r="322">
      <c r="A322" s="459"/>
      <c r="C322" s="276"/>
      <c r="D322" s="276"/>
      <c r="E322" s="651"/>
      <c r="F322" s="55"/>
      <c r="G322" s="651"/>
      <c r="H322" s="55"/>
      <c r="I322" s="651"/>
      <c r="K322" s="652"/>
      <c r="M322" s="276"/>
    </row>
    <row r="323">
      <c r="A323" s="459"/>
      <c r="C323" s="276"/>
      <c r="D323" s="276"/>
      <c r="E323" s="651"/>
      <c r="F323" s="55"/>
      <c r="G323" s="651"/>
      <c r="H323" s="55"/>
      <c r="I323" s="651"/>
      <c r="K323" s="652"/>
      <c r="M323" s="276"/>
    </row>
    <row r="324">
      <c r="A324" s="459"/>
      <c r="C324" s="276"/>
      <c r="D324" s="276"/>
      <c r="E324" s="651"/>
      <c r="F324" s="55"/>
      <c r="G324" s="651"/>
      <c r="H324" s="55"/>
      <c r="I324" s="651"/>
      <c r="K324" s="652"/>
      <c r="M324" s="276"/>
    </row>
    <row r="325">
      <c r="A325" s="459"/>
      <c r="C325" s="276"/>
      <c r="D325" s="276"/>
      <c r="E325" s="651"/>
      <c r="F325" s="55"/>
      <c r="G325" s="651"/>
      <c r="H325" s="55"/>
      <c r="I325" s="651"/>
      <c r="K325" s="652"/>
      <c r="M325" s="276"/>
    </row>
    <row r="326">
      <c r="A326" s="459"/>
      <c r="C326" s="276"/>
      <c r="D326" s="276"/>
      <c r="E326" s="651"/>
      <c r="F326" s="55"/>
      <c r="G326" s="651"/>
      <c r="H326" s="55"/>
      <c r="I326" s="651"/>
      <c r="K326" s="652"/>
      <c r="M326" s="276"/>
    </row>
    <row r="327">
      <c r="A327" s="459"/>
      <c r="C327" s="276"/>
      <c r="D327" s="276"/>
      <c r="E327" s="651"/>
      <c r="F327" s="55"/>
      <c r="G327" s="651"/>
      <c r="H327" s="55"/>
      <c r="I327" s="651"/>
      <c r="K327" s="652"/>
      <c r="M327" s="276"/>
    </row>
    <row r="328">
      <c r="A328" s="459"/>
      <c r="C328" s="276"/>
      <c r="D328" s="276"/>
      <c r="E328" s="651"/>
      <c r="F328" s="55"/>
      <c r="G328" s="651"/>
      <c r="H328" s="55"/>
      <c r="I328" s="651"/>
      <c r="K328" s="652"/>
      <c r="M328" s="276"/>
    </row>
    <row r="329">
      <c r="A329" s="459"/>
      <c r="C329" s="276"/>
      <c r="D329" s="276"/>
      <c r="E329" s="651"/>
      <c r="F329" s="55"/>
      <c r="G329" s="651"/>
      <c r="H329" s="55"/>
      <c r="I329" s="651"/>
      <c r="K329" s="652"/>
      <c r="M329" s="276"/>
    </row>
    <row r="330">
      <c r="A330" s="459"/>
      <c r="C330" s="276"/>
      <c r="D330" s="276"/>
      <c r="E330" s="651"/>
      <c r="F330" s="55"/>
      <c r="G330" s="651"/>
      <c r="H330" s="55"/>
      <c r="I330" s="651"/>
      <c r="K330" s="652"/>
      <c r="M330" s="276"/>
    </row>
    <row r="331">
      <c r="A331" s="459"/>
      <c r="C331" s="276"/>
      <c r="D331" s="276"/>
      <c r="E331" s="651"/>
      <c r="F331" s="55"/>
      <c r="G331" s="651"/>
      <c r="H331" s="55"/>
      <c r="I331" s="651"/>
      <c r="K331" s="652"/>
      <c r="M331" s="276"/>
    </row>
    <row r="332">
      <c r="A332" s="459"/>
      <c r="C332" s="276"/>
      <c r="D332" s="276"/>
      <c r="E332" s="651"/>
      <c r="F332" s="55"/>
      <c r="G332" s="651"/>
      <c r="H332" s="55"/>
      <c r="I332" s="651"/>
      <c r="K332" s="652"/>
      <c r="M332" s="276"/>
    </row>
    <row r="333">
      <c r="A333" s="459"/>
      <c r="C333" s="276"/>
      <c r="D333" s="276"/>
      <c r="E333" s="651"/>
      <c r="F333" s="55"/>
      <c r="G333" s="651"/>
      <c r="H333" s="55"/>
      <c r="I333" s="651"/>
      <c r="K333" s="652"/>
      <c r="M333" s="276"/>
    </row>
    <row r="334">
      <c r="A334" s="459"/>
      <c r="C334" s="276"/>
      <c r="D334" s="276"/>
      <c r="E334" s="651"/>
      <c r="F334" s="55"/>
      <c r="G334" s="651"/>
      <c r="H334" s="55"/>
      <c r="I334" s="651"/>
      <c r="K334" s="652"/>
      <c r="M334" s="276"/>
    </row>
    <row r="335">
      <c r="A335" s="459"/>
      <c r="C335" s="276"/>
      <c r="D335" s="276"/>
      <c r="E335" s="651"/>
      <c r="F335" s="55"/>
      <c r="G335" s="651"/>
      <c r="H335" s="55"/>
      <c r="I335" s="651"/>
      <c r="K335" s="652"/>
      <c r="M335" s="276"/>
    </row>
    <row r="336">
      <c r="A336" s="459"/>
      <c r="C336" s="276"/>
      <c r="D336" s="276"/>
      <c r="E336" s="651"/>
      <c r="F336" s="55"/>
      <c r="G336" s="651"/>
      <c r="H336" s="55"/>
      <c r="I336" s="651"/>
      <c r="K336" s="652"/>
      <c r="M336" s="276"/>
    </row>
    <row r="337">
      <c r="A337" s="459"/>
      <c r="C337" s="276"/>
      <c r="D337" s="276"/>
      <c r="E337" s="651"/>
      <c r="F337" s="55"/>
      <c r="G337" s="651"/>
      <c r="H337" s="55"/>
      <c r="I337" s="651"/>
      <c r="K337" s="652"/>
      <c r="M337" s="276"/>
    </row>
    <row r="338">
      <c r="A338" s="459"/>
      <c r="C338" s="276"/>
      <c r="D338" s="276"/>
      <c r="E338" s="651"/>
      <c r="F338" s="55"/>
      <c r="G338" s="651"/>
      <c r="H338" s="55"/>
      <c r="I338" s="651"/>
      <c r="K338" s="652"/>
      <c r="M338" s="276"/>
    </row>
    <row r="339">
      <c r="A339" s="459"/>
      <c r="C339" s="276"/>
      <c r="D339" s="276"/>
      <c r="E339" s="651"/>
      <c r="F339" s="55"/>
      <c r="G339" s="651"/>
      <c r="H339" s="55"/>
      <c r="I339" s="651"/>
      <c r="K339" s="652"/>
      <c r="M339" s="276"/>
    </row>
    <row r="340">
      <c r="A340" s="459"/>
      <c r="C340" s="276"/>
      <c r="D340" s="276"/>
      <c r="E340" s="651"/>
      <c r="F340" s="55"/>
      <c r="G340" s="651"/>
      <c r="H340" s="55"/>
      <c r="I340" s="651"/>
      <c r="K340" s="652"/>
      <c r="M340" s="276"/>
    </row>
    <row r="341">
      <c r="A341" s="459"/>
      <c r="C341" s="276"/>
      <c r="D341" s="276"/>
      <c r="E341" s="651"/>
      <c r="F341" s="55"/>
      <c r="G341" s="651"/>
      <c r="H341" s="55"/>
      <c r="I341" s="651"/>
      <c r="K341" s="652"/>
      <c r="M341" s="276"/>
    </row>
    <row r="342">
      <c r="A342" s="459"/>
      <c r="C342" s="276"/>
      <c r="D342" s="276"/>
      <c r="E342" s="651"/>
      <c r="F342" s="55"/>
      <c r="G342" s="651"/>
      <c r="H342" s="55"/>
      <c r="I342" s="651"/>
      <c r="K342" s="652"/>
      <c r="M342" s="276"/>
    </row>
    <row r="343">
      <c r="A343" s="459"/>
      <c r="C343" s="276"/>
      <c r="D343" s="276"/>
      <c r="E343" s="651"/>
      <c r="F343" s="55"/>
      <c r="G343" s="651"/>
      <c r="H343" s="55"/>
      <c r="I343" s="651"/>
      <c r="K343" s="652"/>
      <c r="M343" s="276"/>
    </row>
    <row r="344">
      <c r="A344" s="459"/>
      <c r="C344" s="276"/>
      <c r="D344" s="276"/>
      <c r="E344" s="651"/>
      <c r="F344" s="55"/>
      <c r="G344" s="651"/>
      <c r="H344" s="55"/>
      <c r="I344" s="651"/>
      <c r="K344" s="652"/>
      <c r="M344" s="276"/>
    </row>
    <row r="345">
      <c r="A345" s="459"/>
      <c r="C345" s="276"/>
      <c r="D345" s="276"/>
      <c r="E345" s="651"/>
      <c r="F345" s="55"/>
      <c r="G345" s="651"/>
      <c r="H345" s="55"/>
      <c r="I345" s="651"/>
      <c r="K345" s="652"/>
      <c r="M345" s="276"/>
    </row>
    <row r="346">
      <c r="A346" s="459"/>
      <c r="C346" s="276"/>
      <c r="D346" s="276"/>
      <c r="E346" s="651"/>
      <c r="F346" s="55"/>
      <c r="G346" s="651"/>
      <c r="H346" s="55"/>
      <c r="I346" s="651"/>
      <c r="K346" s="652"/>
      <c r="M346" s="276"/>
    </row>
    <row r="347">
      <c r="A347" s="459"/>
      <c r="C347" s="276"/>
      <c r="D347" s="276"/>
      <c r="E347" s="651"/>
      <c r="F347" s="55"/>
      <c r="G347" s="651"/>
      <c r="H347" s="55"/>
      <c r="I347" s="651"/>
      <c r="K347" s="652"/>
      <c r="M347" s="276"/>
    </row>
    <row r="348">
      <c r="A348" s="459"/>
      <c r="C348" s="276"/>
      <c r="D348" s="276"/>
      <c r="E348" s="651"/>
      <c r="F348" s="55"/>
      <c r="G348" s="651"/>
      <c r="H348" s="55"/>
      <c r="I348" s="651"/>
      <c r="K348" s="652"/>
      <c r="M348" s="276"/>
    </row>
    <row r="349">
      <c r="A349" s="459"/>
      <c r="C349" s="276"/>
      <c r="D349" s="276"/>
      <c r="E349" s="651"/>
      <c r="F349" s="55"/>
      <c r="G349" s="651"/>
      <c r="H349" s="55"/>
      <c r="I349" s="651"/>
      <c r="K349" s="652"/>
      <c r="M349" s="276"/>
    </row>
    <row r="350">
      <c r="A350" s="459"/>
      <c r="C350" s="276"/>
      <c r="D350" s="276"/>
      <c r="E350" s="651"/>
      <c r="F350" s="55"/>
      <c r="G350" s="651"/>
      <c r="H350" s="55"/>
      <c r="I350" s="651"/>
      <c r="K350" s="652"/>
      <c r="M350" s="276"/>
    </row>
    <row r="351">
      <c r="A351" s="459"/>
      <c r="C351" s="276"/>
      <c r="D351" s="276"/>
      <c r="E351" s="651"/>
      <c r="F351" s="55"/>
      <c r="G351" s="651"/>
      <c r="H351" s="55"/>
      <c r="I351" s="651"/>
      <c r="K351" s="652"/>
      <c r="M351" s="276"/>
    </row>
    <row r="352">
      <c r="A352" s="459"/>
      <c r="C352" s="276"/>
      <c r="D352" s="276"/>
      <c r="E352" s="651"/>
      <c r="F352" s="55"/>
      <c r="G352" s="651"/>
      <c r="H352" s="55"/>
      <c r="I352" s="651"/>
      <c r="K352" s="652"/>
      <c r="M352" s="276"/>
    </row>
    <row r="353">
      <c r="A353" s="459"/>
      <c r="C353" s="276"/>
      <c r="D353" s="276"/>
      <c r="E353" s="651"/>
      <c r="F353" s="55"/>
      <c r="G353" s="651"/>
      <c r="H353" s="55"/>
      <c r="I353" s="651"/>
      <c r="K353" s="652"/>
      <c r="M353" s="276"/>
    </row>
    <row r="354">
      <c r="A354" s="459"/>
      <c r="C354" s="276"/>
      <c r="D354" s="276"/>
      <c r="E354" s="651"/>
      <c r="F354" s="55"/>
      <c r="G354" s="651"/>
      <c r="H354" s="55"/>
      <c r="I354" s="651"/>
      <c r="K354" s="652"/>
      <c r="M354" s="276"/>
    </row>
    <row r="355">
      <c r="A355" s="459"/>
      <c r="C355" s="276"/>
      <c r="D355" s="276"/>
      <c r="E355" s="651"/>
      <c r="F355" s="55"/>
      <c r="G355" s="651"/>
      <c r="H355" s="55"/>
      <c r="I355" s="651"/>
      <c r="K355" s="652"/>
      <c r="M355" s="276"/>
    </row>
    <row r="356">
      <c r="A356" s="459"/>
      <c r="C356" s="276"/>
      <c r="D356" s="276"/>
      <c r="E356" s="651"/>
      <c r="F356" s="55"/>
      <c r="G356" s="651"/>
      <c r="H356" s="55"/>
      <c r="I356" s="651"/>
      <c r="K356" s="652"/>
      <c r="M356" s="276"/>
    </row>
    <row r="357">
      <c r="A357" s="459"/>
      <c r="C357" s="276"/>
      <c r="D357" s="276"/>
      <c r="E357" s="651"/>
      <c r="F357" s="55"/>
      <c r="G357" s="651"/>
      <c r="H357" s="55"/>
      <c r="I357" s="651"/>
      <c r="K357" s="652"/>
      <c r="M357" s="276"/>
    </row>
    <row r="358">
      <c r="A358" s="459"/>
      <c r="C358" s="276"/>
      <c r="D358" s="276"/>
      <c r="E358" s="651"/>
      <c r="F358" s="55"/>
      <c r="G358" s="651"/>
      <c r="H358" s="55"/>
      <c r="I358" s="651"/>
      <c r="K358" s="652"/>
      <c r="M358" s="276"/>
    </row>
    <row r="359">
      <c r="A359" s="459"/>
      <c r="C359" s="276"/>
      <c r="D359" s="276"/>
      <c r="E359" s="651"/>
      <c r="F359" s="55"/>
      <c r="G359" s="651"/>
      <c r="H359" s="55"/>
      <c r="I359" s="651"/>
      <c r="K359" s="652"/>
      <c r="M359" s="276"/>
    </row>
    <row r="360">
      <c r="A360" s="459"/>
      <c r="C360" s="276"/>
      <c r="D360" s="276"/>
      <c r="E360" s="651"/>
      <c r="F360" s="55"/>
      <c r="G360" s="651"/>
      <c r="H360" s="55"/>
      <c r="I360" s="651"/>
      <c r="K360" s="652"/>
      <c r="M360" s="276"/>
    </row>
    <row r="361">
      <c r="A361" s="459"/>
      <c r="C361" s="276"/>
      <c r="D361" s="276"/>
      <c r="E361" s="651"/>
      <c r="F361" s="55"/>
      <c r="G361" s="651"/>
      <c r="H361" s="55"/>
      <c r="I361" s="651"/>
      <c r="K361" s="652"/>
      <c r="M361" s="276"/>
    </row>
    <row r="362">
      <c r="A362" s="459"/>
      <c r="C362" s="276"/>
      <c r="D362" s="276"/>
      <c r="E362" s="651"/>
      <c r="F362" s="55"/>
      <c r="G362" s="651"/>
      <c r="H362" s="55"/>
      <c r="I362" s="651"/>
      <c r="K362" s="652"/>
      <c r="M362" s="276"/>
    </row>
    <row r="363">
      <c r="A363" s="459"/>
      <c r="C363" s="276"/>
      <c r="D363" s="276"/>
      <c r="E363" s="651"/>
      <c r="F363" s="55"/>
      <c r="G363" s="651"/>
      <c r="H363" s="55"/>
      <c r="I363" s="651"/>
      <c r="K363" s="652"/>
      <c r="M363" s="276"/>
    </row>
    <row r="364">
      <c r="A364" s="459"/>
      <c r="C364" s="276"/>
      <c r="D364" s="276"/>
      <c r="E364" s="651"/>
      <c r="F364" s="55"/>
      <c r="G364" s="651"/>
      <c r="H364" s="55"/>
      <c r="I364" s="651"/>
      <c r="K364" s="652"/>
      <c r="M364" s="276"/>
    </row>
    <row r="365">
      <c r="A365" s="459"/>
      <c r="C365" s="276"/>
      <c r="D365" s="276"/>
      <c r="E365" s="651"/>
      <c r="F365" s="55"/>
      <c r="G365" s="651"/>
      <c r="H365" s="55"/>
      <c r="I365" s="651"/>
      <c r="K365" s="652"/>
      <c r="M365" s="276"/>
    </row>
    <row r="366">
      <c r="A366" s="459"/>
      <c r="C366" s="276"/>
      <c r="D366" s="276"/>
      <c r="E366" s="651"/>
      <c r="F366" s="55"/>
      <c r="G366" s="651"/>
      <c r="H366" s="55"/>
      <c r="I366" s="651"/>
      <c r="K366" s="652"/>
      <c r="M366" s="276"/>
    </row>
    <row r="367">
      <c r="A367" s="459"/>
      <c r="C367" s="276"/>
      <c r="D367" s="276"/>
      <c r="E367" s="651"/>
      <c r="F367" s="55"/>
      <c r="G367" s="651"/>
      <c r="H367" s="55"/>
      <c r="I367" s="651"/>
      <c r="K367" s="652"/>
      <c r="M367" s="276"/>
    </row>
    <row r="368">
      <c r="A368" s="459"/>
      <c r="C368" s="276"/>
      <c r="D368" s="276"/>
      <c r="E368" s="651"/>
      <c r="F368" s="55"/>
      <c r="G368" s="651"/>
      <c r="H368" s="55"/>
      <c r="I368" s="651"/>
      <c r="K368" s="652"/>
      <c r="M368" s="276"/>
    </row>
    <row r="369">
      <c r="A369" s="459"/>
      <c r="C369" s="276"/>
      <c r="D369" s="276"/>
      <c r="E369" s="651"/>
      <c r="F369" s="55"/>
      <c r="G369" s="651"/>
      <c r="H369" s="55"/>
      <c r="I369" s="651"/>
      <c r="K369" s="652"/>
      <c r="M369" s="276"/>
    </row>
    <row r="370">
      <c r="A370" s="459"/>
      <c r="C370" s="276"/>
      <c r="D370" s="276"/>
      <c r="E370" s="651"/>
      <c r="F370" s="55"/>
      <c r="G370" s="651"/>
      <c r="H370" s="55"/>
      <c r="I370" s="651"/>
      <c r="K370" s="652"/>
      <c r="M370" s="276"/>
    </row>
    <row r="371">
      <c r="A371" s="459"/>
      <c r="C371" s="276"/>
      <c r="D371" s="276"/>
      <c r="E371" s="651"/>
      <c r="F371" s="55"/>
      <c r="G371" s="651"/>
      <c r="H371" s="55"/>
      <c r="I371" s="651"/>
      <c r="K371" s="652"/>
      <c r="M371" s="276"/>
    </row>
    <row r="372">
      <c r="A372" s="459"/>
      <c r="C372" s="276"/>
      <c r="D372" s="276"/>
      <c r="E372" s="651"/>
      <c r="F372" s="55"/>
      <c r="G372" s="651"/>
      <c r="H372" s="55"/>
      <c r="I372" s="651"/>
      <c r="K372" s="652"/>
      <c r="M372" s="276"/>
    </row>
    <row r="373">
      <c r="A373" s="459"/>
      <c r="C373" s="276"/>
      <c r="D373" s="276"/>
      <c r="E373" s="651"/>
      <c r="F373" s="55"/>
      <c r="G373" s="651"/>
      <c r="H373" s="55"/>
      <c r="I373" s="651"/>
      <c r="K373" s="652"/>
      <c r="M373" s="276"/>
    </row>
    <row r="374">
      <c r="A374" s="459"/>
      <c r="C374" s="276"/>
      <c r="D374" s="276"/>
      <c r="E374" s="651"/>
      <c r="F374" s="55"/>
      <c r="G374" s="651"/>
      <c r="H374" s="55"/>
      <c r="I374" s="651"/>
      <c r="K374" s="652"/>
      <c r="M374" s="276"/>
    </row>
    <row r="375">
      <c r="A375" s="459"/>
      <c r="C375" s="276"/>
      <c r="D375" s="276"/>
      <c r="E375" s="651"/>
      <c r="F375" s="55"/>
      <c r="G375" s="651"/>
      <c r="H375" s="55"/>
      <c r="I375" s="651"/>
      <c r="K375" s="652"/>
      <c r="M375" s="276"/>
    </row>
    <row r="376">
      <c r="A376" s="459"/>
      <c r="C376" s="276"/>
      <c r="D376" s="276"/>
      <c r="E376" s="651"/>
      <c r="F376" s="55"/>
      <c r="G376" s="651"/>
      <c r="H376" s="55"/>
      <c r="I376" s="651"/>
      <c r="K376" s="652"/>
      <c r="M376" s="276"/>
    </row>
    <row r="377">
      <c r="A377" s="459"/>
      <c r="C377" s="276"/>
      <c r="D377" s="276"/>
      <c r="E377" s="651"/>
      <c r="F377" s="55"/>
      <c r="G377" s="651"/>
      <c r="H377" s="55"/>
      <c r="I377" s="651"/>
      <c r="K377" s="652"/>
      <c r="M377" s="276"/>
    </row>
    <row r="378">
      <c r="A378" s="459"/>
      <c r="C378" s="276"/>
      <c r="D378" s="276"/>
      <c r="E378" s="651"/>
      <c r="F378" s="55"/>
      <c r="G378" s="651"/>
      <c r="H378" s="55"/>
      <c r="I378" s="651"/>
      <c r="K378" s="652"/>
      <c r="M378" s="276"/>
    </row>
    <row r="379">
      <c r="A379" s="459"/>
      <c r="C379" s="276"/>
      <c r="D379" s="276"/>
      <c r="E379" s="651"/>
      <c r="F379" s="55"/>
      <c r="G379" s="651"/>
      <c r="H379" s="55"/>
      <c r="I379" s="651"/>
      <c r="K379" s="652"/>
      <c r="M379" s="276"/>
    </row>
    <row r="380">
      <c r="A380" s="459"/>
      <c r="C380" s="276"/>
      <c r="D380" s="276"/>
      <c r="E380" s="651"/>
      <c r="F380" s="55"/>
      <c r="G380" s="651"/>
      <c r="H380" s="55"/>
      <c r="I380" s="651"/>
      <c r="K380" s="652"/>
      <c r="M380" s="276"/>
    </row>
    <row r="381">
      <c r="A381" s="459"/>
      <c r="C381" s="276"/>
      <c r="D381" s="276"/>
      <c r="E381" s="651"/>
      <c r="F381" s="55"/>
      <c r="G381" s="651"/>
      <c r="H381" s="55"/>
      <c r="I381" s="651"/>
      <c r="K381" s="652"/>
      <c r="M381" s="276"/>
    </row>
    <row r="382">
      <c r="A382" s="459"/>
      <c r="C382" s="276"/>
      <c r="D382" s="276"/>
      <c r="E382" s="651"/>
      <c r="F382" s="55"/>
      <c r="G382" s="651"/>
      <c r="H382" s="55"/>
      <c r="I382" s="651"/>
      <c r="K382" s="652"/>
      <c r="M382" s="276"/>
    </row>
    <row r="383">
      <c r="A383" s="459"/>
      <c r="C383" s="276"/>
      <c r="D383" s="276"/>
      <c r="E383" s="651"/>
      <c r="F383" s="55"/>
      <c r="G383" s="651"/>
      <c r="H383" s="55"/>
      <c r="I383" s="651"/>
      <c r="K383" s="652"/>
      <c r="M383" s="276"/>
    </row>
    <row r="384">
      <c r="A384" s="459"/>
      <c r="C384" s="276"/>
      <c r="D384" s="276"/>
      <c r="E384" s="651"/>
      <c r="F384" s="55"/>
      <c r="G384" s="651"/>
      <c r="H384" s="55"/>
      <c r="I384" s="651"/>
      <c r="K384" s="652"/>
      <c r="M384" s="276"/>
    </row>
    <row r="385">
      <c r="A385" s="459"/>
      <c r="C385" s="276"/>
      <c r="D385" s="276"/>
      <c r="E385" s="651"/>
      <c r="F385" s="55"/>
      <c r="G385" s="651"/>
      <c r="H385" s="55"/>
      <c r="I385" s="651"/>
      <c r="K385" s="652"/>
      <c r="M385" s="276"/>
    </row>
    <row r="386">
      <c r="A386" s="459"/>
      <c r="C386" s="276"/>
      <c r="D386" s="276"/>
      <c r="E386" s="651"/>
      <c r="F386" s="55"/>
      <c r="G386" s="651"/>
      <c r="H386" s="55"/>
      <c r="I386" s="651"/>
      <c r="K386" s="652"/>
      <c r="M386" s="276"/>
    </row>
    <row r="387">
      <c r="A387" s="459"/>
      <c r="C387" s="276"/>
      <c r="D387" s="276"/>
      <c r="E387" s="651"/>
      <c r="F387" s="55"/>
      <c r="G387" s="651"/>
      <c r="H387" s="55"/>
      <c r="I387" s="651"/>
      <c r="K387" s="652"/>
      <c r="M387" s="276"/>
    </row>
    <row r="388">
      <c r="A388" s="459"/>
      <c r="C388" s="276"/>
      <c r="D388" s="276"/>
      <c r="E388" s="651"/>
      <c r="F388" s="55"/>
      <c r="G388" s="651"/>
      <c r="H388" s="55"/>
      <c r="I388" s="651"/>
      <c r="K388" s="652"/>
      <c r="M388" s="276"/>
    </row>
    <row r="389">
      <c r="A389" s="459"/>
      <c r="C389" s="276"/>
      <c r="D389" s="276"/>
      <c r="E389" s="651"/>
      <c r="F389" s="55"/>
      <c r="G389" s="651"/>
      <c r="H389" s="55"/>
      <c r="I389" s="651"/>
      <c r="K389" s="652"/>
      <c r="M389" s="276"/>
    </row>
    <row r="390">
      <c r="A390" s="459"/>
      <c r="C390" s="276"/>
      <c r="D390" s="276"/>
      <c r="E390" s="651"/>
      <c r="F390" s="55"/>
      <c r="G390" s="651"/>
      <c r="H390" s="55"/>
      <c r="I390" s="651"/>
      <c r="K390" s="652"/>
      <c r="M390" s="276"/>
    </row>
    <row r="391">
      <c r="A391" s="459"/>
      <c r="C391" s="276"/>
      <c r="D391" s="276"/>
      <c r="E391" s="651"/>
      <c r="F391" s="55"/>
      <c r="G391" s="651"/>
      <c r="H391" s="55"/>
      <c r="I391" s="651"/>
      <c r="K391" s="652"/>
      <c r="M391" s="276"/>
    </row>
    <row r="392">
      <c r="A392" s="459"/>
      <c r="C392" s="276"/>
      <c r="D392" s="276"/>
      <c r="E392" s="651"/>
      <c r="F392" s="55"/>
      <c r="G392" s="651"/>
      <c r="H392" s="55"/>
      <c r="I392" s="651"/>
      <c r="K392" s="652"/>
      <c r="M392" s="276"/>
    </row>
    <row r="393">
      <c r="A393" s="459"/>
      <c r="C393" s="276"/>
      <c r="D393" s="276"/>
      <c r="E393" s="651"/>
      <c r="F393" s="55"/>
      <c r="G393" s="651"/>
      <c r="H393" s="55"/>
      <c r="I393" s="651"/>
      <c r="K393" s="652"/>
      <c r="M393" s="276"/>
    </row>
    <row r="394">
      <c r="A394" s="459"/>
      <c r="C394" s="276"/>
      <c r="D394" s="276"/>
      <c r="E394" s="651"/>
      <c r="F394" s="55"/>
      <c r="G394" s="651"/>
      <c r="H394" s="55"/>
      <c r="I394" s="651"/>
      <c r="K394" s="652"/>
      <c r="M394" s="276"/>
    </row>
    <row r="395">
      <c r="A395" s="459"/>
      <c r="C395" s="276"/>
      <c r="D395" s="276"/>
      <c r="E395" s="651"/>
      <c r="F395" s="55"/>
      <c r="G395" s="651"/>
      <c r="H395" s="55"/>
      <c r="I395" s="651"/>
      <c r="K395" s="652"/>
      <c r="M395" s="276"/>
    </row>
    <row r="396">
      <c r="A396" s="459"/>
      <c r="C396" s="276"/>
      <c r="D396" s="276"/>
      <c r="E396" s="651"/>
      <c r="F396" s="55"/>
      <c r="G396" s="651"/>
      <c r="H396" s="55"/>
      <c r="I396" s="651"/>
      <c r="K396" s="652"/>
      <c r="M396" s="276"/>
    </row>
    <row r="397">
      <c r="A397" s="459"/>
      <c r="C397" s="276"/>
      <c r="D397" s="276"/>
      <c r="E397" s="651"/>
      <c r="F397" s="55"/>
      <c r="G397" s="651"/>
      <c r="H397" s="55"/>
      <c r="I397" s="651"/>
      <c r="K397" s="652"/>
      <c r="M397" s="276"/>
    </row>
    <row r="398">
      <c r="A398" s="459"/>
      <c r="C398" s="276"/>
      <c r="D398" s="276"/>
      <c r="E398" s="651"/>
      <c r="F398" s="55"/>
      <c r="G398" s="651"/>
      <c r="H398" s="55"/>
      <c r="I398" s="651"/>
      <c r="K398" s="652"/>
      <c r="M398" s="276"/>
    </row>
    <row r="399">
      <c r="A399" s="459"/>
      <c r="C399" s="276"/>
      <c r="D399" s="276"/>
      <c r="E399" s="651"/>
      <c r="F399" s="55"/>
      <c r="G399" s="651"/>
      <c r="H399" s="55"/>
      <c r="I399" s="651"/>
      <c r="K399" s="652"/>
      <c r="M399" s="276"/>
    </row>
    <row r="400">
      <c r="A400" s="459"/>
      <c r="C400" s="276"/>
      <c r="D400" s="276"/>
      <c r="E400" s="651"/>
      <c r="F400" s="55"/>
      <c r="G400" s="651"/>
      <c r="H400" s="55"/>
      <c r="I400" s="651"/>
      <c r="K400" s="652"/>
      <c r="M400" s="276"/>
    </row>
    <row r="401">
      <c r="A401" s="459"/>
      <c r="C401" s="276"/>
      <c r="D401" s="276"/>
      <c r="E401" s="651"/>
      <c r="F401" s="55"/>
      <c r="G401" s="651"/>
      <c r="H401" s="55"/>
      <c r="I401" s="651"/>
      <c r="K401" s="652"/>
      <c r="M401" s="276"/>
    </row>
    <row r="402">
      <c r="A402" s="459"/>
      <c r="C402" s="276"/>
      <c r="D402" s="276"/>
      <c r="E402" s="651"/>
      <c r="F402" s="55"/>
      <c r="G402" s="651"/>
      <c r="H402" s="55"/>
      <c r="I402" s="651"/>
      <c r="K402" s="652"/>
      <c r="M402" s="276"/>
    </row>
    <row r="403">
      <c r="A403" s="459"/>
      <c r="C403" s="276"/>
      <c r="D403" s="276"/>
      <c r="E403" s="651"/>
      <c r="F403" s="55"/>
      <c r="G403" s="651"/>
      <c r="H403" s="55"/>
      <c r="I403" s="651"/>
      <c r="K403" s="652"/>
      <c r="M403" s="276"/>
    </row>
    <row r="404">
      <c r="A404" s="459"/>
      <c r="C404" s="276"/>
      <c r="D404" s="276"/>
      <c r="E404" s="651"/>
      <c r="F404" s="55"/>
      <c r="G404" s="651"/>
      <c r="H404" s="55"/>
      <c r="I404" s="651"/>
      <c r="K404" s="652"/>
      <c r="M404" s="276"/>
    </row>
    <row r="405">
      <c r="A405" s="459"/>
      <c r="C405" s="276"/>
      <c r="D405" s="276"/>
      <c r="E405" s="651"/>
      <c r="F405" s="55"/>
      <c r="G405" s="651"/>
      <c r="H405" s="55"/>
      <c r="I405" s="651"/>
      <c r="K405" s="652"/>
      <c r="M405" s="276"/>
    </row>
    <row r="406">
      <c r="A406" s="459"/>
      <c r="C406" s="276"/>
      <c r="D406" s="276"/>
      <c r="E406" s="651"/>
      <c r="F406" s="55"/>
      <c r="G406" s="651"/>
      <c r="H406" s="55"/>
      <c r="I406" s="651"/>
      <c r="K406" s="652"/>
      <c r="M406" s="276"/>
    </row>
    <row r="407">
      <c r="A407" s="459"/>
      <c r="C407" s="276"/>
      <c r="D407" s="276"/>
      <c r="E407" s="651"/>
      <c r="F407" s="55"/>
      <c r="G407" s="651"/>
      <c r="H407" s="55"/>
      <c r="I407" s="651"/>
      <c r="K407" s="652"/>
      <c r="M407" s="276"/>
    </row>
    <row r="408">
      <c r="A408" s="459"/>
      <c r="C408" s="276"/>
      <c r="D408" s="276"/>
      <c r="E408" s="651"/>
      <c r="F408" s="55"/>
      <c r="G408" s="651"/>
      <c r="H408" s="55"/>
      <c r="I408" s="651"/>
      <c r="K408" s="652"/>
      <c r="M408" s="276"/>
    </row>
    <row r="409">
      <c r="A409" s="459"/>
      <c r="C409" s="276"/>
      <c r="D409" s="276"/>
      <c r="E409" s="651"/>
      <c r="F409" s="55"/>
      <c r="G409" s="651"/>
      <c r="H409" s="55"/>
      <c r="I409" s="651"/>
      <c r="K409" s="652"/>
      <c r="M409" s="276"/>
    </row>
    <row r="410">
      <c r="A410" s="459"/>
      <c r="C410" s="276"/>
      <c r="D410" s="276"/>
      <c r="E410" s="651"/>
      <c r="F410" s="55"/>
      <c r="G410" s="651"/>
      <c r="H410" s="55"/>
      <c r="I410" s="651"/>
      <c r="K410" s="652"/>
      <c r="M410" s="276"/>
    </row>
    <row r="411">
      <c r="A411" s="459"/>
      <c r="C411" s="276"/>
      <c r="D411" s="276"/>
      <c r="E411" s="651"/>
      <c r="F411" s="55"/>
      <c r="G411" s="651"/>
      <c r="H411" s="55"/>
      <c r="I411" s="651"/>
      <c r="K411" s="652"/>
      <c r="M411" s="276"/>
    </row>
    <row r="412">
      <c r="A412" s="459"/>
      <c r="C412" s="276"/>
      <c r="D412" s="276"/>
      <c r="E412" s="651"/>
      <c r="F412" s="55"/>
      <c r="G412" s="651"/>
      <c r="H412" s="55"/>
      <c r="I412" s="651"/>
      <c r="K412" s="652"/>
      <c r="M412" s="276"/>
    </row>
    <row r="413">
      <c r="A413" s="459"/>
      <c r="C413" s="276"/>
      <c r="D413" s="276"/>
      <c r="E413" s="651"/>
      <c r="F413" s="55"/>
      <c r="G413" s="651"/>
      <c r="H413" s="55"/>
      <c r="I413" s="651"/>
      <c r="K413" s="652"/>
      <c r="M413" s="276"/>
    </row>
    <row r="414">
      <c r="A414" s="459"/>
      <c r="C414" s="276"/>
      <c r="D414" s="276"/>
      <c r="E414" s="651"/>
      <c r="F414" s="55"/>
      <c r="G414" s="651"/>
      <c r="H414" s="55"/>
      <c r="I414" s="651"/>
      <c r="K414" s="652"/>
      <c r="M414" s="276"/>
    </row>
    <row r="415">
      <c r="A415" s="459"/>
      <c r="C415" s="276"/>
      <c r="D415" s="276"/>
      <c r="E415" s="651"/>
      <c r="F415" s="55"/>
      <c r="G415" s="651"/>
      <c r="H415" s="55"/>
      <c r="I415" s="651"/>
      <c r="K415" s="652"/>
      <c r="M415" s="276"/>
    </row>
    <row r="416">
      <c r="A416" s="459"/>
      <c r="C416" s="276"/>
      <c r="D416" s="276"/>
      <c r="E416" s="651"/>
      <c r="F416" s="55"/>
      <c r="G416" s="651"/>
      <c r="H416" s="55"/>
      <c r="I416" s="651"/>
      <c r="K416" s="652"/>
      <c r="M416" s="276"/>
    </row>
    <row r="417">
      <c r="A417" s="459"/>
      <c r="C417" s="276"/>
      <c r="D417" s="276"/>
      <c r="E417" s="651"/>
      <c r="F417" s="55"/>
      <c r="G417" s="651"/>
      <c r="H417" s="55"/>
      <c r="I417" s="651"/>
      <c r="K417" s="652"/>
      <c r="M417" s="276"/>
    </row>
    <row r="418">
      <c r="A418" s="459"/>
      <c r="C418" s="276"/>
      <c r="D418" s="276"/>
      <c r="E418" s="651"/>
      <c r="F418" s="55"/>
      <c r="G418" s="651"/>
      <c r="H418" s="55"/>
      <c r="I418" s="651"/>
      <c r="K418" s="652"/>
      <c r="M418" s="276"/>
    </row>
    <row r="419">
      <c r="A419" s="459"/>
      <c r="C419" s="276"/>
      <c r="D419" s="276"/>
      <c r="E419" s="651"/>
      <c r="F419" s="55"/>
      <c r="G419" s="651"/>
      <c r="H419" s="55"/>
      <c r="I419" s="651"/>
      <c r="K419" s="652"/>
      <c r="M419" s="276"/>
    </row>
    <row r="420">
      <c r="A420" s="459"/>
      <c r="C420" s="276"/>
      <c r="D420" s="276"/>
      <c r="E420" s="651"/>
      <c r="F420" s="55"/>
      <c r="G420" s="651"/>
      <c r="H420" s="55"/>
      <c r="I420" s="651"/>
      <c r="K420" s="652"/>
      <c r="M420" s="276"/>
    </row>
    <row r="421">
      <c r="A421" s="459"/>
      <c r="C421" s="276"/>
      <c r="D421" s="276"/>
      <c r="E421" s="651"/>
      <c r="F421" s="55"/>
      <c r="G421" s="651"/>
      <c r="H421" s="55"/>
      <c r="I421" s="651"/>
      <c r="K421" s="652"/>
      <c r="M421" s="276"/>
    </row>
    <row r="422">
      <c r="A422" s="459"/>
      <c r="C422" s="276"/>
      <c r="D422" s="276"/>
      <c r="E422" s="651"/>
      <c r="F422" s="55"/>
      <c r="G422" s="651"/>
      <c r="H422" s="55"/>
      <c r="I422" s="651"/>
      <c r="K422" s="652"/>
      <c r="M422" s="276"/>
    </row>
    <row r="423">
      <c r="A423" s="459"/>
      <c r="C423" s="276"/>
      <c r="D423" s="276"/>
      <c r="E423" s="651"/>
      <c r="F423" s="55"/>
      <c r="G423" s="651"/>
      <c r="H423" s="55"/>
      <c r="I423" s="651"/>
      <c r="K423" s="652"/>
      <c r="M423" s="276"/>
    </row>
    <row r="424">
      <c r="A424" s="459"/>
      <c r="C424" s="276"/>
      <c r="D424" s="276"/>
      <c r="E424" s="651"/>
      <c r="F424" s="55"/>
      <c r="G424" s="651"/>
      <c r="H424" s="55"/>
      <c r="I424" s="651"/>
      <c r="K424" s="652"/>
      <c r="M424" s="276"/>
    </row>
    <row r="425">
      <c r="A425" s="459"/>
      <c r="C425" s="276"/>
      <c r="D425" s="276"/>
      <c r="E425" s="651"/>
      <c r="F425" s="55"/>
      <c r="G425" s="651"/>
      <c r="H425" s="55"/>
      <c r="I425" s="651"/>
      <c r="K425" s="652"/>
      <c r="M425" s="276"/>
    </row>
    <row r="426">
      <c r="A426" s="459"/>
      <c r="C426" s="276"/>
      <c r="D426" s="276"/>
      <c r="E426" s="651"/>
      <c r="F426" s="55"/>
      <c r="G426" s="651"/>
      <c r="H426" s="55"/>
      <c r="I426" s="651"/>
      <c r="K426" s="652"/>
      <c r="M426" s="276"/>
    </row>
    <row r="427">
      <c r="A427" s="459"/>
      <c r="C427" s="276"/>
      <c r="D427" s="276"/>
      <c r="E427" s="651"/>
      <c r="F427" s="55"/>
      <c r="G427" s="651"/>
      <c r="H427" s="55"/>
      <c r="I427" s="651"/>
      <c r="K427" s="652"/>
      <c r="M427" s="276"/>
    </row>
    <row r="428">
      <c r="A428" s="459"/>
      <c r="C428" s="276"/>
      <c r="D428" s="276"/>
      <c r="E428" s="651"/>
      <c r="F428" s="55"/>
      <c r="G428" s="651"/>
      <c r="H428" s="55"/>
      <c r="I428" s="651"/>
      <c r="K428" s="652"/>
      <c r="M428" s="276"/>
    </row>
    <row r="429">
      <c r="A429" s="459"/>
      <c r="C429" s="276"/>
      <c r="D429" s="276"/>
      <c r="E429" s="651"/>
      <c r="F429" s="55"/>
      <c r="G429" s="651"/>
      <c r="H429" s="55"/>
      <c r="I429" s="651"/>
      <c r="K429" s="652"/>
      <c r="M429" s="276"/>
    </row>
    <row r="430">
      <c r="A430" s="459"/>
      <c r="C430" s="276"/>
      <c r="D430" s="276"/>
      <c r="E430" s="651"/>
      <c r="F430" s="55"/>
      <c r="G430" s="651"/>
      <c r="H430" s="55"/>
      <c r="I430" s="651"/>
      <c r="K430" s="652"/>
      <c r="M430" s="276"/>
    </row>
    <row r="431">
      <c r="A431" s="459"/>
      <c r="C431" s="276"/>
      <c r="D431" s="276"/>
      <c r="E431" s="651"/>
      <c r="F431" s="55"/>
      <c r="G431" s="651"/>
      <c r="H431" s="55"/>
      <c r="I431" s="651"/>
      <c r="K431" s="652"/>
      <c r="M431" s="276"/>
    </row>
    <row r="432">
      <c r="A432" s="459"/>
      <c r="C432" s="276"/>
      <c r="D432" s="276"/>
      <c r="E432" s="651"/>
      <c r="F432" s="55"/>
      <c r="G432" s="651"/>
      <c r="H432" s="55"/>
      <c r="I432" s="651"/>
      <c r="K432" s="652"/>
      <c r="M432" s="276"/>
    </row>
    <row r="433">
      <c r="A433" s="459"/>
      <c r="C433" s="276"/>
      <c r="D433" s="276"/>
      <c r="E433" s="651"/>
      <c r="F433" s="55"/>
      <c r="G433" s="651"/>
      <c r="H433" s="55"/>
      <c r="I433" s="651"/>
      <c r="K433" s="652"/>
      <c r="M433" s="276"/>
    </row>
    <row r="434">
      <c r="A434" s="459"/>
      <c r="C434" s="276"/>
      <c r="D434" s="276"/>
      <c r="E434" s="651"/>
      <c r="F434" s="55"/>
      <c r="G434" s="651"/>
      <c r="H434" s="55"/>
      <c r="I434" s="651"/>
      <c r="K434" s="652"/>
      <c r="M434" s="276"/>
    </row>
    <row r="435">
      <c r="A435" s="459"/>
      <c r="C435" s="276"/>
      <c r="D435" s="276"/>
      <c r="E435" s="651"/>
      <c r="F435" s="55"/>
      <c r="G435" s="651"/>
      <c r="H435" s="55"/>
      <c r="I435" s="651"/>
      <c r="K435" s="652"/>
      <c r="M435" s="276"/>
    </row>
    <row r="436">
      <c r="A436" s="459"/>
      <c r="C436" s="276"/>
      <c r="D436" s="276"/>
      <c r="E436" s="651"/>
      <c r="F436" s="55"/>
      <c r="G436" s="651"/>
      <c r="H436" s="55"/>
      <c r="I436" s="651"/>
      <c r="K436" s="652"/>
      <c r="M436" s="276"/>
    </row>
    <row r="437">
      <c r="A437" s="459"/>
      <c r="C437" s="276"/>
      <c r="D437" s="276"/>
      <c r="E437" s="651"/>
      <c r="F437" s="55"/>
      <c r="G437" s="651"/>
      <c r="H437" s="55"/>
      <c r="I437" s="651"/>
      <c r="K437" s="652"/>
      <c r="M437" s="276"/>
    </row>
    <row r="438">
      <c r="A438" s="459"/>
      <c r="C438" s="276"/>
      <c r="D438" s="276"/>
      <c r="E438" s="651"/>
      <c r="F438" s="55"/>
      <c r="G438" s="651"/>
      <c r="H438" s="55"/>
      <c r="I438" s="651"/>
      <c r="K438" s="652"/>
      <c r="M438" s="276"/>
    </row>
    <row r="439">
      <c r="A439" s="459"/>
      <c r="C439" s="276"/>
      <c r="D439" s="276"/>
      <c r="E439" s="651"/>
      <c r="F439" s="55"/>
      <c r="G439" s="651"/>
      <c r="H439" s="55"/>
      <c r="I439" s="651"/>
      <c r="K439" s="652"/>
      <c r="M439" s="276"/>
    </row>
    <row r="440">
      <c r="A440" s="459"/>
      <c r="C440" s="276"/>
      <c r="D440" s="276"/>
      <c r="E440" s="651"/>
      <c r="F440" s="55"/>
      <c r="G440" s="651"/>
      <c r="H440" s="55"/>
      <c r="I440" s="651"/>
      <c r="K440" s="652"/>
      <c r="M440" s="276"/>
    </row>
    <row r="441">
      <c r="A441" s="459"/>
      <c r="C441" s="276"/>
      <c r="D441" s="276"/>
      <c r="E441" s="651"/>
      <c r="F441" s="55"/>
      <c r="G441" s="651"/>
      <c r="H441" s="55"/>
      <c r="I441" s="651"/>
      <c r="K441" s="652"/>
      <c r="M441" s="276"/>
    </row>
    <row r="442">
      <c r="A442" s="459"/>
      <c r="C442" s="276"/>
      <c r="D442" s="276"/>
      <c r="E442" s="651"/>
      <c r="F442" s="55"/>
      <c r="G442" s="651"/>
      <c r="H442" s="55"/>
      <c r="I442" s="651"/>
      <c r="K442" s="652"/>
      <c r="M442" s="276"/>
    </row>
    <row r="443">
      <c r="A443" s="459"/>
      <c r="C443" s="276"/>
      <c r="D443" s="276"/>
      <c r="E443" s="651"/>
      <c r="F443" s="55"/>
      <c r="G443" s="651"/>
      <c r="H443" s="55"/>
      <c r="I443" s="651"/>
      <c r="K443" s="652"/>
      <c r="M443" s="276"/>
    </row>
    <row r="444">
      <c r="A444" s="459"/>
      <c r="C444" s="276"/>
      <c r="D444" s="276"/>
      <c r="E444" s="651"/>
      <c r="F444" s="55"/>
      <c r="G444" s="651"/>
      <c r="H444" s="55"/>
      <c r="I444" s="651"/>
      <c r="K444" s="652"/>
      <c r="M444" s="276"/>
    </row>
    <row r="445">
      <c r="A445" s="459"/>
      <c r="C445" s="276"/>
      <c r="D445" s="276"/>
      <c r="E445" s="651"/>
      <c r="F445" s="55"/>
      <c r="G445" s="651"/>
      <c r="H445" s="55"/>
      <c r="I445" s="651"/>
      <c r="K445" s="652"/>
      <c r="M445" s="276"/>
    </row>
    <row r="446">
      <c r="A446" s="459"/>
      <c r="C446" s="276"/>
      <c r="D446" s="276"/>
      <c r="E446" s="651"/>
      <c r="F446" s="55"/>
      <c r="G446" s="651"/>
      <c r="H446" s="55"/>
      <c r="I446" s="651"/>
      <c r="K446" s="652"/>
      <c r="M446" s="276"/>
    </row>
    <row r="447">
      <c r="A447" s="459"/>
      <c r="C447" s="276"/>
      <c r="D447" s="276"/>
      <c r="E447" s="651"/>
      <c r="F447" s="55"/>
      <c r="G447" s="651"/>
      <c r="H447" s="55"/>
      <c r="I447" s="651"/>
      <c r="K447" s="652"/>
      <c r="M447" s="276"/>
    </row>
    <row r="448">
      <c r="A448" s="459"/>
      <c r="C448" s="276"/>
      <c r="D448" s="276"/>
      <c r="E448" s="651"/>
      <c r="F448" s="55"/>
      <c r="G448" s="651"/>
      <c r="H448" s="55"/>
      <c r="I448" s="651"/>
      <c r="K448" s="652"/>
      <c r="M448" s="276"/>
    </row>
    <row r="449">
      <c r="A449" s="459"/>
      <c r="C449" s="276"/>
      <c r="D449" s="276"/>
      <c r="E449" s="651"/>
      <c r="F449" s="55"/>
      <c r="G449" s="651"/>
      <c r="H449" s="55"/>
      <c r="I449" s="651"/>
      <c r="K449" s="652"/>
      <c r="M449" s="276"/>
    </row>
    <row r="450">
      <c r="A450" s="459"/>
      <c r="C450" s="276"/>
      <c r="D450" s="276"/>
      <c r="E450" s="651"/>
      <c r="F450" s="55"/>
      <c r="G450" s="651"/>
      <c r="H450" s="55"/>
      <c r="I450" s="651"/>
      <c r="K450" s="652"/>
      <c r="M450" s="276"/>
    </row>
    <row r="451">
      <c r="A451" s="459"/>
      <c r="C451" s="276"/>
      <c r="D451" s="276"/>
      <c r="E451" s="651"/>
      <c r="F451" s="55"/>
      <c r="G451" s="651"/>
      <c r="H451" s="55"/>
      <c r="I451" s="651"/>
      <c r="K451" s="652"/>
      <c r="M451" s="276"/>
    </row>
    <row r="452">
      <c r="A452" s="459"/>
      <c r="C452" s="276"/>
      <c r="D452" s="276"/>
      <c r="E452" s="651"/>
      <c r="F452" s="55"/>
      <c r="G452" s="651"/>
      <c r="H452" s="55"/>
      <c r="I452" s="651"/>
      <c r="K452" s="652"/>
      <c r="M452" s="276"/>
    </row>
    <row r="453">
      <c r="A453" s="459"/>
      <c r="C453" s="276"/>
      <c r="D453" s="276"/>
      <c r="E453" s="651"/>
      <c r="F453" s="55"/>
      <c r="G453" s="651"/>
      <c r="H453" s="55"/>
      <c r="I453" s="651"/>
      <c r="K453" s="652"/>
      <c r="M453" s="276"/>
    </row>
    <row r="454">
      <c r="A454" s="459"/>
      <c r="C454" s="276"/>
      <c r="D454" s="276"/>
      <c r="E454" s="651"/>
      <c r="F454" s="55"/>
      <c r="G454" s="651"/>
      <c r="H454" s="55"/>
      <c r="I454" s="651"/>
      <c r="K454" s="652"/>
      <c r="M454" s="276"/>
    </row>
    <row r="455">
      <c r="A455" s="459"/>
      <c r="C455" s="276"/>
      <c r="D455" s="276"/>
      <c r="E455" s="651"/>
      <c r="F455" s="55"/>
      <c r="G455" s="651"/>
      <c r="H455" s="55"/>
      <c r="I455" s="651"/>
      <c r="K455" s="652"/>
      <c r="M455" s="276"/>
    </row>
    <row r="456">
      <c r="A456" s="459"/>
      <c r="C456" s="276"/>
      <c r="D456" s="276"/>
      <c r="E456" s="651"/>
      <c r="F456" s="55"/>
      <c r="G456" s="651"/>
      <c r="H456" s="55"/>
      <c r="I456" s="651"/>
      <c r="K456" s="652"/>
      <c r="M456" s="276"/>
    </row>
    <row r="457">
      <c r="A457" s="459"/>
      <c r="C457" s="276"/>
      <c r="D457" s="276"/>
      <c r="E457" s="651"/>
      <c r="F457" s="55"/>
      <c r="G457" s="651"/>
      <c r="H457" s="55"/>
      <c r="I457" s="651"/>
      <c r="K457" s="652"/>
      <c r="M457" s="276"/>
    </row>
    <row r="458">
      <c r="A458" s="459"/>
      <c r="C458" s="276"/>
      <c r="D458" s="276"/>
      <c r="E458" s="651"/>
      <c r="F458" s="55"/>
      <c r="G458" s="651"/>
      <c r="H458" s="55"/>
      <c r="I458" s="651"/>
      <c r="K458" s="652"/>
      <c r="M458" s="276"/>
    </row>
    <row r="459">
      <c r="A459" s="459"/>
      <c r="C459" s="276"/>
      <c r="D459" s="276"/>
      <c r="E459" s="651"/>
      <c r="F459" s="55"/>
      <c r="G459" s="651"/>
      <c r="H459" s="55"/>
      <c r="I459" s="651"/>
      <c r="K459" s="652"/>
      <c r="M459" s="276"/>
    </row>
    <row r="460">
      <c r="A460" s="459"/>
      <c r="C460" s="276"/>
      <c r="D460" s="276"/>
      <c r="E460" s="651"/>
      <c r="F460" s="55"/>
      <c r="G460" s="651"/>
      <c r="H460" s="55"/>
      <c r="I460" s="651"/>
      <c r="K460" s="652"/>
      <c r="M460" s="276"/>
    </row>
    <row r="461">
      <c r="A461" s="459"/>
      <c r="C461" s="276"/>
      <c r="D461" s="276"/>
      <c r="E461" s="651"/>
      <c r="F461" s="55"/>
      <c r="G461" s="651"/>
      <c r="H461" s="55"/>
      <c r="I461" s="651"/>
      <c r="K461" s="652"/>
      <c r="M461" s="276"/>
    </row>
    <row r="462">
      <c r="A462" s="459"/>
      <c r="C462" s="276"/>
      <c r="D462" s="276"/>
      <c r="E462" s="651"/>
      <c r="F462" s="55"/>
      <c r="G462" s="651"/>
      <c r="H462" s="55"/>
      <c r="I462" s="651"/>
      <c r="K462" s="652"/>
      <c r="M462" s="276"/>
    </row>
    <row r="463">
      <c r="A463" s="459"/>
      <c r="C463" s="276"/>
      <c r="D463" s="276"/>
      <c r="E463" s="651"/>
      <c r="F463" s="55"/>
      <c r="G463" s="651"/>
      <c r="H463" s="55"/>
      <c r="I463" s="651"/>
      <c r="K463" s="652"/>
      <c r="M463" s="276"/>
    </row>
    <row r="464">
      <c r="A464" s="459"/>
      <c r="C464" s="276"/>
      <c r="D464" s="276"/>
      <c r="E464" s="651"/>
      <c r="F464" s="55"/>
      <c r="G464" s="651"/>
      <c r="H464" s="55"/>
      <c r="I464" s="651"/>
      <c r="K464" s="652"/>
      <c r="M464" s="276"/>
    </row>
    <row r="465">
      <c r="A465" s="459"/>
      <c r="C465" s="276"/>
      <c r="D465" s="276"/>
      <c r="E465" s="651"/>
      <c r="F465" s="55"/>
      <c r="G465" s="651"/>
      <c r="H465" s="55"/>
      <c r="I465" s="651"/>
      <c r="K465" s="652"/>
      <c r="M465" s="276"/>
    </row>
    <row r="466">
      <c r="A466" s="459"/>
      <c r="C466" s="276"/>
      <c r="D466" s="276"/>
      <c r="E466" s="651"/>
      <c r="F466" s="55"/>
      <c r="G466" s="651"/>
      <c r="H466" s="55"/>
      <c r="I466" s="651"/>
      <c r="K466" s="652"/>
      <c r="M466" s="276"/>
    </row>
    <row r="467">
      <c r="A467" s="459"/>
      <c r="C467" s="276"/>
      <c r="D467" s="276"/>
      <c r="E467" s="651"/>
      <c r="F467" s="55"/>
      <c r="G467" s="651"/>
      <c r="H467" s="55"/>
      <c r="I467" s="651"/>
      <c r="K467" s="652"/>
      <c r="M467" s="276"/>
    </row>
    <row r="468">
      <c r="A468" s="459"/>
      <c r="C468" s="276"/>
      <c r="D468" s="276"/>
      <c r="E468" s="651"/>
      <c r="F468" s="55"/>
      <c r="G468" s="651"/>
      <c r="H468" s="55"/>
      <c r="I468" s="651"/>
      <c r="K468" s="652"/>
      <c r="M468" s="276"/>
    </row>
    <row r="469">
      <c r="A469" s="459"/>
      <c r="C469" s="276"/>
      <c r="D469" s="276"/>
      <c r="E469" s="651"/>
      <c r="F469" s="55"/>
      <c r="G469" s="651"/>
      <c r="H469" s="55"/>
      <c r="I469" s="651"/>
      <c r="K469" s="652"/>
      <c r="M469" s="276"/>
    </row>
    <row r="470">
      <c r="A470" s="459"/>
      <c r="C470" s="276"/>
      <c r="D470" s="276"/>
      <c r="E470" s="651"/>
      <c r="F470" s="55"/>
      <c r="G470" s="651"/>
      <c r="H470" s="55"/>
      <c r="I470" s="651"/>
      <c r="K470" s="652"/>
      <c r="M470" s="276"/>
    </row>
    <row r="471">
      <c r="A471" s="459"/>
      <c r="C471" s="276"/>
      <c r="D471" s="276"/>
      <c r="E471" s="651"/>
      <c r="F471" s="55"/>
      <c r="G471" s="651"/>
      <c r="H471" s="55"/>
      <c r="I471" s="651"/>
      <c r="K471" s="652"/>
      <c r="M471" s="276"/>
    </row>
    <row r="472">
      <c r="A472" s="459"/>
      <c r="C472" s="276"/>
      <c r="D472" s="276"/>
      <c r="E472" s="651"/>
      <c r="F472" s="55"/>
      <c r="G472" s="651"/>
      <c r="H472" s="55"/>
      <c r="I472" s="651"/>
      <c r="K472" s="652"/>
      <c r="M472" s="276"/>
    </row>
    <row r="473">
      <c r="A473" s="459"/>
      <c r="C473" s="276"/>
      <c r="D473" s="276"/>
      <c r="E473" s="651"/>
      <c r="F473" s="55"/>
      <c r="G473" s="651"/>
      <c r="H473" s="55"/>
      <c r="I473" s="651"/>
      <c r="K473" s="652"/>
      <c r="M473" s="276"/>
    </row>
    <row r="474">
      <c r="A474" s="459"/>
      <c r="C474" s="276"/>
      <c r="D474" s="276"/>
      <c r="E474" s="651"/>
      <c r="F474" s="55"/>
      <c r="G474" s="651"/>
      <c r="H474" s="55"/>
      <c r="I474" s="651"/>
      <c r="K474" s="652"/>
      <c r="M474" s="276"/>
    </row>
    <row r="475">
      <c r="A475" s="459"/>
      <c r="C475" s="276"/>
      <c r="D475" s="276"/>
      <c r="E475" s="651"/>
      <c r="F475" s="55"/>
      <c r="G475" s="651"/>
      <c r="H475" s="55"/>
      <c r="I475" s="651"/>
      <c r="K475" s="652"/>
      <c r="M475" s="276"/>
    </row>
    <row r="476">
      <c r="A476" s="459"/>
      <c r="C476" s="276"/>
      <c r="D476" s="276"/>
      <c r="E476" s="651"/>
      <c r="F476" s="55"/>
      <c r="G476" s="651"/>
      <c r="H476" s="55"/>
      <c r="I476" s="651"/>
      <c r="K476" s="652"/>
      <c r="M476" s="276"/>
    </row>
    <row r="477">
      <c r="A477" s="459"/>
      <c r="C477" s="276"/>
      <c r="D477" s="276"/>
      <c r="E477" s="651"/>
      <c r="F477" s="55"/>
      <c r="G477" s="651"/>
      <c r="H477" s="55"/>
      <c r="I477" s="651"/>
      <c r="K477" s="652"/>
      <c r="M477" s="276"/>
    </row>
    <row r="478">
      <c r="A478" s="459"/>
      <c r="C478" s="276"/>
      <c r="D478" s="276"/>
      <c r="E478" s="651"/>
      <c r="F478" s="55"/>
      <c r="G478" s="651"/>
      <c r="H478" s="55"/>
      <c r="I478" s="651"/>
      <c r="K478" s="652"/>
      <c r="M478" s="276"/>
    </row>
    <row r="479">
      <c r="A479" s="459"/>
      <c r="C479" s="276"/>
      <c r="D479" s="276"/>
      <c r="E479" s="651"/>
      <c r="F479" s="55"/>
      <c r="G479" s="651"/>
      <c r="H479" s="55"/>
      <c r="I479" s="651"/>
      <c r="K479" s="652"/>
      <c r="M479" s="276"/>
    </row>
    <row r="480">
      <c r="A480" s="459"/>
      <c r="C480" s="276"/>
      <c r="D480" s="276"/>
      <c r="E480" s="651"/>
      <c r="F480" s="55"/>
      <c r="G480" s="651"/>
      <c r="H480" s="55"/>
      <c r="I480" s="651"/>
      <c r="K480" s="652"/>
      <c r="M480" s="276"/>
    </row>
    <row r="481">
      <c r="A481" s="459"/>
      <c r="C481" s="276"/>
      <c r="D481" s="276"/>
      <c r="E481" s="651"/>
      <c r="F481" s="55"/>
      <c r="G481" s="651"/>
      <c r="H481" s="55"/>
      <c r="I481" s="651"/>
      <c r="K481" s="652"/>
      <c r="M481" s="276"/>
    </row>
    <row r="482">
      <c r="A482" s="459"/>
      <c r="C482" s="276"/>
      <c r="D482" s="276"/>
      <c r="E482" s="651"/>
      <c r="F482" s="55"/>
      <c r="G482" s="651"/>
      <c r="H482" s="55"/>
      <c r="I482" s="651"/>
      <c r="K482" s="652"/>
      <c r="M482" s="276"/>
    </row>
    <row r="483">
      <c r="A483" s="459"/>
      <c r="C483" s="276"/>
      <c r="D483" s="276"/>
      <c r="E483" s="651"/>
      <c r="F483" s="55"/>
      <c r="G483" s="651"/>
      <c r="H483" s="55"/>
      <c r="I483" s="651"/>
      <c r="K483" s="652"/>
      <c r="M483" s="276"/>
    </row>
    <row r="484">
      <c r="A484" s="459"/>
      <c r="C484" s="276"/>
      <c r="D484" s="276"/>
      <c r="E484" s="651"/>
      <c r="F484" s="55"/>
      <c r="G484" s="651"/>
      <c r="H484" s="55"/>
      <c r="I484" s="651"/>
      <c r="K484" s="652"/>
      <c r="M484" s="276"/>
    </row>
    <row r="485">
      <c r="A485" s="459"/>
      <c r="C485" s="276"/>
      <c r="D485" s="276"/>
      <c r="E485" s="651"/>
      <c r="F485" s="55"/>
      <c r="G485" s="651"/>
      <c r="H485" s="55"/>
      <c r="I485" s="651"/>
      <c r="K485" s="652"/>
      <c r="M485" s="276"/>
    </row>
    <row r="486">
      <c r="A486" s="459"/>
      <c r="C486" s="276"/>
      <c r="D486" s="276"/>
      <c r="E486" s="651"/>
      <c r="F486" s="55"/>
      <c r="G486" s="651"/>
      <c r="H486" s="55"/>
      <c r="I486" s="651"/>
      <c r="K486" s="652"/>
      <c r="M486" s="276"/>
    </row>
    <row r="487">
      <c r="A487" s="459"/>
      <c r="C487" s="276"/>
      <c r="D487" s="276"/>
      <c r="E487" s="651"/>
      <c r="F487" s="55"/>
      <c r="G487" s="651"/>
      <c r="H487" s="55"/>
      <c r="I487" s="651"/>
      <c r="K487" s="652"/>
      <c r="M487" s="276"/>
    </row>
    <row r="488">
      <c r="A488" s="459"/>
      <c r="C488" s="276"/>
      <c r="D488" s="276"/>
      <c r="E488" s="651"/>
      <c r="F488" s="55"/>
      <c r="G488" s="651"/>
      <c r="H488" s="55"/>
      <c r="I488" s="651"/>
      <c r="K488" s="652"/>
      <c r="M488" s="276"/>
    </row>
    <row r="489">
      <c r="A489" s="459"/>
      <c r="C489" s="276"/>
      <c r="D489" s="276"/>
      <c r="E489" s="651"/>
      <c r="F489" s="55"/>
      <c r="G489" s="651"/>
      <c r="H489" s="55"/>
      <c r="I489" s="651"/>
      <c r="K489" s="652"/>
      <c r="M489" s="276"/>
    </row>
    <row r="490">
      <c r="A490" s="459"/>
      <c r="C490" s="276"/>
      <c r="D490" s="276"/>
      <c r="E490" s="651"/>
      <c r="F490" s="55"/>
      <c r="G490" s="651"/>
      <c r="H490" s="55"/>
      <c r="I490" s="651"/>
      <c r="K490" s="652"/>
      <c r="M490" s="276"/>
    </row>
    <row r="491">
      <c r="A491" s="459"/>
      <c r="C491" s="276"/>
      <c r="D491" s="276"/>
      <c r="E491" s="651"/>
      <c r="F491" s="55"/>
      <c r="G491" s="651"/>
      <c r="H491" s="55"/>
      <c r="I491" s="651"/>
      <c r="K491" s="652"/>
      <c r="M491" s="276"/>
    </row>
    <row r="492">
      <c r="A492" s="459"/>
      <c r="C492" s="276"/>
      <c r="D492" s="276"/>
      <c r="E492" s="651"/>
      <c r="F492" s="55"/>
      <c r="G492" s="651"/>
      <c r="H492" s="55"/>
      <c r="I492" s="651"/>
      <c r="K492" s="652"/>
      <c r="M492" s="276"/>
    </row>
    <row r="493">
      <c r="A493" s="459"/>
      <c r="C493" s="276"/>
      <c r="D493" s="276"/>
      <c r="E493" s="651"/>
      <c r="F493" s="55"/>
      <c r="G493" s="651"/>
      <c r="H493" s="55"/>
      <c r="I493" s="651"/>
      <c r="K493" s="652"/>
      <c r="M493" s="276"/>
    </row>
    <row r="494">
      <c r="A494" s="459"/>
      <c r="C494" s="276"/>
      <c r="D494" s="276"/>
      <c r="E494" s="651"/>
      <c r="F494" s="55"/>
      <c r="G494" s="651"/>
      <c r="H494" s="55"/>
      <c r="I494" s="651"/>
      <c r="K494" s="652"/>
      <c r="M494" s="276"/>
    </row>
    <row r="495">
      <c r="A495" s="459"/>
      <c r="C495" s="276"/>
      <c r="D495" s="276"/>
      <c r="E495" s="651"/>
      <c r="F495" s="55"/>
      <c r="G495" s="651"/>
      <c r="H495" s="55"/>
      <c r="I495" s="651"/>
      <c r="K495" s="652"/>
      <c r="M495" s="276"/>
    </row>
    <row r="496">
      <c r="A496" s="459"/>
      <c r="C496" s="276"/>
      <c r="D496" s="276"/>
      <c r="E496" s="651"/>
      <c r="F496" s="55"/>
      <c r="G496" s="651"/>
      <c r="H496" s="55"/>
      <c r="I496" s="651"/>
      <c r="K496" s="652"/>
      <c r="M496" s="276"/>
    </row>
    <row r="497">
      <c r="A497" s="459"/>
      <c r="C497" s="276"/>
      <c r="D497" s="276"/>
      <c r="E497" s="651"/>
      <c r="F497" s="55"/>
      <c r="G497" s="651"/>
      <c r="H497" s="55"/>
      <c r="I497" s="651"/>
      <c r="K497" s="652"/>
      <c r="M497" s="276"/>
    </row>
    <row r="498">
      <c r="A498" s="459"/>
      <c r="C498" s="276"/>
      <c r="D498" s="276"/>
      <c r="E498" s="651"/>
      <c r="F498" s="55"/>
      <c r="G498" s="651"/>
      <c r="H498" s="55"/>
      <c r="I498" s="651"/>
      <c r="K498" s="652"/>
      <c r="M498" s="276"/>
    </row>
    <row r="499">
      <c r="A499" s="459"/>
      <c r="C499" s="276"/>
      <c r="D499" s="276"/>
      <c r="E499" s="651"/>
      <c r="F499" s="55"/>
      <c r="G499" s="651"/>
      <c r="H499" s="55"/>
      <c r="I499" s="651"/>
      <c r="K499" s="652"/>
      <c r="M499" s="276"/>
    </row>
    <row r="500">
      <c r="A500" s="459"/>
      <c r="C500" s="276"/>
      <c r="D500" s="276"/>
      <c r="E500" s="651"/>
      <c r="F500" s="55"/>
      <c r="G500" s="651"/>
      <c r="H500" s="55"/>
      <c r="I500" s="651"/>
      <c r="K500" s="652"/>
      <c r="M500" s="276"/>
    </row>
    <row r="501">
      <c r="A501" s="459"/>
      <c r="C501" s="276"/>
      <c r="D501" s="276"/>
      <c r="E501" s="651"/>
      <c r="F501" s="55"/>
      <c r="G501" s="651"/>
      <c r="H501" s="55"/>
      <c r="I501" s="651"/>
      <c r="K501" s="652"/>
      <c r="M501" s="276"/>
    </row>
    <row r="502">
      <c r="A502" s="459"/>
      <c r="C502" s="276"/>
      <c r="D502" s="276"/>
      <c r="E502" s="651"/>
      <c r="F502" s="55"/>
      <c r="G502" s="651"/>
      <c r="H502" s="55"/>
      <c r="I502" s="651"/>
      <c r="K502" s="652"/>
      <c r="M502" s="276"/>
    </row>
    <row r="503">
      <c r="A503" s="459"/>
      <c r="C503" s="276"/>
      <c r="D503" s="276"/>
      <c r="E503" s="651"/>
      <c r="F503" s="55"/>
      <c r="G503" s="651"/>
      <c r="H503" s="55"/>
      <c r="I503" s="651"/>
      <c r="K503" s="652"/>
      <c r="M503" s="276"/>
    </row>
    <row r="504">
      <c r="A504" s="459"/>
      <c r="C504" s="276"/>
      <c r="D504" s="276"/>
      <c r="E504" s="651"/>
      <c r="F504" s="55"/>
      <c r="G504" s="651"/>
      <c r="H504" s="55"/>
      <c r="I504" s="651"/>
      <c r="K504" s="652"/>
      <c r="M504" s="276"/>
    </row>
    <row r="505">
      <c r="A505" s="459"/>
      <c r="C505" s="276"/>
      <c r="D505" s="276"/>
      <c r="E505" s="651"/>
      <c r="F505" s="55"/>
      <c r="G505" s="651"/>
      <c r="H505" s="55"/>
      <c r="I505" s="651"/>
      <c r="K505" s="652"/>
      <c r="M505" s="276"/>
    </row>
    <row r="506">
      <c r="A506" s="459"/>
      <c r="C506" s="276"/>
      <c r="D506" s="276"/>
      <c r="E506" s="651"/>
      <c r="F506" s="55"/>
      <c r="G506" s="651"/>
      <c r="H506" s="55"/>
      <c r="I506" s="651"/>
      <c r="K506" s="652"/>
      <c r="M506" s="276"/>
    </row>
    <row r="507">
      <c r="A507" s="459"/>
      <c r="C507" s="276"/>
      <c r="D507" s="276"/>
      <c r="E507" s="651"/>
      <c r="F507" s="55"/>
      <c r="G507" s="651"/>
      <c r="H507" s="55"/>
      <c r="I507" s="651"/>
      <c r="K507" s="652"/>
      <c r="M507" s="276"/>
    </row>
    <row r="508">
      <c r="A508" s="459"/>
      <c r="C508" s="276"/>
      <c r="D508" s="276"/>
      <c r="E508" s="651"/>
      <c r="F508" s="55"/>
      <c r="G508" s="651"/>
      <c r="H508" s="55"/>
      <c r="I508" s="651"/>
      <c r="K508" s="652"/>
      <c r="M508" s="276"/>
    </row>
    <row r="509">
      <c r="A509" s="459"/>
      <c r="C509" s="276"/>
      <c r="D509" s="276"/>
      <c r="E509" s="651"/>
      <c r="F509" s="55"/>
      <c r="G509" s="651"/>
      <c r="H509" s="55"/>
      <c r="I509" s="651"/>
      <c r="K509" s="652"/>
      <c r="M509" s="276"/>
    </row>
    <row r="510">
      <c r="A510" s="459"/>
      <c r="C510" s="276"/>
      <c r="D510" s="276"/>
      <c r="E510" s="651"/>
      <c r="F510" s="55"/>
      <c r="G510" s="651"/>
      <c r="H510" s="55"/>
      <c r="I510" s="651"/>
      <c r="K510" s="652"/>
      <c r="M510" s="276"/>
    </row>
    <row r="511">
      <c r="A511" s="459"/>
      <c r="C511" s="276"/>
      <c r="D511" s="276"/>
      <c r="E511" s="651"/>
      <c r="F511" s="55"/>
      <c r="G511" s="651"/>
      <c r="H511" s="55"/>
      <c r="I511" s="651"/>
      <c r="K511" s="652"/>
      <c r="M511" s="276"/>
    </row>
    <row r="512">
      <c r="A512" s="459"/>
      <c r="C512" s="276"/>
      <c r="D512" s="276"/>
      <c r="E512" s="651"/>
      <c r="F512" s="55"/>
      <c r="G512" s="651"/>
      <c r="H512" s="55"/>
      <c r="I512" s="651"/>
      <c r="K512" s="652"/>
      <c r="M512" s="276"/>
    </row>
    <row r="513">
      <c r="A513" s="459"/>
      <c r="C513" s="276"/>
      <c r="D513" s="276"/>
      <c r="E513" s="651"/>
      <c r="F513" s="55"/>
      <c r="G513" s="651"/>
      <c r="H513" s="55"/>
      <c r="I513" s="651"/>
      <c r="K513" s="652"/>
      <c r="M513" s="276"/>
    </row>
    <row r="514">
      <c r="A514" s="459"/>
      <c r="C514" s="276"/>
      <c r="D514" s="276"/>
      <c r="E514" s="651"/>
      <c r="F514" s="55"/>
      <c r="G514" s="651"/>
      <c r="H514" s="55"/>
      <c r="I514" s="651"/>
      <c r="K514" s="652"/>
      <c r="M514" s="276"/>
    </row>
    <row r="515">
      <c r="A515" s="459"/>
      <c r="C515" s="276"/>
      <c r="D515" s="276"/>
      <c r="E515" s="651"/>
      <c r="F515" s="55"/>
      <c r="G515" s="651"/>
      <c r="H515" s="55"/>
      <c r="I515" s="651"/>
      <c r="K515" s="652"/>
      <c r="M515" s="276"/>
    </row>
    <row r="516">
      <c r="A516" s="459"/>
      <c r="C516" s="276"/>
      <c r="D516" s="276"/>
      <c r="E516" s="651"/>
      <c r="F516" s="55"/>
      <c r="G516" s="651"/>
      <c r="H516" s="55"/>
      <c r="I516" s="651"/>
      <c r="K516" s="652"/>
      <c r="M516" s="276"/>
    </row>
    <row r="517">
      <c r="A517" s="459"/>
      <c r="C517" s="276"/>
      <c r="D517" s="276"/>
      <c r="E517" s="651"/>
      <c r="F517" s="55"/>
      <c r="G517" s="651"/>
      <c r="H517" s="55"/>
      <c r="I517" s="651"/>
      <c r="K517" s="652"/>
      <c r="M517" s="276"/>
    </row>
    <row r="518">
      <c r="A518" s="459"/>
      <c r="C518" s="276"/>
      <c r="D518" s="276"/>
      <c r="E518" s="651"/>
      <c r="F518" s="55"/>
      <c r="G518" s="651"/>
      <c r="H518" s="55"/>
      <c r="I518" s="651"/>
      <c r="K518" s="652"/>
      <c r="M518" s="276"/>
    </row>
    <row r="519">
      <c r="A519" s="459"/>
      <c r="C519" s="276"/>
      <c r="D519" s="276"/>
      <c r="E519" s="651"/>
      <c r="F519" s="55"/>
      <c r="G519" s="651"/>
      <c r="H519" s="55"/>
      <c r="I519" s="651"/>
      <c r="K519" s="652"/>
      <c r="M519" s="276"/>
    </row>
    <row r="520">
      <c r="A520" s="459"/>
      <c r="C520" s="276"/>
      <c r="D520" s="276"/>
      <c r="E520" s="651"/>
      <c r="F520" s="55"/>
      <c r="G520" s="651"/>
      <c r="H520" s="55"/>
      <c r="I520" s="651"/>
      <c r="K520" s="652"/>
      <c r="M520" s="276"/>
    </row>
    <row r="521">
      <c r="A521" s="459"/>
      <c r="C521" s="276"/>
      <c r="D521" s="276"/>
      <c r="E521" s="651"/>
      <c r="F521" s="55"/>
      <c r="G521" s="651"/>
      <c r="H521" s="55"/>
      <c r="I521" s="651"/>
      <c r="K521" s="652"/>
      <c r="M521" s="276"/>
    </row>
    <row r="522">
      <c r="A522" s="459"/>
      <c r="C522" s="276"/>
      <c r="D522" s="276"/>
      <c r="E522" s="651"/>
      <c r="F522" s="55"/>
      <c r="G522" s="651"/>
      <c r="H522" s="55"/>
      <c r="I522" s="651"/>
      <c r="K522" s="652"/>
      <c r="M522" s="276"/>
    </row>
    <row r="523">
      <c r="A523" s="459"/>
      <c r="C523" s="276"/>
      <c r="D523" s="276"/>
      <c r="E523" s="651"/>
      <c r="F523" s="55"/>
      <c r="G523" s="651"/>
      <c r="H523" s="55"/>
      <c r="I523" s="651"/>
      <c r="K523" s="652"/>
      <c r="M523" s="276"/>
    </row>
    <row r="524">
      <c r="A524" s="459"/>
      <c r="C524" s="276"/>
      <c r="D524" s="276"/>
      <c r="E524" s="651"/>
      <c r="F524" s="55"/>
      <c r="G524" s="651"/>
      <c r="H524" s="55"/>
      <c r="I524" s="651"/>
      <c r="K524" s="652"/>
      <c r="M524" s="276"/>
    </row>
    <row r="525">
      <c r="A525" s="459"/>
      <c r="C525" s="276"/>
      <c r="D525" s="276"/>
      <c r="E525" s="651"/>
      <c r="F525" s="55"/>
      <c r="G525" s="651"/>
      <c r="H525" s="55"/>
      <c r="I525" s="651"/>
      <c r="K525" s="652"/>
      <c r="M525" s="276"/>
    </row>
    <row r="526">
      <c r="A526" s="459"/>
      <c r="C526" s="276"/>
      <c r="D526" s="276"/>
      <c r="E526" s="651"/>
      <c r="F526" s="55"/>
      <c r="G526" s="651"/>
      <c r="H526" s="55"/>
      <c r="I526" s="651"/>
      <c r="K526" s="652"/>
      <c r="M526" s="276"/>
    </row>
    <row r="527">
      <c r="A527" s="459"/>
      <c r="C527" s="276"/>
      <c r="D527" s="276"/>
      <c r="E527" s="651"/>
      <c r="F527" s="55"/>
      <c r="G527" s="651"/>
      <c r="H527" s="55"/>
      <c r="I527" s="651"/>
      <c r="K527" s="652"/>
      <c r="M527" s="276"/>
    </row>
    <row r="528">
      <c r="A528" s="459"/>
      <c r="C528" s="276"/>
      <c r="D528" s="276"/>
      <c r="E528" s="651"/>
      <c r="F528" s="55"/>
      <c r="G528" s="651"/>
      <c r="H528" s="55"/>
      <c r="I528" s="651"/>
      <c r="K528" s="652"/>
      <c r="M528" s="276"/>
    </row>
    <row r="529">
      <c r="A529" s="459"/>
      <c r="C529" s="276"/>
      <c r="D529" s="276"/>
      <c r="E529" s="651"/>
      <c r="F529" s="55"/>
      <c r="G529" s="651"/>
      <c r="H529" s="55"/>
      <c r="I529" s="651"/>
      <c r="K529" s="652"/>
      <c r="M529" s="276"/>
    </row>
    <row r="530">
      <c r="A530" s="459"/>
      <c r="C530" s="276"/>
      <c r="D530" s="276"/>
      <c r="E530" s="651"/>
      <c r="F530" s="55"/>
      <c r="G530" s="651"/>
      <c r="H530" s="55"/>
      <c r="I530" s="651"/>
      <c r="K530" s="652"/>
      <c r="M530" s="276"/>
    </row>
    <row r="531">
      <c r="A531" s="459"/>
      <c r="C531" s="276"/>
      <c r="D531" s="276"/>
      <c r="E531" s="651"/>
      <c r="F531" s="55"/>
      <c r="G531" s="651"/>
      <c r="H531" s="55"/>
      <c r="I531" s="651"/>
      <c r="K531" s="652"/>
      <c r="M531" s="276"/>
    </row>
    <row r="532">
      <c r="A532" s="459"/>
      <c r="C532" s="276"/>
      <c r="D532" s="276"/>
      <c r="E532" s="651"/>
      <c r="F532" s="55"/>
      <c r="G532" s="651"/>
      <c r="H532" s="55"/>
      <c r="I532" s="651"/>
      <c r="K532" s="652"/>
      <c r="M532" s="276"/>
    </row>
    <row r="533">
      <c r="A533" s="459"/>
      <c r="C533" s="276"/>
      <c r="D533" s="276"/>
      <c r="E533" s="651"/>
      <c r="F533" s="55"/>
      <c r="G533" s="651"/>
      <c r="H533" s="55"/>
      <c r="I533" s="651"/>
      <c r="K533" s="652"/>
      <c r="M533" s="276"/>
    </row>
    <row r="534">
      <c r="A534" s="459"/>
      <c r="C534" s="276"/>
      <c r="D534" s="276"/>
      <c r="E534" s="651"/>
      <c r="F534" s="55"/>
      <c r="G534" s="651"/>
      <c r="H534" s="55"/>
      <c r="I534" s="651"/>
      <c r="K534" s="652"/>
      <c r="M534" s="276"/>
    </row>
    <row r="535">
      <c r="A535" s="459"/>
      <c r="C535" s="276"/>
      <c r="D535" s="276"/>
      <c r="E535" s="651"/>
      <c r="F535" s="55"/>
      <c r="G535" s="651"/>
      <c r="H535" s="55"/>
      <c r="I535" s="651"/>
      <c r="K535" s="652"/>
      <c r="M535" s="276"/>
    </row>
    <row r="536">
      <c r="A536" s="459"/>
      <c r="C536" s="276"/>
      <c r="D536" s="276"/>
      <c r="E536" s="651"/>
      <c r="F536" s="55"/>
      <c r="G536" s="651"/>
      <c r="H536" s="55"/>
      <c r="I536" s="651"/>
      <c r="K536" s="652"/>
      <c r="M536" s="276"/>
    </row>
    <row r="537">
      <c r="A537" s="459"/>
      <c r="C537" s="276"/>
      <c r="D537" s="276"/>
      <c r="E537" s="651"/>
      <c r="F537" s="55"/>
      <c r="G537" s="651"/>
      <c r="H537" s="55"/>
      <c r="I537" s="651"/>
      <c r="K537" s="652"/>
      <c r="M537" s="276"/>
    </row>
    <row r="538">
      <c r="A538" s="459"/>
      <c r="C538" s="276"/>
      <c r="D538" s="276"/>
      <c r="E538" s="651"/>
      <c r="F538" s="55"/>
      <c r="G538" s="651"/>
      <c r="H538" s="55"/>
      <c r="I538" s="651"/>
      <c r="K538" s="652"/>
      <c r="M538" s="276"/>
    </row>
    <row r="539">
      <c r="A539" s="459"/>
      <c r="C539" s="276"/>
      <c r="D539" s="276"/>
      <c r="E539" s="651"/>
      <c r="F539" s="55"/>
      <c r="G539" s="651"/>
      <c r="H539" s="55"/>
      <c r="I539" s="651"/>
      <c r="K539" s="652"/>
      <c r="M539" s="276"/>
    </row>
    <row r="540">
      <c r="A540" s="459"/>
      <c r="C540" s="276"/>
      <c r="D540" s="276"/>
      <c r="E540" s="651"/>
      <c r="F540" s="55"/>
      <c r="G540" s="651"/>
      <c r="H540" s="55"/>
      <c r="I540" s="651"/>
      <c r="K540" s="652"/>
      <c r="M540" s="276"/>
    </row>
    <row r="541">
      <c r="A541" s="459"/>
      <c r="C541" s="276"/>
      <c r="D541" s="276"/>
      <c r="E541" s="651"/>
      <c r="F541" s="55"/>
      <c r="G541" s="651"/>
      <c r="H541" s="55"/>
      <c r="I541" s="651"/>
      <c r="K541" s="652"/>
      <c r="M541" s="276"/>
    </row>
    <row r="542">
      <c r="A542" s="459"/>
      <c r="C542" s="276"/>
      <c r="D542" s="276"/>
      <c r="E542" s="651"/>
      <c r="F542" s="55"/>
      <c r="G542" s="651"/>
      <c r="H542" s="55"/>
      <c r="I542" s="651"/>
      <c r="K542" s="652"/>
      <c r="M542" s="276"/>
    </row>
    <row r="543">
      <c r="A543" s="459"/>
      <c r="C543" s="276"/>
      <c r="D543" s="276"/>
      <c r="E543" s="651"/>
      <c r="F543" s="55"/>
      <c r="G543" s="651"/>
      <c r="H543" s="55"/>
      <c r="I543" s="651"/>
      <c r="K543" s="652"/>
      <c r="M543" s="276"/>
    </row>
    <row r="544">
      <c r="A544" s="459"/>
      <c r="C544" s="276"/>
      <c r="D544" s="276"/>
      <c r="E544" s="651"/>
      <c r="F544" s="55"/>
      <c r="G544" s="651"/>
      <c r="H544" s="55"/>
      <c r="I544" s="651"/>
      <c r="K544" s="652"/>
      <c r="M544" s="276"/>
    </row>
    <row r="545">
      <c r="A545" s="459"/>
      <c r="C545" s="276"/>
      <c r="D545" s="276"/>
      <c r="E545" s="651"/>
      <c r="F545" s="55"/>
      <c r="G545" s="651"/>
      <c r="H545" s="55"/>
      <c r="I545" s="651"/>
      <c r="K545" s="652"/>
      <c r="M545" s="276"/>
    </row>
    <row r="546">
      <c r="A546" s="459"/>
      <c r="C546" s="276"/>
      <c r="D546" s="276"/>
      <c r="E546" s="651"/>
      <c r="F546" s="55"/>
      <c r="G546" s="651"/>
      <c r="H546" s="55"/>
      <c r="I546" s="651"/>
      <c r="K546" s="652"/>
      <c r="M546" s="276"/>
    </row>
    <row r="547">
      <c r="A547" s="459"/>
      <c r="C547" s="276"/>
      <c r="D547" s="276"/>
      <c r="E547" s="651"/>
      <c r="F547" s="55"/>
      <c r="G547" s="651"/>
      <c r="H547" s="55"/>
      <c r="I547" s="651"/>
      <c r="K547" s="652"/>
      <c r="M547" s="276"/>
    </row>
    <row r="548">
      <c r="A548" s="459"/>
      <c r="C548" s="276"/>
      <c r="D548" s="276"/>
      <c r="E548" s="651"/>
      <c r="F548" s="55"/>
      <c r="G548" s="651"/>
      <c r="H548" s="55"/>
      <c r="I548" s="651"/>
      <c r="K548" s="652"/>
      <c r="M548" s="276"/>
    </row>
    <row r="549">
      <c r="A549" s="459"/>
      <c r="C549" s="276"/>
      <c r="D549" s="276"/>
      <c r="E549" s="651"/>
      <c r="F549" s="55"/>
      <c r="G549" s="651"/>
      <c r="H549" s="55"/>
      <c r="I549" s="651"/>
      <c r="K549" s="652"/>
      <c r="M549" s="276"/>
    </row>
    <row r="550">
      <c r="A550" s="459"/>
      <c r="C550" s="276"/>
      <c r="D550" s="276"/>
      <c r="E550" s="651"/>
      <c r="F550" s="55"/>
      <c r="G550" s="651"/>
      <c r="H550" s="55"/>
      <c r="I550" s="651"/>
      <c r="K550" s="652"/>
      <c r="M550" s="276"/>
    </row>
    <row r="551">
      <c r="A551" s="459"/>
      <c r="C551" s="276"/>
      <c r="D551" s="276"/>
      <c r="E551" s="651"/>
      <c r="F551" s="55"/>
      <c r="G551" s="651"/>
      <c r="H551" s="55"/>
      <c r="I551" s="651"/>
      <c r="K551" s="652"/>
      <c r="M551" s="276"/>
    </row>
    <row r="552">
      <c r="A552" s="459"/>
      <c r="C552" s="276"/>
      <c r="D552" s="276"/>
      <c r="E552" s="651"/>
      <c r="F552" s="55"/>
      <c r="G552" s="651"/>
      <c r="H552" s="55"/>
      <c r="I552" s="651"/>
      <c r="K552" s="652"/>
      <c r="M552" s="276"/>
    </row>
    <row r="553">
      <c r="A553" s="459"/>
      <c r="C553" s="276"/>
      <c r="D553" s="276"/>
      <c r="E553" s="651"/>
      <c r="F553" s="55"/>
      <c r="G553" s="651"/>
      <c r="H553" s="55"/>
      <c r="I553" s="651"/>
      <c r="K553" s="652"/>
      <c r="M553" s="276"/>
    </row>
    <row r="554">
      <c r="A554" s="459"/>
      <c r="C554" s="276"/>
      <c r="D554" s="276"/>
      <c r="E554" s="651"/>
      <c r="F554" s="55"/>
      <c r="G554" s="651"/>
      <c r="H554" s="55"/>
      <c r="I554" s="651"/>
      <c r="K554" s="652"/>
      <c r="M554" s="276"/>
    </row>
    <row r="555">
      <c r="A555" s="459"/>
      <c r="C555" s="276"/>
      <c r="D555" s="276"/>
      <c r="E555" s="651"/>
      <c r="F555" s="55"/>
      <c r="G555" s="651"/>
      <c r="H555" s="55"/>
      <c r="I555" s="651"/>
      <c r="K555" s="652"/>
      <c r="M555" s="276"/>
    </row>
    <row r="556">
      <c r="A556" s="459"/>
      <c r="C556" s="276"/>
      <c r="D556" s="276"/>
      <c r="E556" s="651"/>
      <c r="F556" s="55"/>
      <c r="G556" s="651"/>
      <c r="H556" s="55"/>
      <c r="I556" s="651"/>
      <c r="K556" s="652"/>
      <c r="M556" s="276"/>
    </row>
    <row r="557">
      <c r="A557" s="459"/>
      <c r="C557" s="276"/>
      <c r="D557" s="276"/>
      <c r="E557" s="651"/>
      <c r="F557" s="55"/>
      <c r="G557" s="651"/>
      <c r="H557" s="55"/>
      <c r="I557" s="651"/>
      <c r="K557" s="652"/>
      <c r="M557" s="276"/>
    </row>
    <row r="558">
      <c r="A558" s="459"/>
      <c r="C558" s="276"/>
      <c r="D558" s="276"/>
      <c r="E558" s="651"/>
      <c r="F558" s="55"/>
      <c r="G558" s="651"/>
      <c r="H558" s="55"/>
      <c r="I558" s="651"/>
      <c r="K558" s="652"/>
      <c r="M558" s="276"/>
    </row>
    <row r="559">
      <c r="A559" s="459"/>
      <c r="C559" s="276"/>
      <c r="D559" s="276"/>
      <c r="E559" s="651"/>
      <c r="F559" s="55"/>
      <c r="G559" s="651"/>
      <c r="H559" s="55"/>
      <c r="I559" s="651"/>
      <c r="K559" s="652"/>
      <c r="M559" s="276"/>
    </row>
    <row r="560">
      <c r="A560" s="459"/>
      <c r="C560" s="276"/>
      <c r="D560" s="276"/>
      <c r="E560" s="651"/>
      <c r="F560" s="55"/>
      <c r="G560" s="651"/>
      <c r="H560" s="55"/>
      <c r="I560" s="651"/>
      <c r="K560" s="652"/>
      <c r="M560" s="276"/>
    </row>
    <row r="561">
      <c r="A561" s="459"/>
      <c r="C561" s="276"/>
      <c r="D561" s="276"/>
      <c r="E561" s="651"/>
      <c r="F561" s="55"/>
      <c r="G561" s="651"/>
      <c r="H561" s="55"/>
      <c r="I561" s="651"/>
      <c r="K561" s="652"/>
      <c r="M561" s="276"/>
    </row>
    <row r="562">
      <c r="A562" s="459"/>
      <c r="C562" s="276"/>
      <c r="D562" s="276"/>
      <c r="E562" s="651"/>
      <c r="F562" s="55"/>
      <c r="G562" s="651"/>
      <c r="H562" s="55"/>
      <c r="I562" s="651"/>
      <c r="K562" s="652"/>
      <c r="M562" s="276"/>
    </row>
    <row r="563">
      <c r="A563" s="459"/>
      <c r="C563" s="276"/>
      <c r="D563" s="276"/>
      <c r="E563" s="651"/>
      <c r="F563" s="55"/>
      <c r="G563" s="651"/>
      <c r="H563" s="55"/>
      <c r="I563" s="651"/>
      <c r="K563" s="652"/>
      <c r="M563" s="276"/>
    </row>
    <row r="564">
      <c r="A564" s="459"/>
      <c r="C564" s="276"/>
      <c r="D564" s="276"/>
      <c r="E564" s="651"/>
      <c r="F564" s="55"/>
      <c r="G564" s="651"/>
      <c r="H564" s="55"/>
      <c r="I564" s="651"/>
      <c r="K564" s="652"/>
      <c r="M564" s="276"/>
    </row>
    <row r="565">
      <c r="A565" s="459"/>
      <c r="C565" s="276"/>
      <c r="D565" s="276"/>
      <c r="E565" s="651"/>
      <c r="F565" s="55"/>
      <c r="G565" s="651"/>
      <c r="H565" s="55"/>
      <c r="I565" s="651"/>
      <c r="K565" s="652"/>
      <c r="M565" s="276"/>
    </row>
    <row r="566">
      <c r="A566" s="459"/>
      <c r="C566" s="276"/>
      <c r="D566" s="276"/>
      <c r="E566" s="651"/>
      <c r="F566" s="55"/>
      <c r="G566" s="651"/>
      <c r="H566" s="55"/>
      <c r="I566" s="651"/>
      <c r="K566" s="652"/>
      <c r="M566" s="276"/>
    </row>
    <row r="567">
      <c r="A567" s="459"/>
      <c r="C567" s="276"/>
      <c r="D567" s="276"/>
      <c r="E567" s="651"/>
      <c r="F567" s="55"/>
      <c r="G567" s="651"/>
      <c r="H567" s="55"/>
      <c r="I567" s="651"/>
      <c r="K567" s="652"/>
      <c r="M567" s="276"/>
    </row>
    <row r="568">
      <c r="A568" s="459"/>
      <c r="C568" s="276"/>
      <c r="D568" s="276"/>
      <c r="E568" s="651"/>
      <c r="F568" s="55"/>
      <c r="G568" s="651"/>
      <c r="H568" s="55"/>
      <c r="I568" s="651"/>
      <c r="K568" s="652"/>
      <c r="M568" s="276"/>
    </row>
    <row r="569">
      <c r="A569" s="459"/>
      <c r="C569" s="276"/>
      <c r="D569" s="276"/>
      <c r="E569" s="651"/>
      <c r="F569" s="55"/>
      <c r="G569" s="651"/>
      <c r="H569" s="55"/>
      <c r="I569" s="651"/>
      <c r="K569" s="652"/>
      <c r="M569" s="276"/>
    </row>
    <row r="570">
      <c r="A570" s="459"/>
      <c r="C570" s="276"/>
      <c r="D570" s="276"/>
      <c r="E570" s="651"/>
      <c r="F570" s="55"/>
      <c r="G570" s="651"/>
      <c r="H570" s="55"/>
      <c r="I570" s="651"/>
      <c r="K570" s="652"/>
      <c r="M570" s="276"/>
    </row>
    <row r="571">
      <c r="A571" s="459"/>
      <c r="C571" s="276"/>
      <c r="D571" s="276"/>
      <c r="E571" s="651"/>
      <c r="F571" s="55"/>
      <c r="G571" s="651"/>
      <c r="H571" s="55"/>
      <c r="I571" s="651"/>
      <c r="K571" s="652"/>
      <c r="M571" s="276"/>
    </row>
    <row r="572">
      <c r="A572" s="459"/>
      <c r="C572" s="276"/>
      <c r="D572" s="276"/>
      <c r="E572" s="651"/>
      <c r="F572" s="55"/>
      <c r="G572" s="651"/>
      <c r="H572" s="55"/>
      <c r="I572" s="651"/>
      <c r="K572" s="652"/>
      <c r="M572" s="276"/>
    </row>
    <row r="573">
      <c r="A573" s="459"/>
      <c r="C573" s="276"/>
      <c r="D573" s="276"/>
      <c r="E573" s="651"/>
      <c r="F573" s="55"/>
      <c r="G573" s="651"/>
      <c r="H573" s="55"/>
      <c r="I573" s="651"/>
      <c r="K573" s="652"/>
      <c r="M573" s="276"/>
    </row>
    <row r="574">
      <c r="A574" s="459"/>
      <c r="C574" s="276"/>
      <c r="D574" s="276"/>
      <c r="E574" s="651"/>
      <c r="F574" s="55"/>
      <c r="G574" s="651"/>
      <c r="H574" s="55"/>
      <c r="I574" s="651"/>
      <c r="K574" s="652"/>
      <c r="M574" s="276"/>
    </row>
    <row r="575">
      <c r="A575" s="459"/>
      <c r="C575" s="276"/>
      <c r="D575" s="276"/>
      <c r="E575" s="651"/>
      <c r="F575" s="55"/>
      <c r="G575" s="651"/>
      <c r="H575" s="55"/>
      <c r="I575" s="651"/>
      <c r="K575" s="652"/>
      <c r="M575" s="276"/>
    </row>
    <row r="576">
      <c r="A576" s="459"/>
      <c r="C576" s="276"/>
      <c r="D576" s="276"/>
      <c r="E576" s="651"/>
      <c r="F576" s="55"/>
      <c r="G576" s="651"/>
      <c r="H576" s="55"/>
      <c r="I576" s="651"/>
      <c r="K576" s="652"/>
      <c r="M576" s="276"/>
    </row>
    <row r="577">
      <c r="A577" s="459"/>
      <c r="C577" s="276"/>
      <c r="D577" s="276"/>
      <c r="E577" s="651"/>
      <c r="F577" s="55"/>
      <c r="G577" s="651"/>
      <c r="H577" s="55"/>
      <c r="I577" s="651"/>
      <c r="K577" s="652"/>
      <c r="M577" s="276"/>
    </row>
    <row r="578">
      <c r="A578" s="459"/>
      <c r="C578" s="276"/>
      <c r="D578" s="276"/>
      <c r="E578" s="651"/>
      <c r="F578" s="55"/>
      <c r="G578" s="651"/>
      <c r="H578" s="55"/>
      <c r="I578" s="651"/>
      <c r="K578" s="652"/>
      <c r="M578" s="276"/>
    </row>
    <row r="579">
      <c r="A579" s="459"/>
      <c r="C579" s="276"/>
      <c r="D579" s="276"/>
      <c r="E579" s="651"/>
      <c r="F579" s="55"/>
      <c r="G579" s="651"/>
      <c r="H579" s="55"/>
      <c r="I579" s="651"/>
      <c r="K579" s="652"/>
      <c r="M579" s="276"/>
    </row>
    <row r="580">
      <c r="A580" s="459"/>
      <c r="C580" s="276"/>
      <c r="D580" s="276"/>
      <c r="E580" s="651"/>
      <c r="F580" s="55"/>
      <c r="G580" s="651"/>
      <c r="H580" s="55"/>
      <c r="I580" s="651"/>
      <c r="K580" s="652"/>
      <c r="M580" s="276"/>
    </row>
    <row r="581">
      <c r="A581" s="459"/>
      <c r="C581" s="276"/>
      <c r="D581" s="276"/>
      <c r="E581" s="651"/>
      <c r="F581" s="55"/>
      <c r="G581" s="651"/>
      <c r="H581" s="55"/>
      <c r="I581" s="651"/>
      <c r="K581" s="652"/>
      <c r="M581" s="276"/>
    </row>
    <row r="582">
      <c r="A582" s="459"/>
      <c r="C582" s="276"/>
      <c r="D582" s="276"/>
      <c r="E582" s="651"/>
      <c r="F582" s="55"/>
      <c r="G582" s="651"/>
      <c r="H582" s="55"/>
      <c r="I582" s="651"/>
      <c r="K582" s="652"/>
      <c r="M582" s="276"/>
    </row>
    <row r="583">
      <c r="A583" s="459"/>
      <c r="C583" s="276"/>
      <c r="D583" s="276"/>
      <c r="E583" s="651"/>
      <c r="F583" s="55"/>
      <c r="G583" s="651"/>
      <c r="H583" s="55"/>
      <c r="I583" s="651"/>
      <c r="K583" s="652"/>
      <c r="M583" s="276"/>
    </row>
    <row r="584">
      <c r="A584" s="459"/>
      <c r="C584" s="276"/>
      <c r="D584" s="276"/>
      <c r="E584" s="651"/>
      <c r="F584" s="55"/>
      <c r="G584" s="651"/>
      <c r="H584" s="55"/>
      <c r="I584" s="651"/>
      <c r="K584" s="652"/>
      <c r="M584" s="276"/>
    </row>
    <row r="585">
      <c r="A585" s="459"/>
      <c r="C585" s="276"/>
      <c r="D585" s="276"/>
      <c r="E585" s="651"/>
      <c r="F585" s="55"/>
      <c r="G585" s="651"/>
      <c r="H585" s="55"/>
      <c r="I585" s="651"/>
      <c r="K585" s="652"/>
      <c r="M585" s="276"/>
    </row>
    <row r="586">
      <c r="A586" s="459"/>
      <c r="C586" s="276"/>
      <c r="D586" s="276"/>
      <c r="E586" s="651"/>
      <c r="F586" s="55"/>
      <c r="G586" s="651"/>
      <c r="H586" s="55"/>
      <c r="I586" s="651"/>
      <c r="K586" s="652"/>
      <c r="M586" s="276"/>
    </row>
    <row r="587">
      <c r="A587" s="459"/>
      <c r="C587" s="276"/>
      <c r="D587" s="276"/>
      <c r="E587" s="651"/>
      <c r="F587" s="55"/>
      <c r="G587" s="651"/>
      <c r="H587" s="55"/>
      <c r="I587" s="651"/>
      <c r="K587" s="652"/>
      <c r="M587" s="276"/>
    </row>
    <row r="588">
      <c r="A588" s="459"/>
      <c r="C588" s="276"/>
      <c r="D588" s="276"/>
      <c r="E588" s="651"/>
      <c r="F588" s="55"/>
      <c r="G588" s="651"/>
      <c r="H588" s="55"/>
      <c r="I588" s="651"/>
      <c r="K588" s="652"/>
      <c r="M588" s="276"/>
    </row>
    <row r="589">
      <c r="A589" s="459"/>
      <c r="C589" s="276"/>
      <c r="D589" s="276"/>
      <c r="E589" s="651"/>
      <c r="F589" s="55"/>
      <c r="G589" s="651"/>
      <c r="H589" s="55"/>
      <c r="I589" s="651"/>
      <c r="K589" s="652"/>
      <c r="M589" s="276"/>
    </row>
    <row r="590">
      <c r="A590" s="459"/>
      <c r="C590" s="276"/>
      <c r="D590" s="276"/>
      <c r="E590" s="651"/>
      <c r="F590" s="55"/>
      <c r="G590" s="651"/>
      <c r="H590" s="55"/>
      <c r="I590" s="651"/>
      <c r="K590" s="652"/>
      <c r="M590" s="276"/>
    </row>
    <row r="591">
      <c r="A591" s="459"/>
      <c r="C591" s="276"/>
      <c r="D591" s="276"/>
      <c r="E591" s="651"/>
      <c r="F591" s="55"/>
      <c r="G591" s="651"/>
      <c r="H591" s="55"/>
      <c r="I591" s="651"/>
      <c r="K591" s="652"/>
      <c r="M591" s="276"/>
    </row>
    <row r="592">
      <c r="A592" s="459"/>
      <c r="C592" s="276"/>
      <c r="D592" s="276"/>
      <c r="E592" s="651"/>
      <c r="F592" s="55"/>
      <c r="G592" s="651"/>
      <c r="H592" s="55"/>
      <c r="I592" s="651"/>
      <c r="K592" s="652"/>
      <c r="M592" s="276"/>
    </row>
    <row r="593">
      <c r="A593" s="459"/>
      <c r="C593" s="276"/>
      <c r="D593" s="276"/>
      <c r="E593" s="651"/>
      <c r="F593" s="55"/>
      <c r="G593" s="651"/>
      <c r="H593" s="55"/>
      <c r="I593" s="651"/>
      <c r="K593" s="652"/>
      <c r="M593" s="276"/>
    </row>
    <row r="594">
      <c r="A594" s="459"/>
      <c r="C594" s="276"/>
      <c r="D594" s="276"/>
      <c r="E594" s="651"/>
      <c r="F594" s="55"/>
      <c r="G594" s="651"/>
      <c r="H594" s="55"/>
      <c r="I594" s="651"/>
      <c r="K594" s="652"/>
      <c r="M594" s="276"/>
    </row>
    <row r="595">
      <c r="A595" s="459"/>
      <c r="C595" s="276"/>
      <c r="D595" s="276"/>
      <c r="E595" s="651"/>
      <c r="F595" s="55"/>
      <c r="G595" s="651"/>
      <c r="H595" s="55"/>
      <c r="I595" s="651"/>
      <c r="K595" s="652"/>
      <c r="M595" s="276"/>
    </row>
    <row r="596">
      <c r="A596" s="459"/>
      <c r="C596" s="276"/>
      <c r="D596" s="276"/>
      <c r="E596" s="651"/>
      <c r="F596" s="55"/>
      <c r="G596" s="651"/>
      <c r="H596" s="55"/>
      <c r="I596" s="651"/>
      <c r="K596" s="652"/>
      <c r="M596" s="276"/>
    </row>
    <row r="597">
      <c r="A597" s="459"/>
      <c r="C597" s="276"/>
      <c r="D597" s="276"/>
      <c r="E597" s="651"/>
      <c r="F597" s="55"/>
      <c r="G597" s="651"/>
      <c r="H597" s="55"/>
      <c r="I597" s="651"/>
      <c r="K597" s="652"/>
      <c r="M597" s="276"/>
    </row>
    <row r="598">
      <c r="A598" s="459"/>
      <c r="C598" s="276"/>
      <c r="D598" s="276"/>
      <c r="E598" s="651"/>
      <c r="F598" s="55"/>
      <c r="G598" s="651"/>
      <c r="H598" s="55"/>
      <c r="I598" s="651"/>
      <c r="K598" s="652"/>
      <c r="M598" s="276"/>
    </row>
    <row r="599">
      <c r="A599" s="459"/>
      <c r="C599" s="276"/>
      <c r="D599" s="276"/>
      <c r="E599" s="651"/>
      <c r="F599" s="55"/>
      <c r="G599" s="651"/>
      <c r="H599" s="55"/>
      <c r="I599" s="651"/>
      <c r="K599" s="652"/>
      <c r="M599" s="276"/>
    </row>
    <row r="600">
      <c r="A600" s="459"/>
      <c r="C600" s="276"/>
      <c r="D600" s="276"/>
      <c r="E600" s="651"/>
      <c r="F600" s="55"/>
      <c r="G600" s="651"/>
      <c r="H600" s="55"/>
      <c r="I600" s="651"/>
      <c r="K600" s="652"/>
      <c r="M600" s="276"/>
    </row>
    <row r="601">
      <c r="A601" s="459"/>
      <c r="C601" s="276"/>
      <c r="D601" s="276"/>
      <c r="E601" s="651"/>
      <c r="F601" s="55"/>
      <c r="G601" s="651"/>
      <c r="H601" s="55"/>
      <c r="I601" s="651"/>
      <c r="K601" s="652"/>
      <c r="M601" s="276"/>
    </row>
    <row r="602">
      <c r="A602" s="459"/>
      <c r="C602" s="276"/>
      <c r="D602" s="276"/>
      <c r="E602" s="651"/>
      <c r="F602" s="55"/>
      <c r="G602" s="651"/>
      <c r="H602" s="55"/>
      <c r="I602" s="651"/>
      <c r="K602" s="652"/>
      <c r="M602" s="276"/>
    </row>
    <row r="603">
      <c r="A603" s="459"/>
      <c r="C603" s="276"/>
      <c r="D603" s="276"/>
      <c r="E603" s="651"/>
      <c r="F603" s="55"/>
      <c r="G603" s="651"/>
      <c r="H603" s="55"/>
      <c r="I603" s="651"/>
      <c r="K603" s="652"/>
      <c r="M603" s="276"/>
    </row>
    <row r="604">
      <c r="A604" s="459"/>
      <c r="C604" s="276"/>
      <c r="D604" s="276"/>
      <c r="E604" s="651"/>
      <c r="F604" s="55"/>
      <c r="G604" s="651"/>
      <c r="H604" s="55"/>
      <c r="I604" s="651"/>
      <c r="K604" s="652"/>
      <c r="M604" s="276"/>
    </row>
    <row r="605">
      <c r="A605" s="459"/>
      <c r="C605" s="276"/>
      <c r="D605" s="276"/>
      <c r="E605" s="651"/>
      <c r="F605" s="55"/>
      <c r="G605" s="651"/>
      <c r="H605" s="55"/>
      <c r="I605" s="651"/>
      <c r="K605" s="652"/>
      <c r="M605" s="276"/>
    </row>
    <row r="606">
      <c r="A606" s="459"/>
      <c r="C606" s="276"/>
      <c r="D606" s="276"/>
      <c r="E606" s="651"/>
      <c r="F606" s="55"/>
      <c r="G606" s="651"/>
      <c r="H606" s="55"/>
      <c r="I606" s="651"/>
      <c r="K606" s="652"/>
      <c r="M606" s="276"/>
    </row>
    <row r="607">
      <c r="A607" s="459"/>
      <c r="C607" s="276"/>
      <c r="D607" s="276"/>
      <c r="E607" s="651"/>
      <c r="F607" s="55"/>
      <c r="G607" s="651"/>
      <c r="H607" s="55"/>
      <c r="I607" s="651"/>
      <c r="K607" s="652"/>
      <c r="M607" s="276"/>
    </row>
    <row r="608">
      <c r="A608" s="459"/>
      <c r="C608" s="276"/>
      <c r="D608" s="276"/>
      <c r="E608" s="651"/>
      <c r="F608" s="55"/>
      <c r="G608" s="651"/>
      <c r="H608" s="55"/>
      <c r="I608" s="651"/>
      <c r="K608" s="652"/>
      <c r="M608" s="276"/>
    </row>
    <row r="609">
      <c r="A609" s="459"/>
      <c r="C609" s="276"/>
      <c r="D609" s="276"/>
      <c r="E609" s="651"/>
      <c r="F609" s="55"/>
      <c r="G609" s="651"/>
      <c r="H609" s="55"/>
      <c r="I609" s="651"/>
      <c r="K609" s="652"/>
      <c r="M609" s="276"/>
    </row>
    <row r="610">
      <c r="A610" s="459"/>
      <c r="C610" s="276"/>
      <c r="D610" s="276"/>
      <c r="E610" s="651"/>
      <c r="F610" s="55"/>
      <c r="G610" s="651"/>
      <c r="H610" s="55"/>
      <c r="I610" s="651"/>
      <c r="K610" s="652"/>
      <c r="M610" s="276"/>
    </row>
    <row r="611">
      <c r="A611" s="459"/>
      <c r="C611" s="276"/>
      <c r="D611" s="276"/>
      <c r="E611" s="651"/>
      <c r="F611" s="55"/>
      <c r="G611" s="651"/>
      <c r="H611" s="55"/>
      <c r="I611" s="651"/>
      <c r="K611" s="652"/>
      <c r="M611" s="276"/>
    </row>
    <row r="612">
      <c r="A612" s="459"/>
      <c r="C612" s="276"/>
      <c r="D612" s="276"/>
      <c r="E612" s="651"/>
      <c r="F612" s="55"/>
      <c r="G612" s="651"/>
      <c r="H612" s="55"/>
      <c r="I612" s="651"/>
      <c r="K612" s="652"/>
      <c r="M612" s="276"/>
    </row>
    <row r="613">
      <c r="A613" s="459"/>
      <c r="C613" s="276"/>
      <c r="D613" s="276"/>
      <c r="E613" s="651"/>
      <c r="F613" s="55"/>
      <c r="G613" s="651"/>
      <c r="H613" s="55"/>
      <c r="I613" s="651"/>
      <c r="K613" s="652"/>
      <c r="M613" s="276"/>
    </row>
    <row r="614">
      <c r="A614" s="459"/>
      <c r="C614" s="276"/>
      <c r="D614" s="276"/>
      <c r="E614" s="651"/>
      <c r="F614" s="55"/>
      <c r="G614" s="651"/>
      <c r="H614" s="55"/>
      <c r="I614" s="651"/>
      <c r="K614" s="652"/>
      <c r="M614" s="276"/>
    </row>
    <row r="615">
      <c r="A615" s="459"/>
      <c r="C615" s="276"/>
      <c r="D615" s="276"/>
      <c r="E615" s="651"/>
      <c r="F615" s="55"/>
      <c r="G615" s="651"/>
      <c r="H615" s="55"/>
      <c r="I615" s="651"/>
      <c r="K615" s="652"/>
      <c r="M615" s="276"/>
    </row>
    <row r="616">
      <c r="A616" s="459"/>
      <c r="C616" s="276"/>
      <c r="D616" s="276"/>
      <c r="E616" s="651"/>
      <c r="F616" s="55"/>
      <c r="G616" s="651"/>
      <c r="H616" s="55"/>
      <c r="I616" s="651"/>
      <c r="K616" s="652"/>
      <c r="M616" s="276"/>
    </row>
    <row r="617">
      <c r="A617" s="459"/>
      <c r="C617" s="276"/>
      <c r="D617" s="276"/>
      <c r="E617" s="651"/>
      <c r="F617" s="55"/>
      <c r="G617" s="651"/>
      <c r="H617" s="55"/>
      <c r="I617" s="651"/>
      <c r="K617" s="652"/>
      <c r="M617" s="276"/>
    </row>
    <row r="618">
      <c r="A618" s="459"/>
      <c r="C618" s="276"/>
      <c r="D618" s="276"/>
      <c r="E618" s="651"/>
      <c r="F618" s="55"/>
      <c r="G618" s="651"/>
      <c r="H618" s="55"/>
      <c r="I618" s="651"/>
      <c r="K618" s="652"/>
      <c r="M618" s="276"/>
    </row>
    <row r="619">
      <c r="A619" s="459"/>
      <c r="C619" s="276"/>
      <c r="D619" s="276"/>
      <c r="E619" s="651"/>
      <c r="F619" s="55"/>
      <c r="G619" s="651"/>
      <c r="H619" s="55"/>
      <c r="I619" s="651"/>
      <c r="K619" s="652"/>
      <c r="M619" s="276"/>
    </row>
    <row r="620">
      <c r="A620" s="459"/>
      <c r="C620" s="276"/>
      <c r="D620" s="276"/>
      <c r="E620" s="651"/>
      <c r="F620" s="55"/>
      <c r="G620" s="651"/>
      <c r="H620" s="55"/>
      <c r="I620" s="651"/>
      <c r="K620" s="652"/>
      <c r="M620" s="276"/>
    </row>
    <row r="621">
      <c r="A621" s="459"/>
      <c r="C621" s="276"/>
      <c r="D621" s="276"/>
      <c r="E621" s="651"/>
      <c r="F621" s="55"/>
      <c r="G621" s="651"/>
      <c r="H621" s="55"/>
      <c r="I621" s="651"/>
      <c r="K621" s="652"/>
      <c r="M621" s="276"/>
    </row>
    <row r="622">
      <c r="A622" s="459"/>
      <c r="C622" s="276"/>
      <c r="D622" s="276"/>
      <c r="E622" s="651"/>
      <c r="F622" s="55"/>
      <c r="G622" s="651"/>
      <c r="H622" s="55"/>
      <c r="I622" s="651"/>
      <c r="K622" s="652"/>
      <c r="M622" s="276"/>
    </row>
    <row r="623">
      <c r="A623" s="459"/>
      <c r="C623" s="276"/>
      <c r="D623" s="276"/>
      <c r="E623" s="651"/>
      <c r="F623" s="55"/>
      <c r="G623" s="651"/>
      <c r="H623" s="55"/>
      <c r="I623" s="651"/>
      <c r="K623" s="652"/>
      <c r="M623" s="276"/>
    </row>
    <row r="624">
      <c r="A624" s="459"/>
      <c r="C624" s="276"/>
      <c r="D624" s="276"/>
      <c r="E624" s="651"/>
      <c r="F624" s="55"/>
      <c r="G624" s="651"/>
      <c r="H624" s="55"/>
      <c r="I624" s="651"/>
      <c r="K624" s="652"/>
      <c r="M624" s="276"/>
    </row>
    <row r="625">
      <c r="A625" s="459"/>
      <c r="C625" s="276"/>
      <c r="D625" s="276"/>
      <c r="E625" s="651"/>
      <c r="F625" s="55"/>
      <c r="G625" s="651"/>
      <c r="H625" s="55"/>
      <c r="I625" s="651"/>
      <c r="K625" s="652"/>
      <c r="M625" s="276"/>
    </row>
    <row r="626">
      <c r="A626" s="459"/>
      <c r="C626" s="276"/>
      <c r="D626" s="276"/>
      <c r="E626" s="651"/>
      <c r="F626" s="55"/>
      <c r="G626" s="651"/>
      <c r="H626" s="55"/>
      <c r="I626" s="651"/>
      <c r="K626" s="652"/>
      <c r="M626" s="276"/>
    </row>
    <row r="627">
      <c r="A627" s="459"/>
      <c r="C627" s="276"/>
      <c r="D627" s="276"/>
      <c r="E627" s="651"/>
      <c r="F627" s="55"/>
      <c r="G627" s="651"/>
      <c r="H627" s="55"/>
      <c r="I627" s="651"/>
      <c r="K627" s="652"/>
      <c r="M627" s="276"/>
    </row>
    <row r="628">
      <c r="A628" s="459"/>
      <c r="C628" s="276"/>
      <c r="D628" s="276"/>
      <c r="E628" s="651"/>
      <c r="F628" s="55"/>
      <c r="G628" s="651"/>
      <c r="H628" s="55"/>
      <c r="I628" s="651"/>
      <c r="K628" s="652"/>
      <c r="M628" s="276"/>
    </row>
    <row r="629">
      <c r="A629" s="459"/>
      <c r="C629" s="276"/>
      <c r="D629" s="276"/>
      <c r="E629" s="651"/>
      <c r="F629" s="55"/>
      <c r="G629" s="651"/>
      <c r="H629" s="55"/>
      <c r="I629" s="651"/>
      <c r="K629" s="652"/>
      <c r="M629" s="276"/>
    </row>
    <row r="630">
      <c r="A630" s="459"/>
      <c r="C630" s="276"/>
      <c r="D630" s="276"/>
      <c r="E630" s="651"/>
      <c r="F630" s="55"/>
      <c r="G630" s="651"/>
      <c r="H630" s="55"/>
      <c r="I630" s="651"/>
      <c r="K630" s="652"/>
      <c r="M630" s="276"/>
    </row>
    <row r="631">
      <c r="A631" s="459"/>
      <c r="C631" s="276"/>
      <c r="D631" s="276"/>
      <c r="E631" s="651"/>
      <c r="F631" s="55"/>
      <c r="G631" s="651"/>
      <c r="H631" s="55"/>
      <c r="I631" s="651"/>
      <c r="K631" s="652"/>
      <c r="M631" s="276"/>
    </row>
    <row r="632">
      <c r="A632" s="459"/>
      <c r="C632" s="276"/>
      <c r="D632" s="276"/>
      <c r="E632" s="651"/>
      <c r="F632" s="55"/>
      <c r="G632" s="651"/>
      <c r="H632" s="55"/>
      <c r="I632" s="651"/>
      <c r="K632" s="652"/>
      <c r="M632" s="276"/>
    </row>
    <row r="633">
      <c r="A633" s="459"/>
      <c r="C633" s="276"/>
      <c r="D633" s="276"/>
      <c r="E633" s="651"/>
      <c r="F633" s="55"/>
      <c r="G633" s="651"/>
      <c r="H633" s="55"/>
      <c r="I633" s="651"/>
      <c r="K633" s="652"/>
      <c r="M633" s="276"/>
    </row>
    <row r="634">
      <c r="A634" s="459"/>
      <c r="C634" s="276"/>
      <c r="D634" s="276"/>
      <c r="E634" s="651"/>
      <c r="F634" s="55"/>
      <c r="G634" s="651"/>
      <c r="H634" s="55"/>
      <c r="I634" s="651"/>
      <c r="K634" s="652"/>
      <c r="M634" s="276"/>
    </row>
    <row r="635">
      <c r="A635" s="459"/>
      <c r="C635" s="276"/>
      <c r="D635" s="276"/>
      <c r="E635" s="651"/>
      <c r="F635" s="55"/>
      <c r="G635" s="651"/>
      <c r="H635" s="55"/>
      <c r="I635" s="651"/>
      <c r="K635" s="652"/>
      <c r="M635" s="276"/>
    </row>
    <row r="636">
      <c r="A636" s="459"/>
      <c r="C636" s="276"/>
      <c r="D636" s="276"/>
      <c r="E636" s="651"/>
      <c r="F636" s="55"/>
      <c r="G636" s="651"/>
      <c r="H636" s="55"/>
      <c r="I636" s="651"/>
      <c r="K636" s="652"/>
      <c r="M636" s="276"/>
    </row>
    <row r="637">
      <c r="A637" s="459"/>
      <c r="C637" s="276"/>
      <c r="D637" s="276"/>
      <c r="E637" s="651"/>
      <c r="F637" s="55"/>
      <c r="G637" s="651"/>
      <c r="H637" s="55"/>
      <c r="I637" s="651"/>
      <c r="K637" s="652"/>
      <c r="M637" s="276"/>
    </row>
    <row r="638">
      <c r="A638" s="459"/>
      <c r="C638" s="276"/>
      <c r="D638" s="276"/>
      <c r="E638" s="651"/>
      <c r="F638" s="55"/>
      <c r="G638" s="651"/>
      <c r="H638" s="55"/>
      <c r="I638" s="651"/>
      <c r="K638" s="652"/>
      <c r="M638" s="276"/>
    </row>
    <row r="639">
      <c r="A639" s="459"/>
      <c r="C639" s="276"/>
      <c r="D639" s="276"/>
      <c r="E639" s="651"/>
      <c r="F639" s="55"/>
      <c r="G639" s="651"/>
      <c r="H639" s="55"/>
      <c r="I639" s="651"/>
      <c r="K639" s="652"/>
      <c r="M639" s="276"/>
    </row>
    <row r="640">
      <c r="A640" s="459"/>
      <c r="C640" s="276"/>
      <c r="D640" s="276"/>
      <c r="E640" s="651"/>
      <c r="F640" s="55"/>
      <c r="G640" s="651"/>
      <c r="H640" s="55"/>
      <c r="I640" s="651"/>
      <c r="K640" s="652"/>
      <c r="M640" s="276"/>
    </row>
    <row r="641">
      <c r="A641" s="459"/>
      <c r="C641" s="276"/>
      <c r="D641" s="276"/>
      <c r="E641" s="651"/>
      <c r="F641" s="55"/>
      <c r="G641" s="651"/>
      <c r="H641" s="55"/>
      <c r="I641" s="651"/>
      <c r="K641" s="652"/>
      <c r="M641" s="276"/>
    </row>
    <row r="642">
      <c r="A642" s="459"/>
      <c r="C642" s="276"/>
      <c r="D642" s="276"/>
      <c r="E642" s="651"/>
      <c r="F642" s="55"/>
      <c r="G642" s="651"/>
      <c r="H642" s="55"/>
      <c r="I642" s="651"/>
      <c r="K642" s="652"/>
      <c r="M642" s="276"/>
    </row>
    <row r="643">
      <c r="A643" s="459"/>
      <c r="C643" s="276"/>
      <c r="D643" s="276"/>
      <c r="E643" s="651"/>
      <c r="F643" s="55"/>
      <c r="G643" s="651"/>
      <c r="H643" s="55"/>
      <c r="I643" s="651"/>
      <c r="K643" s="652"/>
      <c r="M643" s="276"/>
    </row>
    <row r="644">
      <c r="A644" s="459"/>
      <c r="C644" s="276"/>
      <c r="D644" s="276"/>
      <c r="E644" s="651"/>
      <c r="F644" s="55"/>
      <c r="G644" s="651"/>
      <c r="H644" s="55"/>
      <c r="I644" s="651"/>
      <c r="K644" s="652"/>
      <c r="M644" s="276"/>
    </row>
    <row r="645">
      <c r="A645" s="459"/>
      <c r="C645" s="276"/>
      <c r="D645" s="276"/>
      <c r="E645" s="651"/>
      <c r="F645" s="55"/>
      <c r="G645" s="651"/>
      <c r="H645" s="55"/>
      <c r="I645" s="651"/>
      <c r="K645" s="652"/>
      <c r="M645" s="276"/>
    </row>
    <row r="646">
      <c r="A646" s="459"/>
      <c r="C646" s="276"/>
      <c r="D646" s="276"/>
      <c r="E646" s="651"/>
      <c r="F646" s="55"/>
      <c r="G646" s="651"/>
      <c r="H646" s="55"/>
      <c r="I646" s="651"/>
      <c r="K646" s="652"/>
      <c r="M646" s="276"/>
    </row>
    <row r="647">
      <c r="A647" s="459"/>
      <c r="C647" s="276"/>
      <c r="D647" s="276"/>
      <c r="E647" s="651"/>
      <c r="F647" s="55"/>
      <c r="G647" s="651"/>
      <c r="H647" s="55"/>
      <c r="I647" s="651"/>
      <c r="K647" s="652"/>
      <c r="M647" s="276"/>
    </row>
    <row r="648">
      <c r="A648" s="459"/>
      <c r="C648" s="276"/>
      <c r="D648" s="276"/>
      <c r="E648" s="651"/>
      <c r="F648" s="55"/>
      <c r="G648" s="651"/>
      <c r="H648" s="55"/>
      <c r="I648" s="651"/>
      <c r="K648" s="652"/>
      <c r="M648" s="276"/>
    </row>
    <row r="649">
      <c r="A649" s="459"/>
      <c r="C649" s="276"/>
      <c r="D649" s="276"/>
      <c r="E649" s="651"/>
      <c r="F649" s="55"/>
      <c r="G649" s="651"/>
      <c r="H649" s="55"/>
      <c r="I649" s="651"/>
      <c r="K649" s="652"/>
      <c r="M649" s="276"/>
    </row>
    <row r="650">
      <c r="A650" s="459"/>
      <c r="C650" s="276"/>
      <c r="D650" s="276"/>
      <c r="E650" s="651"/>
      <c r="F650" s="55"/>
      <c r="G650" s="651"/>
      <c r="H650" s="55"/>
      <c r="I650" s="651"/>
      <c r="K650" s="652"/>
      <c r="M650" s="276"/>
    </row>
    <row r="651">
      <c r="A651" s="459"/>
      <c r="C651" s="276"/>
      <c r="D651" s="276"/>
      <c r="E651" s="651"/>
      <c r="F651" s="55"/>
      <c r="G651" s="651"/>
      <c r="H651" s="55"/>
      <c r="I651" s="651"/>
      <c r="K651" s="652"/>
      <c r="M651" s="276"/>
    </row>
    <row r="652">
      <c r="A652" s="459"/>
      <c r="C652" s="276"/>
      <c r="D652" s="276"/>
      <c r="E652" s="651"/>
      <c r="F652" s="55"/>
      <c r="G652" s="651"/>
      <c r="H652" s="55"/>
      <c r="I652" s="651"/>
      <c r="K652" s="652"/>
      <c r="M652" s="276"/>
    </row>
    <row r="653">
      <c r="A653" s="459"/>
      <c r="C653" s="276"/>
      <c r="D653" s="276"/>
      <c r="E653" s="651"/>
      <c r="F653" s="55"/>
      <c r="G653" s="651"/>
      <c r="H653" s="55"/>
      <c r="I653" s="651"/>
      <c r="K653" s="652"/>
      <c r="M653" s="276"/>
    </row>
    <row r="654">
      <c r="A654" s="459"/>
      <c r="C654" s="276"/>
      <c r="D654" s="276"/>
      <c r="E654" s="651"/>
      <c r="F654" s="55"/>
      <c r="G654" s="651"/>
      <c r="H654" s="55"/>
      <c r="I654" s="651"/>
      <c r="K654" s="652"/>
      <c r="M654" s="276"/>
    </row>
    <row r="655">
      <c r="A655" s="459"/>
      <c r="C655" s="276"/>
      <c r="D655" s="276"/>
      <c r="E655" s="651"/>
      <c r="F655" s="55"/>
      <c r="G655" s="651"/>
      <c r="H655" s="55"/>
      <c r="I655" s="651"/>
      <c r="K655" s="652"/>
      <c r="M655" s="276"/>
    </row>
    <row r="656">
      <c r="A656" s="459"/>
      <c r="C656" s="276"/>
      <c r="D656" s="276"/>
      <c r="E656" s="651"/>
      <c r="F656" s="55"/>
      <c r="G656" s="651"/>
      <c r="H656" s="55"/>
      <c r="I656" s="651"/>
      <c r="K656" s="652"/>
      <c r="M656" s="276"/>
    </row>
    <row r="657">
      <c r="A657" s="459"/>
      <c r="C657" s="276"/>
      <c r="D657" s="276"/>
      <c r="E657" s="651"/>
      <c r="F657" s="55"/>
      <c r="G657" s="651"/>
      <c r="H657" s="55"/>
      <c r="I657" s="651"/>
      <c r="K657" s="652"/>
      <c r="M657" s="276"/>
    </row>
    <row r="658">
      <c r="A658" s="459"/>
      <c r="C658" s="276"/>
      <c r="D658" s="276"/>
      <c r="E658" s="651"/>
      <c r="F658" s="55"/>
      <c r="G658" s="651"/>
      <c r="H658" s="55"/>
      <c r="I658" s="651"/>
      <c r="K658" s="652"/>
      <c r="M658" s="276"/>
    </row>
    <row r="659">
      <c r="A659" s="459"/>
      <c r="C659" s="276"/>
      <c r="D659" s="276"/>
      <c r="E659" s="651"/>
      <c r="F659" s="55"/>
      <c r="G659" s="651"/>
      <c r="H659" s="55"/>
      <c r="I659" s="651"/>
      <c r="K659" s="652"/>
      <c r="M659" s="276"/>
    </row>
    <row r="660">
      <c r="A660" s="459"/>
      <c r="C660" s="276"/>
      <c r="D660" s="276"/>
      <c r="E660" s="651"/>
      <c r="F660" s="55"/>
      <c r="G660" s="651"/>
      <c r="H660" s="55"/>
      <c r="I660" s="651"/>
      <c r="K660" s="652"/>
      <c r="M660" s="276"/>
    </row>
    <row r="661">
      <c r="A661" s="459"/>
      <c r="C661" s="276"/>
      <c r="D661" s="276"/>
      <c r="E661" s="651"/>
      <c r="F661" s="55"/>
      <c r="G661" s="651"/>
      <c r="H661" s="55"/>
      <c r="I661" s="651"/>
      <c r="K661" s="652"/>
      <c r="M661" s="276"/>
    </row>
    <row r="662">
      <c r="A662" s="459"/>
      <c r="C662" s="276"/>
      <c r="D662" s="276"/>
      <c r="E662" s="651"/>
      <c r="F662" s="55"/>
      <c r="G662" s="651"/>
      <c r="H662" s="55"/>
      <c r="I662" s="651"/>
      <c r="K662" s="652"/>
      <c r="M662" s="276"/>
    </row>
    <row r="663">
      <c r="A663" s="459"/>
      <c r="C663" s="276"/>
      <c r="D663" s="276"/>
      <c r="E663" s="651"/>
      <c r="F663" s="55"/>
      <c r="G663" s="651"/>
      <c r="H663" s="55"/>
      <c r="I663" s="651"/>
      <c r="K663" s="652"/>
      <c r="M663" s="276"/>
    </row>
    <row r="664">
      <c r="A664" s="459"/>
      <c r="C664" s="276"/>
      <c r="D664" s="276"/>
      <c r="E664" s="651"/>
      <c r="F664" s="55"/>
      <c r="G664" s="651"/>
      <c r="H664" s="55"/>
      <c r="I664" s="651"/>
      <c r="K664" s="652"/>
      <c r="M664" s="276"/>
    </row>
    <row r="665">
      <c r="A665" s="459"/>
      <c r="C665" s="276"/>
      <c r="D665" s="276"/>
      <c r="E665" s="651"/>
      <c r="F665" s="55"/>
      <c r="G665" s="651"/>
      <c r="H665" s="55"/>
      <c r="I665" s="651"/>
      <c r="K665" s="652"/>
      <c r="M665" s="276"/>
    </row>
    <row r="666">
      <c r="A666" s="459"/>
      <c r="C666" s="276"/>
      <c r="D666" s="276"/>
      <c r="E666" s="651"/>
      <c r="F666" s="55"/>
      <c r="G666" s="651"/>
      <c r="H666" s="55"/>
      <c r="I666" s="651"/>
      <c r="K666" s="652"/>
      <c r="M666" s="276"/>
    </row>
    <row r="667">
      <c r="A667" s="459"/>
      <c r="C667" s="276"/>
      <c r="D667" s="276"/>
      <c r="E667" s="651"/>
      <c r="F667" s="55"/>
      <c r="G667" s="651"/>
      <c r="H667" s="55"/>
      <c r="I667" s="651"/>
      <c r="K667" s="652"/>
      <c r="M667" s="276"/>
    </row>
    <row r="668">
      <c r="A668" s="459"/>
      <c r="C668" s="276"/>
      <c r="D668" s="276"/>
      <c r="E668" s="651"/>
      <c r="F668" s="55"/>
      <c r="G668" s="651"/>
      <c r="H668" s="55"/>
      <c r="I668" s="651"/>
      <c r="K668" s="652"/>
      <c r="M668" s="276"/>
    </row>
    <row r="669">
      <c r="A669" s="459"/>
      <c r="C669" s="276"/>
      <c r="D669" s="276"/>
      <c r="E669" s="651"/>
      <c r="F669" s="55"/>
      <c r="G669" s="651"/>
      <c r="H669" s="55"/>
      <c r="I669" s="651"/>
      <c r="K669" s="652"/>
      <c r="M669" s="276"/>
    </row>
    <row r="670">
      <c r="A670" s="459"/>
      <c r="C670" s="276"/>
      <c r="D670" s="276"/>
      <c r="E670" s="651"/>
      <c r="F670" s="55"/>
      <c r="G670" s="651"/>
      <c r="H670" s="55"/>
      <c r="I670" s="651"/>
      <c r="K670" s="652"/>
      <c r="M670" s="276"/>
    </row>
    <row r="671">
      <c r="A671" s="459"/>
      <c r="C671" s="276"/>
      <c r="D671" s="276"/>
      <c r="E671" s="651"/>
      <c r="F671" s="55"/>
      <c r="G671" s="651"/>
      <c r="H671" s="55"/>
      <c r="I671" s="651"/>
      <c r="K671" s="652"/>
      <c r="M671" s="276"/>
    </row>
    <row r="672">
      <c r="A672" s="459"/>
      <c r="C672" s="276"/>
      <c r="D672" s="276"/>
      <c r="E672" s="651"/>
      <c r="F672" s="55"/>
      <c r="G672" s="651"/>
      <c r="H672" s="55"/>
      <c r="I672" s="651"/>
      <c r="K672" s="652"/>
      <c r="M672" s="276"/>
    </row>
    <row r="673">
      <c r="A673" s="459"/>
      <c r="C673" s="276"/>
      <c r="D673" s="276"/>
      <c r="E673" s="651"/>
      <c r="F673" s="55"/>
      <c r="G673" s="651"/>
      <c r="H673" s="55"/>
      <c r="I673" s="651"/>
      <c r="K673" s="652"/>
      <c r="M673" s="276"/>
    </row>
    <row r="674">
      <c r="A674" s="459"/>
      <c r="C674" s="276"/>
      <c r="D674" s="276"/>
      <c r="E674" s="651"/>
      <c r="F674" s="55"/>
      <c r="G674" s="651"/>
      <c r="H674" s="55"/>
      <c r="I674" s="651"/>
      <c r="K674" s="652"/>
      <c r="M674" s="276"/>
    </row>
    <row r="675">
      <c r="A675" s="459"/>
      <c r="C675" s="276"/>
      <c r="D675" s="276"/>
      <c r="E675" s="651"/>
      <c r="F675" s="55"/>
      <c r="G675" s="651"/>
      <c r="H675" s="55"/>
      <c r="I675" s="651"/>
      <c r="K675" s="652"/>
      <c r="M675" s="276"/>
    </row>
    <row r="676">
      <c r="A676" s="459"/>
      <c r="C676" s="276"/>
      <c r="D676" s="276"/>
      <c r="E676" s="651"/>
      <c r="F676" s="55"/>
      <c r="G676" s="651"/>
      <c r="H676" s="55"/>
      <c r="I676" s="651"/>
      <c r="K676" s="652"/>
      <c r="M676" s="276"/>
    </row>
    <row r="677">
      <c r="A677" s="459"/>
      <c r="C677" s="276"/>
      <c r="D677" s="276"/>
      <c r="E677" s="651"/>
      <c r="F677" s="55"/>
      <c r="G677" s="651"/>
      <c r="H677" s="55"/>
      <c r="I677" s="651"/>
      <c r="K677" s="652"/>
      <c r="M677" s="276"/>
    </row>
    <row r="678">
      <c r="A678" s="459"/>
      <c r="C678" s="276"/>
      <c r="D678" s="276"/>
      <c r="E678" s="651"/>
      <c r="F678" s="55"/>
      <c r="G678" s="651"/>
      <c r="H678" s="55"/>
      <c r="I678" s="651"/>
      <c r="K678" s="652"/>
      <c r="M678" s="276"/>
    </row>
    <row r="679">
      <c r="A679" s="459"/>
      <c r="C679" s="276"/>
      <c r="D679" s="276"/>
      <c r="E679" s="651"/>
      <c r="F679" s="55"/>
      <c r="G679" s="651"/>
      <c r="H679" s="55"/>
      <c r="I679" s="651"/>
      <c r="K679" s="652"/>
      <c r="M679" s="276"/>
    </row>
    <row r="680">
      <c r="A680" s="459"/>
      <c r="C680" s="276"/>
      <c r="D680" s="276"/>
      <c r="E680" s="651"/>
      <c r="F680" s="55"/>
      <c r="G680" s="651"/>
      <c r="H680" s="55"/>
      <c r="I680" s="651"/>
      <c r="K680" s="652"/>
      <c r="M680" s="276"/>
    </row>
    <row r="681">
      <c r="A681" s="459"/>
      <c r="C681" s="276"/>
      <c r="D681" s="276"/>
      <c r="E681" s="651"/>
      <c r="F681" s="55"/>
      <c r="G681" s="651"/>
      <c r="H681" s="55"/>
      <c r="I681" s="651"/>
      <c r="K681" s="652"/>
      <c r="M681" s="276"/>
    </row>
    <row r="682">
      <c r="A682" s="459"/>
      <c r="C682" s="276"/>
      <c r="D682" s="276"/>
      <c r="E682" s="651"/>
      <c r="F682" s="55"/>
      <c r="G682" s="651"/>
      <c r="H682" s="55"/>
      <c r="I682" s="651"/>
      <c r="K682" s="652"/>
      <c r="M682" s="276"/>
    </row>
    <row r="683">
      <c r="A683" s="459"/>
      <c r="C683" s="276"/>
      <c r="D683" s="276"/>
      <c r="E683" s="651"/>
      <c r="F683" s="55"/>
      <c r="G683" s="651"/>
      <c r="H683" s="55"/>
      <c r="I683" s="651"/>
      <c r="K683" s="652"/>
      <c r="M683" s="276"/>
    </row>
    <row r="684">
      <c r="A684" s="459"/>
      <c r="C684" s="276"/>
      <c r="D684" s="276"/>
      <c r="E684" s="651"/>
      <c r="F684" s="55"/>
      <c r="G684" s="651"/>
      <c r="H684" s="55"/>
      <c r="I684" s="651"/>
      <c r="K684" s="652"/>
      <c r="M684" s="276"/>
    </row>
    <row r="685">
      <c r="A685" s="459"/>
      <c r="C685" s="276"/>
      <c r="D685" s="276"/>
      <c r="E685" s="651"/>
      <c r="F685" s="55"/>
      <c r="G685" s="651"/>
      <c r="H685" s="55"/>
      <c r="I685" s="651"/>
      <c r="K685" s="652"/>
      <c r="M685" s="276"/>
    </row>
    <row r="686">
      <c r="A686" s="459"/>
      <c r="C686" s="276"/>
      <c r="D686" s="276"/>
      <c r="E686" s="651"/>
      <c r="F686" s="55"/>
      <c r="G686" s="651"/>
      <c r="H686" s="55"/>
      <c r="I686" s="651"/>
      <c r="K686" s="652"/>
      <c r="M686" s="276"/>
    </row>
    <row r="687">
      <c r="A687" s="459"/>
      <c r="C687" s="276"/>
      <c r="D687" s="276"/>
      <c r="E687" s="651"/>
      <c r="F687" s="55"/>
      <c r="G687" s="651"/>
      <c r="H687" s="55"/>
      <c r="I687" s="651"/>
      <c r="K687" s="652"/>
      <c r="M687" s="276"/>
    </row>
    <row r="688">
      <c r="A688" s="459"/>
      <c r="C688" s="276"/>
      <c r="D688" s="276"/>
      <c r="E688" s="651"/>
      <c r="F688" s="55"/>
      <c r="G688" s="651"/>
      <c r="H688" s="55"/>
      <c r="I688" s="651"/>
      <c r="K688" s="652"/>
      <c r="M688" s="276"/>
    </row>
    <row r="689">
      <c r="A689" s="459"/>
      <c r="C689" s="276"/>
      <c r="D689" s="276"/>
      <c r="E689" s="651"/>
      <c r="F689" s="55"/>
      <c r="G689" s="651"/>
      <c r="H689" s="55"/>
      <c r="I689" s="651"/>
      <c r="K689" s="652"/>
      <c r="M689" s="276"/>
    </row>
    <row r="690">
      <c r="A690" s="459"/>
      <c r="C690" s="276"/>
      <c r="D690" s="276"/>
      <c r="E690" s="651"/>
      <c r="F690" s="55"/>
      <c r="G690" s="651"/>
      <c r="H690" s="55"/>
      <c r="I690" s="651"/>
      <c r="K690" s="652"/>
      <c r="M690" s="276"/>
    </row>
    <row r="691">
      <c r="A691" s="459"/>
      <c r="C691" s="276"/>
      <c r="D691" s="276"/>
      <c r="E691" s="651"/>
      <c r="F691" s="55"/>
      <c r="G691" s="651"/>
      <c r="H691" s="55"/>
      <c r="I691" s="651"/>
      <c r="K691" s="652"/>
      <c r="M691" s="276"/>
    </row>
    <row r="692">
      <c r="A692" s="459"/>
      <c r="C692" s="276"/>
      <c r="D692" s="276"/>
      <c r="E692" s="651"/>
      <c r="F692" s="55"/>
      <c r="G692" s="651"/>
      <c r="H692" s="55"/>
      <c r="I692" s="651"/>
      <c r="K692" s="652"/>
      <c r="M692" s="276"/>
    </row>
    <row r="693">
      <c r="A693" s="459"/>
      <c r="C693" s="276"/>
      <c r="D693" s="276"/>
      <c r="E693" s="651"/>
      <c r="F693" s="55"/>
      <c r="G693" s="651"/>
      <c r="H693" s="55"/>
      <c r="I693" s="651"/>
      <c r="K693" s="652"/>
      <c r="M693" s="276"/>
    </row>
    <row r="694">
      <c r="A694" s="459"/>
      <c r="C694" s="276"/>
      <c r="D694" s="276"/>
      <c r="E694" s="651"/>
      <c r="F694" s="55"/>
      <c r="G694" s="651"/>
      <c r="H694" s="55"/>
      <c r="I694" s="651"/>
      <c r="K694" s="652"/>
      <c r="M694" s="276"/>
    </row>
    <row r="695">
      <c r="A695" s="459"/>
      <c r="C695" s="276"/>
      <c r="D695" s="276"/>
      <c r="E695" s="651"/>
      <c r="F695" s="55"/>
      <c r="G695" s="651"/>
      <c r="H695" s="55"/>
      <c r="I695" s="651"/>
      <c r="K695" s="652"/>
      <c r="M695" s="276"/>
    </row>
    <row r="696">
      <c r="A696" s="459"/>
      <c r="C696" s="276"/>
      <c r="D696" s="276"/>
      <c r="E696" s="651"/>
      <c r="F696" s="55"/>
      <c r="G696" s="651"/>
      <c r="H696" s="55"/>
      <c r="I696" s="651"/>
      <c r="K696" s="652"/>
      <c r="M696" s="276"/>
    </row>
    <row r="697">
      <c r="A697" s="459"/>
      <c r="C697" s="276"/>
      <c r="D697" s="276"/>
      <c r="E697" s="651"/>
      <c r="F697" s="55"/>
      <c r="G697" s="651"/>
      <c r="H697" s="55"/>
      <c r="I697" s="651"/>
      <c r="K697" s="652"/>
      <c r="M697" s="276"/>
    </row>
    <row r="698">
      <c r="A698" s="459"/>
      <c r="C698" s="276"/>
      <c r="D698" s="276"/>
      <c r="E698" s="651"/>
      <c r="F698" s="55"/>
      <c r="G698" s="651"/>
      <c r="H698" s="55"/>
      <c r="I698" s="651"/>
      <c r="K698" s="652"/>
      <c r="M698" s="276"/>
    </row>
    <row r="699">
      <c r="A699" s="459"/>
      <c r="C699" s="276"/>
      <c r="D699" s="276"/>
      <c r="E699" s="651"/>
      <c r="F699" s="55"/>
      <c r="G699" s="651"/>
      <c r="H699" s="55"/>
      <c r="I699" s="651"/>
      <c r="K699" s="652"/>
      <c r="M699" s="276"/>
    </row>
    <row r="700">
      <c r="A700" s="459"/>
      <c r="C700" s="276"/>
      <c r="D700" s="276"/>
      <c r="E700" s="651"/>
      <c r="F700" s="55"/>
      <c r="G700" s="651"/>
      <c r="H700" s="55"/>
      <c r="I700" s="651"/>
      <c r="K700" s="652"/>
      <c r="M700" s="276"/>
    </row>
    <row r="701">
      <c r="A701" s="459"/>
      <c r="C701" s="276"/>
      <c r="D701" s="276"/>
      <c r="E701" s="651"/>
      <c r="F701" s="55"/>
      <c r="G701" s="651"/>
      <c r="H701" s="55"/>
      <c r="I701" s="651"/>
      <c r="K701" s="652"/>
      <c r="M701" s="276"/>
    </row>
    <row r="702">
      <c r="A702" s="459"/>
      <c r="C702" s="276"/>
      <c r="D702" s="276"/>
      <c r="E702" s="651"/>
      <c r="F702" s="55"/>
      <c r="G702" s="651"/>
      <c r="H702" s="55"/>
      <c r="I702" s="651"/>
      <c r="K702" s="652"/>
      <c r="M702" s="276"/>
    </row>
    <row r="703">
      <c r="A703" s="459"/>
      <c r="C703" s="276"/>
      <c r="D703" s="276"/>
      <c r="E703" s="651"/>
      <c r="F703" s="55"/>
      <c r="G703" s="651"/>
      <c r="H703" s="55"/>
      <c r="I703" s="651"/>
      <c r="K703" s="652"/>
      <c r="M703" s="276"/>
    </row>
    <row r="704">
      <c r="A704" s="459"/>
      <c r="C704" s="276"/>
      <c r="D704" s="276"/>
      <c r="E704" s="651"/>
      <c r="F704" s="55"/>
      <c r="G704" s="651"/>
      <c r="H704" s="55"/>
      <c r="I704" s="651"/>
      <c r="K704" s="652"/>
      <c r="M704" s="276"/>
    </row>
    <row r="705">
      <c r="A705" s="459"/>
      <c r="C705" s="276"/>
      <c r="D705" s="276"/>
      <c r="E705" s="651"/>
      <c r="F705" s="55"/>
      <c r="G705" s="651"/>
      <c r="H705" s="55"/>
      <c r="I705" s="651"/>
      <c r="K705" s="652"/>
      <c r="M705" s="276"/>
    </row>
    <row r="706">
      <c r="A706" s="459"/>
      <c r="C706" s="276"/>
      <c r="D706" s="276"/>
      <c r="E706" s="651"/>
      <c r="F706" s="55"/>
      <c r="G706" s="651"/>
      <c r="H706" s="55"/>
      <c r="I706" s="651"/>
      <c r="K706" s="652"/>
      <c r="M706" s="276"/>
    </row>
    <row r="707">
      <c r="A707" s="459"/>
      <c r="C707" s="276"/>
      <c r="D707" s="276"/>
      <c r="E707" s="651"/>
      <c r="F707" s="55"/>
      <c r="G707" s="651"/>
      <c r="H707" s="55"/>
      <c r="I707" s="651"/>
      <c r="K707" s="652"/>
      <c r="M707" s="276"/>
    </row>
    <row r="708">
      <c r="A708" s="459"/>
      <c r="C708" s="276"/>
      <c r="D708" s="276"/>
      <c r="E708" s="651"/>
      <c r="F708" s="55"/>
      <c r="G708" s="651"/>
      <c r="H708" s="55"/>
      <c r="I708" s="651"/>
      <c r="K708" s="652"/>
      <c r="M708" s="276"/>
    </row>
    <row r="709">
      <c r="A709" s="459"/>
      <c r="C709" s="276"/>
      <c r="D709" s="276"/>
      <c r="E709" s="651"/>
      <c r="F709" s="55"/>
      <c r="G709" s="651"/>
      <c r="H709" s="55"/>
      <c r="I709" s="651"/>
      <c r="K709" s="652"/>
      <c r="M709" s="276"/>
    </row>
    <row r="710">
      <c r="A710" s="459"/>
      <c r="C710" s="276"/>
      <c r="D710" s="276"/>
      <c r="E710" s="651"/>
      <c r="F710" s="55"/>
      <c r="G710" s="651"/>
      <c r="H710" s="55"/>
      <c r="I710" s="651"/>
      <c r="K710" s="652"/>
      <c r="M710" s="276"/>
    </row>
    <row r="711">
      <c r="A711" s="459"/>
      <c r="C711" s="276"/>
      <c r="D711" s="276"/>
      <c r="E711" s="651"/>
      <c r="F711" s="55"/>
      <c r="G711" s="651"/>
      <c r="H711" s="55"/>
      <c r="I711" s="651"/>
      <c r="K711" s="652"/>
      <c r="M711" s="276"/>
    </row>
    <row r="712">
      <c r="A712" s="459"/>
      <c r="C712" s="276"/>
      <c r="D712" s="276"/>
      <c r="E712" s="651"/>
      <c r="F712" s="55"/>
      <c r="G712" s="651"/>
      <c r="H712" s="55"/>
      <c r="I712" s="651"/>
      <c r="K712" s="652"/>
      <c r="M712" s="276"/>
    </row>
    <row r="713">
      <c r="A713" s="459"/>
      <c r="C713" s="276"/>
      <c r="D713" s="276"/>
      <c r="E713" s="651"/>
      <c r="F713" s="55"/>
      <c r="G713" s="651"/>
      <c r="H713" s="55"/>
      <c r="I713" s="651"/>
      <c r="K713" s="652"/>
      <c r="M713" s="276"/>
    </row>
    <row r="714">
      <c r="A714" s="459"/>
      <c r="C714" s="276"/>
      <c r="D714" s="276"/>
      <c r="E714" s="651"/>
      <c r="F714" s="55"/>
      <c r="G714" s="651"/>
      <c r="H714" s="55"/>
      <c r="I714" s="651"/>
      <c r="K714" s="652"/>
      <c r="M714" s="276"/>
    </row>
    <row r="715">
      <c r="A715" s="459"/>
      <c r="C715" s="276"/>
      <c r="D715" s="276"/>
      <c r="E715" s="651"/>
      <c r="F715" s="55"/>
      <c r="G715" s="651"/>
      <c r="H715" s="55"/>
      <c r="I715" s="651"/>
      <c r="K715" s="652"/>
      <c r="M715" s="276"/>
    </row>
    <row r="716">
      <c r="A716" s="459"/>
      <c r="C716" s="276"/>
      <c r="D716" s="276"/>
      <c r="E716" s="651"/>
      <c r="F716" s="55"/>
      <c r="G716" s="651"/>
      <c r="H716" s="55"/>
      <c r="I716" s="651"/>
      <c r="K716" s="652"/>
      <c r="M716" s="276"/>
    </row>
    <row r="717">
      <c r="A717" s="459"/>
      <c r="C717" s="276"/>
      <c r="D717" s="276"/>
      <c r="E717" s="651"/>
      <c r="F717" s="55"/>
      <c r="G717" s="651"/>
      <c r="H717" s="55"/>
      <c r="I717" s="651"/>
      <c r="K717" s="652"/>
      <c r="M717" s="276"/>
    </row>
    <row r="718">
      <c r="A718" s="459"/>
      <c r="C718" s="276"/>
      <c r="D718" s="276"/>
      <c r="E718" s="651"/>
      <c r="F718" s="55"/>
      <c r="G718" s="651"/>
      <c r="H718" s="55"/>
      <c r="I718" s="651"/>
      <c r="K718" s="652"/>
      <c r="M718" s="276"/>
    </row>
    <row r="719">
      <c r="A719" s="459"/>
      <c r="C719" s="276"/>
      <c r="D719" s="276"/>
      <c r="E719" s="651"/>
      <c r="F719" s="55"/>
      <c r="G719" s="651"/>
      <c r="H719" s="55"/>
      <c r="I719" s="651"/>
      <c r="K719" s="652"/>
      <c r="M719" s="276"/>
    </row>
    <row r="720">
      <c r="A720" s="459"/>
      <c r="C720" s="276"/>
      <c r="D720" s="276"/>
      <c r="E720" s="651"/>
      <c r="F720" s="55"/>
      <c r="G720" s="651"/>
      <c r="H720" s="55"/>
      <c r="I720" s="651"/>
      <c r="K720" s="652"/>
      <c r="M720" s="276"/>
    </row>
    <row r="721">
      <c r="A721" s="459"/>
      <c r="C721" s="276"/>
      <c r="D721" s="276"/>
      <c r="E721" s="651"/>
      <c r="F721" s="55"/>
      <c r="G721" s="651"/>
      <c r="H721" s="55"/>
      <c r="I721" s="651"/>
      <c r="K721" s="652"/>
      <c r="M721" s="276"/>
    </row>
    <row r="722">
      <c r="A722" s="459"/>
      <c r="C722" s="276"/>
      <c r="D722" s="276"/>
      <c r="E722" s="651"/>
      <c r="F722" s="55"/>
      <c r="G722" s="651"/>
      <c r="H722" s="55"/>
      <c r="I722" s="651"/>
      <c r="K722" s="652"/>
      <c r="M722" s="276"/>
    </row>
    <row r="723">
      <c r="A723" s="459"/>
      <c r="C723" s="276"/>
      <c r="D723" s="276"/>
      <c r="E723" s="651"/>
      <c r="F723" s="55"/>
      <c r="G723" s="651"/>
      <c r="H723" s="55"/>
      <c r="I723" s="651"/>
      <c r="K723" s="652"/>
      <c r="M723" s="276"/>
    </row>
    <row r="724">
      <c r="A724" s="459"/>
      <c r="C724" s="276"/>
      <c r="D724" s="276"/>
      <c r="E724" s="651"/>
      <c r="F724" s="55"/>
      <c r="G724" s="651"/>
      <c r="H724" s="55"/>
      <c r="I724" s="651"/>
      <c r="K724" s="652"/>
      <c r="M724" s="276"/>
    </row>
    <row r="725">
      <c r="A725" s="459"/>
      <c r="C725" s="276"/>
      <c r="D725" s="276"/>
      <c r="E725" s="651"/>
      <c r="F725" s="55"/>
      <c r="G725" s="651"/>
      <c r="H725" s="55"/>
      <c r="I725" s="651"/>
      <c r="K725" s="652"/>
      <c r="M725" s="276"/>
    </row>
    <row r="726">
      <c r="A726" s="459"/>
      <c r="C726" s="276"/>
      <c r="D726" s="276"/>
      <c r="E726" s="651"/>
      <c r="F726" s="55"/>
      <c r="G726" s="651"/>
      <c r="H726" s="55"/>
      <c r="I726" s="651"/>
      <c r="K726" s="652"/>
      <c r="M726" s="276"/>
    </row>
    <row r="727">
      <c r="A727" s="459"/>
      <c r="C727" s="276"/>
      <c r="D727" s="276"/>
      <c r="E727" s="651"/>
      <c r="F727" s="55"/>
      <c r="G727" s="651"/>
      <c r="H727" s="55"/>
      <c r="I727" s="651"/>
      <c r="K727" s="652"/>
      <c r="M727" s="276"/>
    </row>
    <row r="728">
      <c r="A728" s="459"/>
      <c r="C728" s="276"/>
      <c r="D728" s="276"/>
      <c r="E728" s="651"/>
      <c r="F728" s="55"/>
      <c r="G728" s="651"/>
      <c r="H728" s="55"/>
      <c r="I728" s="651"/>
      <c r="K728" s="652"/>
      <c r="M728" s="276"/>
    </row>
    <row r="729">
      <c r="A729" s="459"/>
      <c r="C729" s="276"/>
      <c r="D729" s="276"/>
      <c r="E729" s="651"/>
      <c r="F729" s="55"/>
      <c r="G729" s="651"/>
      <c r="H729" s="55"/>
      <c r="I729" s="651"/>
      <c r="K729" s="652"/>
      <c r="M729" s="276"/>
    </row>
    <row r="730">
      <c r="A730" s="459"/>
      <c r="C730" s="276"/>
      <c r="D730" s="276"/>
      <c r="E730" s="651"/>
      <c r="F730" s="55"/>
      <c r="G730" s="651"/>
      <c r="H730" s="55"/>
      <c r="I730" s="651"/>
      <c r="K730" s="652"/>
      <c r="M730" s="276"/>
    </row>
    <row r="731">
      <c r="A731" s="459"/>
      <c r="C731" s="276"/>
      <c r="D731" s="276"/>
      <c r="E731" s="651"/>
      <c r="F731" s="55"/>
      <c r="G731" s="651"/>
      <c r="H731" s="55"/>
      <c r="I731" s="651"/>
      <c r="K731" s="652"/>
      <c r="M731" s="276"/>
    </row>
    <row r="732">
      <c r="A732" s="459"/>
      <c r="C732" s="276"/>
      <c r="D732" s="276"/>
      <c r="E732" s="651"/>
      <c r="F732" s="55"/>
      <c r="G732" s="651"/>
      <c r="H732" s="55"/>
      <c r="I732" s="651"/>
      <c r="K732" s="652"/>
      <c r="M732" s="276"/>
    </row>
    <row r="733">
      <c r="A733" s="459"/>
      <c r="C733" s="276"/>
      <c r="D733" s="276"/>
      <c r="E733" s="651"/>
      <c r="F733" s="55"/>
      <c r="G733" s="651"/>
      <c r="H733" s="55"/>
      <c r="I733" s="651"/>
      <c r="K733" s="652"/>
      <c r="M733" s="276"/>
    </row>
    <row r="734">
      <c r="A734" s="459"/>
      <c r="C734" s="276"/>
      <c r="D734" s="276"/>
      <c r="E734" s="651"/>
      <c r="F734" s="55"/>
      <c r="G734" s="651"/>
      <c r="H734" s="55"/>
      <c r="I734" s="651"/>
      <c r="K734" s="652"/>
      <c r="M734" s="276"/>
    </row>
    <row r="735">
      <c r="A735" s="459"/>
      <c r="C735" s="276"/>
      <c r="D735" s="276"/>
      <c r="E735" s="651"/>
      <c r="F735" s="55"/>
      <c r="G735" s="651"/>
      <c r="H735" s="55"/>
      <c r="I735" s="651"/>
      <c r="K735" s="652"/>
      <c r="M735" s="276"/>
    </row>
    <row r="736">
      <c r="A736" s="459"/>
      <c r="C736" s="276"/>
      <c r="D736" s="276"/>
      <c r="E736" s="651"/>
      <c r="F736" s="55"/>
      <c r="G736" s="651"/>
      <c r="H736" s="55"/>
      <c r="I736" s="651"/>
      <c r="K736" s="652"/>
      <c r="M736" s="276"/>
    </row>
    <row r="737">
      <c r="A737" s="459"/>
      <c r="C737" s="276"/>
      <c r="D737" s="276"/>
      <c r="E737" s="651"/>
      <c r="F737" s="55"/>
      <c r="G737" s="651"/>
      <c r="H737" s="55"/>
      <c r="I737" s="651"/>
      <c r="K737" s="652"/>
      <c r="M737" s="276"/>
    </row>
    <row r="738">
      <c r="A738" s="459"/>
      <c r="C738" s="276"/>
      <c r="D738" s="276"/>
      <c r="E738" s="651"/>
      <c r="F738" s="55"/>
      <c r="G738" s="651"/>
      <c r="H738" s="55"/>
      <c r="I738" s="651"/>
      <c r="K738" s="652"/>
      <c r="M738" s="276"/>
    </row>
    <row r="739">
      <c r="A739" s="459"/>
      <c r="C739" s="276"/>
      <c r="D739" s="276"/>
      <c r="E739" s="651"/>
      <c r="F739" s="55"/>
      <c r="G739" s="651"/>
      <c r="H739" s="55"/>
      <c r="I739" s="651"/>
      <c r="K739" s="652"/>
      <c r="M739" s="276"/>
    </row>
    <row r="740">
      <c r="A740" s="459"/>
      <c r="C740" s="276"/>
      <c r="D740" s="276"/>
      <c r="E740" s="651"/>
      <c r="F740" s="55"/>
      <c r="G740" s="651"/>
      <c r="H740" s="55"/>
      <c r="I740" s="651"/>
      <c r="K740" s="652"/>
      <c r="M740" s="276"/>
    </row>
    <row r="741">
      <c r="A741" s="459"/>
      <c r="C741" s="276"/>
      <c r="D741" s="276"/>
      <c r="E741" s="651"/>
      <c r="F741" s="55"/>
      <c r="G741" s="651"/>
      <c r="H741" s="55"/>
      <c r="I741" s="651"/>
      <c r="K741" s="652"/>
      <c r="M741" s="276"/>
    </row>
    <row r="742">
      <c r="A742" s="459"/>
      <c r="C742" s="276"/>
      <c r="D742" s="276"/>
      <c r="E742" s="651"/>
      <c r="F742" s="55"/>
      <c r="G742" s="651"/>
      <c r="H742" s="55"/>
      <c r="I742" s="651"/>
      <c r="K742" s="652"/>
      <c r="M742" s="276"/>
    </row>
    <row r="743">
      <c r="A743" s="459"/>
      <c r="C743" s="276"/>
      <c r="D743" s="276"/>
      <c r="E743" s="651"/>
      <c r="F743" s="55"/>
      <c r="G743" s="651"/>
      <c r="H743" s="55"/>
      <c r="I743" s="651"/>
      <c r="K743" s="652"/>
      <c r="M743" s="276"/>
    </row>
    <row r="744">
      <c r="A744" s="459"/>
      <c r="C744" s="276"/>
      <c r="D744" s="276"/>
      <c r="E744" s="651"/>
      <c r="F744" s="55"/>
      <c r="G744" s="651"/>
      <c r="H744" s="55"/>
      <c r="I744" s="651"/>
      <c r="K744" s="652"/>
      <c r="M744" s="276"/>
    </row>
    <row r="745">
      <c r="A745" s="459"/>
      <c r="C745" s="276"/>
      <c r="D745" s="276"/>
      <c r="E745" s="651"/>
      <c r="F745" s="55"/>
      <c r="G745" s="651"/>
      <c r="H745" s="55"/>
      <c r="I745" s="651"/>
      <c r="K745" s="652"/>
      <c r="M745" s="276"/>
    </row>
    <row r="746">
      <c r="A746" s="459"/>
      <c r="C746" s="276"/>
      <c r="D746" s="276"/>
      <c r="E746" s="651"/>
      <c r="F746" s="55"/>
      <c r="G746" s="651"/>
      <c r="H746" s="55"/>
      <c r="I746" s="651"/>
      <c r="K746" s="652"/>
      <c r="M746" s="276"/>
    </row>
    <row r="747">
      <c r="A747" s="459"/>
      <c r="C747" s="276"/>
      <c r="D747" s="276"/>
      <c r="E747" s="651"/>
      <c r="F747" s="55"/>
      <c r="G747" s="651"/>
      <c r="H747" s="55"/>
      <c r="I747" s="651"/>
      <c r="K747" s="652"/>
      <c r="M747" s="276"/>
    </row>
    <row r="748">
      <c r="A748" s="459"/>
      <c r="C748" s="276"/>
      <c r="D748" s="276"/>
      <c r="E748" s="651"/>
      <c r="F748" s="55"/>
      <c r="G748" s="651"/>
      <c r="H748" s="55"/>
      <c r="I748" s="651"/>
      <c r="K748" s="652"/>
      <c r="M748" s="276"/>
    </row>
    <row r="749">
      <c r="A749" s="459"/>
      <c r="C749" s="276"/>
      <c r="D749" s="276"/>
      <c r="E749" s="651"/>
      <c r="F749" s="55"/>
      <c r="G749" s="651"/>
      <c r="H749" s="55"/>
      <c r="I749" s="651"/>
      <c r="K749" s="652"/>
      <c r="M749" s="276"/>
    </row>
    <row r="750">
      <c r="A750" s="459"/>
      <c r="C750" s="276"/>
      <c r="D750" s="276"/>
      <c r="E750" s="651"/>
      <c r="F750" s="55"/>
      <c r="G750" s="651"/>
      <c r="H750" s="55"/>
      <c r="I750" s="651"/>
      <c r="K750" s="652"/>
      <c r="M750" s="276"/>
    </row>
    <row r="751">
      <c r="A751" s="459"/>
      <c r="C751" s="276"/>
      <c r="D751" s="276"/>
      <c r="E751" s="651"/>
      <c r="F751" s="55"/>
      <c r="G751" s="651"/>
      <c r="H751" s="55"/>
      <c r="I751" s="651"/>
      <c r="K751" s="652"/>
      <c r="M751" s="276"/>
    </row>
    <row r="752">
      <c r="A752" s="459"/>
      <c r="C752" s="276"/>
      <c r="D752" s="276"/>
      <c r="E752" s="651"/>
      <c r="F752" s="55"/>
      <c r="G752" s="651"/>
      <c r="H752" s="55"/>
      <c r="I752" s="651"/>
      <c r="K752" s="652"/>
      <c r="M752" s="276"/>
    </row>
    <row r="753">
      <c r="A753" s="459"/>
      <c r="C753" s="276"/>
      <c r="D753" s="276"/>
      <c r="E753" s="651"/>
      <c r="F753" s="55"/>
      <c r="G753" s="651"/>
      <c r="H753" s="55"/>
      <c r="I753" s="651"/>
      <c r="K753" s="652"/>
      <c r="M753" s="276"/>
    </row>
    <row r="754">
      <c r="A754" s="459"/>
      <c r="C754" s="276"/>
      <c r="D754" s="276"/>
      <c r="E754" s="651"/>
      <c r="F754" s="55"/>
      <c r="G754" s="651"/>
      <c r="H754" s="55"/>
      <c r="I754" s="651"/>
      <c r="K754" s="652"/>
      <c r="M754" s="276"/>
    </row>
    <row r="755">
      <c r="A755" s="459"/>
      <c r="C755" s="276"/>
      <c r="D755" s="276"/>
      <c r="E755" s="651"/>
      <c r="F755" s="55"/>
      <c r="G755" s="651"/>
      <c r="H755" s="55"/>
      <c r="I755" s="651"/>
      <c r="K755" s="652"/>
      <c r="M755" s="276"/>
    </row>
    <row r="756">
      <c r="A756" s="459"/>
      <c r="C756" s="276"/>
      <c r="D756" s="276"/>
      <c r="E756" s="651"/>
      <c r="F756" s="55"/>
      <c r="G756" s="651"/>
      <c r="H756" s="55"/>
      <c r="I756" s="651"/>
      <c r="K756" s="652"/>
      <c r="M756" s="276"/>
    </row>
    <row r="757">
      <c r="A757" s="459"/>
      <c r="C757" s="276"/>
      <c r="D757" s="276"/>
      <c r="E757" s="651"/>
      <c r="F757" s="55"/>
      <c r="G757" s="651"/>
      <c r="H757" s="55"/>
      <c r="I757" s="651"/>
      <c r="K757" s="652"/>
      <c r="M757" s="276"/>
    </row>
    <row r="758">
      <c r="A758" s="459"/>
      <c r="C758" s="276"/>
      <c r="D758" s="276"/>
      <c r="E758" s="651"/>
      <c r="F758" s="55"/>
      <c r="G758" s="651"/>
      <c r="H758" s="55"/>
      <c r="I758" s="651"/>
      <c r="K758" s="652"/>
      <c r="M758" s="276"/>
    </row>
    <row r="759">
      <c r="A759" s="459"/>
      <c r="C759" s="276"/>
      <c r="D759" s="276"/>
      <c r="E759" s="651"/>
      <c r="F759" s="55"/>
      <c r="G759" s="651"/>
      <c r="H759" s="55"/>
      <c r="I759" s="651"/>
      <c r="K759" s="652"/>
      <c r="M759" s="276"/>
    </row>
    <row r="760">
      <c r="A760" s="459"/>
      <c r="C760" s="276"/>
      <c r="D760" s="276"/>
      <c r="E760" s="651"/>
      <c r="F760" s="55"/>
      <c r="G760" s="651"/>
      <c r="H760" s="55"/>
      <c r="I760" s="651"/>
      <c r="K760" s="652"/>
      <c r="M760" s="276"/>
    </row>
    <row r="761">
      <c r="A761" s="459"/>
      <c r="C761" s="276"/>
      <c r="D761" s="276"/>
      <c r="E761" s="651"/>
      <c r="F761" s="55"/>
      <c r="G761" s="651"/>
      <c r="H761" s="55"/>
      <c r="I761" s="651"/>
      <c r="K761" s="652"/>
      <c r="M761" s="276"/>
    </row>
    <row r="762">
      <c r="A762" s="459"/>
      <c r="C762" s="276"/>
      <c r="D762" s="276"/>
      <c r="E762" s="651"/>
      <c r="F762" s="55"/>
      <c r="G762" s="651"/>
      <c r="H762" s="55"/>
      <c r="I762" s="651"/>
      <c r="K762" s="652"/>
      <c r="M762" s="276"/>
    </row>
    <row r="763">
      <c r="A763" s="459"/>
      <c r="C763" s="276"/>
      <c r="D763" s="276"/>
      <c r="E763" s="651"/>
      <c r="F763" s="55"/>
      <c r="G763" s="651"/>
      <c r="H763" s="55"/>
      <c r="I763" s="651"/>
      <c r="K763" s="652"/>
      <c r="M763" s="276"/>
    </row>
    <row r="764">
      <c r="A764" s="459"/>
      <c r="C764" s="276"/>
      <c r="D764" s="276"/>
      <c r="E764" s="651"/>
      <c r="F764" s="55"/>
      <c r="G764" s="651"/>
      <c r="H764" s="55"/>
      <c r="I764" s="651"/>
      <c r="K764" s="652"/>
      <c r="M764" s="276"/>
    </row>
    <row r="765">
      <c r="A765" s="459"/>
      <c r="C765" s="276"/>
      <c r="D765" s="276"/>
      <c r="E765" s="651"/>
      <c r="F765" s="55"/>
      <c r="G765" s="651"/>
      <c r="H765" s="55"/>
      <c r="I765" s="651"/>
      <c r="K765" s="652"/>
      <c r="M765" s="276"/>
    </row>
    <row r="766">
      <c r="A766" s="459"/>
      <c r="C766" s="276"/>
      <c r="D766" s="276"/>
      <c r="E766" s="651"/>
      <c r="F766" s="55"/>
      <c r="G766" s="651"/>
      <c r="H766" s="55"/>
      <c r="I766" s="651"/>
      <c r="K766" s="652"/>
      <c r="M766" s="276"/>
    </row>
    <row r="767">
      <c r="A767" s="459"/>
      <c r="C767" s="276"/>
      <c r="D767" s="276"/>
      <c r="E767" s="651"/>
      <c r="F767" s="55"/>
      <c r="G767" s="651"/>
      <c r="H767" s="55"/>
      <c r="I767" s="651"/>
      <c r="K767" s="652"/>
      <c r="M767" s="276"/>
    </row>
    <row r="768">
      <c r="A768" s="459"/>
      <c r="C768" s="276"/>
      <c r="D768" s="276"/>
      <c r="E768" s="651"/>
      <c r="F768" s="55"/>
      <c r="G768" s="651"/>
      <c r="H768" s="55"/>
      <c r="I768" s="651"/>
      <c r="K768" s="652"/>
      <c r="M768" s="276"/>
    </row>
    <row r="769">
      <c r="A769" s="459"/>
      <c r="C769" s="276"/>
      <c r="D769" s="276"/>
      <c r="E769" s="651"/>
      <c r="F769" s="55"/>
      <c r="G769" s="651"/>
      <c r="H769" s="55"/>
      <c r="I769" s="651"/>
      <c r="K769" s="652"/>
      <c r="M769" s="276"/>
    </row>
    <row r="770">
      <c r="A770" s="459"/>
      <c r="C770" s="276"/>
      <c r="D770" s="276"/>
      <c r="E770" s="651"/>
      <c r="F770" s="55"/>
      <c r="G770" s="651"/>
      <c r="H770" s="55"/>
      <c r="I770" s="651"/>
      <c r="K770" s="652"/>
      <c r="M770" s="276"/>
    </row>
    <row r="771">
      <c r="A771" s="459"/>
      <c r="C771" s="276"/>
      <c r="D771" s="276"/>
      <c r="E771" s="651"/>
      <c r="F771" s="55"/>
      <c r="G771" s="651"/>
      <c r="H771" s="55"/>
      <c r="I771" s="651"/>
      <c r="K771" s="652"/>
      <c r="M771" s="276"/>
    </row>
    <row r="772">
      <c r="A772" s="459"/>
      <c r="C772" s="276"/>
      <c r="D772" s="276"/>
      <c r="E772" s="651"/>
      <c r="F772" s="55"/>
      <c r="G772" s="651"/>
      <c r="H772" s="55"/>
      <c r="I772" s="651"/>
      <c r="K772" s="652"/>
      <c r="M772" s="276"/>
    </row>
    <row r="773">
      <c r="A773" s="459"/>
      <c r="C773" s="276"/>
      <c r="D773" s="276"/>
      <c r="E773" s="651"/>
      <c r="F773" s="55"/>
      <c r="G773" s="651"/>
      <c r="H773" s="55"/>
      <c r="I773" s="651"/>
      <c r="K773" s="652"/>
      <c r="M773" s="276"/>
    </row>
    <row r="774">
      <c r="A774" s="459"/>
      <c r="C774" s="276"/>
      <c r="D774" s="276"/>
      <c r="E774" s="651"/>
      <c r="F774" s="55"/>
      <c r="G774" s="651"/>
      <c r="H774" s="55"/>
      <c r="I774" s="651"/>
      <c r="K774" s="652"/>
      <c r="M774" s="276"/>
    </row>
    <row r="775">
      <c r="A775" s="459"/>
      <c r="C775" s="276"/>
      <c r="D775" s="276"/>
      <c r="E775" s="651"/>
      <c r="F775" s="55"/>
      <c r="G775" s="651"/>
      <c r="H775" s="55"/>
      <c r="I775" s="651"/>
      <c r="K775" s="652"/>
      <c r="M775" s="276"/>
    </row>
    <row r="776">
      <c r="A776" s="459"/>
      <c r="C776" s="276"/>
      <c r="D776" s="276"/>
      <c r="E776" s="651"/>
      <c r="F776" s="55"/>
      <c r="G776" s="651"/>
      <c r="H776" s="55"/>
      <c r="I776" s="651"/>
      <c r="K776" s="652"/>
      <c r="M776" s="276"/>
    </row>
    <row r="777">
      <c r="A777" s="459"/>
      <c r="C777" s="276"/>
      <c r="D777" s="276"/>
      <c r="E777" s="651"/>
      <c r="F777" s="55"/>
      <c r="G777" s="651"/>
      <c r="H777" s="55"/>
      <c r="I777" s="651"/>
      <c r="K777" s="652"/>
      <c r="M777" s="276"/>
    </row>
    <row r="778">
      <c r="A778" s="459"/>
      <c r="C778" s="276"/>
      <c r="D778" s="276"/>
      <c r="E778" s="651"/>
      <c r="F778" s="55"/>
      <c r="G778" s="651"/>
      <c r="H778" s="55"/>
      <c r="I778" s="651"/>
      <c r="K778" s="652"/>
      <c r="M778" s="276"/>
    </row>
    <row r="779">
      <c r="A779" s="459"/>
      <c r="C779" s="276"/>
      <c r="D779" s="276"/>
      <c r="E779" s="651"/>
      <c r="F779" s="55"/>
      <c r="G779" s="651"/>
      <c r="H779" s="55"/>
      <c r="I779" s="651"/>
      <c r="K779" s="652"/>
      <c r="M779" s="276"/>
    </row>
    <row r="780">
      <c r="A780" s="459"/>
      <c r="C780" s="276"/>
      <c r="D780" s="276"/>
      <c r="E780" s="651"/>
      <c r="F780" s="55"/>
      <c r="G780" s="651"/>
      <c r="H780" s="55"/>
      <c r="I780" s="651"/>
      <c r="K780" s="652"/>
      <c r="M780" s="276"/>
    </row>
    <row r="781">
      <c r="A781" s="459"/>
      <c r="C781" s="276"/>
      <c r="D781" s="276"/>
      <c r="E781" s="651"/>
      <c r="F781" s="55"/>
      <c r="G781" s="651"/>
      <c r="H781" s="55"/>
      <c r="I781" s="651"/>
      <c r="K781" s="652"/>
      <c r="M781" s="276"/>
    </row>
    <row r="782">
      <c r="A782" s="459"/>
      <c r="C782" s="276"/>
      <c r="D782" s="276"/>
      <c r="E782" s="651"/>
      <c r="F782" s="55"/>
      <c r="G782" s="651"/>
      <c r="H782" s="55"/>
      <c r="I782" s="651"/>
      <c r="K782" s="652"/>
      <c r="M782" s="276"/>
    </row>
    <row r="783">
      <c r="A783" s="459"/>
      <c r="C783" s="276"/>
      <c r="D783" s="276"/>
      <c r="E783" s="651"/>
      <c r="F783" s="55"/>
      <c r="G783" s="651"/>
      <c r="H783" s="55"/>
      <c r="I783" s="651"/>
      <c r="K783" s="652"/>
      <c r="M783" s="276"/>
    </row>
    <row r="784">
      <c r="A784" s="459"/>
      <c r="C784" s="276"/>
      <c r="D784" s="276"/>
      <c r="E784" s="651"/>
      <c r="F784" s="55"/>
      <c r="G784" s="651"/>
      <c r="H784" s="55"/>
      <c r="I784" s="651"/>
      <c r="K784" s="652"/>
      <c r="M784" s="276"/>
    </row>
    <row r="785">
      <c r="A785" s="459"/>
      <c r="C785" s="276"/>
      <c r="D785" s="276"/>
      <c r="E785" s="651"/>
      <c r="F785" s="55"/>
      <c r="G785" s="651"/>
      <c r="H785" s="55"/>
      <c r="I785" s="651"/>
      <c r="K785" s="652"/>
      <c r="M785" s="276"/>
    </row>
    <row r="786">
      <c r="A786" s="459"/>
      <c r="C786" s="276"/>
      <c r="D786" s="276"/>
      <c r="E786" s="651"/>
      <c r="F786" s="55"/>
      <c r="G786" s="651"/>
      <c r="H786" s="55"/>
      <c r="I786" s="651"/>
      <c r="K786" s="652"/>
      <c r="M786" s="276"/>
    </row>
    <row r="787">
      <c r="A787" s="459"/>
      <c r="C787" s="276"/>
      <c r="D787" s="276"/>
      <c r="E787" s="651"/>
      <c r="F787" s="55"/>
      <c r="G787" s="651"/>
      <c r="H787" s="55"/>
      <c r="I787" s="651"/>
      <c r="K787" s="652"/>
      <c r="M787" s="276"/>
    </row>
    <row r="788">
      <c r="A788" s="459"/>
      <c r="C788" s="276"/>
      <c r="D788" s="276"/>
      <c r="E788" s="651"/>
      <c r="F788" s="55"/>
      <c r="G788" s="651"/>
      <c r="H788" s="55"/>
      <c r="I788" s="651"/>
      <c r="K788" s="652"/>
      <c r="M788" s="276"/>
    </row>
    <row r="789">
      <c r="A789" s="459"/>
      <c r="C789" s="276"/>
      <c r="D789" s="276"/>
      <c r="E789" s="651"/>
      <c r="F789" s="55"/>
      <c r="G789" s="651"/>
      <c r="H789" s="55"/>
      <c r="I789" s="651"/>
      <c r="K789" s="652"/>
      <c r="M789" s="276"/>
    </row>
    <row r="790">
      <c r="A790" s="459"/>
      <c r="C790" s="276"/>
      <c r="D790" s="276"/>
      <c r="E790" s="651"/>
      <c r="F790" s="55"/>
      <c r="G790" s="651"/>
      <c r="H790" s="55"/>
      <c r="I790" s="651"/>
      <c r="K790" s="652"/>
      <c r="M790" s="276"/>
    </row>
    <row r="791">
      <c r="A791" s="459"/>
      <c r="C791" s="276"/>
      <c r="D791" s="276"/>
      <c r="E791" s="651"/>
      <c r="F791" s="55"/>
      <c r="G791" s="651"/>
      <c r="H791" s="55"/>
      <c r="I791" s="651"/>
      <c r="K791" s="652"/>
      <c r="M791" s="276"/>
    </row>
    <row r="792">
      <c r="A792" s="459"/>
      <c r="C792" s="276"/>
      <c r="D792" s="276"/>
      <c r="E792" s="651"/>
      <c r="F792" s="55"/>
      <c r="G792" s="651"/>
      <c r="H792" s="55"/>
      <c r="I792" s="651"/>
      <c r="K792" s="652"/>
      <c r="M792" s="276"/>
    </row>
    <row r="793">
      <c r="A793" s="459"/>
      <c r="C793" s="276"/>
      <c r="D793" s="276"/>
      <c r="E793" s="651"/>
      <c r="F793" s="55"/>
      <c r="G793" s="651"/>
      <c r="H793" s="55"/>
      <c r="I793" s="651"/>
      <c r="K793" s="652"/>
      <c r="M793" s="276"/>
    </row>
    <row r="794">
      <c r="A794" s="459"/>
      <c r="C794" s="276"/>
      <c r="D794" s="276"/>
      <c r="E794" s="651"/>
      <c r="F794" s="55"/>
      <c r="G794" s="651"/>
      <c r="H794" s="55"/>
      <c r="I794" s="651"/>
      <c r="K794" s="652"/>
      <c r="M794" s="276"/>
    </row>
    <row r="795">
      <c r="A795" s="459"/>
      <c r="C795" s="276"/>
      <c r="D795" s="276"/>
      <c r="E795" s="651"/>
      <c r="F795" s="55"/>
      <c r="G795" s="651"/>
      <c r="H795" s="55"/>
      <c r="I795" s="651"/>
      <c r="K795" s="652"/>
      <c r="M795" s="276"/>
    </row>
    <row r="796">
      <c r="A796" s="459"/>
      <c r="C796" s="276"/>
      <c r="D796" s="276"/>
      <c r="E796" s="651"/>
      <c r="F796" s="55"/>
      <c r="G796" s="651"/>
      <c r="H796" s="55"/>
      <c r="I796" s="651"/>
      <c r="K796" s="652"/>
      <c r="M796" s="276"/>
    </row>
    <row r="797">
      <c r="A797" s="459"/>
      <c r="C797" s="276"/>
      <c r="D797" s="276"/>
      <c r="E797" s="651"/>
      <c r="F797" s="55"/>
      <c r="G797" s="651"/>
      <c r="H797" s="55"/>
      <c r="I797" s="651"/>
      <c r="K797" s="652"/>
      <c r="M797" s="276"/>
    </row>
    <row r="798">
      <c r="A798" s="459"/>
      <c r="C798" s="276"/>
      <c r="D798" s="276"/>
      <c r="E798" s="651"/>
      <c r="F798" s="55"/>
      <c r="G798" s="651"/>
      <c r="H798" s="55"/>
      <c r="I798" s="651"/>
      <c r="K798" s="652"/>
      <c r="M798" s="276"/>
    </row>
    <row r="799">
      <c r="A799" s="459"/>
      <c r="C799" s="276"/>
      <c r="D799" s="276"/>
      <c r="E799" s="651"/>
      <c r="F799" s="55"/>
      <c r="G799" s="651"/>
      <c r="H799" s="55"/>
      <c r="I799" s="651"/>
      <c r="K799" s="652"/>
      <c r="M799" s="276"/>
    </row>
    <row r="800">
      <c r="A800" s="459"/>
      <c r="C800" s="276"/>
      <c r="D800" s="276"/>
      <c r="E800" s="651"/>
      <c r="F800" s="55"/>
      <c r="G800" s="651"/>
      <c r="H800" s="55"/>
      <c r="I800" s="651"/>
      <c r="K800" s="652"/>
      <c r="M800" s="276"/>
    </row>
    <row r="801">
      <c r="A801" s="459"/>
      <c r="C801" s="276"/>
      <c r="D801" s="276"/>
      <c r="E801" s="651"/>
      <c r="F801" s="55"/>
      <c r="G801" s="651"/>
      <c r="H801" s="55"/>
      <c r="I801" s="651"/>
      <c r="K801" s="652"/>
      <c r="M801" s="276"/>
    </row>
    <row r="802">
      <c r="A802" s="459"/>
      <c r="C802" s="276"/>
      <c r="D802" s="276"/>
      <c r="E802" s="651"/>
      <c r="F802" s="55"/>
      <c r="G802" s="651"/>
      <c r="H802" s="55"/>
      <c r="I802" s="651"/>
      <c r="K802" s="652"/>
      <c r="M802" s="276"/>
    </row>
    <row r="803">
      <c r="A803" s="459"/>
      <c r="C803" s="276"/>
      <c r="D803" s="276"/>
      <c r="E803" s="651"/>
      <c r="F803" s="55"/>
      <c r="G803" s="651"/>
      <c r="H803" s="55"/>
      <c r="I803" s="651"/>
      <c r="K803" s="652"/>
      <c r="M803" s="276"/>
    </row>
    <row r="804">
      <c r="A804" s="459"/>
      <c r="C804" s="276"/>
      <c r="D804" s="276"/>
      <c r="E804" s="651"/>
      <c r="F804" s="55"/>
      <c r="G804" s="651"/>
      <c r="H804" s="55"/>
      <c r="I804" s="651"/>
      <c r="K804" s="652"/>
      <c r="M804" s="276"/>
    </row>
    <row r="805">
      <c r="A805" s="459"/>
      <c r="C805" s="276"/>
      <c r="D805" s="276"/>
      <c r="E805" s="651"/>
      <c r="F805" s="55"/>
      <c r="G805" s="651"/>
      <c r="H805" s="55"/>
      <c r="I805" s="651"/>
      <c r="K805" s="652"/>
      <c r="M805" s="276"/>
    </row>
    <row r="806">
      <c r="A806" s="459"/>
      <c r="C806" s="276"/>
      <c r="D806" s="276"/>
      <c r="E806" s="651"/>
      <c r="F806" s="55"/>
      <c r="G806" s="651"/>
      <c r="H806" s="55"/>
      <c r="I806" s="651"/>
      <c r="K806" s="652"/>
      <c r="M806" s="276"/>
    </row>
    <row r="807">
      <c r="A807" s="459"/>
      <c r="C807" s="276"/>
      <c r="D807" s="276"/>
      <c r="E807" s="651"/>
      <c r="F807" s="55"/>
      <c r="G807" s="651"/>
      <c r="H807" s="55"/>
      <c r="I807" s="651"/>
      <c r="K807" s="652"/>
      <c r="M807" s="276"/>
    </row>
    <row r="808">
      <c r="A808" s="459"/>
      <c r="C808" s="276"/>
      <c r="D808" s="276"/>
      <c r="E808" s="651"/>
      <c r="F808" s="55"/>
      <c r="G808" s="651"/>
      <c r="H808" s="55"/>
      <c r="I808" s="651"/>
      <c r="K808" s="652"/>
      <c r="M808" s="276"/>
    </row>
    <row r="809">
      <c r="A809" s="459"/>
      <c r="C809" s="276"/>
      <c r="D809" s="276"/>
      <c r="E809" s="651"/>
      <c r="F809" s="55"/>
      <c r="G809" s="651"/>
      <c r="H809" s="55"/>
      <c r="I809" s="651"/>
      <c r="K809" s="652"/>
      <c r="M809" s="276"/>
    </row>
    <row r="810">
      <c r="A810" s="459"/>
      <c r="C810" s="276"/>
      <c r="D810" s="276"/>
      <c r="E810" s="651"/>
      <c r="F810" s="55"/>
      <c r="G810" s="651"/>
      <c r="H810" s="55"/>
      <c r="I810" s="651"/>
      <c r="K810" s="652"/>
      <c r="M810" s="276"/>
    </row>
    <row r="811">
      <c r="A811" s="459"/>
      <c r="C811" s="276"/>
      <c r="D811" s="276"/>
      <c r="E811" s="651"/>
      <c r="F811" s="55"/>
      <c r="G811" s="651"/>
      <c r="H811" s="55"/>
      <c r="I811" s="651"/>
      <c r="K811" s="652"/>
      <c r="M811" s="276"/>
    </row>
    <row r="812">
      <c r="A812" s="459"/>
      <c r="C812" s="276"/>
      <c r="D812" s="276"/>
      <c r="E812" s="651"/>
      <c r="F812" s="55"/>
      <c r="G812" s="651"/>
      <c r="H812" s="55"/>
      <c r="I812" s="651"/>
      <c r="K812" s="652"/>
      <c r="M812" s="276"/>
    </row>
    <row r="813">
      <c r="A813" s="459"/>
      <c r="C813" s="276"/>
      <c r="D813" s="276"/>
      <c r="E813" s="651"/>
      <c r="F813" s="55"/>
      <c r="G813" s="651"/>
      <c r="H813" s="55"/>
      <c r="I813" s="651"/>
      <c r="K813" s="652"/>
      <c r="M813" s="276"/>
    </row>
    <row r="814">
      <c r="A814" s="459"/>
      <c r="C814" s="276"/>
      <c r="D814" s="276"/>
      <c r="E814" s="651"/>
      <c r="F814" s="55"/>
      <c r="G814" s="651"/>
      <c r="H814" s="55"/>
      <c r="I814" s="651"/>
      <c r="K814" s="652"/>
      <c r="M814" s="276"/>
    </row>
    <row r="815">
      <c r="A815" s="459"/>
      <c r="C815" s="276"/>
      <c r="D815" s="276"/>
      <c r="E815" s="651"/>
      <c r="F815" s="55"/>
      <c r="G815" s="651"/>
      <c r="H815" s="55"/>
      <c r="I815" s="651"/>
      <c r="K815" s="652"/>
      <c r="M815" s="276"/>
    </row>
    <row r="816">
      <c r="A816" s="459"/>
      <c r="C816" s="276"/>
      <c r="D816" s="276"/>
      <c r="E816" s="651"/>
      <c r="F816" s="55"/>
      <c r="G816" s="651"/>
      <c r="H816" s="55"/>
      <c r="I816" s="651"/>
      <c r="K816" s="652"/>
      <c r="M816" s="276"/>
    </row>
    <row r="817">
      <c r="A817" s="459"/>
      <c r="C817" s="276"/>
      <c r="D817" s="276"/>
      <c r="E817" s="651"/>
      <c r="F817" s="55"/>
      <c r="G817" s="651"/>
      <c r="H817" s="55"/>
      <c r="I817" s="651"/>
      <c r="K817" s="652"/>
      <c r="M817" s="276"/>
    </row>
    <row r="818">
      <c r="A818" s="459"/>
      <c r="C818" s="276"/>
      <c r="D818" s="276"/>
      <c r="E818" s="651"/>
      <c r="F818" s="55"/>
      <c r="G818" s="651"/>
      <c r="H818" s="55"/>
      <c r="I818" s="651"/>
      <c r="K818" s="652"/>
      <c r="M818" s="276"/>
    </row>
    <row r="819">
      <c r="A819" s="459"/>
      <c r="C819" s="276"/>
      <c r="D819" s="276"/>
      <c r="E819" s="651"/>
      <c r="F819" s="55"/>
      <c r="G819" s="651"/>
      <c r="H819" s="55"/>
      <c r="I819" s="651"/>
      <c r="K819" s="652"/>
      <c r="M819" s="276"/>
    </row>
    <row r="820">
      <c r="A820" s="459"/>
      <c r="C820" s="276"/>
      <c r="D820" s="276"/>
      <c r="E820" s="651"/>
      <c r="F820" s="55"/>
      <c r="G820" s="651"/>
      <c r="H820" s="55"/>
      <c r="I820" s="651"/>
      <c r="K820" s="652"/>
      <c r="M820" s="276"/>
    </row>
    <row r="821">
      <c r="A821" s="459"/>
      <c r="C821" s="276"/>
      <c r="D821" s="276"/>
      <c r="E821" s="651"/>
      <c r="F821" s="55"/>
      <c r="G821" s="651"/>
      <c r="H821" s="55"/>
      <c r="I821" s="651"/>
      <c r="K821" s="652"/>
      <c r="M821" s="276"/>
    </row>
    <row r="822">
      <c r="A822" s="459"/>
      <c r="C822" s="276"/>
      <c r="D822" s="276"/>
      <c r="E822" s="651"/>
      <c r="F822" s="55"/>
      <c r="G822" s="651"/>
      <c r="H822" s="55"/>
      <c r="I822" s="651"/>
      <c r="K822" s="652"/>
      <c r="M822" s="276"/>
    </row>
    <row r="823">
      <c r="A823" s="459"/>
      <c r="C823" s="276"/>
      <c r="D823" s="276"/>
      <c r="E823" s="651"/>
      <c r="F823" s="55"/>
      <c r="G823" s="651"/>
      <c r="H823" s="55"/>
      <c r="I823" s="651"/>
      <c r="K823" s="652"/>
      <c r="M823" s="276"/>
    </row>
    <row r="824">
      <c r="A824" s="459"/>
      <c r="C824" s="276"/>
      <c r="D824" s="276"/>
      <c r="E824" s="651"/>
      <c r="F824" s="55"/>
      <c r="G824" s="651"/>
      <c r="H824" s="55"/>
      <c r="I824" s="651"/>
      <c r="K824" s="652"/>
      <c r="M824" s="276"/>
    </row>
    <row r="825">
      <c r="A825" s="459"/>
      <c r="C825" s="276"/>
      <c r="D825" s="276"/>
      <c r="E825" s="651"/>
      <c r="F825" s="55"/>
      <c r="G825" s="651"/>
      <c r="H825" s="55"/>
      <c r="I825" s="651"/>
      <c r="K825" s="652"/>
      <c r="M825" s="276"/>
    </row>
    <row r="826">
      <c r="A826" s="459"/>
      <c r="C826" s="276"/>
      <c r="D826" s="276"/>
      <c r="E826" s="651"/>
      <c r="F826" s="55"/>
      <c r="G826" s="651"/>
      <c r="H826" s="55"/>
      <c r="I826" s="651"/>
      <c r="K826" s="652"/>
      <c r="M826" s="276"/>
    </row>
    <row r="827">
      <c r="A827" s="459"/>
      <c r="C827" s="276"/>
      <c r="D827" s="276"/>
      <c r="E827" s="651"/>
      <c r="F827" s="55"/>
      <c r="G827" s="651"/>
      <c r="H827" s="55"/>
      <c r="I827" s="651"/>
      <c r="K827" s="652"/>
      <c r="M827" s="276"/>
    </row>
    <row r="828">
      <c r="A828" s="459"/>
      <c r="C828" s="276"/>
      <c r="D828" s="276"/>
      <c r="E828" s="651"/>
      <c r="F828" s="55"/>
      <c r="G828" s="651"/>
      <c r="H828" s="55"/>
      <c r="I828" s="651"/>
      <c r="K828" s="652"/>
      <c r="M828" s="276"/>
    </row>
    <row r="829">
      <c r="A829" s="459"/>
      <c r="C829" s="276"/>
      <c r="D829" s="276"/>
      <c r="E829" s="651"/>
      <c r="F829" s="55"/>
      <c r="G829" s="651"/>
      <c r="H829" s="55"/>
      <c r="I829" s="651"/>
      <c r="K829" s="652"/>
      <c r="M829" s="276"/>
    </row>
    <row r="830">
      <c r="A830" s="459"/>
      <c r="C830" s="276"/>
      <c r="D830" s="276"/>
      <c r="E830" s="651"/>
      <c r="F830" s="55"/>
      <c r="G830" s="651"/>
      <c r="H830" s="55"/>
      <c r="I830" s="651"/>
      <c r="K830" s="652"/>
      <c r="M830" s="276"/>
    </row>
    <row r="831">
      <c r="A831" s="459"/>
      <c r="C831" s="276"/>
      <c r="D831" s="276"/>
      <c r="E831" s="651"/>
      <c r="F831" s="55"/>
      <c r="G831" s="651"/>
      <c r="H831" s="55"/>
      <c r="I831" s="651"/>
      <c r="K831" s="652"/>
      <c r="M831" s="276"/>
    </row>
    <row r="832">
      <c r="A832" s="459"/>
      <c r="C832" s="276"/>
      <c r="D832" s="276"/>
      <c r="E832" s="651"/>
      <c r="F832" s="55"/>
      <c r="G832" s="651"/>
      <c r="H832" s="55"/>
      <c r="I832" s="651"/>
      <c r="K832" s="652"/>
      <c r="M832" s="276"/>
    </row>
    <row r="833">
      <c r="A833" s="459"/>
      <c r="C833" s="276"/>
      <c r="D833" s="276"/>
      <c r="E833" s="651"/>
      <c r="F833" s="55"/>
      <c r="G833" s="651"/>
      <c r="H833" s="55"/>
      <c r="I833" s="651"/>
      <c r="K833" s="652"/>
      <c r="M833" s="276"/>
    </row>
    <row r="834">
      <c r="A834" s="459"/>
      <c r="C834" s="276"/>
      <c r="D834" s="276"/>
      <c r="E834" s="651"/>
      <c r="F834" s="55"/>
      <c r="G834" s="651"/>
      <c r="H834" s="55"/>
      <c r="I834" s="651"/>
      <c r="K834" s="652"/>
      <c r="M834" s="276"/>
    </row>
    <row r="835">
      <c r="A835" s="459"/>
      <c r="C835" s="276"/>
      <c r="D835" s="276"/>
      <c r="E835" s="651"/>
      <c r="F835" s="55"/>
      <c r="G835" s="651"/>
      <c r="H835" s="55"/>
      <c r="I835" s="651"/>
      <c r="K835" s="652"/>
      <c r="M835" s="276"/>
    </row>
    <row r="836">
      <c r="A836" s="459"/>
      <c r="C836" s="276"/>
      <c r="D836" s="276"/>
      <c r="E836" s="651"/>
      <c r="F836" s="55"/>
      <c r="G836" s="651"/>
      <c r="H836" s="55"/>
      <c r="I836" s="651"/>
      <c r="K836" s="652"/>
      <c r="M836" s="276"/>
    </row>
    <row r="837">
      <c r="A837" s="459"/>
      <c r="C837" s="276"/>
      <c r="D837" s="276"/>
      <c r="E837" s="651"/>
      <c r="F837" s="55"/>
      <c r="G837" s="651"/>
      <c r="H837" s="55"/>
      <c r="I837" s="651"/>
      <c r="K837" s="652"/>
      <c r="M837" s="276"/>
    </row>
    <row r="838">
      <c r="A838" s="459"/>
      <c r="C838" s="276"/>
      <c r="D838" s="276"/>
      <c r="E838" s="651"/>
      <c r="F838" s="55"/>
      <c r="G838" s="651"/>
      <c r="H838" s="55"/>
      <c r="I838" s="651"/>
      <c r="K838" s="652"/>
      <c r="M838" s="276"/>
    </row>
    <row r="839">
      <c r="A839" s="459"/>
      <c r="C839" s="276"/>
      <c r="D839" s="276"/>
      <c r="E839" s="651"/>
      <c r="F839" s="55"/>
      <c r="G839" s="651"/>
      <c r="H839" s="55"/>
      <c r="I839" s="651"/>
      <c r="K839" s="652"/>
      <c r="M839" s="276"/>
    </row>
    <row r="840">
      <c r="A840" s="459"/>
      <c r="C840" s="276"/>
      <c r="D840" s="276"/>
      <c r="E840" s="651"/>
      <c r="F840" s="55"/>
      <c r="G840" s="651"/>
      <c r="H840" s="55"/>
      <c r="I840" s="651"/>
      <c r="K840" s="652"/>
      <c r="M840" s="276"/>
    </row>
    <row r="841">
      <c r="A841" s="459"/>
      <c r="C841" s="276"/>
      <c r="D841" s="276"/>
      <c r="E841" s="651"/>
      <c r="F841" s="55"/>
      <c r="G841" s="651"/>
      <c r="H841" s="55"/>
      <c r="I841" s="651"/>
      <c r="K841" s="652"/>
      <c r="M841" s="276"/>
    </row>
    <row r="842">
      <c r="A842" s="459"/>
      <c r="C842" s="276"/>
      <c r="D842" s="276"/>
      <c r="E842" s="651"/>
      <c r="F842" s="55"/>
      <c r="G842" s="651"/>
      <c r="H842" s="55"/>
      <c r="I842" s="651"/>
      <c r="K842" s="652"/>
      <c r="M842" s="276"/>
    </row>
    <row r="843">
      <c r="A843" s="459"/>
      <c r="C843" s="276"/>
      <c r="D843" s="276"/>
      <c r="E843" s="651"/>
      <c r="F843" s="55"/>
      <c r="G843" s="651"/>
      <c r="H843" s="55"/>
      <c r="I843" s="651"/>
      <c r="K843" s="652"/>
      <c r="M843" s="276"/>
    </row>
    <row r="844">
      <c r="A844" s="459"/>
      <c r="C844" s="276"/>
      <c r="D844" s="276"/>
      <c r="E844" s="651"/>
      <c r="F844" s="55"/>
      <c r="G844" s="651"/>
      <c r="H844" s="55"/>
      <c r="I844" s="651"/>
      <c r="K844" s="652"/>
      <c r="M844" s="276"/>
    </row>
    <row r="845">
      <c r="A845" s="459"/>
      <c r="C845" s="276"/>
      <c r="D845" s="276"/>
      <c r="E845" s="651"/>
      <c r="F845" s="55"/>
      <c r="G845" s="651"/>
      <c r="H845" s="55"/>
      <c r="I845" s="651"/>
      <c r="K845" s="652"/>
      <c r="M845" s="276"/>
    </row>
    <row r="846">
      <c r="A846" s="459"/>
      <c r="C846" s="276"/>
      <c r="D846" s="276"/>
      <c r="E846" s="651"/>
      <c r="F846" s="55"/>
      <c r="G846" s="651"/>
      <c r="H846" s="55"/>
      <c r="I846" s="651"/>
      <c r="K846" s="652"/>
      <c r="M846" s="276"/>
    </row>
    <row r="847">
      <c r="A847" s="459"/>
      <c r="C847" s="276"/>
      <c r="D847" s="276"/>
      <c r="E847" s="651"/>
      <c r="F847" s="55"/>
      <c r="G847" s="651"/>
      <c r="H847" s="55"/>
      <c r="I847" s="651"/>
      <c r="K847" s="652"/>
      <c r="M847" s="276"/>
    </row>
    <row r="848">
      <c r="A848" s="459"/>
      <c r="C848" s="276"/>
      <c r="D848" s="276"/>
      <c r="E848" s="651"/>
      <c r="F848" s="55"/>
      <c r="G848" s="651"/>
      <c r="H848" s="55"/>
      <c r="I848" s="651"/>
      <c r="K848" s="652"/>
      <c r="M848" s="276"/>
    </row>
    <row r="849">
      <c r="A849" s="459"/>
      <c r="C849" s="276"/>
      <c r="D849" s="276"/>
      <c r="E849" s="651"/>
      <c r="F849" s="55"/>
      <c r="G849" s="651"/>
      <c r="H849" s="55"/>
      <c r="I849" s="651"/>
      <c r="K849" s="652"/>
      <c r="M849" s="276"/>
    </row>
    <row r="850">
      <c r="A850" s="459"/>
      <c r="C850" s="276"/>
      <c r="D850" s="276"/>
      <c r="E850" s="651"/>
      <c r="F850" s="55"/>
      <c r="G850" s="651"/>
      <c r="H850" s="55"/>
      <c r="I850" s="651"/>
      <c r="K850" s="652"/>
      <c r="M850" s="276"/>
    </row>
    <row r="851">
      <c r="A851" s="459"/>
      <c r="C851" s="276"/>
      <c r="D851" s="276"/>
      <c r="E851" s="651"/>
      <c r="F851" s="55"/>
      <c r="G851" s="651"/>
      <c r="H851" s="55"/>
      <c r="I851" s="651"/>
      <c r="K851" s="652"/>
      <c r="M851" s="276"/>
    </row>
    <row r="852">
      <c r="A852" s="459"/>
      <c r="C852" s="276"/>
      <c r="D852" s="276"/>
      <c r="E852" s="651"/>
      <c r="F852" s="55"/>
      <c r="G852" s="651"/>
      <c r="H852" s="55"/>
      <c r="I852" s="651"/>
      <c r="K852" s="652"/>
      <c r="M852" s="276"/>
    </row>
    <row r="853">
      <c r="A853" s="459"/>
      <c r="C853" s="276"/>
      <c r="D853" s="276"/>
      <c r="E853" s="651"/>
      <c r="F853" s="55"/>
      <c r="G853" s="651"/>
      <c r="H853" s="55"/>
      <c r="I853" s="651"/>
      <c r="K853" s="652"/>
      <c r="M853" s="276"/>
    </row>
    <row r="854">
      <c r="A854" s="459"/>
      <c r="C854" s="276"/>
      <c r="D854" s="276"/>
      <c r="E854" s="651"/>
      <c r="F854" s="55"/>
      <c r="G854" s="651"/>
      <c r="H854" s="55"/>
      <c r="I854" s="651"/>
      <c r="K854" s="652"/>
      <c r="M854" s="276"/>
    </row>
    <row r="855">
      <c r="A855" s="459"/>
      <c r="C855" s="276"/>
      <c r="D855" s="276"/>
      <c r="E855" s="651"/>
      <c r="F855" s="55"/>
      <c r="G855" s="651"/>
      <c r="H855" s="55"/>
      <c r="I855" s="651"/>
      <c r="K855" s="652"/>
      <c r="M855" s="276"/>
    </row>
    <row r="856">
      <c r="A856" s="459"/>
      <c r="C856" s="276"/>
      <c r="D856" s="276"/>
      <c r="E856" s="651"/>
      <c r="F856" s="55"/>
      <c r="G856" s="651"/>
      <c r="H856" s="55"/>
      <c r="I856" s="651"/>
      <c r="K856" s="652"/>
      <c r="M856" s="276"/>
    </row>
    <row r="857">
      <c r="A857" s="459"/>
      <c r="C857" s="276"/>
      <c r="D857" s="276"/>
      <c r="E857" s="651"/>
      <c r="F857" s="55"/>
      <c r="G857" s="651"/>
      <c r="H857" s="55"/>
      <c r="I857" s="651"/>
      <c r="K857" s="652"/>
      <c r="M857" s="276"/>
    </row>
    <row r="858">
      <c r="A858" s="459"/>
      <c r="C858" s="276"/>
      <c r="D858" s="276"/>
      <c r="E858" s="651"/>
      <c r="F858" s="55"/>
      <c r="G858" s="651"/>
      <c r="H858" s="55"/>
      <c r="I858" s="651"/>
      <c r="K858" s="652"/>
      <c r="M858" s="276"/>
    </row>
    <row r="859">
      <c r="A859" s="459"/>
      <c r="C859" s="276"/>
      <c r="D859" s="276"/>
      <c r="E859" s="651"/>
      <c r="F859" s="55"/>
      <c r="G859" s="651"/>
      <c r="H859" s="55"/>
      <c r="I859" s="651"/>
      <c r="K859" s="652"/>
      <c r="M859" s="276"/>
    </row>
    <row r="860">
      <c r="A860" s="459"/>
      <c r="C860" s="276"/>
      <c r="D860" s="276"/>
      <c r="E860" s="651"/>
      <c r="F860" s="55"/>
      <c r="G860" s="651"/>
      <c r="H860" s="55"/>
      <c r="I860" s="651"/>
      <c r="K860" s="652"/>
      <c r="M860" s="276"/>
    </row>
    <row r="861">
      <c r="A861" s="459"/>
      <c r="C861" s="276"/>
      <c r="D861" s="276"/>
      <c r="E861" s="651"/>
      <c r="F861" s="55"/>
      <c r="G861" s="651"/>
      <c r="H861" s="55"/>
      <c r="I861" s="651"/>
      <c r="K861" s="652"/>
      <c r="M861" s="276"/>
    </row>
    <row r="862">
      <c r="A862" s="459"/>
      <c r="C862" s="276"/>
      <c r="D862" s="276"/>
      <c r="E862" s="651"/>
      <c r="F862" s="55"/>
      <c r="G862" s="651"/>
      <c r="H862" s="55"/>
      <c r="I862" s="651"/>
      <c r="K862" s="652"/>
      <c r="M862" s="276"/>
    </row>
    <row r="863">
      <c r="A863" s="459"/>
      <c r="C863" s="276"/>
      <c r="D863" s="276"/>
      <c r="E863" s="651"/>
      <c r="F863" s="55"/>
      <c r="G863" s="651"/>
      <c r="H863" s="55"/>
      <c r="I863" s="651"/>
      <c r="K863" s="652"/>
      <c r="M863" s="276"/>
    </row>
    <row r="864">
      <c r="A864" s="459"/>
      <c r="C864" s="276"/>
      <c r="D864" s="276"/>
      <c r="E864" s="651"/>
      <c r="F864" s="55"/>
      <c r="G864" s="651"/>
      <c r="H864" s="55"/>
      <c r="I864" s="651"/>
      <c r="K864" s="652"/>
      <c r="M864" s="276"/>
    </row>
    <row r="865">
      <c r="A865" s="459"/>
      <c r="C865" s="276"/>
      <c r="D865" s="276"/>
      <c r="E865" s="651"/>
      <c r="F865" s="55"/>
      <c r="G865" s="651"/>
      <c r="H865" s="55"/>
      <c r="I865" s="651"/>
      <c r="K865" s="652"/>
      <c r="M865" s="276"/>
    </row>
    <row r="866">
      <c r="A866" s="459"/>
      <c r="C866" s="276"/>
      <c r="D866" s="276"/>
      <c r="E866" s="651"/>
      <c r="F866" s="55"/>
      <c r="G866" s="651"/>
      <c r="H866" s="55"/>
      <c r="I866" s="651"/>
      <c r="K866" s="652"/>
      <c r="M866" s="276"/>
    </row>
    <row r="867">
      <c r="A867" s="459"/>
      <c r="C867" s="276"/>
      <c r="D867" s="276"/>
      <c r="E867" s="651"/>
      <c r="F867" s="55"/>
      <c r="G867" s="651"/>
      <c r="H867" s="55"/>
      <c r="I867" s="651"/>
      <c r="K867" s="652"/>
      <c r="M867" s="276"/>
    </row>
    <row r="868">
      <c r="A868" s="459"/>
      <c r="C868" s="276"/>
      <c r="D868" s="276"/>
      <c r="E868" s="651"/>
      <c r="F868" s="55"/>
      <c r="G868" s="651"/>
      <c r="H868" s="55"/>
      <c r="I868" s="651"/>
      <c r="K868" s="652"/>
      <c r="M868" s="276"/>
    </row>
    <row r="869">
      <c r="A869" s="459"/>
      <c r="C869" s="276"/>
      <c r="D869" s="276"/>
      <c r="E869" s="651"/>
      <c r="F869" s="55"/>
      <c r="G869" s="651"/>
      <c r="H869" s="55"/>
      <c r="I869" s="651"/>
      <c r="K869" s="652"/>
      <c r="M869" s="276"/>
    </row>
    <row r="870">
      <c r="A870" s="459"/>
      <c r="C870" s="276"/>
      <c r="D870" s="276"/>
      <c r="E870" s="651"/>
      <c r="F870" s="55"/>
      <c r="G870" s="651"/>
      <c r="H870" s="55"/>
      <c r="I870" s="651"/>
      <c r="K870" s="652"/>
      <c r="M870" s="276"/>
    </row>
    <row r="871">
      <c r="A871" s="459"/>
      <c r="C871" s="276"/>
      <c r="D871" s="276"/>
      <c r="E871" s="651"/>
      <c r="F871" s="55"/>
      <c r="G871" s="651"/>
      <c r="H871" s="55"/>
      <c r="I871" s="651"/>
      <c r="K871" s="652"/>
      <c r="M871" s="276"/>
    </row>
    <row r="872">
      <c r="A872" s="459"/>
      <c r="C872" s="276"/>
      <c r="D872" s="276"/>
      <c r="E872" s="651"/>
      <c r="F872" s="55"/>
      <c r="G872" s="651"/>
      <c r="H872" s="55"/>
      <c r="I872" s="651"/>
      <c r="K872" s="652"/>
      <c r="M872" s="276"/>
    </row>
    <row r="873">
      <c r="A873" s="459"/>
      <c r="C873" s="276"/>
      <c r="D873" s="276"/>
      <c r="E873" s="651"/>
      <c r="F873" s="55"/>
      <c r="G873" s="651"/>
      <c r="H873" s="55"/>
      <c r="I873" s="651"/>
      <c r="K873" s="652"/>
      <c r="M873" s="276"/>
    </row>
    <row r="874">
      <c r="A874" s="459"/>
      <c r="C874" s="276"/>
      <c r="D874" s="276"/>
      <c r="E874" s="651"/>
      <c r="F874" s="55"/>
      <c r="G874" s="651"/>
      <c r="H874" s="55"/>
      <c r="I874" s="651"/>
      <c r="K874" s="652"/>
      <c r="M874" s="276"/>
    </row>
    <row r="875">
      <c r="A875" s="459"/>
      <c r="C875" s="276"/>
      <c r="D875" s="276"/>
      <c r="E875" s="651"/>
      <c r="F875" s="55"/>
      <c r="G875" s="651"/>
      <c r="H875" s="55"/>
      <c r="I875" s="651"/>
      <c r="K875" s="652"/>
      <c r="M875" s="276"/>
    </row>
    <row r="876">
      <c r="A876" s="459"/>
      <c r="C876" s="276"/>
      <c r="D876" s="276"/>
      <c r="E876" s="651"/>
      <c r="F876" s="55"/>
      <c r="G876" s="651"/>
      <c r="H876" s="55"/>
      <c r="I876" s="651"/>
      <c r="K876" s="652"/>
      <c r="M876" s="276"/>
    </row>
    <row r="877">
      <c r="A877" s="459"/>
      <c r="C877" s="276"/>
      <c r="D877" s="276"/>
      <c r="E877" s="651"/>
      <c r="F877" s="55"/>
      <c r="G877" s="651"/>
      <c r="H877" s="55"/>
      <c r="I877" s="651"/>
      <c r="K877" s="652"/>
      <c r="M877" s="276"/>
    </row>
    <row r="878">
      <c r="A878" s="459"/>
      <c r="C878" s="276"/>
      <c r="D878" s="276"/>
      <c r="E878" s="651"/>
      <c r="F878" s="55"/>
      <c r="G878" s="651"/>
      <c r="H878" s="55"/>
      <c r="I878" s="651"/>
      <c r="K878" s="652"/>
      <c r="M878" s="276"/>
    </row>
    <row r="879">
      <c r="A879" s="459"/>
      <c r="C879" s="276"/>
      <c r="D879" s="276"/>
      <c r="E879" s="651"/>
      <c r="F879" s="55"/>
      <c r="G879" s="651"/>
      <c r="H879" s="55"/>
      <c r="I879" s="651"/>
      <c r="K879" s="652"/>
      <c r="M879" s="276"/>
    </row>
    <row r="880">
      <c r="A880" s="459"/>
      <c r="C880" s="276"/>
      <c r="D880" s="276"/>
      <c r="E880" s="651"/>
      <c r="F880" s="55"/>
      <c r="G880" s="651"/>
      <c r="H880" s="55"/>
      <c r="I880" s="651"/>
      <c r="K880" s="652"/>
      <c r="M880" s="276"/>
    </row>
    <row r="881">
      <c r="A881" s="459"/>
      <c r="C881" s="276"/>
      <c r="D881" s="276"/>
      <c r="E881" s="651"/>
      <c r="F881" s="55"/>
      <c r="G881" s="651"/>
      <c r="H881" s="55"/>
      <c r="I881" s="651"/>
      <c r="K881" s="652"/>
      <c r="M881" s="276"/>
    </row>
    <row r="882">
      <c r="A882" s="459"/>
      <c r="C882" s="276"/>
      <c r="D882" s="276"/>
      <c r="E882" s="651"/>
      <c r="F882" s="55"/>
      <c r="G882" s="651"/>
      <c r="H882" s="55"/>
      <c r="I882" s="651"/>
      <c r="K882" s="652"/>
      <c r="M882" s="276"/>
    </row>
    <row r="883">
      <c r="A883" s="459"/>
      <c r="C883" s="276"/>
      <c r="D883" s="276"/>
      <c r="E883" s="651"/>
      <c r="F883" s="55"/>
      <c r="G883" s="651"/>
      <c r="H883" s="55"/>
      <c r="I883" s="651"/>
      <c r="K883" s="652"/>
      <c r="M883" s="276"/>
    </row>
    <row r="884">
      <c r="A884" s="459"/>
      <c r="C884" s="276"/>
      <c r="D884" s="276"/>
      <c r="E884" s="651"/>
      <c r="F884" s="55"/>
      <c r="G884" s="651"/>
      <c r="H884" s="55"/>
      <c r="I884" s="651"/>
      <c r="K884" s="652"/>
      <c r="M884" s="276"/>
    </row>
    <row r="885">
      <c r="A885" s="459"/>
      <c r="C885" s="276"/>
      <c r="D885" s="276"/>
      <c r="E885" s="651"/>
      <c r="F885" s="55"/>
      <c r="G885" s="651"/>
      <c r="H885" s="55"/>
      <c r="I885" s="651"/>
      <c r="K885" s="652"/>
      <c r="M885" s="276"/>
    </row>
    <row r="886">
      <c r="A886" s="459"/>
      <c r="C886" s="276"/>
      <c r="D886" s="276"/>
      <c r="E886" s="651"/>
      <c r="F886" s="55"/>
      <c r="G886" s="651"/>
      <c r="H886" s="55"/>
      <c r="I886" s="651"/>
      <c r="K886" s="652"/>
      <c r="M886" s="276"/>
    </row>
    <row r="887">
      <c r="A887" s="459"/>
      <c r="C887" s="276"/>
      <c r="D887" s="276"/>
      <c r="E887" s="651"/>
      <c r="F887" s="55"/>
      <c r="G887" s="651"/>
      <c r="H887" s="55"/>
      <c r="I887" s="651"/>
      <c r="K887" s="652"/>
      <c r="M887" s="276"/>
    </row>
    <row r="888">
      <c r="A888" s="459"/>
      <c r="C888" s="276"/>
      <c r="D888" s="276"/>
      <c r="E888" s="651"/>
      <c r="F888" s="55"/>
      <c r="G888" s="651"/>
      <c r="H888" s="55"/>
      <c r="I888" s="651"/>
      <c r="K888" s="652"/>
      <c r="M888" s="276"/>
    </row>
    <row r="889">
      <c r="A889" s="459"/>
      <c r="C889" s="276"/>
      <c r="D889" s="276"/>
      <c r="E889" s="651"/>
      <c r="F889" s="55"/>
      <c r="G889" s="651"/>
      <c r="H889" s="55"/>
      <c r="I889" s="651"/>
      <c r="K889" s="652"/>
      <c r="M889" s="276"/>
    </row>
    <row r="890">
      <c r="A890" s="459"/>
      <c r="C890" s="276"/>
      <c r="D890" s="276"/>
      <c r="E890" s="651"/>
      <c r="F890" s="55"/>
      <c r="G890" s="651"/>
      <c r="H890" s="55"/>
      <c r="I890" s="651"/>
      <c r="K890" s="652"/>
      <c r="M890" s="276"/>
    </row>
    <row r="891">
      <c r="A891" s="459"/>
      <c r="C891" s="276"/>
      <c r="D891" s="276"/>
      <c r="E891" s="651"/>
      <c r="F891" s="55"/>
      <c r="G891" s="651"/>
      <c r="H891" s="55"/>
      <c r="I891" s="651"/>
      <c r="K891" s="652"/>
      <c r="M891" s="276"/>
    </row>
    <row r="892">
      <c r="A892" s="459"/>
      <c r="C892" s="276"/>
      <c r="D892" s="276"/>
      <c r="E892" s="651"/>
      <c r="F892" s="55"/>
      <c r="G892" s="651"/>
      <c r="H892" s="55"/>
      <c r="I892" s="651"/>
      <c r="K892" s="652"/>
      <c r="M892" s="276"/>
    </row>
    <row r="893">
      <c r="A893" s="459"/>
      <c r="C893" s="276"/>
      <c r="D893" s="276"/>
      <c r="E893" s="651"/>
      <c r="F893" s="55"/>
      <c r="G893" s="651"/>
      <c r="H893" s="55"/>
      <c r="I893" s="651"/>
      <c r="K893" s="652"/>
      <c r="M893" s="276"/>
    </row>
    <row r="894">
      <c r="A894" s="459"/>
      <c r="C894" s="276"/>
      <c r="D894" s="276"/>
      <c r="E894" s="651"/>
      <c r="F894" s="55"/>
      <c r="G894" s="651"/>
      <c r="H894" s="55"/>
      <c r="I894" s="651"/>
      <c r="K894" s="652"/>
      <c r="M894" s="276"/>
    </row>
    <row r="895">
      <c r="A895" s="459"/>
      <c r="C895" s="276"/>
      <c r="D895" s="276"/>
      <c r="E895" s="651"/>
      <c r="F895" s="55"/>
      <c r="G895" s="651"/>
      <c r="H895" s="55"/>
      <c r="I895" s="651"/>
      <c r="K895" s="652"/>
      <c r="M895" s="276"/>
    </row>
    <row r="896">
      <c r="A896" s="459"/>
      <c r="C896" s="276"/>
      <c r="D896" s="276"/>
      <c r="E896" s="651"/>
      <c r="F896" s="55"/>
      <c r="G896" s="651"/>
      <c r="H896" s="55"/>
      <c r="I896" s="651"/>
      <c r="K896" s="652"/>
      <c r="M896" s="276"/>
    </row>
    <row r="897">
      <c r="A897" s="459"/>
      <c r="C897" s="276"/>
      <c r="D897" s="276"/>
      <c r="E897" s="651"/>
      <c r="F897" s="55"/>
      <c r="G897" s="651"/>
      <c r="H897" s="55"/>
      <c r="I897" s="651"/>
      <c r="K897" s="652"/>
      <c r="M897" s="276"/>
    </row>
    <row r="898">
      <c r="A898" s="459"/>
      <c r="C898" s="276"/>
      <c r="D898" s="276"/>
      <c r="E898" s="651"/>
      <c r="F898" s="55"/>
      <c r="G898" s="651"/>
      <c r="H898" s="55"/>
      <c r="I898" s="651"/>
      <c r="K898" s="652"/>
      <c r="M898" s="276"/>
    </row>
    <row r="899">
      <c r="A899" s="459"/>
      <c r="C899" s="276"/>
      <c r="D899" s="276"/>
      <c r="E899" s="651"/>
      <c r="F899" s="55"/>
      <c r="G899" s="651"/>
      <c r="H899" s="55"/>
      <c r="I899" s="651"/>
      <c r="K899" s="652"/>
      <c r="M899" s="276"/>
    </row>
    <row r="900">
      <c r="A900" s="459"/>
      <c r="C900" s="276"/>
      <c r="D900" s="276"/>
      <c r="E900" s="651"/>
      <c r="F900" s="55"/>
      <c r="G900" s="651"/>
      <c r="H900" s="55"/>
      <c r="I900" s="651"/>
      <c r="K900" s="652"/>
      <c r="M900" s="276"/>
    </row>
    <row r="901">
      <c r="A901" s="459"/>
      <c r="C901" s="276"/>
      <c r="D901" s="276"/>
      <c r="E901" s="651"/>
      <c r="F901" s="55"/>
      <c r="G901" s="651"/>
      <c r="H901" s="55"/>
      <c r="I901" s="651"/>
      <c r="K901" s="652"/>
      <c r="M901" s="276"/>
    </row>
    <row r="902">
      <c r="A902" s="459"/>
      <c r="C902" s="276"/>
      <c r="D902" s="276"/>
      <c r="E902" s="651"/>
      <c r="F902" s="55"/>
      <c r="G902" s="651"/>
      <c r="H902" s="55"/>
      <c r="I902" s="651"/>
      <c r="K902" s="652"/>
      <c r="M902" s="276"/>
    </row>
    <row r="903">
      <c r="A903" s="459"/>
      <c r="C903" s="276"/>
      <c r="D903" s="276"/>
      <c r="E903" s="651"/>
      <c r="F903" s="55"/>
      <c r="G903" s="651"/>
      <c r="H903" s="55"/>
      <c r="I903" s="651"/>
      <c r="K903" s="652"/>
      <c r="M903" s="276"/>
    </row>
    <row r="904">
      <c r="A904" s="459"/>
      <c r="C904" s="276"/>
      <c r="D904" s="276"/>
      <c r="E904" s="651"/>
      <c r="F904" s="55"/>
      <c r="G904" s="651"/>
      <c r="H904" s="55"/>
      <c r="I904" s="651"/>
      <c r="K904" s="652"/>
      <c r="M904" s="276"/>
    </row>
    <row r="905">
      <c r="A905" s="459"/>
      <c r="C905" s="276"/>
      <c r="D905" s="276"/>
      <c r="E905" s="651"/>
      <c r="F905" s="55"/>
      <c r="G905" s="651"/>
      <c r="H905" s="55"/>
      <c r="I905" s="651"/>
      <c r="K905" s="652"/>
      <c r="M905" s="276"/>
    </row>
    <row r="906">
      <c r="A906" s="459"/>
      <c r="C906" s="276"/>
      <c r="D906" s="276"/>
      <c r="E906" s="651"/>
      <c r="F906" s="55"/>
      <c r="G906" s="651"/>
      <c r="H906" s="55"/>
      <c r="I906" s="651"/>
      <c r="K906" s="652"/>
      <c r="M906" s="276"/>
    </row>
    <row r="907">
      <c r="A907" s="459"/>
      <c r="C907" s="276"/>
      <c r="D907" s="276"/>
      <c r="E907" s="651"/>
      <c r="F907" s="55"/>
      <c r="G907" s="651"/>
      <c r="H907" s="55"/>
      <c r="I907" s="651"/>
      <c r="K907" s="652"/>
      <c r="M907" s="276"/>
    </row>
    <row r="908">
      <c r="A908" s="459"/>
      <c r="C908" s="276"/>
      <c r="D908" s="276"/>
      <c r="E908" s="651"/>
      <c r="F908" s="55"/>
      <c r="G908" s="651"/>
      <c r="H908" s="55"/>
      <c r="I908" s="651"/>
      <c r="K908" s="652"/>
      <c r="M908" s="276"/>
    </row>
    <row r="909">
      <c r="A909" s="459"/>
      <c r="C909" s="276"/>
      <c r="D909" s="276"/>
      <c r="E909" s="651"/>
      <c r="F909" s="55"/>
      <c r="G909" s="651"/>
      <c r="H909" s="55"/>
      <c r="I909" s="651"/>
      <c r="K909" s="652"/>
      <c r="M909" s="276"/>
    </row>
    <row r="910">
      <c r="A910" s="459"/>
      <c r="C910" s="276"/>
      <c r="D910" s="276"/>
      <c r="E910" s="651"/>
      <c r="F910" s="55"/>
      <c r="G910" s="651"/>
      <c r="H910" s="55"/>
      <c r="I910" s="651"/>
      <c r="K910" s="652"/>
      <c r="M910" s="276"/>
    </row>
    <row r="911">
      <c r="A911" s="459"/>
      <c r="C911" s="276"/>
      <c r="D911" s="276"/>
      <c r="E911" s="651"/>
      <c r="F911" s="55"/>
      <c r="G911" s="651"/>
      <c r="H911" s="55"/>
      <c r="I911" s="651"/>
      <c r="K911" s="652"/>
      <c r="M911" s="276"/>
    </row>
    <row r="912">
      <c r="A912" s="459"/>
      <c r="C912" s="276"/>
      <c r="D912" s="276"/>
      <c r="E912" s="651"/>
      <c r="F912" s="55"/>
      <c r="G912" s="651"/>
      <c r="H912" s="55"/>
      <c r="I912" s="651"/>
      <c r="K912" s="652"/>
      <c r="M912" s="276"/>
    </row>
    <row r="913">
      <c r="A913" s="459"/>
      <c r="C913" s="276"/>
      <c r="D913" s="276"/>
      <c r="E913" s="651"/>
      <c r="F913" s="55"/>
      <c r="G913" s="651"/>
      <c r="H913" s="55"/>
      <c r="I913" s="651"/>
      <c r="K913" s="652"/>
      <c r="M913" s="276"/>
    </row>
    <row r="914">
      <c r="A914" s="459"/>
      <c r="C914" s="276"/>
      <c r="D914" s="276"/>
      <c r="E914" s="651"/>
      <c r="F914" s="55"/>
      <c r="G914" s="651"/>
      <c r="H914" s="55"/>
      <c r="I914" s="651"/>
      <c r="K914" s="652"/>
      <c r="M914" s="276"/>
    </row>
    <row r="915">
      <c r="A915" s="459"/>
      <c r="C915" s="276"/>
      <c r="D915" s="276"/>
      <c r="E915" s="651"/>
      <c r="F915" s="55"/>
      <c r="G915" s="651"/>
      <c r="H915" s="55"/>
      <c r="I915" s="651"/>
      <c r="K915" s="652"/>
      <c r="M915" s="276"/>
    </row>
    <row r="916">
      <c r="A916" s="459"/>
      <c r="C916" s="276"/>
      <c r="D916" s="276"/>
      <c r="E916" s="651"/>
      <c r="F916" s="55"/>
      <c r="G916" s="651"/>
      <c r="H916" s="55"/>
      <c r="I916" s="651"/>
      <c r="K916" s="652"/>
      <c r="M916" s="276"/>
    </row>
    <row r="917">
      <c r="A917" s="459"/>
      <c r="C917" s="276"/>
      <c r="D917" s="276"/>
      <c r="E917" s="651"/>
      <c r="F917" s="55"/>
      <c r="G917" s="651"/>
      <c r="H917" s="55"/>
      <c r="I917" s="651"/>
      <c r="K917" s="652"/>
      <c r="M917" s="276"/>
    </row>
    <row r="918">
      <c r="A918" s="459"/>
      <c r="C918" s="276"/>
      <c r="D918" s="276"/>
      <c r="E918" s="651"/>
      <c r="F918" s="55"/>
      <c r="G918" s="651"/>
      <c r="H918" s="55"/>
      <c r="I918" s="651"/>
      <c r="K918" s="652"/>
      <c r="M918" s="276"/>
    </row>
    <row r="919">
      <c r="A919" s="459"/>
      <c r="C919" s="276"/>
      <c r="D919" s="276"/>
      <c r="E919" s="651"/>
      <c r="F919" s="55"/>
      <c r="G919" s="651"/>
      <c r="H919" s="55"/>
      <c r="I919" s="651"/>
      <c r="K919" s="652"/>
      <c r="M919" s="276"/>
    </row>
    <row r="920">
      <c r="A920" s="459"/>
      <c r="C920" s="276"/>
      <c r="D920" s="276"/>
      <c r="E920" s="651"/>
      <c r="F920" s="55"/>
      <c r="G920" s="651"/>
      <c r="H920" s="55"/>
      <c r="I920" s="651"/>
      <c r="K920" s="652"/>
      <c r="M920" s="276"/>
    </row>
    <row r="921">
      <c r="A921" s="459"/>
      <c r="C921" s="276"/>
      <c r="D921" s="276"/>
      <c r="E921" s="651"/>
      <c r="F921" s="55"/>
      <c r="G921" s="651"/>
      <c r="H921" s="55"/>
      <c r="I921" s="651"/>
      <c r="K921" s="652"/>
      <c r="M921" s="276"/>
    </row>
    <row r="922">
      <c r="A922" s="459"/>
      <c r="C922" s="276"/>
      <c r="D922" s="276"/>
      <c r="E922" s="651"/>
      <c r="F922" s="55"/>
      <c r="G922" s="651"/>
      <c r="H922" s="55"/>
      <c r="I922" s="651"/>
      <c r="K922" s="652"/>
      <c r="M922" s="276"/>
    </row>
    <row r="923">
      <c r="A923" s="459"/>
      <c r="C923" s="276"/>
      <c r="D923" s="276"/>
      <c r="E923" s="651"/>
      <c r="F923" s="55"/>
      <c r="G923" s="651"/>
      <c r="H923" s="55"/>
      <c r="I923" s="651"/>
      <c r="K923" s="652"/>
      <c r="M923" s="276"/>
    </row>
    <row r="924">
      <c r="A924" s="459"/>
      <c r="C924" s="276"/>
      <c r="D924" s="276"/>
      <c r="E924" s="651"/>
      <c r="F924" s="55"/>
      <c r="G924" s="651"/>
      <c r="H924" s="55"/>
      <c r="I924" s="651"/>
      <c r="K924" s="652"/>
      <c r="M924" s="276"/>
    </row>
    <row r="925">
      <c r="A925" s="459"/>
      <c r="C925" s="276"/>
      <c r="D925" s="276"/>
      <c r="E925" s="651"/>
      <c r="F925" s="55"/>
      <c r="G925" s="651"/>
      <c r="H925" s="55"/>
      <c r="I925" s="651"/>
      <c r="K925" s="652"/>
      <c r="M925" s="276"/>
    </row>
    <row r="926">
      <c r="A926" s="459"/>
      <c r="C926" s="276"/>
      <c r="D926" s="276"/>
      <c r="E926" s="651"/>
      <c r="F926" s="55"/>
      <c r="G926" s="651"/>
      <c r="H926" s="55"/>
      <c r="I926" s="651"/>
      <c r="K926" s="652"/>
      <c r="M926" s="276"/>
    </row>
    <row r="927">
      <c r="A927" s="459"/>
      <c r="C927" s="276"/>
      <c r="D927" s="276"/>
      <c r="E927" s="651"/>
      <c r="F927" s="55"/>
      <c r="G927" s="651"/>
      <c r="H927" s="55"/>
      <c r="I927" s="651"/>
      <c r="K927" s="652"/>
      <c r="M927" s="276"/>
    </row>
    <row r="928">
      <c r="A928" s="459"/>
      <c r="C928" s="276"/>
      <c r="D928" s="276"/>
      <c r="E928" s="651"/>
      <c r="F928" s="55"/>
      <c r="G928" s="651"/>
      <c r="H928" s="55"/>
      <c r="I928" s="651"/>
      <c r="K928" s="652"/>
      <c r="M928" s="276"/>
    </row>
    <row r="929">
      <c r="A929" s="459"/>
      <c r="C929" s="276"/>
      <c r="D929" s="276"/>
      <c r="E929" s="651"/>
      <c r="F929" s="55"/>
      <c r="G929" s="651"/>
      <c r="H929" s="55"/>
      <c r="I929" s="651"/>
      <c r="K929" s="652"/>
      <c r="M929" s="276"/>
    </row>
    <row r="930">
      <c r="A930" s="459"/>
      <c r="C930" s="276"/>
      <c r="D930" s="276"/>
      <c r="E930" s="651"/>
      <c r="F930" s="55"/>
      <c r="G930" s="651"/>
      <c r="H930" s="55"/>
      <c r="I930" s="651"/>
      <c r="K930" s="652"/>
      <c r="M930" s="276"/>
    </row>
    <row r="931">
      <c r="A931" s="459"/>
      <c r="C931" s="276"/>
      <c r="D931" s="276"/>
      <c r="E931" s="651"/>
      <c r="F931" s="55"/>
      <c r="G931" s="651"/>
      <c r="H931" s="55"/>
      <c r="I931" s="651"/>
      <c r="K931" s="652"/>
      <c r="M931" s="276"/>
    </row>
    <row r="932">
      <c r="A932" s="459"/>
      <c r="C932" s="276"/>
      <c r="D932" s="276"/>
      <c r="E932" s="651"/>
      <c r="F932" s="55"/>
      <c r="G932" s="651"/>
      <c r="H932" s="55"/>
      <c r="I932" s="651"/>
      <c r="K932" s="652"/>
      <c r="M932" s="276"/>
    </row>
    <row r="933">
      <c r="A933" s="459"/>
      <c r="C933" s="276"/>
      <c r="D933" s="276"/>
      <c r="E933" s="651"/>
      <c r="F933" s="55"/>
      <c r="G933" s="651"/>
      <c r="H933" s="55"/>
      <c r="I933" s="651"/>
      <c r="K933" s="652"/>
      <c r="M933" s="276"/>
    </row>
    <row r="934">
      <c r="A934" s="459"/>
      <c r="C934" s="276"/>
      <c r="D934" s="276"/>
      <c r="E934" s="651"/>
      <c r="F934" s="55"/>
      <c r="G934" s="651"/>
      <c r="H934" s="55"/>
      <c r="I934" s="651"/>
      <c r="K934" s="652"/>
      <c r="M934" s="276"/>
    </row>
    <row r="935">
      <c r="A935" s="459"/>
      <c r="C935" s="276"/>
      <c r="D935" s="276"/>
      <c r="E935" s="651"/>
      <c r="F935" s="55"/>
      <c r="G935" s="651"/>
      <c r="H935" s="55"/>
      <c r="I935" s="651"/>
      <c r="K935" s="652"/>
      <c r="M935" s="276"/>
    </row>
    <row r="936">
      <c r="A936" s="459"/>
      <c r="C936" s="276"/>
      <c r="D936" s="276"/>
      <c r="E936" s="651"/>
      <c r="F936" s="55"/>
      <c r="G936" s="651"/>
      <c r="H936" s="55"/>
      <c r="I936" s="651"/>
      <c r="K936" s="652"/>
      <c r="M936" s="276"/>
    </row>
    <row r="937">
      <c r="A937" s="459"/>
      <c r="C937" s="276"/>
      <c r="D937" s="276"/>
      <c r="E937" s="651"/>
      <c r="F937" s="55"/>
      <c r="G937" s="651"/>
      <c r="H937" s="55"/>
      <c r="I937" s="651"/>
      <c r="K937" s="652"/>
      <c r="M937" s="276"/>
    </row>
    <row r="938">
      <c r="A938" s="459"/>
      <c r="C938" s="276"/>
      <c r="D938" s="276"/>
      <c r="E938" s="651"/>
      <c r="F938" s="55"/>
      <c r="G938" s="651"/>
      <c r="H938" s="55"/>
      <c r="I938" s="651"/>
      <c r="K938" s="652"/>
      <c r="M938" s="276"/>
    </row>
    <row r="939">
      <c r="A939" s="459"/>
      <c r="C939" s="276"/>
      <c r="D939" s="276"/>
      <c r="E939" s="651"/>
      <c r="F939" s="55"/>
      <c r="G939" s="651"/>
      <c r="H939" s="55"/>
      <c r="I939" s="651"/>
      <c r="K939" s="652"/>
      <c r="M939" s="276"/>
    </row>
    <row r="940">
      <c r="A940" s="459"/>
      <c r="C940" s="276"/>
      <c r="D940" s="276"/>
      <c r="E940" s="651"/>
      <c r="F940" s="55"/>
      <c r="G940" s="651"/>
      <c r="H940" s="55"/>
      <c r="I940" s="651"/>
      <c r="K940" s="652"/>
      <c r="M940" s="276"/>
    </row>
    <row r="941">
      <c r="A941" s="459"/>
      <c r="C941" s="276"/>
      <c r="D941" s="276"/>
      <c r="E941" s="651"/>
      <c r="F941" s="55"/>
      <c r="G941" s="651"/>
      <c r="H941" s="55"/>
      <c r="I941" s="651"/>
      <c r="K941" s="652"/>
      <c r="M941" s="276"/>
    </row>
    <row r="942">
      <c r="A942" s="459"/>
      <c r="C942" s="276"/>
      <c r="D942" s="276"/>
      <c r="E942" s="651"/>
      <c r="F942" s="55"/>
      <c r="G942" s="651"/>
      <c r="H942" s="55"/>
      <c r="I942" s="651"/>
      <c r="K942" s="652"/>
      <c r="M942" s="276"/>
    </row>
    <row r="943">
      <c r="A943" s="459"/>
      <c r="C943" s="276"/>
      <c r="D943" s="276"/>
      <c r="E943" s="651"/>
      <c r="F943" s="55"/>
      <c r="G943" s="651"/>
      <c r="H943" s="55"/>
      <c r="I943" s="651"/>
      <c r="K943" s="652"/>
      <c r="M943" s="276"/>
    </row>
    <row r="944">
      <c r="A944" s="459"/>
      <c r="C944" s="276"/>
      <c r="D944" s="276"/>
      <c r="E944" s="651"/>
      <c r="F944" s="55"/>
      <c r="G944" s="651"/>
      <c r="H944" s="55"/>
      <c r="I944" s="651"/>
      <c r="K944" s="652"/>
      <c r="M944" s="276"/>
    </row>
    <row r="945">
      <c r="A945" s="459"/>
      <c r="C945" s="276"/>
      <c r="D945" s="276"/>
      <c r="E945" s="651"/>
      <c r="F945" s="55"/>
      <c r="G945" s="651"/>
      <c r="H945" s="55"/>
      <c r="I945" s="651"/>
      <c r="K945" s="652"/>
      <c r="M945" s="276"/>
    </row>
    <row r="946">
      <c r="A946" s="459"/>
      <c r="C946" s="276"/>
      <c r="D946" s="276"/>
      <c r="E946" s="651"/>
      <c r="F946" s="55"/>
      <c r="G946" s="651"/>
      <c r="H946" s="55"/>
      <c r="I946" s="651"/>
      <c r="K946" s="652"/>
      <c r="M946" s="276"/>
    </row>
    <row r="947">
      <c r="A947" s="459"/>
      <c r="C947" s="276"/>
      <c r="D947" s="276"/>
      <c r="E947" s="651"/>
      <c r="F947" s="55"/>
      <c r="G947" s="651"/>
      <c r="H947" s="55"/>
      <c r="I947" s="651"/>
      <c r="K947" s="652"/>
      <c r="M947" s="276"/>
    </row>
    <row r="948">
      <c r="A948" s="459"/>
      <c r="C948" s="276"/>
      <c r="D948" s="276"/>
      <c r="E948" s="651"/>
      <c r="F948" s="55"/>
      <c r="G948" s="651"/>
      <c r="H948" s="55"/>
      <c r="I948" s="651"/>
      <c r="K948" s="652"/>
      <c r="M948" s="276"/>
    </row>
    <row r="949">
      <c r="A949" s="459"/>
      <c r="C949" s="276"/>
      <c r="D949" s="276"/>
      <c r="E949" s="651"/>
      <c r="F949" s="55"/>
      <c r="G949" s="651"/>
      <c r="H949" s="55"/>
      <c r="I949" s="651"/>
      <c r="K949" s="652"/>
      <c r="M949" s="276"/>
    </row>
    <row r="950">
      <c r="A950" s="459"/>
      <c r="C950" s="276"/>
      <c r="D950" s="276"/>
      <c r="E950" s="651"/>
      <c r="F950" s="55"/>
      <c r="G950" s="651"/>
      <c r="H950" s="55"/>
      <c r="I950" s="651"/>
      <c r="K950" s="652"/>
      <c r="M950" s="276"/>
    </row>
    <row r="951">
      <c r="A951" s="459"/>
      <c r="C951" s="276"/>
      <c r="D951" s="276"/>
      <c r="E951" s="651"/>
      <c r="F951" s="55"/>
      <c r="G951" s="651"/>
      <c r="H951" s="55"/>
      <c r="I951" s="651"/>
      <c r="K951" s="652"/>
      <c r="M951" s="276"/>
    </row>
    <row r="952">
      <c r="A952" s="459"/>
      <c r="C952" s="276"/>
      <c r="D952" s="276"/>
      <c r="E952" s="651"/>
      <c r="F952" s="55"/>
      <c r="G952" s="651"/>
      <c r="H952" s="55"/>
      <c r="I952" s="651"/>
      <c r="K952" s="652"/>
      <c r="M952" s="276"/>
    </row>
    <row r="953">
      <c r="A953" s="459"/>
      <c r="C953" s="276"/>
      <c r="D953" s="276"/>
      <c r="E953" s="651"/>
      <c r="F953" s="55"/>
      <c r="G953" s="651"/>
      <c r="H953" s="55"/>
      <c r="I953" s="651"/>
      <c r="K953" s="652"/>
      <c r="M953" s="276"/>
    </row>
    <row r="954">
      <c r="A954" s="459"/>
      <c r="C954" s="276"/>
      <c r="D954" s="276"/>
      <c r="E954" s="651"/>
      <c r="F954" s="55"/>
      <c r="G954" s="651"/>
      <c r="H954" s="55"/>
      <c r="I954" s="651"/>
      <c r="K954" s="652"/>
      <c r="M954" s="276"/>
    </row>
    <row r="955">
      <c r="A955" s="459"/>
      <c r="C955" s="276"/>
      <c r="D955" s="276"/>
      <c r="E955" s="651"/>
      <c r="F955" s="55"/>
      <c r="G955" s="651"/>
      <c r="H955" s="55"/>
      <c r="I955" s="651"/>
      <c r="K955" s="652"/>
      <c r="M955" s="276"/>
    </row>
    <row r="956">
      <c r="A956" s="459"/>
      <c r="C956" s="276"/>
      <c r="D956" s="276"/>
      <c r="E956" s="651"/>
      <c r="F956" s="55"/>
      <c r="G956" s="651"/>
      <c r="H956" s="55"/>
      <c r="I956" s="651"/>
      <c r="K956" s="652"/>
      <c r="M956" s="276"/>
    </row>
    <row r="957">
      <c r="A957" s="459"/>
      <c r="C957" s="276"/>
      <c r="D957" s="276"/>
      <c r="E957" s="651"/>
      <c r="F957" s="55"/>
      <c r="G957" s="651"/>
      <c r="H957" s="55"/>
      <c r="I957" s="651"/>
      <c r="K957" s="652"/>
      <c r="M957" s="276"/>
    </row>
    <row r="958">
      <c r="A958" s="459"/>
      <c r="C958" s="276"/>
      <c r="D958" s="276"/>
      <c r="E958" s="651"/>
      <c r="F958" s="55"/>
      <c r="G958" s="651"/>
      <c r="H958" s="55"/>
      <c r="I958" s="651"/>
      <c r="K958" s="652"/>
      <c r="M958" s="276"/>
    </row>
    <row r="959">
      <c r="A959" s="459"/>
      <c r="C959" s="276"/>
      <c r="D959" s="276"/>
      <c r="E959" s="651"/>
      <c r="F959" s="55"/>
      <c r="G959" s="651"/>
      <c r="H959" s="55"/>
      <c r="I959" s="651"/>
      <c r="K959" s="652"/>
      <c r="M959" s="276"/>
    </row>
    <row r="960">
      <c r="A960" s="459"/>
      <c r="C960" s="276"/>
      <c r="D960" s="276"/>
      <c r="E960" s="651"/>
      <c r="F960" s="55"/>
      <c r="G960" s="651"/>
      <c r="H960" s="55"/>
      <c r="I960" s="651"/>
      <c r="K960" s="652"/>
      <c r="M960" s="276"/>
    </row>
    <row r="961">
      <c r="A961" s="459"/>
      <c r="C961" s="276"/>
      <c r="D961" s="276"/>
      <c r="E961" s="651"/>
      <c r="F961" s="55"/>
      <c r="G961" s="651"/>
      <c r="H961" s="55"/>
      <c r="I961" s="651"/>
      <c r="K961" s="652"/>
      <c r="M961" s="276"/>
    </row>
    <row r="962">
      <c r="A962" s="459"/>
      <c r="C962" s="276"/>
      <c r="D962" s="276"/>
      <c r="E962" s="651"/>
      <c r="F962" s="55"/>
      <c r="G962" s="651"/>
      <c r="H962" s="55"/>
      <c r="I962" s="651"/>
      <c r="K962" s="652"/>
      <c r="M962" s="276"/>
    </row>
    <row r="963">
      <c r="A963" s="459"/>
      <c r="C963" s="276"/>
      <c r="D963" s="276"/>
      <c r="E963" s="651"/>
      <c r="F963" s="55"/>
      <c r="G963" s="651"/>
      <c r="H963" s="55"/>
      <c r="I963" s="651"/>
      <c r="K963" s="652"/>
      <c r="M963" s="276"/>
    </row>
    <row r="964">
      <c r="A964" s="459"/>
      <c r="C964" s="276"/>
      <c r="D964" s="276"/>
      <c r="E964" s="651"/>
      <c r="F964" s="55"/>
      <c r="G964" s="651"/>
      <c r="H964" s="55"/>
      <c r="I964" s="651"/>
      <c r="K964" s="652"/>
      <c r="M964" s="276"/>
    </row>
    <row r="965">
      <c r="A965" s="459"/>
      <c r="C965" s="276"/>
      <c r="D965" s="276"/>
      <c r="E965" s="651"/>
      <c r="F965" s="55"/>
      <c r="G965" s="651"/>
      <c r="H965" s="55"/>
      <c r="I965" s="651"/>
      <c r="K965" s="652"/>
      <c r="M965" s="276"/>
    </row>
    <row r="966">
      <c r="A966" s="459"/>
      <c r="C966" s="276"/>
      <c r="D966" s="276"/>
      <c r="E966" s="651"/>
      <c r="F966" s="55"/>
      <c r="G966" s="651"/>
      <c r="H966" s="55"/>
      <c r="I966" s="651"/>
      <c r="K966" s="652"/>
      <c r="M966" s="276"/>
    </row>
    <row r="967">
      <c r="A967" s="459"/>
      <c r="C967" s="276"/>
      <c r="D967" s="276"/>
      <c r="E967" s="651"/>
      <c r="F967" s="55"/>
      <c r="G967" s="651"/>
      <c r="H967" s="55"/>
      <c r="I967" s="651"/>
      <c r="K967" s="652"/>
      <c r="M967" s="276"/>
    </row>
    <row r="968">
      <c r="A968" s="459"/>
      <c r="C968" s="276"/>
      <c r="D968" s="276"/>
      <c r="E968" s="651"/>
      <c r="F968" s="55"/>
      <c r="G968" s="651"/>
      <c r="H968" s="55"/>
      <c r="I968" s="651"/>
      <c r="K968" s="652"/>
      <c r="M968" s="276"/>
    </row>
    <row r="969">
      <c r="A969" s="459"/>
      <c r="C969" s="276"/>
      <c r="D969" s="276"/>
      <c r="E969" s="651"/>
      <c r="F969" s="55"/>
      <c r="G969" s="651"/>
      <c r="H969" s="55"/>
      <c r="I969" s="651"/>
      <c r="K969" s="652"/>
      <c r="M969" s="276"/>
    </row>
    <row r="970">
      <c r="A970" s="459"/>
      <c r="C970" s="276"/>
      <c r="D970" s="276"/>
      <c r="E970" s="651"/>
      <c r="F970" s="55"/>
      <c r="G970" s="651"/>
      <c r="H970" s="55"/>
      <c r="I970" s="651"/>
      <c r="K970" s="652"/>
      <c r="M970" s="276"/>
    </row>
    <row r="971">
      <c r="A971" s="459"/>
      <c r="C971" s="276"/>
      <c r="D971" s="276"/>
      <c r="E971" s="651"/>
      <c r="F971" s="55"/>
      <c r="G971" s="651"/>
      <c r="H971" s="55"/>
      <c r="I971" s="651"/>
      <c r="K971" s="652"/>
      <c r="M971" s="276"/>
    </row>
    <row r="972">
      <c r="A972" s="459"/>
      <c r="C972" s="276"/>
      <c r="D972" s="276"/>
      <c r="E972" s="651"/>
      <c r="F972" s="55"/>
      <c r="G972" s="651"/>
      <c r="H972" s="55"/>
      <c r="I972" s="651"/>
      <c r="K972" s="652"/>
      <c r="M972" s="276"/>
    </row>
    <row r="973">
      <c r="A973" s="459"/>
      <c r="C973" s="276"/>
      <c r="D973" s="276"/>
      <c r="E973" s="651"/>
      <c r="F973" s="55"/>
      <c r="G973" s="651"/>
      <c r="H973" s="55"/>
      <c r="I973" s="651"/>
      <c r="K973" s="652"/>
      <c r="M973" s="276"/>
    </row>
    <row r="974">
      <c r="A974" s="459"/>
      <c r="C974" s="276"/>
      <c r="D974" s="276"/>
      <c r="E974" s="651"/>
      <c r="F974" s="55"/>
      <c r="G974" s="651"/>
      <c r="H974" s="55"/>
      <c r="I974" s="651"/>
      <c r="K974" s="652"/>
      <c r="M974" s="276"/>
    </row>
    <row r="975">
      <c r="A975" s="459"/>
      <c r="C975" s="276"/>
      <c r="D975" s="276"/>
      <c r="E975" s="651"/>
      <c r="F975" s="55"/>
      <c r="G975" s="651"/>
      <c r="H975" s="55"/>
      <c r="I975" s="651"/>
      <c r="K975" s="652"/>
      <c r="M975" s="276"/>
    </row>
    <row r="976">
      <c r="A976" s="459"/>
      <c r="C976" s="276"/>
      <c r="D976" s="276"/>
      <c r="E976" s="651"/>
      <c r="F976" s="55"/>
      <c r="G976" s="651"/>
      <c r="H976" s="55"/>
      <c r="I976" s="651"/>
      <c r="K976" s="652"/>
      <c r="M976" s="276"/>
    </row>
    <row r="977">
      <c r="A977" s="459"/>
      <c r="C977" s="276"/>
      <c r="D977" s="276"/>
      <c r="E977" s="651"/>
      <c r="F977" s="55"/>
      <c r="G977" s="651"/>
      <c r="H977" s="55"/>
      <c r="I977" s="651"/>
      <c r="K977" s="652"/>
      <c r="M977" s="276"/>
    </row>
    <row r="978">
      <c r="A978" s="459"/>
      <c r="C978" s="276"/>
      <c r="D978" s="276"/>
      <c r="E978" s="651"/>
      <c r="F978" s="55"/>
      <c r="G978" s="651"/>
      <c r="H978" s="55"/>
      <c r="I978" s="651"/>
      <c r="K978" s="652"/>
      <c r="M978" s="276"/>
    </row>
    <row r="979">
      <c r="A979" s="459"/>
      <c r="C979" s="276"/>
      <c r="D979" s="276"/>
      <c r="E979" s="651"/>
      <c r="F979" s="55"/>
      <c r="G979" s="651"/>
      <c r="H979" s="55"/>
      <c r="I979" s="651"/>
      <c r="K979" s="652"/>
      <c r="M979" s="276"/>
    </row>
    <row r="980">
      <c r="A980" s="459"/>
      <c r="C980" s="276"/>
      <c r="D980" s="276"/>
      <c r="E980" s="651"/>
      <c r="F980" s="55"/>
      <c r="G980" s="651"/>
      <c r="H980" s="55"/>
      <c r="I980" s="651"/>
      <c r="K980" s="652"/>
      <c r="M980" s="276"/>
    </row>
    <row r="981">
      <c r="A981" s="459"/>
      <c r="C981" s="276"/>
      <c r="D981" s="276"/>
      <c r="E981" s="651"/>
      <c r="F981" s="55"/>
      <c r="G981" s="651"/>
      <c r="H981" s="55"/>
      <c r="I981" s="651"/>
      <c r="K981" s="652"/>
      <c r="M981" s="276"/>
    </row>
    <row r="982">
      <c r="A982" s="459"/>
      <c r="C982" s="276"/>
      <c r="D982" s="276"/>
      <c r="E982" s="651"/>
      <c r="F982" s="55"/>
      <c r="G982" s="651"/>
      <c r="H982" s="55"/>
      <c r="I982" s="651"/>
      <c r="K982" s="652"/>
      <c r="M982" s="276"/>
    </row>
    <row r="983">
      <c r="A983" s="459"/>
      <c r="C983" s="276"/>
      <c r="D983" s="276"/>
      <c r="E983" s="651"/>
      <c r="F983" s="55"/>
      <c r="G983" s="651"/>
      <c r="H983" s="55"/>
      <c r="I983" s="651"/>
      <c r="K983" s="652"/>
      <c r="M983" s="276"/>
    </row>
    <row r="984">
      <c r="A984" s="459"/>
      <c r="C984" s="276"/>
      <c r="D984" s="276"/>
      <c r="E984" s="651"/>
      <c r="F984" s="55"/>
      <c r="G984" s="651"/>
      <c r="H984" s="55"/>
      <c r="I984" s="651"/>
      <c r="K984" s="652"/>
      <c r="M984" s="276"/>
    </row>
    <row r="985">
      <c r="A985" s="459"/>
      <c r="C985" s="276"/>
      <c r="D985" s="276"/>
      <c r="E985" s="651"/>
      <c r="F985" s="55"/>
      <c r="G985" s="651"/>
      <c r="H985" s="55"/>
      <c r="I985" s="651"/>
      <c r="K985" s="652"/>
      <c r="M985" s="276"/>
    </row>
    <row r="986">
      <c r="A986" s="459"/>
      <c r="C986" s="276"/>
      <c r="D986" s="276"/>
      <c r="E986" s="651"/>
      <c r="F986" s="55"/>
      <c r="G986" s="651"/>
      <c r="H986" s="55"/>
      <c r="I986" s="651"/>
      <c r="K986" s="652"/>
      <c r="M986" s="276"/>
    </row>
    <row r="987">
      <c r="A987" s="459"/>
      <c r="C987" s="276"/>
      <c r="D987" s="276"/>
      <c r="E987" s="651"/>
      <c r="F987" s="55"/>
      <c r="G987" s="651"/>
      <c r="H987" s="55"/>
      <c r="I987" s="651"/>
      <c r="K987" s="652"/>
      <c r="M987" s="276"/>
    </row>
    <row r="988">
      <c r="A988" s="459"/>
      <c r="C988" s="276"/>
      <c r="D988" s="276"/>
      <c r="E988" s="651"/>
      <c r="F988" s="55"/>
      <c r="G988" s="651"/>
      <c r="H988" s="55"/>
      <c r="I988" s="651"/>
      <c r="K988" s="652"/>
      <c r="M988" s="276"/>
    </row>
    <row r="989">
      <c r="A989" s="459"/>
      <c r="C989" s="276"/>
      <c r="D989" s="276"/>
      <c r="E989" s="651"/>
      <c r="F989" s="55"/>
      <c r="G989" s="651"/>
      <c r="H989" s="55"/>
      <c r="I989" s="651"/>
      <c r="K989" s="652"/>
      <c r="M989" s="276"/>
    </row>
    <row r="990">
      <c r="A990" s="459"/>
      <c r="C990" s="276"/>
      <c r="D990" s="276"/>
      <c r="E990" s="651"/>
      <c r="F990" s="55"/>
      <c r="G990" s="651"/>
      <c r="H990" s="55"/>
      <c r="I990" s="651"/>
      <c r="K990" s="652"/>
      <c r="M990" s="276"/>
    </row>
    <row r="991">
      <c r="A991" s="459"/>
      <c r="C991" s="276"/>
      <c r="D991" s="276"/>
      <c r="E991" s="651"/>
      <c r="F991" s="55"/>
      <c r="G991" s="651"/>
      <c r="H991" s="55"/>
      <c r="I991" s="651"/>
      <c r="K991" s="652"/>
      <c r="M991" s="27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16.5"/>
    <col customWidth="1" min="3" max="4" width="9.0"/>
    <col customWidth="1" min="5" max="5" width="5.13"/>
    <col customWidth="1" min="6" max="6" width="12.75"/>
    <col customWidth="1" min="7" max="7" width="5.13"/>
    <col customWidth="1" min="8" max="8" width="12.63"/>
    <col customWidth="1" min="9" max="9" width="5.13"/>
    <col customWidth="1" min="10" max="10" width="10.0"/>
    <col customWidth="1" min="11" max="11" width="24.38"/>
    <col customWidth="1" hidden="1" min="12" max="12" width="14.38"/>
    <col customWidth="1" min="13" max="13" width="13.75"/>
    <col customWidth="1" hidden="1" min="14" max="105" width="2.88"/>
  </cols>
  <sheetData>
    <row r="1">
      <c r="A1" s="459"/>
      <c r="C1" s="276"/>
      <c r="D1" s="276"/>
      <c r="E1" s="651"/>
      <c r="F1" s="55"/>
      <c r="G1" s="651"/>
      <c r="H1" s="55"/>
      <c r="I1" s="651"/>
      <c r="K1" s="652"/>
      <c r="M1" s="276"/>
    </row>
    <row r="2">
      <c r="A2" s="653"/>
      <c r="B2" s="654" t="s">
        <v>2039</v>
      </c>
      <c r="C2" s="655" t="s">
        <v>2040</v>
      </c>
      <c r="D2" s="656" t="s">
        <v>2041</v>
      </c>
      <c r="E2" s="657"/>
      <c r="F2" s="658" t="s">
        <v>2042</v>
      </c>
      <c r="G2" s="657"/>
      <c r="H2" s="658" t="s">
        <v>2043</v>
      </c>
      <c r="I2" s="657"/>
      <c r="J2" s="654" t="s">
        <v>2044</v>
      </c>
      <c r="K2" s="657" t="s">
        <v>2045</v>
      </c>
      <c r="L2" s="654" t="s">
        <v>2046</v>
      </c>
      <c r="M2" s="656" t="s">
        <v>2047</v>
      </c>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row>
    <row r="3" ht="45.0" customHeight="1">
      <c r="A3" s="459"/>
      <c r="B3" s="659" t="s">
        <v>258</v>
      </c>
      <c r="C3" s="660">
        <v>80.0</v>
      </c>
      <c r="D3" s="660">
        <f t="shared" ref="D3:D7" si="1">C3</f>
        <v>80</v>
      </c>
      <c r="E3" s="661"/>
      <c r="F3" s="662"/>
      <c r="G3" s="661"/>
      <c r="H3" s="662"/>
      <c r="I3" s="661"/>
      <c r="J3" s="544"/>
      <c r="K3" s="663" t="s">
        <v>2048</v>
      </c>
      <c r="L3" s="544"/>
      <c r="M3" s="664"/>
      <c r="N3" s="285" t="str">
        <f t="shared" ref="N3:N51" si="2">A3</f>
        <v/>
      </c>
    </row>
    <row r="4" ht="45.0" customHeight="1">
      <c r="A4" s="459"/>
      <c r="B4" s="659" t="s">
        <v>263</v>
      </c>
      <c r="C4" s="660">
        <v>80.0</v>
      </c>
      <c r="D4" s="660">
        <f t="shared" si="1"/>
        <v>80</v>
      </c>
      <c r="E4" s="661"/>
      <c r="F4" s="662"/>
      <c r="G4" s="661"/>
      <c r="H4" s="662"/>
      <c r="I4" s="661"/>
      <c r="J4" s="544"/>
      <c r="K4" s="663" t="s">
        <v>2049</v>
      </c>
      <c r="L4" s="544"/>
      <c r="M4" s="665"/>
      <c r="N4" s="285" t="str">
        <f t="shared" si="2"/>
        <v/>
      </c>
    </row>
    <row r="5" ht="45.0" customHeight="1">
      <c r="A5" s="459"/>
      <c r="B5" s="659" t="s">
        <v>257</v>
      </c>
      <c r="C5" s="660">
        <v>80.0</v>
      </c>
      <c r="D5" s="660">
        <f t="shared" si="1"/>
        <v>80</v>
      </c>
      <c r="E5" s="661"/>
      <c r="F5" s="662"/>
      <c r="G5" s="661"/>
      <c r="H5" s="662"/>
      <c r="I5" s="661"/>
      <c r="J5" s="544"/>
      <c r="K5" s="663" t="s">
        <v>2050</v>
      </c>
      <c r="L5" s="544"/>
      <c r="M5" s="666"/>
      <c r="N5" s="285" t="str">
        <f t="shared" si="2"/>
        <v/>
      </c>
    </row>
    <row r="6" ht="45.0" customHeight="1">
      <c r="A6" s="459"/>
      <c r="B6" s="659" t="s">
        <v>262</v>
      </c>
      <c r="C6" s="660">
        <v>80.0</v>
      </c>
      <c r="D6" s="660">
        <f t="shared" si="1"/>
        <v>80</v>
      </c>
      <c r="E6" s="661"/>
      <c r="F6" s="662"/>
      <c r="G6" s="661"/>
      <c r="H6" s="662"/>
      <c r="I6" s="661"/>
      <c r="J6" s="544"/>
      <c r="K6" s="663" t="s">
        <v>126</v>
      </c>
      <c r="L6" s="544"/>
      <c r="M6" s="459"/>
      <c r="N6" s="285" t="str">
        <f t="shared" si="2"/>
        <v/>
      </c>
    </row>
    <row r="7" ht="45.0" customHeight="1">
      <c r="A7" s="459"/>
      <c r="B7" s="659" t="s">
        <v>261</v>
      </c>
      <c r="C7" s="660">
        <v>80.0</v>
      </c>
      <c r="D7" s="660">
        <f t="shared" si="1"/>
        <v>80</v>
      </c>
      <c r="E7" s="661"/>
      <c r="F7" s="662"/>
      <c r="G7" s="661"/>
      <c r="H7" s="662"/>
      <c r="I7" s="661"/>
      <c r="J7" s="544"/>
      <c r="K7" s="663" t="s">
        <v>2051</v>
      </c>
      <c r="L7" s="544"/>
      <c r="M7" s="664"/>
      <c r="N7" s="285" t="str">
        <f t="shared" si="2"/>
        <v/>
      </c>
    </row>
    <row r="8" ht="45.0" customHeight="1">
      <c r="A8" s="459"/>
      <c r="B8" s="659" t="s">
        <v>268</v>
      </c>
      <c r="C8" s="660">
        <v>120.0</v>
      </c>
      <c r="D8" s="660">
        <f t="shared" ref="D8:D51" si="3">C8+M8</f>
        <v>200</v>
      </c>
      <c r="E8" s="667" t="str">
        <f t="shared" ref="E8:E51" si="4">VLOOKUP(F8,$B:$N,13,false)</f>
        <v/>
      </c>
      <c r="F8" s="668" t="s">
        <v>258</v>
      </c>
      <c r="G8" s="661"/>
      <c r="H8" s="662"/>
      <c r="I8" s="661"/>
      <c r="J8" s="544"/>
      <c r="K8" s="663" t="s">
        <v>2052</v>
      </c>
      <c r="L8" s="544" t="str">
        <f t="shared" ref="L8:L14" si="5">F8</f>
        <v>Ironworking</v>
      </c>
      <c r="M8" s="669">
        <f t="shared" ref="M8:M14" si="6">VLOOKUP(L8,$B:$D,2,false)</f>
        <v>80</v>
      </c>
      <c r="N8" s="285" t="str">
        <f t="shared" si="2"/>
        <v/>
      </c>
    </row>
    <row r="9" ht="45.0" customHeight="1">
      <c r="A9" s="459"/>
      <c r="B9" s="659" t="s">
        <v>259</v>
      </c>
      <c r="C9" s="660">
        <v>120.0</v>
      </c>
      <c r="D9" s="660">
        <f t="shared" si="3"/>
        <v>200</v>
      </c>
      <c r="E9" s="667" t="str">
        <f t="shared" si="4"/>
        <v/>
      </c>
      <c r="F9" s="668" t="s">
        <v>258</v>
      </c>
      <c r="G9" s="661"/>
      <c r="H9" s="662"/>
      <c r="I9" s="661"/>
      <c r="J9" s="544"/>
      <c r="K9" s="663" t="s">
        <v>2053</v>
      </c>
      <c r="L9" s="544" t="str">
        <f t="shared" si="5"/>
        <v>Ironworking</v>
      </c>
      <c r="M9" s="669">
        <f t="shared" si="6"/>
        <v>80</v>
      </c>
      <c r="N9" s="285" t="str">
        <f t="shared" si="2"/>
        <v/>
      </c>
    </row>
    <row r="10" ht="45.0" customHeight="1">
      <c r="A10" s="459"/>
      <c r="B10" s="659" t="s">
        <v>269</v>
      </c>
      <c r="C10" s="660">
        <v>120.0</v>
      </c>
      <c r="D10" s="660">
        <f t="shared" si="3"/>
        <v>200</v>
      </c>
      <c r="E10" s="667" t="str">
        <f t="shared" si="4"/>
        <v/>
      </c>
      <c r="F10" s="668" t="s">
        <v>263</v>
      </c>
      <c r="G10" s="661"/>
      <c r="H10" s="662"/>
      <c r="I10" s="661"/>
      <c r="J10" s="544"/>
      <c r="K10" s="663" t="s">
        <v>2054</v>
      </c>
      <c r="L10" s="544" t="str">
        <f t="shared" si="5"/>
        <v>Stonecutting</v>
      </c>
      <c r="M10" s="669">
        <f t="shared" si="6"/>
        <v>80</v>
      </c>
      <c r="N10" s="285" t="str">
        <f t="shared" si="2"/>
        <v/>
      </c>
    </row>
    <row r="11" ht="45.0" customHeight="1">
      <c r="A11" s="459"/>
      <c r="B11" s="659" t="s">
        <v>270</v>
      </c>
      <c r="C11" s="660">
        <v>120.0</v>
      </c>
      <c r="D11" s="660">
        <f t="shared" si="3"/>
        <v>200</v>
      </c>
      <c r="E11" s="667" t="str">
        <f t="shared" si="4"/>
        <v/>
      </c>
      <c r="F11" s="668" t="s">
        <v>263</v>
      </c>
      <c r="G11" s="661"/>
      <c r="H11" s="662"/>
      <c r="I11" s="661"/>
      <c r="J11" s="544"/>
      <c r="K11" s="663" t="s">
        <v>2055</v>
      </c>
      <c r="L11" s="544" t="str">
        <f t="shared" si="5"/>
        <v>Stonecutting</v>
      </c>
      <c r="M11" s="669">
        <f t="shared" si="6"/>
        <v>80</v>
      </c>
      <c r="N11" s="285" t="str">
        <f t="shared" si="2"/>
        <v/>
      </c>
    </row>
    <row r="12" ht="45.0" customHeight="1">
      <c r="A12" s="459"/>
      <c r="B12" s="659" t="s">
        <v>264</v>
      </c>
      <c r="C12" s="660">
        <v>120.0</v>
      </c>
      <c r="D12" s="660">
        <f t="shared" si="3"/>
        <v>200</v>
      </c>
      <c r="E12" s="667" t="str">
        <f t="shared" si="4"/>
        <v/>
      </c>
      <c r="F12" s="668" t="s">
        <v>257</v>
      </c>
      <c r="G12" s="661"/>
      <c r="H12" s="662"/>
      <c r="I12" s="661"/>
      <c r="J12" s="544"/>
      <c r="K12" s="663" t="s">
        <v>2056</v>
      </c>
      <c r="L12" s="544" t="str">
        <f t="shared" si="5"/>
        <v>Trapping</v>
      </c>
      <c r="M12" s="669">
        <f t="shared" si="6"/>
        <v>80</v>
      </c>
      <c r="N12" s="285" t="str">
        <f t="shared" si="2"/>
        <v/>
      </c>
    </row>
    <row r="13" ht="45.0" customHeight="1">
      <c r="A13" s="459"/>
      <c r="B13" s="659" t="s">
        <v>267</v>
      </c>
      <c r="C13" s="660">
        <v>120.0</v>
      </c>
      <c r="D13" s="660">
        <f t="shared" si="3"/>
        <v>200</v>
      </c>
      <c r="E13" s="667" t="str">
        <f t="shared" si="4"/>
        <v/>
      </c>
      <c r="F13" s="668" t="s">
        <v>262</v>
      </c>
      <c r="G13" s="661"/>
      <c r="H13" s="662"/>
      <c r="I13" s="661"/>
      <c r="J13" s="544"/>
      <c r="K13" s="670" t="s">
        <v>2122</v>
      </c>
      <c r="L13" s="544" t="str">
        <f t="shared" si="5"/>
        <v>Divination</v>
      </c>
      <c r="M13" s="669">
        <f t="shared" si="6"/>
        <v>80</v>
      </c>
      <c r="N13" s="285" t="str">
        <f t="shared" si="2"/>
        <v/>
      </c>
    </row>
    <row r="14" ht="45.0" customHeight="1">
      <c r="A14" s="459"/>
      <c r="B14" s="659" t="s">
        <v>266</v>
      </c>
      <c r="C14" s="660">
        <v>120.0</v>
      </c>
      <c r="D14" s="660">
        <f t="shared" si="3"/>
        <v>200</v>
      </c>
      <c r="E14" s="667" t="str">
        <f t="shared" si="4"/>
        <v/>
      </c>
      <c r="F14" s="668" t="s">
        <v>261</v>
      </c>
      <c r="G14" s="661"/>
      <c r="H14" s="662"/>
      <c r="I14" s="661"/>
      <c r="J14" s="544"/>
      <c r="K14" s="663" t="s">
        <v>2058</v>
      </c>
      <c r="L14" s="544" t="str">
        <f t="shared" si="5"/>
        <v>Administration</v>
      </c>
      <c r="M14" s="669">
        <f t="shared" si="6"/>
        <v>80</v>
      </c>
      <c r="N14" s="285" t="str">
        <f t="shared" si="2"/>
        <v/>
      </c>
    </row>
    <row r="15" ht="45.0" customHeight="1">
      <c r="A15" s="459"/>
      <c r="B15" s="659" t="s">
        <v>1943</v>
      </c>
      <c r="C15" s="660">
        <v>200.0</v>
      </c>
      <c r="D15" s="660">
        <f t="shared" si="3"/>
        <v>400</v>
      </c>
      <c r="E15" s="667" t="str">
        <f t="shared" si="4"/>
        <v/>
      </c>
      <c r="F15" s="668" t="s">
        <v>268</v>
      </c>
      <c r="G15" s="661"/>
      <c r="H15" s="662"/>
      <c r="I15" s="661"/>
      <c r="J15" s="544"/>
      <c r="K15" s="663" t="s">
        <v>2059</v>
      </c>
      <c r="L15" s="544" t="str">
        <f t="shared" ref="L15:L51" si="7">TEXTJOIN(",",true,O15:AZ15)</f>
        <v>Labor Force,Ironworking</v>
      </c>
      <c r="M15" s="669">
        <f t="array" ref="M15">SUM(IF(O15:AZ15=0,0,VLOOKUP(O15:AZ15,$B:$C,2,false)))</f>
        <v>200</v>
      </c>
      <c r="N15" s="285" t="str">
        <f t="shared" si="2"/>
        <v/>
      </c>
      <c r="O15" s="285" t="str">
        <f t="shared" ref="O15:O51" si="8">UNIQUE(BC15:CN15,true)</f>
        <v>Labor Force</v>
      </c>
      <c r="P15" s="285" t="s">
        <v>258</v>
      </c>
      <c r="Q15" s="285"/>
      <c r="BB15" s="285" t="str">
        <f t="shared" ref="BB15:BB51" si="9">IF(F15="","",F15&amp;","&amp;VLOOKUP(F15,B:L,11,false)&amp;",")&amp;IF(H15="","",H15&amp;","&amp;VLOOKUP(H15,B:L,11,false)&amp;",")&amp;IF(J15="","",J15&amp;","&amp;VLOOKUP(J15,B:L,11,false))</f>
        <v>Labor Force,Ironworking,</v>
      </c>
      <c r="BC15" s="285" t="str">
        <f>IFERROR(__xludf.DUMMYFUNCTION("SPLIT(BB15,"","")"),"Labor Force")</f>
        <v>Labor Force</v>
      </c>
      <c r="BD15" s="285" t="str">
        <f>IFERROR(__xludf.DUMMYFUNCTION("""COMPUTED_VALUE"""),"Ironworking")</f>
        <v>Ironworking</v>
      </c>
    </row>
    <row r="16" ht="45.0" customHeight="1">
      <c r="A16" s="459"/>
      <c r="B16" s="659" t="s">
        <v>2060</v>
      </c>
      <c r="C16" s="660">
        <v>200.0</v>
      </c>
      <c r="D16" s="660">
        <f t="shared" si="3"/>
        <v>400</v>
      </c>
      <c r="E16" s="667" t="str">
        <f t="shared" si="4"/>
        <v/>
      </c>
      <c r="F16" s="668" t="s">
        <v>268</v>
      </c>
      <c r="G16" s="661"/>
      <c r="H16" s="662"/>
      <c r="I16" s="661"/>
      <c r="J16" s="544"/>
      <c r="K16" s="663" t="s">
        <v>2061</v>
      </c>
      <c r="L16" s="544" t="str">
        <f t="shared" si="7"/>
        <v>Labor Force,Ironworking</v>
      </c>
      <c r="M16" s="669">
        <f t="array" ref="M16">SUM(IF(O16:AZ16=0,0,VLOOKUP(O16:AZ16,$B:$C,2,false)))</f>
        <v>200</v>
      </c>
      <c r="N16" s="285" t="str">
        <f t="shared" si="2"/>
        <v/>
      </c>
      <c r="O16" s="285" t="str">
        <f t="shared" si="8"/>
        <v>Labor Force</v>
      </c>
      <c r="P16" s="285" t="s">
        <v>258</v>
      </c>
      <c r="Q16" s="285"/>
      <c r="BB16" s="285" t="str">
        <f t="shared" si="9"/>
        <v>Labor Force,Ironworking,</v>
      </c>
      <c r="BC16" s="285" t="str">
        <f>IFERROR(__xludf.DUMMYFUNCTION("SPLIT(BB16,"","")"),"Labor Force")</f>
        <v>Labor Force</v>
      </c>
      <c r="BD16" s="285" t="str">
        <f>IFERROR(__xludf.DUMMYFUNCTION("""COMPUTED_VALUE"""),"Ironworking")</f>
        <v>Ironworking</v>
      </c>
    </row>
    <row r="17" ht="45.0" customHeight="1">
      <c r="A17" s="459"/>
      <c r="B17" s="659" t="s">
        <v>2062</v>
      </c>
      <c r="C17" s="660">
        <v>200.0</v>
      </c>
      <c r="D17" s="660">
        <f t="shared" si="3"/>
        <v>400</v>
      </c>
      <c r="E17" s="667" t="str">
        <f t="shared" si="4"/>
        <v/>
      </c>
      <c r="F17" s="668" t="s">
        <v>259</v>
      </c>
      <c r="G17" s="661"/>
      <c r="H17" s="662"/>
      <c r="I17" s="661"/>
      <c r="J17" s="544"/>
      <c r="K17" s="663" t="s">
        <v>2123</v>
      </c>
      <c r="L17" s="544" t="str">
        <f t="shared" si="7"/>
        <v>Husbandry,Ironworking</v>
      </c>
      <c r="M17" s="669">
        <f t="array" ref="M17">SUM(IF(O17:AZ17=0,0,VLOOKUP(O17:AZ17,$B:$C,2,false)))</f>
        <v>200</v>
      </c>
      <c r="N17" s="285" t="str">
        <f t="shared" si="2"/>
        <v/>
      </c>
      <c r="O17" s="285" t="str">
        <f t="shared" si="8"/>
        <v>Husbandry</v>
      </c>
      <c r="P17" s="285" t="s">
        <v>258</v>
      </c>
      <c r="Q17" s="285"/>
      <c r="BB17" s="285" t="str">
        <f t="shared" si="9"/>
        <v>Husbandry,Ironworking,</v>
      </c>
      <c r="BC17" s="285" t="str">
        <f>IFERROR(__xludf.DUMMYFUNCTION("SPLIT(BB17,"","")"),"Husbandry")</f>
        <v>Husbandry</v>
      </c>
      <c r="BD17" s="285" t="str">
        <f>IFERROR(__xludf.DUMMYFUNCTION("""COMPUTED_VALUE"""),"Ironworking")</f>
        <v>Ironworking</v>
      </c>
    </row>
    <row r="18" ht="45.0" customHeight="1">
      <c r="A18" s="459"/>
      <c r="B18" s="659" t="s">
        <v>1798</v>
      </c>
      <c r="C18" s="660">
        <v>200.0</v>
      </c>
      <c r="D18" s="660">
        <f t="shared" si="3"/>
        <v>400</v>
      </c>
      <c r="E18" s="667" t="str">
        <f t="shared" si="4"/>
        <v/>
      </c>
      <c r="F18" s="668" t="s">
        <v>270</v>
      </c>
      <c r="G18" s="667"/>
      <c r="H18" s="662"/>
      <c r="I18" s="661"/>
      <c r="J18" s="544"/>
      <c r="K18" s="663" t="s">
        <v>2064</v>
      </c>
      <c r="L18" s="544" t="str">
        <f t="shared" si="7"/>
        <v>Polis,Stonecutting</v>
      </c>
      <c r="M18" s="669">
        <f t="array" ref="M18">SUM(IF(O18:AZ18=0,0,VLOOKUP(O18:AZ18,$B:$C,2,false)))</f>
        <v>200</v>
      </c>
      <c r="N18" s="285" t="str">
        <f t="shared" si="2"/>
        <v/>
      </c>
      <c r="O18" s="285" t="str">
        <f t="shared" si="8"/>
        <v>Polis</v>
      </c>
      <c r="P18" s="285" t="s">
        <v>263</v>
      </c>
      <c r="Q18" s="285"/>
      <c r="BB18" s="285" t="str">
        <f t="shared" si="9"/>
        <v>Polis,Stonecutting,</v>
      </c>
      <c r="BC18" s="285" t="str">
        <f>IFERROR(__xludf.DUMMYFUNCTION("SPLIT(BB18,"","")"),"Polis")</f>
        <v>Polis</v>
      </c>
      <c r="BD18" s="285" t="str">
        <f>IFERROR(__xludf.DUMMYFUNCTION("""COMPUTED_VALUE"""),"Stonecutting")</f>
        <v>Stonecutting</v>
      </c>
    </row>
    <row r="19" ht="45.0" customHeight="1">
      <c r="A19" s="459"/>
      <c r="B19" s="659" t="s">
        <v>2065</v>
      </c>
      <c r="C19" s="660">
        <v>200.0</v>
      </c>
      <c r="D19" s="660">
        <f t="shared" si="3"/>
        <v>480</v>
      </c>
      <c r="E19" s="667" t="str">
        <f t="shared" si="4"/>
        <v/>
      </c>
      <c r="F19" s="668" t="s">
        <v>264</v>
      </c>
      <c r="G19" s="667" t="str">
        <f t="shared" ref="G19:G20" si="10">VLOOKUP(H19,$B:$N,13,false)</f>
        <v/>
      </c>
      <c r="H19" s="668" t="s">
        <v>258</v>
      </c>
      <c r="I19" s="661"/>
      <c r="J19" s="544"/>
      <c r="K19" s="663" t="s">
        <v>2066</v>
      </c>
      <c r="L19" s="544" t="str">
        <f t="shared" si="7"/>
        <v>Military Drill,Trapping,Ironworking</v>
      </c>
      <c r="M19" s="669">
        <f t="array" ref="M19">SUM(IF(O19:AZ19=0,0,VLOOKUP(O19:AZ19,$B:$C,2,false)))</f>
        <v>280</v>
      </c>
      <c r="N19" s="285" t="str">
        <f t="shared" si="2"/>
        <v/>
      </c>
      <c r="O19" s="285" t="str">
        <f t="shared" si="8"/>
        <v>Military Drill</v>
      </c>
      <c r="P19" s="285" t="s">
        <v>257</v>
      </c>
      <c r="Q19" s="285" t="s">
        <v>258</v>
      </c>
      <c r="R19" s="285"/>
      <c r="BB19" s="285" t="str">
        <f t="shared" si="9"/>
        <v>Military Drill,Trapping,Ironworking,,</v>
      </c>
      <c r="BC19" s="285" t="str">
        <f>IFERROR(__xludf.DUMMYFUNCTION("SPLIT(BB19,"","")"),"Military Drill")</f>
        <v>Military Drill</v>
      </c>
      <c r="BD19" s="285" t="str">
        <f>IFERROR(__xludf.DUMMYFUNCTION("""COMPUTED_VALUE"""),"Trapping")</f>
        <v>Trapping</v>
      </c>
      <c r="BE19" s="285" t="str">
        <f>IFERROR(__xludf.DUMMYFUNCTION("""COMPUTED_VALUE"""),"Ironworking")</f>
        <v>Ironworking</v>
      </c>
    </row>
    <row r="20" ht="45.0" customHeight="1">
      <c r="A20" s="459"/>
      <c r="B20" s="659" t="s">
        <v>1942</v>
      </c>
      <c r="C20" s="660">
        <v>200.0</v>
      </c>
      <c r="D20" s="660">
        <f t="shared" si="3"/>
        <v>600</v>
      </c>
      <c r="E20" s="667" t="str">
        <f t="shared" si="4"/>
        <v/>
      </c>
      <c r="F20" s="668" t="s">
        <v>267</v>
      </c>
      <c r="G20" s="667" t="str">
        <f t="shared" si="10"/>
        <v/>
      </c>
      <c r="H20" s="668" t="s">
        <v>266</v>
      </c>
      <c r="I20" s="661"/>
      <c r="J20" s="544"/>
      <c r="K20" s="663" t="s">
        <v>2067</v>
      </c>
      <c r="L20" s="544" t="str">
        <f t="shared" si="7"/>
        <v>Aristocracy,Divination,Rhetoric,Administration</v>
      </c>
      <c r="M20" s="669">
        <f t="array" ref="M20">SUM(IF(O20:AZ20=0,0,VLOOKUP(O20:AZ20,$B:$C,2,false)))</f>
        <v>400</v>
      </c>
      <c r="N20" s="285" t="str">
        <f t="shared" si="2"/>
        <v/>
      </c>
      <c r="O20" s="285" t="str">
        <f t="shared" si="8"/>
        <v>Aristocracy</v>
      </c>
      <c r="P20" s="285" t="s">
        <v>262</v>
      </c>
      <c r="Q20" s="285" t="s">
        <v>266</v>
      </c>
      <c r="R20" s="285" t="s">
        <v>261</v>
      </c>
      <c r="S20" s="285"/>
      <c r="BB20" s="285" t="str">
        <f t="shared" si="9"/>
        <v>Aristocracy,Divination,Rhetoric,Administration,</v>
      </c>
      <c r="BC20" s="285" t="str">
        <f>IFERROR(__xludf.DUMMYFUNCTION("SPLIT(BB20,"","")"),"Aristocracy")</f>
        <v>Aristocracy</v>
      </c>
      <c r="BD20" s="285" t="str">
        <f>IFERROR(__xludf.DUMMYFUNCTION("""COMPUTED_VALUE"""),"Divination")</f>
        <v>Divination</v>
      </c>
      <c r="BE20" s="285" t="str">
        <f>IFERROR(__xludf.DUMMYFUNCTION("""COMPUTED_VALUE"""),"Rhetoric")</f>
        <v>Rhetoric</v>
      </c>
      <c r="BF20" s="285" t="str">
        <f>IFERROR(__xludf.DUMMYFUNCTION("""COMPUTED_VALUE"""),"Administration")</f>
        <v>Administration</v>
      </c>
    </row>
    <row r="21" ht="45.0" customHeight="1">
      <c r="A21" s="459"/>
      <c r="B21" s="659" t="s">
        <v>1796</v>
      </c>
      <c r="C21" s="660">
        <v>200.0</v>
      </c>
      <c r="D21" s="660">
        <f t="shared" si="3"/>
        <v>400</v>
      </c>
      <c r="E21" s="667" t="str">
        <f t="shared" si="4"/>
        <v/>
      </c>
      <c r="F21" s="668" t="s">
        <v>266</v>
      </c>
      <c r="G21" s="661"/>
      <c r="H21" s="662"/>
      <c r="I21" s="661"/>
      <c r="J21" s="544"/>
      <c r="K21" s="670" t="s">
        <v>2068</v>
      </c>
      <c r="L21" s="544" t="str">
        <f t="shared" si="7"/>
        <v>Rhetoric,Administration</v>
      </c>
      <c r="M21" s="669">
        <f t="array" ref="M21">SUM(IF(O21:AZ21=0,0,VLOOKUP(O21:AZ21,$B:$C,2,false)))</f>
        <v>200</v>
      </c>
      <c r="N21" s="285" t="str">
        <f t="shared" si="2"/>
        <v/>
      </c>
      <c r="O21" s="285" t="str">
        <f t="shared" si="8"/>
        <v>Rhetoric</v>
      </c>
      <c r="P21" s="285" t="s">
        <v>261</v>
      </c>
      <c r="Q21" s="285"/>
      <c r="BB21" s="285" t="str">
        <f t="shared" si="9"/>
        <v>Rhetoric,Administration,</v>
      </c>
      <c r="BC21" s="285" t="str">
        <f>IFERROR(__xludf.DUMMYFUNCTION("SPLIT(BB21,"","")"),"Rhetoric")</f>
        <v>Rhetoric</v>
      </c>
      <c r="BD21" s="285" t="str">
        <f>IFERROR(__xludf.DUMMYFUNCTION("""COMPUTED_VALUE"""),"Administration")</f>
        <v>Administration</v>
      </c>
    </row>
    <row r="22" ht="45.0" customHeight="1">
      <c r="A22" s="459"/>
      <c r="B22" s="659" t="s">
        <v>2069</v>
      </c>
      <c r="C22" s="660">
        <v>400.0</v>
      </c>
      <c r="D22" s="660">
        <f t="shared" si="3"/>
        <v>800</v>
      </c>
      <c r="E22" s="667" t="str">
        <f t="shared" si="4"/>
        <v/>
      </c>
      <c r="F22" s="668" t="s">
        <v>1943</v>
      </c>
      <c r="G22" s="661"/>
      <c r="H22" s="662"/>
      <c r="I22" s="661"/>
      <c r="J22" s="544"/>
      <c r="K22" s="663" t="s">
        <v>2070</v>
      </c>
      <c r="L22" s="544" t="str">
        <f t="shared" si="7"/>
        <v>Navigation,Labor Force,Ironworking</v>
      </c>
      <c r="M22" s="669">
        <f t="array" ref="M22">SUM(IF(O22:AZ22=0,0,VLOOKUP(O22:AZ22,$B:$C,2,false)))</f>
        <v>400</v>
      </c>
      <c r="N22" s="285" t="str">
        <f t="shared" si="2"/>
        <v/>
      </c>
      <c r="O22" s="285" t="str">
        <f t="shared" si="8"/>
        <v>Navigation</v>
      </c>
      <c r="P22" s="285" t="s">
        <v>268</v>
      </c>
      <c r="Q22" s="285" t="s">
        <v>258</v>
      </c>
      <c r="R22" s="285"/>
      <c r="BB22" s="285" t="str">
        <f t="shared" si="9"/>
        <v>Navigation,Labor Force,Ironworking,</v>
      </c>
      <c r="BC22" s="285" t="str">
        <f>IFERROR(__xludf.DUMMYFUNCTION("SPLIT(BB22,"","")"),"Navigation")</f>
        <v>Navigation</v>
      </c>
      <c r="BD22" s="285" t="str">
        <f>IFERROR(__xludf.DUMMYFUNCTION("""COMPUTED_VALUE"""),"Labor Force")</f>
        <v>Labor Force</v>
      </c>
      <c r="BE22" s="285" t="str">
        <f>IFERROR(__xludf.DUMMYFUNCTION("""COMPUTED_VALUE"""),"Ironworking")</f>
        <v>Ironworking</v>
      </c>
    </row>
    <row r="23" ht="45.0" customHeight="1">
      <c r="A23" s="459"/>
      <c r="B23" s="659" t="s">
        <v>1969</v>
      </c>
      <c r="C23" s="660">
        <v>400.0</v>
      </c>
      <c r="D23" s="660">
        <f t="shared" si="3"/>
        <v>800</v>
      </c>
      <c r="E23" s="667" t="str">
        <f t="shared" si="4"/>
        <v/>
      </c>
      <c r="F23" s="668" t="s">
        <v>2060</v>
      </c>
      <c r="G23" s="661"/>
      <c r="H23" s="662"/>
      <c r="I23" s="661"/>
      <c r="J23" s="544"/>
      <c r="K23" s="663" t="s">
        <v>2071</v>
      </c>
      <c r="L23" s="544" t="str">
        <f t="shared" si="7"/>
        <v>Phalanx,Labor Force,Ironworking</v>
      </c>
      <c r="M23" s="669">
        <f t="array" ref="M23">SUM(IF(O23:AZ23=0,0,VLOOKUP(O23:AZ23,$B:$C,2,false)))</f>
        <v>400</v>
      </c>
      <c r="N23" s="285" t="str">
        <f t="shared" si="2"/>
        <v/>
      </c>
      <c r="O23" s="285" t="str">
        <f t="shared" si="8"/>
        <v>Phalanx</v>
      </c>
      <c r="P23" s="285" t="s">
        <v>268</v>
      </c>
      <c r="Q23" s="285" t="s">
        <v>258</v>
      </c>
      <c r="R23" s="285"/>
      <c r="BB23" s="285" t="str">
        <f t="shared" si="9"/>
        <v>Phalanx,Labor Force,Ironworking,</v>
      </c>
      <c r="BC23" s="285" t="str">
        <f>IFERROR(__xludf.DUMMYFUNCTION("SPLIT(BB23,"","")"),"Phalanx")</f>
        <v>Phalanx</v>
      </c>
      <c r="BD23" s="285" t="str">
        <f>IFERROR(__xludf.DUMMYFUNCTION("""COMPUTED_VALUE"""),"Labor Force")</f>
        <v>Labor Force</v>
      </c>
      <c r="BE23" s="285" t="str">
        <f>IFERROR(__xludf.DUMMYFUNCTION("""COMPUTED_VALUE"""),"Ironworking")</f>
        <v>Ironworking</v>
      </c>
    </row>
    <row r="24" ht="45.0" customHeight="1">
      <c r="A24" s="459"/>
      <c r="B24" s="659" t="s">
        <v>2072</v>
      </c>
      <c r="C24" s="660">
        <v>400.0</v>
      </c>
      <c r="D24" s="660">
        <f t="shared" si="3"/>
        <v>800</v>
      </c>
      <c r="E24" s="667" t="str">
        <f t="shared" si="4"/>
        <v/>
      </c>
      <c r="F24" s="668" t="s">
        <v>2062</v>
      </c>
      <c r="G24" s="661"/>
      <c r="H24" s="662"/>
      <c r="I24" s="661"/>
      <c r="J24" s="544"/>
      <c r="K24" s="663" t="s">
        <v>2124</v>
      </c>
      <c r="L24" s="544" t="str">
        <f t="shared" si="7"/>
        <v>Spoked Wheel,Husbandry,Ironworking</v>
      </c>
      <c r="M24" s="669">
        <f t="array" ref="M24">SUM(IF(O24:AZ24=0,0,VLOOKUP(O24:AZ24,$B:$C,2,false)))</f>
        <v>400</v>
      </c>
      <c r="N24" s="285" t="str">
        <f t="shared" si="2"/>
        <v/>
      </c>
      <c r="O24" s="285" t="str">
        <f t="shared" si="8"/>
        <v>Spoked Wheel</v>
      </c>
      <c r="P24" s="285" t="s">
        <v>259</v>
      </c>
      <c r="Q24" s="285" t="s">
        <v>258</v>
      </c>
      <c r="R24" s="285"/>
      <c r="BB24" s="285" t="str">
        <f t="shared" si="9"/>
        <v>Spoked Wheel,Husbandry,Ironworking,</v>
      </c>
      <c r="BC24" s="285" t="str">
        <f>IFERROR(__xludf.DUMMYFUNCTION("SPLIT(BB24,"","")"),"Spoked Wheel")</f>
        <v>Spoked Wheel</v>
      </c>
      <c r="BD24" s="285" t="str">
        <f>IFERROR(__xludf.DUMMYFUNCTION("""COMPUTED_VALUE"""),"Husbandry")</f>
        <v>Husbandry</v>
      </c>
      <c r="BE24" s="285" t="str">
        <f>IFERROR(__xludf.DUMMYFUNCTION("""COMPUTED_VALUE"""),"Ironworking")</f>
        <v>Ironworking</v>
      </c>
    </row>
    <row r="25" ht="45.0" customHeight="1">
      <c r="A25" s="459"/>
      <c r="B25" s="659" t="s">
        <v>2074</v>
      </c>
      <c r="C25" s="660">
        <v>400.0</v>
      </c>
      <c r="D25" s="660">
        <f t="shared" si="3"/>
        <v>800</v>
      </c>
      <c r="E25" s="667" t="str">
        <f t="shared" si="4"/>
        <v/>
      </c>
      <c r="F25" s="668" t="s">
        <v>1798</v>
      </c>
      <c r="G25" s="661"/>
      <c r="H25" s="662"/>
      <c r="I25" s="661"/>
      <c r="J25" s="544"/>
      <c r="K25" s="670" t="s">
        <v>2075</v>
      </c>
      <c r="L25" s="544" t="str">
        <f t="shared" si="7"/>
        <v>Forestry,Polis,Stonecutting</v>
      </c>
      <c r="M25" s="669">
        <f t="array" ref="M25">SUM(IF(O25:AZ25=0,0,VLOOKUP(O25:AZ25,$B:$C,2,false)))</f>
        <v>400</v>
      </c>
      <c r="N25" s="285" t="str">
        <f t="shared" si="2"/>
        <v/>
      </c>
      <c r="O25" s="285" t="str">
        <f t="shared" si="8"/>
        <v>Forestry</v>
      </c>
      <c r="P25" s="285" t="s">
        <v>270</v>
      </c>
      <c r="Q25" s="285" t="s">
        <v>263</v>
      </c>
      <c r="R25" s="285"/>
      <c r="BB25" s="285" t="str">
        <f t="shared" si="9"/>
        <v>Forestry,Polis,Stonecutting,</v>
      </c>
      <c r="BC25" s="285" t="str">
        <f>IFERROR(__xludf.DUMMYFUNCTION("SPLIT(BB25,"","")"),"Forestry")</f>
        <v>Forestry</v>
      </c>
      <c r="BD25" s="285" t="str">
        <f>IFERROR(__xludf.DUMMYFUNCTION("""COMPUTED_VALUE"""),"Polis")</f>
        <v>Polis</v>
      </c>
      <c r="BE25" s="285" t="str">
        <f>IFERROR(__xludf.DUMMYFUNCTION("""COMPUTED_VALUE"""),"Stonecutting")</f>
        <v>Stonecutting</v>
      </c>
    </row>
    <row r="26" ht="45.0" customHeight="1">
      <c r="A26" s="459"/>
      <c r="B26" s="659" t="s">
        <v>2076</v>
      </c>
      <c r="C26" s="660">
        <v>400.0</v>
      </c>
      <c r="D26" s="660">
        <f t="shared" si="3"/>
        <v>600</v>
      </c>
      <c r="E26" s="667" t="str">
        <f t="shared" si="4"/>
        <v/>
      </c>
      <c r="F26" s="668" t="s">
        <v>264</v>
      </c>
      <c r="G26" s="661"/>
      <c r="H26" s="662"/>
      <c r="I26" s="661"/>
      <c r="J26" s="544"/>
      <c r="K26" s="663" t="s">
        <v>2077</v>
      </c>
      <c r="L26" s="544" t="str">
        <f t="shared" si="7"/>
        <v>Military Drill,Trapping</v>
      </c>
      <c r="M26" s="669">
        <f t="array" ref="M26">SUM(IF(O26:AZ26=0,0,VLOOKUP(O26:AZ26,$B:$C,2,false)))</f>
        <v>200</v>
      </c>
      <c r="N26" s="285" t="str">
        <f t="shared" si="2"/>
        <v/>
      </c>
      <c r="O26" s="285" t="str">
        <f t="shared" si="8"/>
        <v>Military Drill</v>
      </c>
      <c r="P26" s="285" t="s">
        <v>257</v>
      </c>
      <c r="Q26" s="285"/>
      <c r="BB26" s="285" t="str">
        <f t="shared" si="9"/>
        <v>Military Drill,Trapping,</v>
      </c>
      <c r="BC26" s="285" t="str">
        <f>IFERROR(__xludf.DUMMYFUNCTION("SPLIT(BB26,"","")"),"Military Drill")</f>
        <v>Military Drill</v>
      </c>
      <c r="BD26" s="285" t="str">
        <f>IFERROR(__xludf.DUMMYFUNCTION("""COMPUTED_VALUE"""),"Trapping")</f>
        <v>Trapping</v>
      </c>
    </row>
    <row r="27" ht="45.0" customHeight="1">
      <c r="A27" s="459"/>
      <c r="B27" s="659" t="s">
        <v>1944</v>
      </c>
      <c r="C27" s="660">
        <v>400.0</v>
      </c>
      <c r="D27" s="660">
        <f t="shared" si="3"/>
        <v>600</v>
      </c>
      <c r="E27" s="667" t="str">
        <f t="shared" si="4"/>
        <v/>
      </c>
      <c r="F27" s="668" t="s">
        <v>267</v>
      </c>
      <c r="G27" s="661"/>
      <c r="H27" s="662"/>
      <c r="I27" s="661"/>
      <c r="J27" s="544"/>
      <c r="K27" s="663" t="s">
        <v>2078</v>
      </c>
      <c r="L27" s="544" t="str">
        <f t="shared" si="7"/>
        <v>Aristocracy,Divination</v>
      </c>
      <c r="M27" s="669">
        <f t="array" ref="M27">SUM(IF(O27:AZ27=0,0,VLOOKUP(O27:AZ27,$B:$C,2,false)))</f>
        <v>200</v>
      </c>
      <c r="N27" s="285" t="str">
        <f t="shared" si="2"/>
        <v/>
      </c>
      <c r="O27" s="285" t="str">
        <f t="shared" si="8"/>
        <v>Aristocracy</v>
      </c>
      <c r="P27" s="285" t="s">
        <v>262</v>
      </c>
      <c r="Q27" s="285"/>
      <c r="BB27" s="285" t="str">
        <f t="shared" si="9"/>
        <v>Aristocracy,Divination,</v>
      </c>
      <c r="BC27" s="285" t="str">
        <f>IFERROR(__xludf.DUMMYFUNCTION("SPLIT(BB27,"","")"),"Aristocracy")</f>
        <v>Aristocracy</v>
      </c>
      <c r="BD27" s="285" t="str">
        <f>IFERROR(__xludf.DUMMYFUNCTION("""COMPUTED_VALUE"""),"Divination")</f>
        <v>Divination</v>
      </c>
    </row>
    <row r="28" ht="45.0" customHeight="1">
      <c r="A28" s="459"/>
      <c r="B28" s="659" t="s">
        <v>2079</v>
      </c>
      <c r="C28" s="660">
        <v>400.0</v>
      </c>
      <c r="D28" s="660">
        <f t="shared" si="3"/>
        <v>1000</v>
      </c>
      <c r="E28" s="667" t="str">
        <f t="shared" si="4"/>
        <v/>
      </c>
      <c r="F28" s="668" t="s">
        <v>1942</v>
      </c>
      <c r="G28" s="661"/>
      <c r="H28" s="662"/>
      <c r="I28" s="661"/>
      <c r="J28" s="544"/>
      <c r="K28" s="663" t="s">
        <v>2080</v>
      </c>
      <c r="L28" s="544" t="str">
        <f t="shared" si="7"/>
        <v>Sovereignty,Aristocracy,Divination,Rhetoric,Administration</v>
      </c>
      <c r="M28" s="669">
        <f t="array" ref="M28">SUM(IF(O28:AZ28=0,0,VLOOKUP(O28:AZ28,$B:$C,2,false)))</f>
        <v>600</v>
      </c>
      <c r="N28" s="285" t="str">
        <f t="shared" si="2"/>
        <v/>
      </c>
      <c r="O28" s="285" t="str">
        <f t="shared" si="8"/>
        <v>Sovereignty</v>
      </c>
      <c r="P28" s="285" t="s">
        <v>267</v>
      </c>
      <c r="Q28" s="285" t="s">
        <v>262</v>
      </c>
      <c r="R28" s="285" t="s">
        <v>266</v>
      </c>
      <c r="S28" s="285" t="s">
        <v>261</v>
      </c>
      <c r="T28" s="285"/>
      <c r="BB28" s="285" t="str">
        <f t="shared" si="9"/>
        <v>Sovereignty,Aristocracy,Divination,Rhetoric,Administration,</v>
      </c>
      <c r="BC28" s="285" t="str">
        <f>IFERROR(__xludf.DUMMYFUNCTION("SPLIT(BB28,"","")"),"Sovereignty")</f>
        <v>Sovereignty</v>
      </c>
      <c r="BD28" s="285" t="str">
        <f>IFERROR(__xludf.DUMMYFUNCTION("""COMPUTED_VALUE"""),"Aristocracy")</f>
        <v>Aristocracy</v>
      </c>
      <c r="BE28" s="285" t="str">
        <f>IFERROR(__xludf.DUMMYFUNCTION("""COMPUTED_VALUE"""),"Divination")</f>
        <v>Divination</v>
      </c>
      <c r="BF28" s="285" t="str">
        <f>IFERROR(__xludf.DUMMYFUNCTION("""COMPUTED_VALUE"""),"Rhetoric")</f>
        <v>Rhetoric</v>
      </c>
      <c r="BG28" s="285" t="str">
        <f>IFERROR(__xludf.DUMMYFUNCTION("""COMPUTED_VALUE"""),"Administration")</f>
        <v>Administration</v>
      </c>
    </row>
    <row r="29" ht="45.0" customHeight="1">
      <c r="A29" s="459"/>
      <c r="B29" s="659" t="s">
        <v>2081</v>
      </c>
      <c r="C29" s="660">
        <v>600.0</v>
      </c>
      <c r="D29" s="660">
        <f t="shared" si="3"/>
        <v>1400</v>
      </c>
      <c r="E29" s="667" t="str">
        <f t="shared" si="4"/>
        <v/>
      </c>
      <c r="F29" s="668" t="s">
        <v>1969</v>
      </c>
      <c r="G29" s="661"/>
      <c r="H29" s="662"/>
      <c r="I29" s="661"/>
      <c r="J29" s="544"/>
      <c r="K29" s="670" t="s">
        <v>2082</v>
      </c>
      <c r="L29" s="544" t="str">
        <f t="shared" si="7"/>
        <v>Citizenship,Phalanx,Labor Force,Ironworking</v>
      </c>
      <c r="M29" s="669">
        <f t="array" ref="M29">SUM(IF(O29:AZ29=0,0,VLOOKUP(O29:AZ29,$B:$C,2,false)))</f>
        <v>800</v>
      </c>
      <c r="N29" s="285" t="str">
        <f t="shared" si="2"/>
        <v/>
      </c>
      <c r="O29" s="285" t="str">
        <f t="shared" si="8"/>
        <v>Citizenship</v>
      </c>
      <c r="P29" s="285" t="s">
        <v>2060</v>
      </c>
      <c r="Q29" s="285" t="s">
        <v>268</v>
      </c>
      <c r="R29" s="285" t="s">
        <v>258</v>
      </c>
      <c r="S29" s="285"/>
      <c r="BB29" s="285" t="str">
        <f t="shared" si="9"/>
        <v>Citizenship,Phalanx,Labor Force,Ironworking,</v>
      </c>
      <c r="BC29" s="285" t="str">
        <f>IFERROR(__xludf.DUMMYFUNCTION("SPLIT(BB29,"","")"),"Citizenship")</f>
        <v>Citizenship</v>
      </c>
      <c r="BD29" s="285" t="str">
        <f>IFERROR(__xludf.DUMMYFUNCTION("""COMPUTED_VALUE"""),"Phalanx")</f>
        <v>Phalanx</v>
      </c>
      <c r="BE29" s="285" t="str">
        <f>IFERROR(__xludf.DUMMYFUNCTION("""COMPUTED_VALUE"""),"Labor Force")</f>
        <v>Labor Force</v>
      </c>
      <c r="BF29" s="285" t="str">
        <f>IFERROR(__xludf.DUMMYFUNCTION("""COMPUTED_VALUE"""),"Ironworking")</f>
        <v>Ironworking</v>
      </c>
    </row>
    <row r="30" ht="45.0" customHeight="1">
      <c r="A30" s="459"/>
      <c r="B30" s="659" t="s">
        <v>2083</v>
      </c>
      <c r="C30" s="660">
        <v>600.0</v>
      </c>
      <c r="D30" s="660">
        <f t="shared" si="3"/>
        <v>1400</v>
      </c>
      <c r="E30" s="667" t="str">
        <f t="shared" si="4"/>
        <v/>
      </c>
      <c r="F30" s="668" t="s">
        <v>2072</v>
      </c>
      <c r="G30" s="661"/>
      <c r="H30" s="668"/>
      <c r="I30" s="661"/>
      <c r="J30" s="544"/>
      <c r="K30" s="663" t="s">
        <v>2084</v>
      </c>
      <c r="L30" s="544" t="str">
        <f t="shared" si="7"/>
        <v>Portcullis,Spoked Wheel,Husbandry,Ironworking</v>
      </c>
      <c r="M30" s="669">
        <f t="array" ref="M30">SUM(IF(O30:AZ30=0,0,VLOOKUP(O30:AZ30,$B:$C,2,false)))</f>
        <v>800</v>
      </c>
      <c r="N30" s="285" t="str">
        <f t="shared" si="2"/>
        <v/>
      </c>
      <c r="O30" s="285" t="str">
        <f t="shared" si="8"/>
        <v>Portcullis</v>
      </c>
      <c r="P30" s="285" t="s">
        <v>2062</v>
      </c>
      <c r="Q30" s="285" t="s">
        <v>259</v>
      </c>
      <c r="R30" s="285" t="s">
        <v>258</v>
      </c>
      <c r="S30" s="285"/>
      <c r="BB30" s="285" t="str">
        <f t="shared" si="9"/>
        <v>Portcullis,Spoked Wheel,Husbandry,Ironworking,</v>
      </c>
      <c r="BC30" s="285" t="str">
        <f>IFERROR(__xludf.DUMMYFUNCTION("SPLIT(BB30,"","")"),"Portcullis")</f>
        <v>Portcullis</v>
      </c>
      <c r="BD30" s="285" t="str">
        <f>IFERROR(__xludf.DUMMYFUNCTION("""COMPUTED_VALUE"""),"Spoked Wheel")</f>
        <v>Spoked Wheel</v>
      </c>
      <c r="BE30" s="285" t="str">
        <f>IFERROR(__xludf.DUMMYFUNCTION("""COMPUTED_VALUE"""),"Husbandry")</f>
        <v>Husbandry</v>
      </c>
      <c r="BF30" s="285" t="str">
        <f>IFERROR(__xludf.DUMMYFUNCTION("""COMPUTED_VALUE"""),"Ironworking")</f>
        <v>Ironworking</v>
      </c>
    </row>
    <row r="31" ht="45.0" customHeight="1">
      <c r="A31" s="459"/>
      <c r="B31" s="659" t="s">
        <v>1971</v>
      </c>
      <c r="C31" s="660">
        <v>400.0</v>
      </c>
      <c r="D31" s="660">
        <f t="shared" si="3"/>
        <v>600</v>
      </c>
      <c r="E31" s="667" t="str">
        <f t="shared" si="4"/>
        <v/>
      </c>
      <c r="F31" s="668" t="s">
        <v>269</v>
      </c>
      <c r="G31" s="661"/>
      <c r="H31" s="662"/>
      <c r="I31" s="661"/>
      <c r="J31" s="544"/>
      <c r="K31" s="663" t="s">
        <v>2085</v>
      </c>
      <c r="L31" s="544" t="str">
        <f t="shared" si="7"/>
        <v>Drama,Stonecutting</v>
      </c>
      <c r="M31" s="669">
        <f t="array" ref="M31">SUM(IF(O31:AZ31=0,0,VLOOKUP(O31:AZ31,$B:$C,2,false)))</f>
        <v>200</v>
      </c>
      <c r="N31" s="285" t="str">
        <f t="shared" si="2"/>
        <v/>
      </c>
      <c r="O31" s="285" t="str">
        <f t="shared" si="8"/>
        <v>Drama</v>
      </c>
      <c r="P31" s="285" t="s">
        <v>263</v>
      </c>
      <c r="Q31" s="285"/>
      <c r="BB31" s="285" t="str">
        <f t="shared" si="9"/>
        <v>Drama,Stonecutting,</v>
      </c>
      <c r="BC31" s="285" t="str">
        <f>IFERROR(__xludf.DUMMYFUNCTION("SPLIT(BB31,"","")"),"Drama")</f>
        <v>Drama</v>
      </c>
      <c r="BD31" s="285" t="str">
        <f>IFERROR(__xludf.DUMMYFUNCTION("""COMPUTED_VALUE"""),"Stonecutting")</f>
        <v>Stonecutting</v>
      </c>
    </row>
    <row r="32" ht="45.0" customHeight="1">
      <c r="A32" s="459"/>
      <c r="B32" s="659" t="s">
        <v>1997</v>
      </c>
      <c r="C32" s="660">
        <v>600.0</v>
      </c>
      <c r="D32" s="660">
        <f t="shared" si="3"/>
        <v>2000</v>
      </c>
      <c r="E32" s="667" t="str">
        <f t="shared" si="4"/>
        <v/>
      </c>
      <c r="F32" s="668" t="s">
        <v>2074</v>
      </c>
      <c r="G32" s="667" t="str">
        <f t="shared" ref="G32:G33" si="11">VLOOKUP(H32,$B:$N,13,false)</f>
        <v/>
      </c>
      <c r="H32" s="668" t="s">
        <v>2076</v>
      </c>
      <c r="I32" s="661"/>
      <c r="J32" s="544"/>
      <c r="K32" s="663" t="s">
        <v>2086</v>
      </c>
      <c r="L32" s="544" t="str">
        <f t="shared" si="7"/>
        <v>Land Consolidation,Forestry,Polis,Stonecutting,Composite Bow,Military Drill,Trapping</v>
      </c>
      <c r="M32" s="669">
        <f t="array" ref="M32">SUM(IF(O32:AZ32=0,0,VLOOKUP(O32:AZ32,$B:$C,2,false)))</f>
        <v>1400</v>
      </c>
      <c r="N32" s="285" t="str">
        <f t="shared" si="2"/>
        <v/>
      </c>
      <c r="O32" s="285" t="str">
        <f t="shared" si="8"/>
        <v>Land Consolidation</v>
      </c>
      <c r="P32" s="285" t="s">
        <v>1798</v>
      </c>
      <c r="Q32" s="285" t="s">
        <v>270</v>
      </c>
      <c r="R32" s="285" t="s">
        <v>263</v>
      </c>
      <c r="S32" s="285" t="s">
        <v>2076</v>
      </c>
      <c r="T32" s="285" t="s">
        <v>264</v>
      </c>
      <c r="U32" s="285" t="s">
        <v>257</v>
      </c>
      <c r="V32" s="285"/>
      <c r="BB32" s="285" t="str">
        <f t="shared" si="9"/>
        <v>Land Consolidation,Forestry,Polis,Stonecutting,Composite Bow,Military Drill,Trapping,</v>
      </c>
      <c r="BC32" s="285" t="str">
        <f>IFERROR(__xludf.DUMMYFUNCTION("SPLIT(BB32,"","")"),"Land Consolidation")</f>
        <v>Land Consolidation</v>
      </c>
      <c r="BD32" s="285" t="str">
        <f>IFERROR(__xludf.DUMMYFUNCTION("""COMPUTED_VALUE"""),"Forestry")</f>
        <v>Forestry</v>
      </c>
      <c r="BE32" s="285" t="str">
        <f>IFERROR(__xludf.DUMMYFUNCTION("""COMPUTED_VALUE"""),"Polis")</f>
        <v>Polis</v>
      </c>
      <c r="BF32" s="285" t="str">
        <f>IFERROR(__xludf.DUMMYFUNCTION("""COMPUTED_VALUE"""),"Stonecutting")</f>
        <v>Stonecutting</v>
      </c>
      <c r="BG32" s="285" t="str">
        <f>IFERROR(__xludf.DUMMYFUNCTION("""COMPUTED_VALUE"""),"Composite Bow")</f>
        <v>Composite Bow</v>
      </c>
      <c r="BH32" s="285" t="str">
        <f>IFERROR(__xludf.DUMMYFUNCTION("""COMPUTED_VALUE"""),"Military Drill")</f>
        <v>Military Drill</v>
      </c>
      <c r="BI32" s="285" t="str">
        <f>IFERROR(__xludf.DUMMYFUNCTION("""COMPUTED_VALUE"""),"Trapping")</f>
        <v>Trapping</v>
      </c>
    </row>
    <row r="33" ht="45.0" customHeight="1">
      <c r="A33" s="459"/>
      <c r="B33" s="659" t="s">
        <v>2087</v>
      </c>
      <c r="C33" s="660">
        <v>600.0</v>
      </c>
      <c r="D33" s="660">
        <f t="shared" si="3"/>
        <v>1400</v>
      </c>
      <c r="E33" s="667" t="str">
        <f t="shared" si="4"/>
        <v/>
      </c>
      <c r="F33" s="668" t="s">
        <v>2060</v>
      </c>
      <c r="G33" s="667" t="str">
        <f t="shared" si="11"/>
        <v/>
      </c>
      <c r="H33" s="668" t="s">
        <v>2065</v>
      </c>
      <c r="I33" s="661"/>
      <c r="J33" s="544"/>
      <c r="K33" s="663" t="s">
        <v>2088</v>
      </c>
      <c r="L33" s="544" t="str">
        <f t="shared" si="7"/>
        <v>Phalanx,Labor Force,Ironworking,Steel,Military Drill,Trapping</v>
      </c>
      <c r="M33" s="669">
        <f t="array" ref="M33">SUM(IF(O33:AZ33=0,0,VLOOKUP(O33:AZ33,$B:$C,2,false)))</f>
        <v>800</v>
      </c>
      <c r="N33" s="285" t="str">
        <f t="shared" si="2"/>
        <v/>
      </c>
      <c r="O33" s="285" t="str">
        <f t="shared" si="8"/>
        <v>Phalanx</v>
      </c>
      <c r="P33" s="285" t="s">
        <v>268</v>
      </c>
      <c r="Q33" s="285" t="s">
        <v>258</v>
      </c>
      <c r="R33" s="285" t="s">
        <v>2065</v>
      </c>
      <c r="S33" s="285" t="s">
        <v>264</v>
      </c>
      <c r="T33" s="285" t="s">
        <v>257</v>
      </c>
      <c r="U33" s="285"/>
      <c r="BB33" s="285" t="str">
        <f t="shared" si="9"/>
        <v>Phalanx,Labor Force,Ironworking,Steel,Military Drill,Trapping,Ironworking,</v>
      </c>
      <c r="BC33" s="285" t="str">
        <f>IFERROR(__xludf.DUMMYFUNCTION("SPLIT(BB33,"","")"),"Phalanx")</f>
        <v>Phalanx</v>
      </c>
      <c r="BD33" s="285" t="str">
        <f>IFERROR(__xludf.DUMMYFUNCTION("""COMPUTED_VALUE"""),"Labor Force")</f>
        <v>Labor Force</v>
      </c>
      <c r="BE33" s="285" t="str">
        <f>IFERROR(__xludf.DUMMYFUNCTION("""COMPUTED_VALUE"""),"Ironworking")</f>
        <v>Ironworking</v>
      </c>
      <c r="BF33" s="285" t="str">
        <f>IFERROR(__xludf.DUMMYFUNCTION("""COMPUTED_VALUE"""),"Steel")</f>
        <v>Steel</v>
      </c>
      <c r="BG33" s="285" t="str">
        <f>IFERROR(__xludf.DUMMYFUNCTION("""COMPUTED_VALUE"""),"Military Drill")</f>
        <v>Military Drill</v>
      </c>
      <c r="BH33" s="285" t="str">
        <f>IFERROR(__xludf.DUMMYFUNCTION("""COMPUTED_VALUE"""),"Trapping")</f>
        <v>Trapping</v>
      </c>
      <c r="BI33" s="285" t="str">
        <f>IFERROR(__xludf.DUMMYFUNCTION("""COMPUTED_VALUE"""),"Ironworking")</f>
        <v>Ironworking</v>
      </c>
    </row>
    <row r="34" ht="45.0" customHeight="1">
      <c r="A34" s="459"/>
      <c r="B34" s="659" t="s">
        <v>1970</v>
      </c>
      <c r="C34" s="660">
        <v>600.0</v>
      </c>
      <c r="D34" s="660">
        <f t="shared" si="3"/>
        <v>1200</v>
      </c>
      <c r="E34" s="667" t="str">
        <f t="shared" si="4"/>
        <v/>
      </c>
      <c r="F34" s="668" t="s">
        <v>1944</v>
      </c>
      <c r="G34" s="661"/>
      <c r="H34" s="662"/>
      <c r="I34" s="661"/>
      <c r="J34" s="544"/>
      <c r="K34" s="663" t="s">
        <v>2089</v>
      </c>
      <c r="L34" s="544" t="str">
        <f t="shared" si="7"/>
        <v>Monasticism,Aristocracy,Divination</v>
      </c>
      <c r="M34" s="669">
        <f t="array" ref="M34">SUM(IF(O34:AZ34=0,0,VLOOKUP(O34:AZ34,$B:$C,2,false)))</f>
        <v>600</v>
      </c>
      <c r="N34" s="285" t="str">
        <f t="shared" si="2"/>
        <v/>
      </c>
      <c r="O34" s="285" t="str">
        <f t="shared" si="8"/>
        <v>Monasticism</v>
      </c>
      <c r="P34" s="285" t="s">
        <v>267</v>
      </c>
      <c r="Q34" s="285" t="s">
        <v>262</v>
      </c>
      <c r="R34" s="285"/>
      <c r="BB34" s="285" t="str">
        <f t="shared" si="9"/>
        <v>Monasticism,Aristocracy,Divination,</v>
      </c>
      <c r="BC34" s="285" t="str">
        <f>IFERROR(__xludf.DUMMYFUNCTION("SPLIT(BB34,"","")"),"Monasticism")</f>
        <v>Monasticism</v>
      </c>
      <c r="BD34" s="285" t="str">
        <f>IFERROR(__xludf.DUMMYFUNCTION("""COMPUTED_VALUE"""),"Aristocracy")</f>
        <v>Aristocracy</v>
      </c>
      <c r="BE34" s="285" t="str">
        <f>IFERROR(__xludf.DUMMYFUNCTION("""COMPUTED_VALUE"""),"Divination")</f>
        <v>Divination</v>
      </c>
    </row>
    <row r="35" ht="45.0" customHeight="1">
      <c r="A35" s="459"/>
      <c r="B35" s="659" t="s">
        <v>2090</v>
      </c>
      <c r="C35" s="660">
        <v>600.0</v>
      </c>
      <c r="D35" s="660">
        <f t="shared" si="3"/>
        <v>1600</v>
      </c>
      <c r="E35" s="667" t="str">
        <f t="shared" si="4"/>
        <v/>
      </c>
      <c r="F35" s="668" t="s">
        <v>2079</v>
      </c>
      <c r="G35" s="661"/>
      <c r="H35" s="662"/>
      <c r="I35" s="661"/>
      <c r="J35" s="544"/>
      <c r="K35" s="671" t="s">
        <v>2091</v>
      </c>
      <c r="L35" s="544" t="str">
        <f t="shared" si="7"/>
        <v>Machinery,Sovereignty,Aristocracy,Divination,Rhetoric,Administration</v>
      </c>
      <c r="M35" s="669">
        <f t="array" ref="M35">SUM(IF(O35:AZ35=0,0,VLOOKUP(O35:AZ35,$B:$C,2,false)))</f>
        <v>1000</v>
      </c>
      <c r="N35" s="285" t="str">
        <f t="shared" si="2"/>
        <v/>
      </c>
      <c r="O35" s="285" t="str">
        <f t="shared" si="8"/>
        <v>Machinery</v>
      </c>
      <c r="P35" s="285" t="s">
        <v>1942</v>
      </c>
      <c r="Q35" s="285" t="s">
        <v>267</v>
      </c>
      <c r="R35" s="285" t="s">
        <v>262</v>
      </c>
      <c r="S35" s="285" t="s">
        <v>266</v>
      </c>
      <c r="T35" s="285" t="s">
        <v>261</v>
      </c>
      <c r="U35" s="285"/>
      <c r="BB35" s="285" t="str">
        <f t="shared" si="9"/>
        <v>Machinery,Sovereignty,Aristocracy,Divination,Rhetoric,Administration,</v>
      </c>
      <c r="BC35" s="285" t="str">
        <f>IFERROR(__xludf.DUMMYFUNCTION("SPLIT(BB35,"","")"),"Machinery")</f>
        <v>Machinery</v>
      </c>
      <c r="BD35" s="285" t="str">
        <f>IFERROR(__xludf.DUMMYFUNCTION("""COMPUTED_VALUE"""),"Sovereignty")</f>
        <v>Sovereignty</v>
      </c>
      <c r="BE35" s="285" t="str">
        <f>IFERROR(__xludf.DUMMYFUNCTION("""COMPUTED_VALUE"""),"Aristocracy")</f>
        <v>Aristocracy</v>
      </c>
      <c r="BF35" s="285" t="str">
        <f>IFERROR(__xludf.DUMMYFUNCTION("""COMPUTED_VALUE"""),"Divination")</f>
        <v>Divination</v>
      </c>
      <c r="BG35" s="285" t="str">
        <f>IFERROR(__xludf.DUMMYFUNCTION("""COMPUTED_VALUE"""),"Rhetoric")</f>
        <v>Rhetoric</v>
      </c>
      <c r="BH35" s="285" t="str">
        <f>IFERROR(__xludf.DUMMYFUNCTION("""COMPUTED_VALUE"""),"Administration")</f>
        <v>Administration</v>
      </c>
    </row>
    <row r="36" ht="45.0" customHeight="1">
      <c r="A36" s="459"/>
      <c r="B36" s="659" t="s">
        <v>2092</v>
      </c>
      <c r="C36" s="660">
        <v>600.0</v>
      </c>
      <c r="D36" s="660">
        <f t="shared" si="3"/>
        <v>1400</v>
      </c>
      <c r="E36" s="667" t="str">
        <f t="shared" si="4"/>
        <v/>
      </c>
      <c r="F36" s="668" t="s">
        <v>1943</v>
      </c>
      <c r="G36" s="667" t="str">
        <f t="shared" ref="G36:G37" si="12">VLOOKUP(H36,$B:$N,13,false)</f>
        <v/>
      </c>
      <c r="H36" s="668" t="s">
        <v>1796</v>
      </c>
      <c r="I36" s="661"/>
      <c r="J36" s="544"/>
      <c r="K36" s="663" t="s">
        <v>2093</v>
      </c>
      <c r="L36" s="544" t="str">
        <f t="shared" si="7"/>
        <v>Navigation,Labor Force,Ironworking,Metaphysics,Rhetoric,Administration</v>
      </c>
      <c r="M36" s="669">
        <f t="array" ref="M36">SUM(IF(O36:AZ36=0,0,VLOOKUP(O36:AZ36,$B:$C,2,false)))</f>
        <v>800</v>
      </c>
      <c r="N36" s="285" t="str">
        <f t="shared" si="2"/>
        <v/>
      </c>
      <c r="O36" s="285" t="str">
        <f t="shared" si="8"/>
        <v>Navigation</v>
      </c>
      <c r="P36" s="285" t="s">
        <v>268</v>
      </c>
      <c r="Q36" s="285" t="s">
        <v>258</v>
      </c>
      <c r="R36" s="285" t="s">
        <v>1796</v>
      </c>
      <c r="S36" s="285" t="s">
        <v>266</v>
      </c>
      <c r="T36" s="285" t="s">
        <v>261</v>
      </c>
      <c r="U36" s="285"/>
      <c r="BB36" s="285" t="str">
        <f t="shared" si="9"/>
        <v>Navigation,Labor Force,Ironworking,Metaphysics,Rhetoric,Administration,</v>
      </c>
      <c r="BC36" s="285" t="str">
        <f>IFERROR(__xludf.DUMMYFUNCTION("SPLIT(BB36,"","")"),"Navigation")</f>
        <v>Navigation</v>
      </c>
      <c r="BD36" s="285" t="str">
        <f>IFERROR(__xludf.DUMMYFUNCTION("""COMPUTED_VALUE"""),"Labor Force")</f>
        <v>Labor Force</v>
      </c>
      <c r="BE36" s="285" t="str">
        <f>IFERROR(__xludf.DUMMYFUNCTION("""COMPUTED_VALUE"""),"Ironworking")</f>
        <v>Ironworking</v>
      </c>
      <c r="BF36" s="285" t="str">
        <f>IFERROR(__xludf.DUMMYFUNCTION("""COMPUTED_VALUE"""),"Metaphysics")</f>
        <v>Metaphysics</v>
      </c>
      <c r="BG36" s="285" t="str">
        <f>IFERROR(__xludf.DUMMYFUNCTION("""COMPUTED_VALUE"""),"Rhetoric")</f>
        <v>Rhetoric</v>
      </c>
      <c r="BH36" s="285" t="str">
        <f>IFERROR(__xludf.DUMMYFUNCTION("""COMPUTED_VALUE"""),"Administration")</f>
        <v>Administration</v>
      </c>
    </row>
    <row r="37" ht="45.0" customHeight="1">
      <c r="A37" s="459"/>
      <c r="B37" s="659" t="s">
        <v>2028</v>
      </c>
      <c r="C37" s="660">
        <v>1000.0</v>
      </c>
      <c r="D37" s="660">
        <f t="shared" si="3"/>
        <v>2800</v>
      </c>
      <c r="E37" s="667" t="str">
        <f t="shared" si="4"/>
        <v/>
      </c>
      <c r="F37" s="668" t="s">
        <v>2069</v>
      </c>
      <c r="G37" s="667" t="str">
        <f t="shared" si="12"/>
        <v/>
      </c>
      <c r="H37" s="668" t="s">
        <v>2092</v>
      </c>
      <c r="I37" s="661"/>
      <c r="J37" s="544"/>
      <c r="K37" s="663" t="s">
        <v>2094</v>
      </c>
      <c r="L37" s="544" t="str">
        <f t="shared" si="7"/>
        <v>Coinage,Navigation,Labor Force,Ironworking,Cartography,Metaphysics,Rhetoric,Administration</v>
      </c>
      <c r="M37" s="669">
        <f t="array" ref="M37">SUM(IF(O37:AZ37=0,0,VLOOKUP(O37:AZ37,$B:$C,2,false)))</f>
        <v>1800</v>
      </c>
      <c r="N37" s="285" t="str">
        <f t="shared" si="2"/>
        <v/>
      </c>
      <c r="O37" s="285" t="str">
        <f t="shared" si="8"/>
        <v>Coinage</v>
      </c>
      <c r="P37" s="285" t="s">
        <v>1943</v>
      </c>
      <c r="Q37" s="285" t="s">
        <v>268</v>
      </c>
      <c r="R37" s="285" t="s">
        <v>258</v>
      </c>
      <c r="S37" s="285" t="s">
        <v>2092</v>
      </c>
      <c r="T37" s="285" t="s">
        <v>1796</v>
      </c>
      <c r="U37" s="285" t="s">
        <v>266</v>
      </c>
      <c r="V37" s="285" t="s">
        <v>261</v>
      </c>
      <c r="W37" s="285"/>
      <c r="BB37" s="285" t="str">
        <f t="shared" si="9"/>
        <v>Coinage,Navigation,Labor Force,Ironworking,Cartography,Navigation,Labor Force,Ironworking,Metaphysics,Rhetoric,Administration,</v>
      </c>
      <c r="BC37" s="285" t="str">
        <f>IFERROR(__xludf.DUMMYFUNCTION("SPLIT(BB37,"","")"),"Coinage")</f>
        <v>Coinage</v>
      </c>
      <c r="BD37" s="285" t="str">
        <f>IFERROR(__xludf.DUMMYFUNCTION("""COMPUTED_VALUE"""),"Navigation")</f>
        <v>Navigation</v>
      </c>
      <c r="BE37" s="285" t="str">
        <f>IFERROR(__xludf.DUMMYFUNCTION("""COMPUTED_VALUE"""),"Labor Force")</f>
        <v>Labor Force</v>
      </c>
      <c r="BF37" s="285" t="str">
        <f>IFERROR(__xludf.DUMMYFUNCTION("""COMPUTED_VALUE"""),"Ironworking")</f>
        <v>Ironworking</v>
      </c>
      <c r="BG37" s="285" t="str">
        <f>IFERROR(__xludf.DUMMYFUNCTION("""COMPUTED_VALUE"""),"Cartography")</f>
        <v>Cartography</v>
      </c>
      <c r="BH37" s="285" t="str">
        <f>IFERROR(__xludf.DUMMYFUNCTION("""COMPUTED_VALUE"""),"Navigation")</f>
        <v>Navigation</v>
      </c>
      <c r="BI37" s="285" t="str">
        <f>IFERROR(__xludf.DUMMYFUNCTION("""COMPUTED_VALUE"""),"Labor Force")</f>
        <v>Labor Force</v>
      </c>
      <c r="BJ37" s="285" t="str">
        <f>IFERROR(__xludf.DUMMYFUNCTION("""COMPUTED_VALUE"""),"Ironworking")</f>
        <v>Ironworking</v>
      </c>
      <c r="BK37" s="285" t="str">
        <f>IFERROR(__xludf.DUMMYFUNCTION("""COMPUTED_VALUE"""),"Metaphysics")</f>
        <v>Metaphysics</v>
      </c>
      <c r="BL37" s="285" t="str">
        <f>IFERROR(__xludf.DUMMYFUNCTION("""COMPUTED_VALUE"""),"Rhetoric")</f>
        <v>Rhetoric</v>
      </c>
      <c r="BM37" s="285" t="str">
        <f>IFERROR(__xludf.DUMMYFUNCTION("""COMPUTED_VALUE"""),"Administration")</f>
        <v>Administration</v>
      </c>
    </row>
    <row r="38" ht="45.0" customHeight="1">
      <c r="A38" s="459"/>
      <c r="B38" s="659" t="s">
        <v>2027</v>
      </c>
      <c r="C38" s="660">
        <v>1000.0</v>
      </c>
      <c r="D38" s="660">
        <f t="shared" si="3"/>
        <v>2400</v>
      </c>
      <c r="E38" s="667" t="str">
        <f t="shared" si="4"/>
        <v/>
      </c>
      <c r="F38" s="668" t="s">
        <v>2081</v>
      </c>
      <c r="G38" s="661"/>
      <c r="H38" s="662"/>
      <c r="I38" s="661"/>
      <c r="J38" s="544"/>
      <c r="K38" s="663" t="s">
        <v>2095</v>
      </c>
      <c r="L38" s="544" t="str">
        <f t="shared" si="7"/>
        <v>Scholarship,Citizenship,Phalanx,Labor Force,Ironworking</v>
      </c>
      <c r="M38" s="669">
        <f t="array" ref="M38">SUM(IF(O38:AZ38=0,0,VLOOKUP(O38:AZ38,$B:$C,2,false)))</f>
        <v>1400</v>
      </c>
      <c r="N38" s="285" t="str">
        <f t="shared" si="2"/>
        <v/>
      </c>
      <c r="O38" s="285" t="str">
        <f t="shared" si="8"/>
        <v>Scholarship</v>
      </c>
      <c r="P38" s="285" t="s">
        <v>1969</v>
      </c>
      <c r="Q38" s="285" t="s">
        <v>2060</v>
      </c>
      <c r="R38" s="285" t="s">
        <v>268</v>
      </c>
      <c r="S38" s="285" t="s">
        <v>258</v>
      </c>
      <c r="T38" s="285"/>
      <c r="BB38" s="285" t="str">
        <f t="shared" si="9"/>
        <v>Scholarship,Citizenship,Phalanx,Labor Force,Ironworking,</v>
      </c>
      <c r="BC38" s="285" t="str">
        <f>IFERROR(__xludf.DUMMYFUNCTION("SPLIT(BB38,"","")"),"Scholarship")</f>
        <v>Scholarship</v>
      </c>
      <c r="BD38" s="285" t="str">
        <f>IFERROR(__xludf.DUMMYFUNCTION("""COMPUTED_VALUE"""),"Citizenship")</f>
        <v>Citizenship</v>
      </c>
      <c r="BE38" s="285" t="str">
        <f>IFERROR(__xludf.DUMMYFUNCTION("""COMPUTED_VALUE"""),"Phalanx")</f>
        <v>Phalanx</v>
      </c>
      <c r="BF38" s="285" t="str">
        <f>IFERROR(__xludf.DUMMYFUNCTION("""COMPUTED_VALUE"""),"Labor Force")</f>
        <v>Labor Force</v>
      </c>
      <c r="BG38" s="285" t="str">
        <f>IFERROR(__xludf.DUMMYFUNCTION("""COMPUTED_VALUE"""),"Ironworking")</f>
        <v>Ironworking</v>
      </c>
    </row>
    <row r="39" ht="45.0" customHeight="1">
      <c r="A39" s="459"/>
      <c r="B39" s="659" t="s">
        <v>1999</v>
      </c>
      <c r="C39" s="660">
        <v>1000.0</v>
      </c>
      <c r="D39" s="660">
        <f t="shared" si="3"/>
        <v>3120</v>
      </c>
      <c r="E39" s="667" t="str">
        <f t="shared" si="4"/>
        <v/>
      </c>
      <c r="F39" s="668" t="s">
        <v>2083</v>
      </c>
      <c r="G39" s="667" t="str">
        <f>VLOOKUP(H39,$B:$N,13,false)</f>
        <v/>
      </c>
      <c r="H39" s="668" t="s">
        <v>1969</v>
      </c>
      <c r="I39" s="661"/>
      <c r="J39" s="544"/>
      <c r="K39" s="663" t="s">
        <v>2096</v>
      </c>
      <c r="L39" s="544" t="str">
        <f t="shared" si="7"/>
        <v>Stirrups,Portcullis,Spoked Wheel,Husbandry,Ironworking,Citizenship,Phalanx,Labor Force</v>
      </c>
      <c r="M39" s="669">
        <f t="array" ref="M39">SUM(IF(O39:AZ39=0,0,VLOOKUP(O39:AZ39,$B:$C,2,false)))</f>
        <v>2120</v>
      </c>
      <c r="N39" s="285" t="str">
        <f t="shared" si="2"/>
        <v/>
      </c>
      <c r="O39" s="285" t="str">
        <f t="shared" si="8"/>
        <v>Stirrups</v>
      </c>
      <c r="P39" s="285" t="s">
        <v>2072</v>
      </c>
      <c r="Q39" s="285" t="s">
        <v>2062</v>
      </c>
      <c r="R39" s="285" t="s">
        <v>259</v>
      </c>
      <c r="S39" s="285" t="s">
        <v>258</v>
      </c>
      <c r="T39" s="285" t="s">
        <v>1969</v>
      </c>
      <c r="U39" s="285" t="s">
        <v>2060</v>
      </c>
      <c r="V39" s="285" t="s">
        <v>268</v>
      </c>
      <c r="W39" s="285"/>
      <c r="BB39" s="285" t="str">
        <f t="shared" si="9"/>
        <v>Stirrups,Portcullis,Spoked Wheel,Husbandry,Ironworking,Citizenship,Phalanx,Labor Force,Ironworking,</v>
      </c>
      <c r="BC39" s="285" t="str">
        <f>IFERROR(__xludf.DUMMYFUNCTION("SPLIT(BB39,"","")"),"Stirrups")</f>
        <v>Stirrups</v>
      </c>
      <c r="BD39" s="285" t="str">
        <f>IFERROR(__xludf.DUMMYFUNCTION("""COMPUTED_VALUE"""),"Portcullis")</f>
        <v>Portcullis</v>
      </c>
      <c r="BE39" s="285" t="str">
        <f>IFERROR(__xludf.DUMMYFUNCTION("""COMPUTED_VALUE"""),"Spoked Wheel")</f>
        <v>Spoked Wheel</v>
      </c>
      <c r="BF39" s="285" t="str">
        <f>IFERROR(__xludf.DUMMYFUNCTION("""COMPUTED_VALUE"""),"Husbandry")</f>
        <v>Husbandry</v>
      </c>
      <c r="BG39" s="285" t="str">
        <f>IFERROR(__xludf.DUMMYFUNCTION("""COMPUTED_VALUE"""),"Ironworking")</f>
        <v>Ironworking</v>
      </c>
      <c r="BH39" s="285" t="str">
        <f>IFERROR(__xludf.DUMMYFUNCTION("""COMPUTED_VALUE"""),"Citizenship")</f>
        <v>Citizenship</v>
      </c>
      <c r="BI39" s="285" t="str">
        <f>IFERROR(__xludf.DUMMYFUNCTION("""COMPUTED_VALUE"""),"Phalanx")</f>
        <v>Phalanx</v>
      </c>
      <c r="BJ39" s="285" t="str">
        <f>IFERROR(__xludf.DUMMYFUNCTION("""COMPUTED_VALUE"""),"Labor Force")</f>
        <v>Labor Force</v>
      </c>
      <c r="BK39" s="285" t="str">
        <f>IFERROR(__xludf.DUMMYFUNCTION("""COMPUTED_VALUE"""),"Ironworking")</f>
        <v>Ironworking</v>
      </c>
    </row>
    <row r="40" ht="45.0" customHeight="1">
      <c r="A40" s="459"/>
      <c r="B40" s="659" t="s">
        <v>1998</v>
      </c>
      <c r="C40" s="660">
        <v>600.0</v>
      </c>
      <c r="D40" s="660">
        <f t="shared" si="3"/>
        <v>1200</v>
      </c>
      <c r="E40" s="667" t="str">
        <f t="shared" si="4"/>
        <v/>
      </c>
      <c r="F40" s="668" t="s">
        <v>1971</v>
      </c>
      <c r="G40" s="661"/>
      <c r="H40" s="662"/>
      <c r="I40" s="661"/>
      <c r="J40" s="544"/>
      <c r="K40" s="663" t="s">
        <v>2097</v>
      </c>
      <c r="L40" s="544" t="str">
        <f t="shared" si="7"/>
        <v>Architecture,Drama,Stonecutting</v>
      </c>
      <c r="M40" s="669">
        <f t="array" ref="M40">SUM(IF(O40:AZ40=0,0,VLOOKUP(O40:AZ40,$B:$C,2,false)))</f>
        <v>600</v>
      </c>
      <c r="N40" s="285" t="str">
        <f t="shared" si="2"/>
        <v/>
      </c>
      <c r="O40" s="285" t="str">
        <f t="shared" si="8"/>
        <v>Architecture</v>
      </c>
      <c r="P40" s="285" t="s">
        <v>269</v>
      </c>
      <c r="Q40" s="285" t="s">
        <v>263</v>
      </c>
      <c r="R40" s="285"/>
      <c r="BB40" s="285" t="str">
        <f t="shared" si="9"/>
        <v>Architecture,Drama,Stonecutting,</v>
      </c>
      <c r="BC40" s="285" t="str">
        <f>IFERROR(__xludf.DUMMYFUNCTION("SPLIT(BB40,"","")"),"Architecture")</f>
        <v>Architecture</v>
      </c>
      <c r="BD40" s="285" t="str">
        <f>IFERROR(__xludf.DUMMYFUNCTION("""COMPUTED_VALUE"""),"Drama")</f>
        <v>Drama</v>
      </c>
      <c r="BE40" s="285" t="str">
        <f>IFERROR(__xludf.DUMMYFUNCTION("""COMPUTED_VALUE"""),"Stonecutting")</f>
        <v>Stonecutting</v>
      </c>
    </row>
    <row r="41" ht="45.0" customHeight="1">
      <c r="A41" s="459"/>
      <c r="B41" s="659" t="s">
        <v>2098</v>
      </c>
      <c r="C41" s="660">
        <v>1000.0</v>
      </c>
      <c r="D41" s="660">
        <f t="shared" si="3"/>
        <v>3000</v>
      </c>
      <c r="E41" s="667" t="str">
        <f t="shared" si="4"/>
        <v/>
      </c>
      <c r="F41" s="668" t="s">
        <v>1997</v>
      </c>
      <c r="G41" s="661"/>
      <c r="H41" s="662"/>
      <c r="I41" s="661"/>
      <c r="J41" s="544"/>
      <c r="K41" s="663" t="s">
        <v>2099</v>
      </c>
      <c r="L41" s="544" t="str">
        <f t="shared" si="7"/>
        <v>Manor,Land Consolidation,Forestry,Polis,Stonecutting,Composite Bow,Military Drill,Trapping</v>
      </c>
      <c r="M41" s="669">
        <f t="array" ref="M41">SUM(IF(O41:AZ41=0,0,VLOOKUP(O41:AZ41,$B:$C,2,false)))</f>
        <v>2000</v>
      </c>
      <c r="N41" s="285" t="str">
        <f t="shared" si="2"/>
        <v/>
      </c>
      <c r="O41" s="285" t="str">
        <f t="shared" si="8"/>
        <v>Manor</v>
      </c>
      <c r="P41" s="285" t="s">
        <v>2074</v>
      </c>
      <c r="Q41" s="285" t="s">
        <v>1798</v>
      </c>
      <c r="R41" s="285" t="s">
        <v>270</v>
      </c>
      <c r="S41" s="285" t="s">
        <v>263</v>
      </c>
      <c r="T41" s="285" t="s">
        <v>2076</v>
      </c>
      <c r="U41" s="285" t="s">
        <v>264</v>
      </c>
      <c r="V41" s="285" t="s">
        <v>257</v>
      </c>
      <c r="W41" s="285"/>
      <c r="BB41" s="285" t="str">
        <f t="shared" si="9"/>
        <v>Manor,Land Consolidation,Forestry,Polis,Stonecutting,Composite Bow,Military Drill,Trapping,</v>
      </c>
      <c r="BC41" s="285" t="str">
        <f>IFERROR(__xludf.DUMMYFUNCTION("SPLIT(BB41,"","")"),"Manor")</f>
        <v>Manor</v>
      </c>
      <c r="BD41" s="285" t="str">
        <f>IFERROR(__xludf.DUMMYFUNCTION("""COMPUTED_VALUE"""),"Land Consolidation")</f>
        <v>Land Consolidation</v>
      </c>
      <c r="BE41" s="285" t="str">
        <f>IFERROR(__xludf.DUMMYFUNCTION("""COMPUTED_VALUE"""),"Forestry")</f>
        <v>Forestry</v>
      </c>
      <c r="BF41" s="285" t="str">
        <f>IFERROR(__xludf.DUMMYFUNCTION("""COMPUTED_VALUE"""),"Polis")</f>
        <v>Polis</v>
      </c>
      <c r="BG41" s="285" t="str">
        <f>IFERROR(__xludf.DUMMYFUNCTION("""COMPUTED_VALUE"""),"Stonecutting")</f>
        <v>Stonecutting</v>
      </c>
      <c r="BH41" s="285" t="str">
        <f>IFERROR(__xludf.DUMMYFUNCTION("""COMPUTED_VALUE"""),"Composite Bow")</f>
        <v>Composite Bow</v>
      </c>
      <c r="BI41" s="285" t="str">
        <f>IFERROR(__xludf.DUMMYFUNCTION("""COMPUTED_VALUE"""),"Military Drill")</f>
        <v>Military Drill</v>
      </c>
      <c r="BJ41" s="285" t="str">
        <f>IFERROR(__xludf.DUMMYFUNCTION("""COMPUTED_VALUE"""),"Trapping")</f>
        <v>Trapping</v>
      </c>
    </row>
    <row r="42" ht="45.0" customHeight="1">
      <c r="A42" s="459"/>
      <c r="B42" s="659" t="s">
        <v>2100</v>
      </c>
      <c r="C42" s="660">
        <v>1000.0</v>
      </c>
      <c r="D42" s="660">
        <f t="shared" si="3"/>
        <v>4600</v>
      </c>
      <c r="E42" s="667" t="str">
        <f t="shared" si="4"/>
        <v/>
      </c>
      <c r="F42" s="668" t="s">
        <v>1997</v>
      </c>
      <c r="G42" s="666" t="str">
        <f t="shared" ref="G42:G45" si="13">VLOOKUP(H42,$B:$N,13,false)</f>
        <v/>
      </c>
      <c r="H42" s="668" t="s">
        <v>2090</v>
      </c>
      <c r="I42" s="661"/>
      <c r="J42" s="544"/>
      <c r="K42" s="663" t="s">
        <v>2101</v>
      </c>
      <c r="L42" s="544" t="str">
        <f t="shared" si="7"/>
        <v>Manor,Land Consolidation,Forestry,Polis,Stonecutting,Composite Bow,Military Drill,Trapping,Hydraulics,Machinery,Sovereignty,Aristocracy,Divination,Rhetoric,Administration</v>
      </c>
      <c r="M42" s="669">
        <f t="array" ref="M42">SUM(IF(O42:AZ42=0,0,VLOOKUP(O42:AZ42,$B:$C,2,false)))</f>
        <v>3600</v>
      </c>
      <c r="N42" s="285" t="str">
        <f t="shared" si="2"/>
        <v/>
      </c>
      <c r="O42" s="285" t="str">
        <f t="shared" si="8"/>
        <v>Manor</v>
      </c>
      <c r="P42" s="285" t="s">
        <v>2074</v>
      </c>
      <c r="Q42" s="285" t="s">
        <v>1798</v>
      </c>
      <c r="R42" s="285" t="s">
        <v>270</v>
      </c>
      <c r="S42" s="285" t="s">
        <v>263</v>
      </c>
      <c r="T42" s="285" t="s">
        <v>2076</v>
      </c>
      <c r="U42" s="285" t="s">
        <v>264</v>
      </c>
      <c r="V42" s="285" t="s">
        <v>257</v>
      </c>
      <c r="W42" s="285" t="s">
        <v>2090</v>
      </c>
      <c r="X42" s="285" t="s">
        <v>2079</v>
      </c>
      <c r="Y42" s="285" t="s">
        <v>1942</v>
      </c>
      <c r="Z42" s="285" t="s">
        <v>267</v>
      </c>
      <c r="AA42" s="285" t="s">
        <v>262</v>
      </c>
      <c r="AB42" s="285" t="s">
        <v>266</v>
      </c>
      <c r="AC42" s="285" t="s">
        <v>261</v>
      </c>
      <c r="AD42" s="285"/>
      <c r="BB42" s="285" t="str">
        <f t="shared" si="9"/>
        <v>Manor,Land Consolidation,Forestry,Polis,Stonecutting,Composite Bow,Military Drill,Trapping,Hydraulics,Machinery,Sovereignty,Aristocracy,Divination,Rhetoric,Administration,</v>
      </c>
      <c r="BC42" s="285" t="str">
        <f>IFERROR(__xludf.DUMMYFUNCTION("SPLIT(BB42,"","")"),"Manor")</f>
        <v>Manor</v>
      </c>
      <c r="BD42" s="285" t="str">
        <f>IFERROR(__xludf.DUMMYFUNCTION("""COMPUTED_VALUE"""),"Land Consolidation")</f>
        <v>Land Consolidation</v>
      </c>
      <c r="BE42" s="285" t="str">
        <f>IFERROR(__xludf.DUMMYFUNCTION("""COMPUTED_VALUE"""),"Forestry")</f>
        <v>Forestry</v>
      </c>
      <c r="BF42" s="285" t="str">
        <f>IFERROR(__xludf.DUMMYFUNCTION("""COMPUTED_VALUE"""),"Polis")</f>
        <v>Polis</v>
      </c>
      <c r="BG42" s="285" t="str">
        <f>IFERROR(__xludf.DUMMYFUNCTION("""COMPUTED_VALUE"""),"Stonecutting")</f>
        <v>Stonecutting</v>
      </c>
      <c r="BH42" s="285" t="str">
        <f>IFERROR(__xludf.DUMMYFUNCTION("""COMPUTED_VALUE"""),"Composite Bow")</f>
        <v>Composite Bow</v>
      </c>
      <c r="BI42" s="285" t="str">
        <f>IFERROR(__xludf.DUMMYFUNCTION("""COMPUTED_VALUE"""),"Military Drill")</f>
        <v>Military Drill</v>
      </c>
      <c r="BJ42" s="285" t="str">
        <f>IFERROR(__xludf.DUMMYFUNCTION("""COMPUTED_VALUE"""),"Trapping")</f>
        <v>Trapping</v>
      </c>
      <c r="BK42" s="285" t="str">
        <f>IFERROR(__xludf.DUMMYFUNCTION("""COMPUTED_VALUE"""),"Hydraulics")</f>
        <v>Hydraulics</v>
      </c>
      <c r="BL42" s="285" t="str">
        <f>IFERROR(__xludf.DUMMYFUNCTION("""COMPUTED_VALUE"""),"Machinery")</f>
        <v>Machinery</v>
      </c>
      <c r="BM42" s="285" t="str">
        <f>IFERROR(__xludf.DUMMYFUNCTION("""COMPUTED_VALUE"""),"Sovereignty")</f>
        <v>Sovereignty</v>
      </c>
      <c r="BN42" s="285" t="str">
        <f>IFERROR(__xludf.DUMMYFUNCTION("""COMPUTED_VALUE"""),"Aristocracy")</f>
        <v>Aristocracy</v>
      </c>
      <c r="BO42" s="285" t="str">
        <f>IFERROR(__xludf.DUMMYFUNCTION("""COMPUTED_VALUE"""),"Divination")</f>
        <v>Divination</v>
      </c>
      <c r="BP42" s="285" t="str">
        <f>IFERROR(__xludf.DUMMYFUNCTION("""COMPUTED_VALUE"""),"Rhetoric")</f>
        <v>Rhetoric</v>
      </c>
      <c r="BQ42" s="285" t="str">
        <f>IFERROR(__xludf.DUMMYFUNCTION("""COMPUTED_VALUE"""),"Administration")</f>
        <v>Administration</v>
      </c>
    </row>
    <row r="43" ht="45.0" customHeight="1">
      <c r="A43" s="459"/>
      <c r="B43" s="659" t="s">
        <v>2029</v>
      </c>
      <c r="C43" s="660">
        <v>1600.0</v>
      </c>
      <c r="D43" s="660">
        <f t="shared" si="3"/>
        <v>6600</v>
      </c>
      <c r="E43" s="667" t="str">
        <f t="shared" si="4"/>
        <v/>
      </c>
      <c r="F43" s="668" t="s">
        <v>2028</v>
      </c>
      <c r="G43" s="667" t="str">
        <f t="shared" si="13"/>
        <v/>
      </c>
      <c r="H43" s="668" t="s">
        <v>2027</v>
      </c>
      <c r="I43" s="661"/>
      <c r="J43" s="544"/>
      <c r="K43" s="663" t="s">
        <v>2102</v>
      </c>
      <c r="L43" s="544" t="str">
        <f t="shared" si="7"/>
        <v>Lateen Sail,Coinage,Navigation,Labor Force,Ironworking,Cartography,Metaphysics,Rhetoric,Administration,Jurisprudence,Scholarship,Citizenship,Phalanx</v>
      </c>
      <c r="M43" s="669">
        <f t="array" ref="M43">SUM(IF(O43:AZ43=0,0,VLOOKUP(O43:AZ43,$B:$C,2,false)))</f>
        <v>5000</v>
      </c>
      <c r="N43" s="285" t="str">
        <f t="shared" si="2"/>
        <v/>
      </c>
      <c r="O43" s="285" t="str">
        <f t="shared" si="8"/>
        <v>Lateen Sail</v>
      </c>
      <c r="P43" s="285" t="s">
        <v>2069</v>
      </c>
      <c r="Q43" s="285" t="s">
        <v>1943</v>
      </c>
      <c r="R43" s="285" t="s">
        <v>268</v>
      </c>
      <c r="S43" s="285" t="s">
        <v>258</v>
      </c>
      <c r="T43" s="285" t="s">
        <v>2092</v>
      </c>
      <c r="U43" s="285" t="s">
        <v>1796</v>
      </c>
      <c r="V43" s="285" t="s">
        <v>266</v>
      </c>
      <c r="W43" s="285" t="s">
        <v>261</v>
      </c>
      <c r="X43" s="285" t="s">
        <v>2027</v>
      </c>
      <c r="Y43" s="285" t="s">
        <v>2081</v>
      </c>
      <c r="Z43" s="285" t="s">
        <v>1969</v>
      </c>
      <c r="AA43" s="285" t="s">
        <v>2060</v>
      </c>
      <c r="AB43" s="285"/>
      <c r="BB43" s="285" t="str">
        <f t="shared" si="9"/>
        <v>Lateen Sail,Coinage,Navigation,Labor Force,Ironworking,Cartography,Metaphysics,Rhetoric,Administration,Jurisprudence,Scholarship,Citizenship,Phalanx,Labor Force,Ironworking,</v>
      </c>
      <c r="BC43" s="285" t="str">
        <f>IFERROR(__xludf.DUMMYFUNCTION("SPLIT(BB43,"","")"),"Lateen Sail")</f>
        <v>Lateen Sail</v>
      </c>
      <c r="BD43" s="285" t="str">
        <f>IFERROR(__xludf.DUMMYFUNCTION("""COMPUTED_VALUE"""),"Coinage")</f>
        <v>Coinage</v>
      </c>
      <c r="BE43" s="285" t="str">
        <f>IFERROR(__xludf.DUMMYFUNCTION("""COMPUTED_VALUE"""),"Navigation")</f>
        <v>Navigation</v>
      </c>
      <c r="BF43" s="285" t="str">
        <f>IFERROR(__xludf.DUMMYFUNCTION("""COMPUTED_VALUE"""),"Labor Force")</f>
        <v>Labor Force</v>
      </c>
      <c r="BG43" s="285" t="str">
        <f>IFERROR(__xludf.DUMMYFUNCTION("""COMPUTED_VALUE"""),"Ironworking")</f>
        <v>Ironworking</v>
      </c>
      <c r="BH43" s="285" t="str">
        <f>IFERROR(__xludf.DUMMYFUNCTION("""COMPUTED_VALUE"""),"Cartography")</f>
        <v>Cartography</v>
      </c>
      <c r="BI43" s="285" t="str">
        <f>IFERROR(__xludf.DUMMYFUNCTION("""COMPUTED_VALUE"""),"Metaphysics")</f>
        <v>Metaphysics</v>
      </c>
      <c r="BJ43" s="285" t="str">
        <f>IFERROR(__xludf.DUMMYFUNCTION("""COMPUTED_VALUE"""),"Rhetoric")</f>
        <v>Rhetoric</v>
      </c>
      <c r="BK43" s="285" t="str">
        <f>IFERROR(__xludf.DUMMYFUNCTION("""COMPUTED_VALUE"""),"Administration")</f>
        <v>Administration</v>
      </c>
      <c r="BL43" s="285" t="str">
        <f>IFERROR(__xludf.DUMMYFUNCTION("""COMPUTED_VALUE"""),"Jurisprudence")</f>
        <v>Jurisprudence</v>
      </c>
      <c r="BM43" s="285" t="str">
        <f>IFERROR(__xludf.DUMMYFUNCTION("""COMPUTED_VALUE"""),"Scholarship")</f>
        <v>Scholarship</v>
      </c>
      <c r="BN43" s="285" t="str">
        <f>IFERROR(__xludf.DUMMYFUNCTION("""COMPUTED_VALUE"""),"Citizenship")</f>
        <v>Citizenship</v>
      </c>
      <c r="BO43" s="285" t="str">
        <f>IFERROR(__xludf.DUMMYFUNCTION("""COMPUTED_VALUE"""),"Phalanx")</f>
        <v>Phalanx</v>
      </c>
      <c r="BP43" s="285" t="str">
        <f>IFERROR(__xludf.DUMMYFUNCTION("""COMPUTED_VALUE"""),"Labor Force")</f>
        <v>Labor Force</v>
      </c>
      <c r="BQ43" s="285" t="str">
        <f>IFERROR(__xludf.DUMMYFUNCTION("""COMPUTED_VALUE"""),"Ironworking")</f>
        <v>Ironworking</v>
      </c>
    </row>
    <row r="44" ht="45.0" customHeight="1">
      <c r="A44" s="459"/>
      <c r="B44" s="659" t="s">
        <v>2103</v>
      </c>
      <c r="C44" s="660">
        <v>1600.0</v>
      </c>
      <c r="D44" s="660">
        <f t="shared" si="3"/>
        <v>5720</v>
      </c>
      <c r="E44" s="667" t="str">
        <f t="shared" si="4"/>
        <v/>
      </c>
      <c r="F44" s="668" t="s">
        <v>2087</v>
      </c>
      <c r="G44" s="667" t="str">
        <f t="shared" si="13"/>
        <v/>
      </c>
      <c r="H44" s="668" t="s">
        <v>1999</v>
      </c>
      <c r="I44" s="661"/>
      <c r="J44" s="544"/>
      <c r="K44" s="663" t="s">
        <v>2104</v>
      </c>
      <c r="L44" s="544" t="str">
        <f t="shared" si="7"/>
        <v>Battle Line,Phalanx,Labor Force,Ironworking,Steel,Military Drill,Trapping,Martial Code,Stirrups,Portcullis,Spoked Wheel,Husbandry,Citizenship</v>
      </c>
      <c r="M44" s="669">
        <f t="array" ref="M44">SUM(IF(O44:AZ44=0,0,VLOOKUP(O44:AZ44,$B:$C,2,false)))</f>
        <v>4120</v>
      </c>
      <c r="N44" s="285" t="str">
        <f t="shared" si="2"/>
        <v/>
      </c>
      <c r="O44" s="285" t="str">
        <f t="shared" si="8"/>
        <v>Battle Line</v>
      </c>
      <c r="P44" s="285" t="s">
        <v>2060</v>
      </c>
      <c r="Q44" s="285" t="s">
        <v>268</v>
      </c>
      <c r="R44" s="285" t="s">
        <v>258</v>
      </c>
      <c r="S44" s="285" t="s">
        <v>2065</v>
      </c>
      <c r="T44" s="285" t="s">
        <v>264</v>
      </c>
      <c r="U44" s="285" t="s">
        <v>257</v>
      </c>
      <c r="V44" s="285" t="s">
        <v>1999</v>
      </c>
      <c r="W44" s="285" t="s">
        <v>2083</v>
      </c>
      <c r="X44" s="285" t="s">
        <v>2072</v>
      </c>
      <c r="Y44" s="285" t="s">
        <v>2062</v>
      </c>
      <c r="Z44" s="285" t="s">
        <v>259</v>
      </c>
      <c r="AA44" s="285" t="s">
        <v>1969</v>
      </c>
      <c r="AB44" s="285"/>
      <c r="BB44" s="285" t="str">
        <f t="shared" si="9"/>
        <v>Battle Line,Phalanx,Labor Force,Ironworking,Steel,Military Drill,Trapping,Martial Code,Stirrups,Portcullis,Spoked Wheel,Husbandry,Ironworking,Citizenship,Phalanx,Labor Force,</v>
      </c>
      <c r="BC44" s="285" t="str">
        <f>IFERROR(__xludf.DUMMYFUNCTION("SPLIT(BB44,"","")"),"Battle Line")</f>
        <v>Battle Line</v>
      </c>
      <c r="BD44" s="285" t="str">
        <f>IFERROR(__xludf.DUMMYFUNCTION("""COMPUTED_VALUE"""),"Phalanx")</f>
        <v>Phalanx</v>
      </c>
      <c r="BE44" s="285" t="str">
        <f>IFERROR(__xludf.DUMMYFUNCTION("""COMPUTED_VALUE"""),"Labor Force")</f>
        <v>Labor Force</v>
      </c>
      <c r="BF44" s="285" t="str">
        <f>IFERROR(__xludf.DUMMYFUNCTION("""COMPUTED_VALUE"""),"Ironworking")</f>
        <v>Ironworking</v>
      </c>
      <c r="BG44" s="285" t="str">
        <f>IFERROR(__xludf.DUMMYFUNCTION("""COMPUTED_VALUE"""),"Steel")</f>
        <v>Steel</v>
      </c>
      <c r="BH44" s="285" t="str">
        <f>IFERROR(__xludf.DUMMYFUNCTION("""COMPUTED_VALUE"""),"Military Drill")</f>
        <v>Military Drill</v>
      </c>
      <c r="BI44" s="285" t="str">
        <f>IFERROR(__xludf.DUMMYFUNCTION("""COMPUTED_VALUE"""),"Trapping")</f>
        <v>Trapping</v>
      </c>
      <c r="BJ44" s="285" t="str">
        <f>IFERROR(__xludf.DUMMYFUNCTION("""COMPUTED_VALUE"""),"Martial Code")</f>
        <v>Martial Code</v>
      </c>
      <c r="BK44" s="285" t="str">
        <f>IFERROR(__xludf.DUMMYFUNCTION("""COMPUTED_VALUE"""),"Stirrups")</f>
        <v>Stirrups</v>
      </c>
      <c r="BL44" s="285" t="str">
        <f>IFERROR(__xludf.DUMMYFUNCTION("""COMPUTED_VALUE"""),"Portcullis")</f>
        <v>Portcullis</v>
      </c>
      <c r="BM44" s="285" t="str">
        <f>IFERROR(__xludf.DUMMYFUNCTION("""COMPUTED_VALUE"""),"Spoked Wheel")</f>
        <v>Spoked Wheel</v>
      </c>
      <c r="BN44" s="285" t="str">
        <f>IFERROR(__xludf.DUMMYFUNCTION("""COMPUTED_VALUE"""),"Husbandry")</f>
        <v>Husbandry</v>
      </c>
      <c r="BO44" s="285" t="str">
        <f>IFERROR(__xludf.DUMMYFUNCTION("""COMPUTED_VALUE"""),"Ironworking")</f>
        <v>Ironworking</v>
      </c>
      <c r="BP44" s="285" t="str">
        <f>IFERROR(__xludf.DUMMYFUNCTION("""COMPUTED_VALUE"""),"Citizenship")</f>
        <v>Citizenship</v>
      </c>
      <c r="BQ44" s="285" t="str">
        <f>IFERROR(__xludf.DUMMYFUNCTION("""COMPUTED_VALUE"""),"Phalanx")</f>
        <v>Phalanx</v>
      </c>
      <c r="BR44" s="285" t="str">
        <f>IFERROR(__xludf.DUMMYFUNCTION("""COMPUTED_VALUE"""),"Labor Force")</f>
        <v>Labor Force</v>
      </c>
    </row>
    <row r="45" ht="45.0" customHeight="1">
      <c r="A45" s="459"/>
      <c r="B45" s="659" t="s">
        <v>2105</v>
      </c>
      <c r="C45" s="660">
        <v>1600.0</v>
      </c>
      <c r="D45" s="660">
        <f t="shared" si="3"/>
        <v>4800</v>
      </c>
      <c r="E45" s="667" t="str">
        <f t="shared" si="4"/>
        <v/>
      </c>
      <c r="F45" s="668" t="s">
        <v>1997</v>
      </c>
      <c r="G45" s="667" t="str">
        <f t="shared" si="13"/>
        <v/>
      </c>
      <c r="H45" s="668" t="s">
        <v>2087</v>
      </c>
      <c r="I45" s="661"/>
      <c r="J45" s="544"/>
      <c r="K45" s="663" t="s">
        <v>2106</v>
      </c>
      <c r="L45" s="544" t="str">
        <f t="shared" si="7"/>
        <v>Manor,Land Consolidation,Forestry,Polis,Stonecutting,Composite Bow,Military Drill,Trapping,Battle Line,Phalanx,Labor Force,Ironworking,Steel</v>
      </c>
      <c r="M45" s="669">
        <f t="array" ref="M45">SUM(IF(O45:AZ45=0,0,VLOOKUP(O45:AZ45,$B:$C,2,false)))</f>
        <v>3200</v>
      </c>
      <c r="N45" s="285" t="str">
        <f t="shared" si="2"/>
        <v/>
      </c>
      <c r="O45" s="285" t="str">
        <f t="shared" si="8"/>
        <v>Manor</v>
      </c>
      <c r="P45" s="285" t="s">
        <v>2074</v>
      </c>
      <c r="Q45" s="285" t="s">
        <v>1798</v>
      </c>
      <c r="R45" s="285" t="s">
        <v>270</v>
      </c>
      <c r="S45" s="285" t="s">
        <v>263</v>
      </c>
      <c r="T45" s="285" t="s">
        <v>2076</v>
      </c>
      <c r="U45" s="285" t="s">
        <v>264</v>
      </c>
      <c r="V45" s="285" t="s">
        <v>257</v>
      </c>
      <c r="W45" s="285" t="s">
        <v>2087</v>
      </c>
      <c r="X45" s="285" t="s">
        <v>2060</v>
      </c>
      <c r="Y45" s="285" t="s">
        <v>268</v>
      </c>
      <c r="Z45" s="285" t="s">
        <v>258</v>
      </c>
      <c r="AA45" s="285" t="s">
        <v>2065</v>
      </c>
      <c r="AB45" s="285"/>
      <c r="BB45" s="285" t="str">
        <f t="shared" si="9"/>
        <v>Manor,Land Consolidation,Forestry,Polis,Stonecutting,Composite Bow,Military Drill,Trapping,Battle Line,Phalanx,Labor Force,Ironworking,Steel,Military Drill,Trapping,</v>
      </c>
      <c r="BC45" s="285" t="str">
        <f>IFERROR(__xludf.DUMMYFUNCTION("SPLIT(BB45,"","")"),"Manor")</f>
        <v>Manor</v>
      </c>
      <c r="BD45" s="285" t="str">
        <f>IFERROR(__xludf.DUMMYFUNCTION("""COMPUTED_VALUE"""),"Land Consolidation")</f>
        <v>Land Consolidation</v>
      </c>
      <c r="BE45" s="285" t="str">
        <f>IFERROR(__xludf.DUMMYFUNCTION("""COMPUTED_VALUE"""),"Forestry")</f>
        <v>Forestry</v>
      </c>
      <c r="BF45" s="285" t="str">
        <f>IFERROR(__xludf.DUMMYFUNCTION("""COMPUTED_VALUE"""),"Polis")</f>
        <v>Polis</v>
      </c>
      <c r="BG45" s="285" t="str">
        <f>IFERROR(__xludf.DUMMYFUNCTION("""COMPUTED_VALUE"""),"Stonecutting")</f>
        <v>Stonecutting</v>
      </c>
      <c r="BH45" s="285" t="str">
        <f>IFERROR(__xludf.DUMMYFUNCTION("""COMPUTED_VALUE"""),"Composite Bow")</f>
        <v>Composite Bow</v>
      </c>
      <c r="BI45" s="285" t="str">
        <f>IFERROR(__xludf.DUMMYFUNCTION("""COMPUTED_VALUE"""),"Military Drill")</f>
        <v>Military Drill</v>
      </c>
      <c r="BJ45" s="285" t="str">
        <f>IFERROR(__xludf.DUMMYFUNCTION("""COMPUTED_VALUE"""),"Trapping")</f>
        <v>Trapping</v>
      </c>
      <c r="BK45" s="285" t="str">
        <f>IFERROR(__xludf.DUMMYFUNCTION("""COMPUTED_VALUE"""),"Battle Line")</f>
        <v>Battle Line</v>
      </c>
      <c r="BL45" s="285" t="str">
        <f>IFERROR(__xludf.DUMMYFUNCTION("""COMPUTED_VALUE"""),"Phalanx")</f>
        <v>Phalanx</v>
      </c>
      <c r="BM45" s="285" t="str">
        <f>IFERROR(__xludf.DUMMYFUNCTION("""COMPUTED_VALUE"""),"Labor Force")</f>
        <v>Labor Force</v>
      </c>
      <c r="BN45" s="285" t="str">
        <f>IFERROR(__xludf.DUMMYFUNCTION("""COMPUTED_VALUE"""),"Ironworking")</f>
        <v>Ironworking</v>
      </c>
      <c r="BO45" s="285" t="str">
        <f>IFERROR(__xludf.DUMMYFUNCTION("""COMPUTED_VALUE"""),"Steel")</f>
        <v>Steel</v>
      </c>
      <c r="BP45" s="285" t="str">
        <f>IFERROR(__xludf.DUMMYFUNCTION("""COMPUTED_VALUE"""),"Military Drill")</f>
        <v>Military Drill</v>
      </c>
      <c r="BQ45" s="285" t="str">
        <f>IFERROR(__xludf.DUMMYFUNCTION("""COMPUTED_VALUE"""),"Trapping")</f>
        <v>Trapping</v>
      </c>
    </row>
    <row r="46" ht="45.0" customHeight="1">
      <c r="A46" s="459"/>
      <c r="B46" s="659" t="s">
        <v>2107</v>
      </c>
      <c r="C46" s="660">
        <v>1600.0</v>
      </c>
      <c r="D46" s="660">
        <f t="shared" si="3"/>
        <v>3000</v>
      </c>
      <c r="E46" s="667" t="str">
        <f t="shared" si="4"/>
        <v/>
      </c>
      <c r="F46" s="668" t="s">
        <v>2087</v>
      </c>
      <c r="G46" s="661"/>
      <c r="H46" s="662"/>
      <c r="I46" s="661"/>
      <c r="J46" s="544"/>
      <c r="K46" s="663" t="s">
        <v>2108</v>
      </c>
      <c r="L46" s="544" t="str">
        <f t="shared" si="7"/>
        <v>Battle Line,Phalanx,Labor Force,Ironworking,Steel,Military Drill,Trapping</v>
      </c>
      <c r="M46" s="669">
        <f t="array" ref="M46">SUM(IF(O46:AZ46=0,0,VLOOKUP(O46:AZ46,$B:$C,2,false)))</f>
        <v>1400</v>
      </c>
      <c r="N46" s="285" t="str">
        <f t="shared" si="2"/>
        <v/>
      </c>
      <c r="O46" s="285" t="str">
        <f t="shared" si="8"/>
        <v>Battle Line</v>
      </c>
      <c r="P46" s="285" t="s">
        <v>2060</v>
      </c>
      <c r="Q46" s="285" t="s">
        <v>268</v>
      </c>
      <c r="R46" s="285" t="s">
        <v>258</v>
      </c>
      <c r="S46" s="285" t="s">
        <v>2065</v>
      </c>
      <c r="T46" s="285" t="s">
        <v>264</v>
      </c>
      <c r="U46" s="285" t="s">
        <v>257</v>
      </c>
      <c r="V46" s="285"/>
      <c r="BB46" s="285" t="str">
        <f t="shared" si="9"/>
        <v>Battle Line,Phalanx,Labor Force,Ironworking,Steel,Military Drill,Trapping,</v>
      </c>
      <c r="BC46" s="285" t="str">
        <f>IFERROR(__xludf.DUMMYFUNCTION("SPLIT(BB46,"","")"),"Battle Line")</f>
        <v>Battle Line</v>
      </c>
      <c r="BD46" s="285" t="str">
        <f>IFERROR(__xludf.DUMMYFUNCTION("""COMPUTED_VALUE"""),"Phalanx")</f>
        <v>Phalanx</v>
      </c>
      <c r="BE46" s="285" t="str">
        <f>IFERROR(__xludf.DUMMYFUNCTION("""COMPUTED_VALUE"""),"Labor Force")</f>
        <v>Labor Force</v>
      </c>
      <c r="BF46" s="285" t="str">
        <f>IFERROR(__xludf.DUMMYFUNCTION("""COMPUTED_VALUE"""),"Ironworking")</f>
        <v>Ironworking</v>
      </c>
      <c r="BG46" s="285" t="str">
        <f>IFERROR(__xludf.DUMMYFUNCTION("""COMPUTED_VALUE"""),"Steel")</f>
        <v>Steel</v>
      </c>
      <c r="BH46" s="285" t="str">
        <f>IFERROR(__xludf.DUMMYFUNCTION("""COMPUTED_VALUE"""),"Military Drill")</f>
        <v>Military Drill</v>
      </c>
      <c r="BI46" s="285" t="str">
        <f>IFERROR(__xludf.DUMMYFUNCTION("""COMPUTED_VALUE"""),"Trapping")</f>
        <v>Trapping</v>
      </c>
    </row>
    <row r="47" ht="45.0" customHeight="1">
      <c r="A47" s="459"/>
      <c r="B47" s="659" t="s">
        <v>2109</v>
      </c>
      <c r="C47" s="660">
        <v>1600.0</v>
      </c>
      <c r="D47" s="660">
        <f t="shared" si="3"/>
        <v>6200</v>
      </c>
      <c r="E47" s="667" t="str">
        <f t="shared" si="4"/>
        <v/>
      </c>
      <c r="F47" s="668" t="s">
        <v>2100</v>
      </c>
      <c r="G47" s="661"/>
      <c r="H47" s="662"/>
      <c r="I47" s="661"/>
      <c r="J47" s="544"/>
      <c r="K47" s="663" t="s">
        <v>2110</v>
      </c>
      <c r="L47" s="544" t="str">
        <f t="shared" si="7"/>
        <v>Windlass,Manor,Land Consolidation,Forestry,Polis,Stonecutting,Composite Bow,Military Drill,Trapping,Hydraulics,Machinery,Sovereignty,Aristocracy,Divination,Rhetoric,Administration</v>
      </c>
      <c r="M47" s="669">
        <f t="array" ref="M47">SUM(IF(O47:AZ47=0,0,VLOOKUP(O47:AZ47,$B:$C,2,false)))</f>
        <v>4600</v>
      </c>
      <c r="N47" s="285" t="str">
        <f t="shared" si="2"/>
        <v/>
      </c>
      <c r="O47" s="285" t="str">
        <f t="shared" si="8"/>
        <v>Windlass</v>
      </c>
      <c r="P47" s="285" t="s">
        <v>1997</v>
      </c>
      <c r="Q47" s="285" t="s">
        <v>2074</v>
      </c>
      <c r="R47" s="285" t="s">
        <v>1798</v>
      </c>
      <c r="S47" s="285" t="s">
        <v>270</v>
      </c>
      <c r="T47" s="285" t="s">
        <v>263</v>
      </c>
      <c r="U47" s="285" t="s">
        <v>2076</v>
      </c>
      <c r="V47" s="285" t="s">
        <v>264</v>
      </c>
      <c r="W47" s="285" t="s">
        <v>257</v>
      </c>
      <c r="X47" s="285" t="s">
        <v>2090</v>
      </c>
      <c r="Y47" s="285" t="s">
        <v>2079</v>
      </c>
      <c r="Z47" s="285" t="s">
        <v>1942</v>
      </c>
      <c r="AA47" s="285" t="s">
        <v>267</v>
      </c>
      <c r="AB47" s="285" t="s">
        <v>262</v>
      </c>
      <c r="AC47" s="285" t="s">
        <v>266</v>
      </c>
      <c r="AD47" s="285" t="s">
        <v>261</v>
      </c>
      <c r="AE47" s="285"/>
      <c r="BB47" s="285" t="str">
        <f t="shared" si="9"/>
        <v>Windlass,Manor,Land Consolidation,Forestry,Polis,Stonecutting,Composite Bow,Military Drill,Trapping,Hydraulics,Machinery,Sovereignty,Aristocracy,Divination,Rhetoric,Administration,</v>
      </c>
      <c r="BC47" s="285" t="str">
        <f>IFERROR(__xludf.DUMMYFUNCTION("SPLIT(BB47,"","")"),"Windlass")</f>
        <v>Windlass</v>
      </c>
      <c r="BD47" s="285" t="str">
        <f>IFERROR(__xludf.DUMMYFUNCTION("""COMPUTED_VALUE"""),"Manor")</f>
        <v>Manor</v>
      </c>
      <c r="BE47" s="285" t="str">
        <f>IFERROR(__xludf.DUMMYFUNCTION("""COMPUTED_VALUE"""),"Land Consolidation")</f>
        <v>Land Consolidation</v>
      </c>
      <c r="BF47" s="285" t="str">
        <f>IFERROR(__xludf.DUMMYFUNCTION("""COMPUTED_VALUE"""),"Forestry")</f>
        <v>Forestry</v>
      </c>
      <c r="BG47" s="285" t="str">
        <f>IFERROR(__xludf.DUMMYFUNCTION("""COMPUTED_VALUE"""),"Polis")</f>
        <v>Polis</v>
      </c>
      <c r="BH47" s="285" t="str">
        <f>IFERROR(__xludf.DUMMYFUNCTION("""COMPUTED_VALUE"""),"Stonecutting")</f>
        <v>Stonecutting</v>
      </c>
      <c r="BI47" s="285" t="str">
        <f>IFERROR(__xludf.DUMMYFUNCTION("""COMPUTED_VALUE"""),"Composite Bow")</f>
        <v>Composite Bow</v>
      </c>
      <c r="BJ47" s="285" t="str">
        <f>IFERROR(__xludf.DUMMYFUNCTION("""COMPUTED_VALUE"""),"Military Drill")</f>
        <v>Military Drill</v>
      </c>
      <c r="BK47" s="285" t="str">
        <f>IFERROR(__xludf.DUMMYFUNCTION("""COMPUTED_VALUE"""),"Trapping")</f>
        <v>Trapping</v>
      </c>
      <c r="BL47" s="285" t="str">
        <f>IFERROR(__xludf.DUMMYFUNCTION("""COMPUTED_VALUE"""),"Hydraulics")</f>
        <v>Hydraulics</v>
      </c>
      <c r="BM47" s="285" t="str">
        <f>IFERROR(__xludf.DUMMYFUNCTION("""COMPUTED_VALUE"""),"Machinery")</f>
        <v>Machinery</v>
      </c>
      <c r="BN47" s="285" t="str">
        <f>IFERROR(__xludf.DUMMYFUNCTION("""COMPUTED_VALUE"""),"Sovereignty")</f>
        <v>Sovereignty</v>
      </c>
      <c r="BO47" s="285" t="str">
        <f>IFERROR(__xludf.DUMMYFUNCTION("""COMPUTED_VALUE"""),"Aristocracy")</f>
        <v>Aristocracy</v>
      </c>
      <c r="BP47" s="285" t="str">
        <f>IFERROR(__xludf.DUMMYFUNCTION("""COMPUTED_VALUE"""),"Divination")</f>
        <v>Divination</v>
      </c>
      <c r="BQ47" s="285" t="str">
        <f>IFERROR(__xludf.DUMMYFUNCTION("""COMPUTED_VALUE"""),"Rhetoric")</f>
        <v>Rhetoric</v>
      </c>
      <c r="BR47" s="285" t="str">
        <f>IFERROR(__xludf.DUMMYFUNCTION("""COMPUTED_VALUE"""),"Administration")</f>
        <v>Administration</v>
      </c>
    </row>
    <row r="48" ht="45.0" customHeight="1">
      <c r="A48" s="459"/>
      <c r="B48" s="659" t="s">
        <v>2111</v>
      </c>
      <c r="C48" s="660">
        <v>1600.0</v>
      </c>
      <c r="D48" s="660">
        <f t="shared" si="3"/>
        <v>4400</v>
      </c>
      <c r="E48" s="667" t="str">
        <f t="shared" si="4"/>
        <v/>
      </c>
      <c r="F48" s="668" t="s">
        <v>2092</v>
      </c>
      <c r="G48" s="667" t="str">
        <f>VLOOKUP(H48,$B:$N,13,false)</f>
        <v/>
      </c>
      <c r="H48" s="668" t="s">
        <v>2090</v>
      </c>
      <c r="I48" s="661"/>
      <c r="J48" s="544"/>
      <c r="K48" s="663" t="s">
        <v>2112</v>
      </c>
      <c r="L48" s="544" t="str">
        <f t="shared" si="7"/>
        <v>Cartography,Navigation,Labor Force,Ironworking,Metaphysics,Rhetoric,Administration,Hydraulics,Machinery,Sovereignty,Aristocracy,Divination</v>
      </c>
      <c r="M48" s="669">
        <f t="array" ref="M48">SUM(IF(O48:AZ48=0,0,VLOOKUP(O48:AZ48,$B:$C,2,false)))</f>
        <v>2800</v>
      </c>
      <c r="N48" s="285" t="str">
        <f t="shared" si="2"/>
        <v/>
      </c>
      <c r="O48" s="285" t="str">
        <f t="shared" si="8"/>
        <v>Cartography</v>
      </c>
      <c r="P48" s="285" t="s">
        <v>1943</v>
      </c>
      <c r="Q48" s="285" t="s">
        <v>268</v>
      </c>
      <c r="R48" s="285" t="s">
        <v>258</v>
      </c>
      <c r="S48" s="285" t="s">
        <v>1796</v>
      </c>
      <c r="T48" s="285" t="s">
        <v>266</v>
      </c>
      <c r="U48" s="285" t="s">
        <v>261</v>
      </c>
      <c r="V48" s="285" t="s">
        <v>2090</v>
      </c>
      <c r="W48" s="285" t="s">
        <v>2079</v>
      </c>
      <c r="X48" s="285" t="s">
        <v>1942</v>
      </c>
      <c r="Y48" s="285" t="s">
        <v>267</v>
      </c>
      <c r="Z48" s="285" t="s">
        <v>262</v>
      </c>
      <c r="AA48" s="285"/>
      <c r="BB48" s="285" t="str">
        <f t="shared" si="9"/>
        <v>Cartography,Navigation,Labor Force,Ironworking,Metaphysics,Rhetoric,Administration,Hydraulics,Machinery,Sovereignty,Aristocracy,Divination,Rhetoric,Administration,</v>
      </c>
      <c r="BC48" s="285" t="str">
        <f>IFERROR(__xludf.DUMMYFUNCTION("SPLIT(BB48,"","")"),"Cartography")</f>
        <v>Cartography</v>
      </c>
      <c r="BD48" s="285" t="str">
        <f>IFERROR(__xludf.DUMMYFUNCTION("""COMPUTED_VALUE"""),"Navigation")</f>
        <v>Navigation</v>
      </c>
      <c r="BE48" s="285" t="str">
        <f>IFERROR(__xludf.DUMMYFUNCTION("""COMPUTED_VALUE"""),"Labor Force")</f>
        <v>Labor Force</v>
      </c>
      <c r="BF48" s="285" t="str">
        <f>IFERROR(__xludf.DUMMYFUNCTION("""COMPUTED_VALUE"""),"Ironworking")</f>
        <v>Ironworking</v>
      </c>
      <c r="BG48" s="285" t="str">
        <f>IFERROR(__xludf.DUMMYFUNCTION("""COMPUTED_VALUE"""),"Metaphysics")</f>
        <v>Metaphysics</v>
      </c>
      <c r="BH48" s="285" t="str">
        <f>IFERROR(__xludf.DUMMYFUNCTION("""COMPUTED_VALUE"""),"Rhetoric")</f>
        <v>Rhetoric</v>
      </c>
      <c r="BI48" s="285" t="str">
        <f>IFERROR(__xludf.DUMMYFUNCTION("""COMPUTED_VALUE"""),"Administration")</f>
        <v>Administration</v>
      </c>
      <c r="BJ48" s="285" t="str">
        <f>IFERROR(__xludf.DUMMYFUNCTION("""COMPUTED_VALUE"""),"Hydraulics")</f>
        <v>Hydraulics</v>
      </c>
      <c r="BK48" s="285" t="str">
        <f>IFERROR(__xludf.DUMMYFUNCTION("""COMPUTED_VALUE"""),"Machinery")</f>
        <v>Machinery</v>
      </c>
      <c r="BL48" s="285" t="str">
        <f>IFERROR(__xludf.DUMMYFUNCTION("""COMPUTED_VALUE"""),"Sovereignty")</f>
        <v>Sovereignty</v>
      </c>
      <c r="BM48" s="285" t="str">
        <f>IFERROR(__xludf.DUMMYFUNCTION("""COMPUTED_VALUE"""),"Aristocracy")</f>
        <v>Aristocracy</v>
      </c>
      <c r="BN48" s="285" t="str">
        <f>IFERROR(__xludf.DUMMYFUNCTION("""COMPUTED_VALUE"""),"Divination")</f>
        <v>Divination</v>
      </c>
      <c r="BO48" s="285" t="str">
        <f>IFERROR(__xludf.DUMMYFUNCTION("""COMPUTED_VALUE"""),"Rhetoric")</f>
        <v>Rhetoric</v>
      </c>
      <c r="BP48" s="285" t="str">
        <f>IFERROR(__xludf.DUMMYFUNCTION("""COMPUTED_VALUE"""),"Administration")</f>
        <v>Administration</v>
      </c>
    </row>
    <row r="49" ht="45.0" customHeight="1">
      <c r="A49" s="459"/>
      <c r="B49" s="672" t="s">
        <v>2113</v>
      </c>
      <c r="C49" s="660">
        <v>2000.0</v>
      </c>
      <c r="D49" s="660">
        <f t="shared" si="3"/>
        <v>8600</v>
      </c>
      <c r="E49" s="667" t="str">
        <f t="shared" si="4"/>
        <v/>
      </c>
      <c r="F49" s="668" t="s">
        <v>2029</v>
      </c>
      <c r="G49" s="661"/>
      <c r="H49" s="662"/>
      <c r="I49" s="661"/>
      <c r="J49" s="544"/>
      <c r="K49" s="673" t="s">
        <v>2114</v>
      </c>
      <c r="L49" s="544" t="str">
        <f t="shared" si="7"/>
        <v>Fiscal Policy,Lateen Sail,Coinage,Navigation,Labor Force,Ironworking,Cartography,Metaphysics,Rhetoric,Administration,Jurisprudence,Scholarship,Citizenship,Phalanx</v>
      </c>
      <c r="M49" s="669">
        <f t="array" ref="M49">SUM(IF(O49:AZ49=0,0,VLOOKUP(O49:AZ49,$B:$C,2,false)))</f>
        <v>6600</v>
      </c>
      <c r="N49" s="285" t="str">
        <f t="shared" si="2"/>
        <v/>
      </c>
      <c r="O49" s="285" t="str">
        <f t="shared" si="8"/>
        <v>Fiscal Policy</v>
      </c>
      <c r="P49" s="285" t="s">
        <v>2028</v>
      </c>
      <c r="Q49" s="285" t="s">
        <v>2069</v>
      </c>
      <c r="R49" s="285" t="s">
        <v>1943</v>
      </c>
      <c r="S49" s="285" t="s">
        <v>268</v>
      </c>
      <c r="T49" s="285" t="s">
        <v>258</v>
      </c>
      <c r="U49" s="285" t="s">
        <v>2092</v>
      </c>
      <c r="V49" s="285" t="s">
        <v>1796</v>
      </c>
      <c r="W49" s="285" t="s">
        <v>266</v>
      </c>
      <c r="X49" s="285" t="s">
        <v>261</v>
      </c>
      <c r="Y49" s="285" t="s">
        <v>2027</v>
      </c>
      <c r="Z49" s="285" t="s">
        <v>2081</v>
      </c>
      <c r="AA49" s="285" t="s">
        <v>1969</v>
      </c>
      <c r="AB49" s="285" t="s">
        <v>2060</v>
      </c>
      <c r="AC49" s="285"/>
      <c r="BB49" s="285" t="str">
        <f t="shared" si="9"/>
        <v>Fiscal Policy,Lateen Sail,Coinage,Navigation,Labor Force,Ironworking,Cartography,Metaphysics,Rhetoric,Administration,Jurisprudence,Scholarship,Citizenship,Phalanx,</v>
      </c>
      <c r="BC49" s="285" t="str">
        <f>IFERROR(__xludf.DUMMYFUNCTION("SPLIT(BB49,"","")"),"Fiscal Policy")</f>
        <v>Fiscal Policy</v>
      </c>
      <c r="BD49" s="285" t="str">
        <f>IFERROR(__xludf.DUMMYFUNCTION("""COMPUTED_VALUE"""),"Lateen Sail")</f>
        <v>Lateen Sail</v>
      </c>
      <c r="BE49" s="285" t="str">
        <f>IFERROR(__xludf.DUMMYFUNCTION("""COMPUTED_VALUE"""),"Coinage")</f>
        <v>Coinage</v>
      </c>
      <c r="BF49" s="285" t="str">
        <f>IFERROR(__xludf.DUMMYFUNCTION("""COMPUTED_VALUE"""),"Navigation")</f>
        <v>Navigation</v>
      </c>
      <c r="BG49" s="285" t="str">
        <f>IFERROR(__xludf.DUMMYFUNCTION("""COMPUTED_VALUE"""),"Labor Force")</f>
        <v>Labor Force</v>
      </c>
      <c r="BH49" s="285" t="str">
        <f>IFERROR(__xludf.DUMMYFUNCTION("""COMPUTED_VALUE"""),"Ironworking")</f>
        <v>Ironworking</v>
      </c>
      <c r="BI49" s="285" t="str">
        <f>IFERROR(__xludf.DUMMYFUNCTION("""COMPUTED_VALUE"""),"Cartography")</f>
        <v>Cartography</v>
      </c>
      <c r="BJ49" s="285" t="str">
        <f>IFERROR(__xludf.DUMMYFUNCTION("""COMPUTED_VALUE"""),"Metaphysics")</f>
        <v>Metaphysics</v>
      </c>
      <c r="BK49" s="285" t="str">
        <f>IFERROR(__xludf.DUMMYFUNCTION("""COMPUTED_VALUE"""),"Rhetoric")</f>
        <v>Rhetoric</v>
      </c>
      <c r="BL49" s="285" t="str">
        <f>IFERROR(__xludf.DUMMYFUNCTION("""COMPUTED_VALUE"""),"Administration")</f>
        <v>Administration</v>
      </c>
      <c r="BM49" s="285" t="str">
        <f>IFERROR(__xludf.DUMMYFUNCTION("""COMPUTED_VALUE"""),"Jurisprudence")</f>
        <v>Jurisprudence</v>
      </c>
      <c r="BN49" s="285" t="str">
        <f>IFERROR(__xludf.DUMMYFUNCTION("""COMPUTED_VALUE"""),"Scholarship")</f>
        <v>Scholarship</v>
      </c>
      <c r="BO49" s="285" t="str">
        <f>IFERROR(__xludf.DUMMYFUNCTION("""COMPUTED_VALUE"""),"Citizenship")</f>
        <v>Citizenship</v>
      </c>
      <c r="BP49" s="285" t="str">
        <f>IFERROR(__xludf.DUMMYFUNCTION("""COMPUTED_VALUE"""),"Phalanx")</f>
        <v>Phalanx</v>
      </c>
    </row>
    <row r="50" ht="45.0" customHeight="1">
      <c r="A50" s="459"/>
      <c r="B50" s="672" t="s">
        <v>2115</v>
      </c>
      <c r="C50" s="660">
        <v>2000.0</v>
      </c>
      <c r="D50" s="660">
        <f t="shared" si="3"/>
        <v>12120</v>
      </c>
      <c r="E50" s="667" t="str">
        <f t="shared" si="4"/>
        <v/>
      </c>
      <c r="F50" s="668" t="s">
        <v>2103</v>
      </c>
      <c r="G50" s="667" t="str">
        <f t="shared" ref="G50:G51" si="14">VLOOKUP(H50,$B:$N,13,false)</f>
        <v/>
      </c>
      <c r="H50" s="668" t="s">
        <v>2098</v>
      </c>
      <c r="I50" s="667" t="str">
        <f>VLOOKUP(J50,$B:$N,13,false)</f>
        <v/>
      </c>
      <c r="J50" s="674" t="s">
        <v>2105</v>
      </c>
      <c r="K50" s="673" t="s">
        <v>2116</v>
      </c>
      <c r="L50" s="544" t="str">
        <f t="shared" si="7"/>
        <v>Barding,Battle Line,Phalanx,Labor Force,Ironworking,Steel,Military Drill,Trapping,Martial Code,Stirrups,Portcullis,Spoked Wheel,Husbandry,Citizenship,Bodkin Arrow,Manor,Land Consolidation,Forestry,Polis,Stonecutting,Composite Bow,Cohorts</v>
      </c>
      <c r="M50" s="669">
        <f t="array" ref="M50">SUM(IF(O50:AZ50=0,0,VLOOKUP(O50:AZ50,$B:$C,2,false)))</f>
        <v>10120</v>
      </c>
      <c r="N50" s="285" t="str">
        <f t="shared" si="2"/>
        <v/>
      </c>
      <c r="O50" s="285" t="str">
        <f t="shared" si="8"/>
        <v>Barding</v>
      </c>
      <c r="P50" s="285" t="s">
        <v>2087</v>
      </c>
      <c r="Q50" s="285" t="s">
        <v>2060</v>
      </c>
      <c r="R50" s="285" t="s">
        <v>268</v>
      </c>
      <c r="S50" s="285" t="s">
        <v>258</v>
      </c>
      <c r="T50" s="285" t="s">
        <v>2065</v>
      </c>
      <c r="U50" s="285" t="s">
        <v>264</v>
      </c>
      <c r="V50" s="285" t="s">
        <v>257</v>
      </c>
      <c r="W50" s="285" t="s">
        <v>1999</v>
      </c>
      <c r="X50" s="285" t="s">
        <v>2083</v>
      </c>
      <c r="Y50" s="285" t="s">
        <v>2072</v>
      </c>
      <c r="Z50" s="285" t="s">
        <v>2062</v>
      </c>
      <c r="AA50" s="285" t="s">
        <v>259</v>
      </c>
      <c r="AB50" s="285" t="s">
        <v>1969</v>
      </c>
      <c r="AC50" s="285" t="s">
        <v>2098</v>
      </c>
      <c r="AD50" s="285" t="s">
        <v>1997</v>
      </c>
      <c r="AE50" s="285" t="s">
        <v>2074</v>
      </c>
      <c r="AF50" s="285" t="s">
        <v>1798</v>
      </c>
      <c r="AG50" s="285" t="s">
        <v>270</v>
      </c>
      <c r="AH50" s="285" t="s">
        <v>263</v>
      </c>
      <c r="AI50" s="285" t="s">
        <v>2076</v>
      </c>
      <c r="AJ50" s="285" t="s">
        <v>2105</v>
      </c>
      <c r="AK50" s="285"/>
      <c r="BB50" s="285" t="str">
        <f t="shared" si="9"/>
        <v>Barding,Battle Line,Phalanx,Labor Force,Ironworking,Steel,Military Drill,Trapping,Martial Code,Stirrups,Portcullis,Spoked Wheel,Husbandry,Citizenship,Bodkin Arrow,Manor,Land Consolidation,Forestry,Polis,Stonecutting,Composite Bow,Military Drill,Trapping,Cohorts,Manor,Land Consolidation,Forestry,Polis,Stonecutting,Composite Bow,Military Drill,Trapping,Battle Line,Phalanx,Labor Force,Ironworking,Steel</v>
      </c>
      <c r="BC50" s="285" t="str">
        <f>IFERROR(__xludf.DUMMYFUNCTION("SPLIT(BB50,"","")"),"Barding")</f>
        <v>Barding</v>
      </c>
      <c r="BD50" s="285" t="str">
        <f>IFERROR(__xludf.DUMMYFUNCTION("""COMPUTED_VALUE"""),"Battle Line")</f>
        <v>Battle Line</v>
      </c>
      <c r="BE50" s="285" t="str">
        <f>IFERROR(__xludf.DUMMYFUNCTION("""COMPUTED_VALUE"""),"Phalanx")</f>
        <v>Phalanx</v>
      </c>
      <c r="BF50" s="285" t="str">
        <f>IFERROR(__xludf.DUMMYFUNCTION("""COMPUTED_VALUE"""),"Labor Force")</f>
        <v>Labor Force</v>
      </c>
      <c r="BG50" s="285" t="str">
        <f>IFERROR(__xludf.DUMMYFUNCTION("""COMPUTED_VALUE"""),"Ironworking")</f>
        <v>Ironworking</v>
      </c>
      <c r="BH50" s="285" t="str">
        <f>IFERROR(__xludf.DUMMYFUNCTION("""COMPUTED_VALUE"""),"Steel")</f>
        <v>Steel</v>
      </c>
      <c r="BI50" s="285" t="str">
        <f>IFERROR(__xludf.DUMMYFUNCTION("""COMPUTED_VALUE"""),"Military Drill")</f>
        <v>Military Drill</v>
      </c>
      <c r="BJ50" s="285" t="str">
        <f>IFERROR(__xludf.DUMMYFUNCTION("""COMPUTED_VALUE"""),"Trapping")</f>
        <v>Trapping</v>
      </c>
      <c r="BK50" s="285" t="str">
        <f>IFERROR(__xludf.DUMMYFUNCTION("""COMPUTED_VALUE"""),"Martial Code")</f>
        <v>Martial Code</v>
      </c>
      <c r="BL50" s="285" t="str">
        <f>IFERROR(__xludf.DUMMYFUNCTION("""COMPUTED_VALUE"""),"Stirrups")</f>
        <v>Stirrups</v>
      </c>
      <c r="BM50" s="285" t="str">
        <f>IFERROR(__xludf.DUMMYFUNCTION("""COMPUTED_VALUE"""),"Portcullis")</f>
        <v>Portcullis</v>
      </c>
      <c r="BN50" s="285" t="str">
        <f>IFERROR(__xludf.DUMMYFUNCTION("""COMPUTED_VALUE"""),"Spoked Wheel")</f>
        <v>Spoked Wheel</v>
      </c>
      <c r="BO50" s="285" t="str">
        <f>IFERROR(__xludf.DUMMYFUNCTION("""COMPUTED_VALUE"""),"Husbandry")</f>
        <v>Husbandry</v>
      </c>
      <c r="BP50" s="285" t="str">
        <f>IFERROR(__xludf.DUMMYFUNCTION("""COMPUTED_VALUE"""),"Citizenship")</f>
        <v>Citizenship</v>
      </c>
      <c r="BQ50" s="285" t="str">
        <f>IFERROR(__xludf.DUMMYFUNCTION("""COMPUTED_VALUE"""),"Bodkin Arrow")</f>
        <v>Bodkin Arrow</v>
      </c>
      <c r="BR50" s="285" t="str">
        <f>IFERROR(__xludf.DUMMYFUNCTION("""COMPUTED_VALUE"""),"Manor")</f>
        <v>Manor</v>
      </c>
      <c r="BS50" s="285" t="str">
        <f>IFERROR(__xludf.DUMMYFUNCTION("""COMPUTED_VALUE"""),"Land Consolidation")</f>
        <v>Land Consolidation</v>
      </c>
      <c r="BT50" s="285" t="str">
        <f>IFERROR(__xludf.DUMMYFUNCTION("""COMPUTED_VALUE"""),"Forestry")</f>
        <v>Forestry</v>
      </c>
      <c r="BU50" s="285" t="str">
        <f>IFERROR(__xludf.DUMMYFUNCTION("""COMPUTED_VALUE"""),"Polis")</f>
        <v>Polis</v>
      </c>
      <c r="BV50" s="285" t="str">
        <f>IFERROR(__xludf.DUMMYFUNCTION("""COMPUTED_VALUE"""),"Stonecutting")</f>
        <v>Stonecutting</v>
      </c>
      <c r="BW50" s="285" t="str">
        <f>IFERROR(__xludf.DUMMYFUNCTION("""COMPUTED_VALUE"""),"Composite Bow")</f>
        <v>Composite Bow</v>
      </c>
      <c r="BX50" s="285" t="str">
        <f>IFERROR(__xludf.DUMMYFUNCTION("""COMPUTED_VALUE"""),"Military Drill")</f>
        <v>Military Drill</v>
      </c>
      <c r="BY50" s="285" t="str">
        <f>IFERROR(__xludf.DUMMYFUNCTION("""COMPUTED_VALUE"""),"Trapping")</f>
        <v>Trapping</v>
      </c>
      <c r="BZ50" s="285" t="str">
        <f>IFERROR(__xludf.DUMMYFUNCTION("""COMPUTED_VALUE"""),"Cohorts")</f>
        <v>Cohorts</v>
      </c>
      <c r="CA50" s="285" t="str">
        <f>IFERROR(__xludf.DUMMYFUNCTION("""COMPUTED_VALUE"""),"Manor")</f>
        <v>Manor</v>
      </c>
      <c r="CB50" s="285" t="str">
        <f>IFERROR(__xludf.DUMMYFUNCTION("""COMPUTED_VALUE"""),"Land Consolidation")</f>
        <v>Land Consolidation</v>
      </c>
      <c r="CC50" s="285" t="str">
        <f>IFERROR(__xludf.DUMMYFUNCTION("""COMPUTED_VALUE"""),"Forestry")</f>
        <v>Forestry</v>
      </c>
      <c r="CD50" s="285" t="str">
        <f>IFERROR(__xludf.DUMMYFUNCTION("""COMPUTED_VALUE"""),"Polis")</f>
        <v>Polis</v>
      </c>
      <c r="CE50" s="285" t="str">
        <f>IFERROR(__xludf.DUMMYFUNCTION("""COMPUTED_VALUE"""),"Stonecutting")</f>
        <v>Stonecutting</v>
      </c>
      <c r="CF50" s="285" t="str">
        <f>IFERROR(__xludf.DUMMYFUNCTION("""COMPUTED_VALUE"""),"Composite Bow")</f>
        <v>Composite Bow</v>
      </c>
      <c r="CG50" s="285" t="str">
        <f>IFERROR(__xludf.DUMMYFUNCTION("""COMPUTED_VALUE"""),"Military Drill")</f>
        <v>Military Drill</v>
      </c>
      <c r="CH50" s="285" t="str">
        <f>IFERROR(__xludf.DUMMYFUNCTION("""COMPUTED_VALUE"""),"Trapping")</f>
        <v>Trapping</v>
      </c>
      <c r="CI50" s="285" t="str">
        <f>IFERROR(__xludf.DUMMYFUNCTION("""COMPUTED_VALUE"""),"Battle Line")</f>
        <v>Battle Line</v>
      </c>
      <c r="CJ50" s="285" t="str">
        <f>IFERROR(__xludf.DUMMYFUNCTION("""COMPUTED_VALUE"""),"Phalanx")</f>
        <v>Phalanx</v>
      </c>
      <c r="CK50" s="285" t="str">
        <f>IFERROR(__xludf.DUMMYFUNCTION("""COMPUTED_VALUE"""),"Labor Force")</f>
        <v>Labor Force</v>
      </c>
      <c r="CL50" s="285" t="str">
        <f>IFERROR(__xludf.DUMMYFUNCTION("""COMPUTED_VALUE"""),"Ironworking")</f>
        <v>Ironworking</v>
      </c>
      <c r="CM50" s="285" t="str">
        <f>IFERROR(__xludf.DUMMYFUNCTION("""COMPUTED_VALUE"""),"Steel")</f>
        <v>Steel</v>
      </c>
    </row>
    <row r="51" ht="45.0" customHeight="1">
      <c r="A51" s="459"/>
      <c r="B51" s="672" t="s">
        <v>2117</v>
      </c>
      <c r="C51" s="660">
        <v>2000.0</v>
      </c>
      <c r="D51" s="660">
        <f t="shared" si="3"/>
        <v>11000</v>
      </c>
      <c r="E51" s="667" t="str">
        <f t="shared" si="4"/>
        <v/>
      </c>
      <c r="F51" s="668" t="s">
        <v>2109</v>
      </c>
      <c r="G51" s="667" t="str">
        <f t="shared" si="14"/>
        <v/>
      </c>
      <c r="H51" s="668" t="s">
        <v>2111</v>
      </c>
      <c r="I51" s="667"/>
      <c r="J51" s="544"/>
      <c r="K51" s="673" t="s">
        <v>2118</v>
      </c>
      <c r="L51" s="544" t="str">
        <f t="shared" si="7"/>
        <v>Chain Drive,Windlass,Manor,Land Consolidation,Forestry,Polis,Stonecutting,Composite Bow,Military Drill,Trapping,Hydraulics,Machinery,Sovereignty,Aristocracy,Divination,Rhetoric,Administration,Ballistics,Cartography,Navigation,Labor Force,Ironworking,Metaphysics</v>
      </c>
      <c r="M51" s="669">
        <f t="array" ref="M51">SUM(IF(O51:AZ51=0,0,VLOOKUP(O51:AZ51,$B:$C,2,false)))</f>
        <v>9000</v>
      </c>
      <c r="N51" s="285" t="str">
        <f t="shared" si="2"/>
        <v/>
      </c>
      <c r="O51" s="285" t="str">
        <f t="shared" si="8"/>
        <v>Chain Drive</v>
      </c>
      <c r="P51" s="285" t="s">
        <v>2100</v>
      </c>
      <c r="Q51" s="285" t="s">
        <v>1997</v>
      </c>
      <c r="R51" s="285" t="s">
        <v>2074</v>
      </c>
      <c r="S51" s="285" t="s">
        <v>1798</v>
      </c>
      <c r="T51" s="285" t="s">
        <v>270</v>
      </c>
      <c r="U51" s="285" t="s">
        <v>263</v>
      </c>
      <c r="V51" s="285" t="s">
        <v>2076</v>
      </c>
      <c r="W51" s="285" t="s">
        <v>264</v>
      </c>
      <c r="X51" s="285" t="s">
        <v>257</v>
      </c>
      <c r="Y51" s="285" t="s">
        <v>2090</v>
      </c>
      <c r="Z51" s="285" t="s">
        <v>2079</v>
      </c>
      <c r="AA51" s="285" t="s">
        <v>1942</v>
      </c>
      <c r="AB51" s="285" t="s">
        <v>267</v>
      </c>
      <c r="AC51" s="285" t="s">
        <v>262</v>
      </c>
      <c r="AD51" s="285" t="s">
        <v>266</v>
      </c>
      <c r="AE51" s="285" t="s">
        <v>261</v>
      </c>
      <c r="AF51" s="285" t="s">
        <v>2111</v>
      </c>
      <c r="AG51" s="285" t="s">
        <v>2092</v>
      </c>
      <c r="AH51" s="285" t="s">
        <v>1943</v>
      </c>
      <c r="AI51" s="285" t="s">
        <v>268</v>
      </c>
      <c r="AJ51" s="285" t="s">
        <v>258</v>
      </c>
      <c r="AK51" s="285" t="s">
        <v>1796</v>
      </c>
      <c r="AL51" s="285"/>
      <c r="BB51" s="285" t="str">
        <f t="shared" si="9"/>
        <v>Chain Drive,Windlass,Manor,Land Consolidation,Forestry,Polis,Stonecutting,Composite Bow,Military Drill,Trapping,Hydraulics,Machinery,Sovereignty,Aristocracy,Divination,Rhetoric,Administration,Ballistics,Cartography,Navigation,Labor Force,Ironworking,Metaphysics,Rhetoric,Administration,Hydraulics,Machinery,Sovereignty,Aristocracy,Divination,</v>
      </c>
      <c r="BC51" s="285" t="str">
        <f>IFERROR(__xludf.DUMMYFUNCTION("SPLIT(BB51,"","")"),"Chain Drive")</f>
        <v>Chain Drive</v>
      </c>
      <c r="BD51" s="285" t="str">
        <f>IFERROR(__xludf.DUMMYFUNCTION("""COMPUTED_VALUE"""),"Windlass")</f>
        <v>Windlass</v>
      </c>
      <c r="BE51" s="285" t="str">
        <f>IFERROR(__xludf.DUMMYFUNCTION("""COMPUTED_VALUE"""),"Manor")</f>
        <v>Manor</v>
      </c>
      <c r="BF51" s="285" t="str">
        <f>IFERROR(__xludf.DUMMYFUNCTION("""COMPUTED_VALUE"""),"Land Consolidation")</f>
        <v>Land Consolidation</v>
      </c>
      <c r="BG51" s="285" t="str">
        <f>IFERROR(__xludf.DUMMYFUNCTION("""COMPUTED_VALUE"""),"Forestry")</f>
        <v>Forestry</v>
      </c>
      <c r="BH51" s="285" t="str">
        <f>IFERROR(__xludf.DUMMYFUNCTION("""COMPUTED_VALUE"""),"Polis")</f>
        <v>Polis</v>
      </c>
      <c r="BI51" s="285" t="str">
        <f>IFERROR(__xludf.DUMMYFUNCTION("""COMPUTED_VALUE"""),"Stonecutting")</f>
        <v>Stonecutting</v>
      </c>
      <c r="BJ51" s="285" t="str">
        <f>IFERROR(__xludf.DUMMYFUNCTION("""COMPUTED_VALUE"""),"Composite Bow")</f>
        <v>Composite Bow</v>
      </c>
      <c r="BK51" s="285" t="str">
        <f>IFERROR(__xludf.DUMMYFUNCTION("""COMPUTED_VALUE"""),"Military Drill")</f>
        <v>Military Drill</v>
      </c>
      <c r="BL51" s="285" t="str">
        <f>IFERROR(__xludf.DUMMYFUNCTION("""COMPUTED_VALUE"""),"Trapping")</f>
        <v>Trapping</v>
      </c>
      <c r="BM51" s="285" t="str">
        <f>IFERROR(__xludf.DUMMYFUNCTION("""COMPUTED_VALUE"""),"Hydraulics")</f>
        <v>Hydraulics</v>
      </c>
      <c r="BN51" s="285" t="str">
        <f>IFERROR(__xludf.DUMMYFUNCTION("""COMPUTED_VALUE"""),"Machinery")</f>
        <v>Machinery</v>
      </c>
      <c r="BO51" s="285" t="str">
        <f>IFERROR(__xludf.DUMMYFUNCTION("""COMPUTED_VALUE"""),"Sovereignty")</f>
        <v>Sovereignty</v>
      </c>
      <c r="BP51" s="285" t="str">
        <f>IFERROR(__xludf.DUMMYFUNCTION("""COMPUTED_VALUE"""),"Aristocracy")</f>
        <v>Aristocracy</v>
      </c>
      <c r="BQ51" s="285" t="str">
        <f>IFERROR(__xludf.DUMMYFUNCTION("""COMPUTED_VALUE"""),"Divination")</f>
        <v>Divination</v>
      </c>
      <c r="BR51" s="285" t="str">
        <f>IFERROR(__xludf.DUMMYFUNCTION("""COMPUTED_VALUE"""),"Rhetoric")</f>
        <v>Rhetoric</v>
      </c>
      <c r="BS51" s="285" t="str">
        <f>IFERROR(__xludf.DUMMYFUNCTION("""COMPUTED_VALUE"""),"Administration")</f>
        <v>Administration</v>
      </c>
      <c r="BT51" s="285" t="str">
        <f>IFERROR(__xludf.DUMMYFUNCTION("""COMPUTED_VALUE"""),"Ballistics")</f>
        <v>Ballistics</v>
      </c>
      <c r="BU51" s="285" t="str">
        <f>IFERROR(__xludf.DUMMYFUNCTION("""COMPUTED_VALUE"""),"Cartography")</f>
        <v>Cartography</v>
      </c>
      <c r="BV51" s="285" t="str">
        <f>IFERROR(__xludf.DUMMYFUNCTION("""COMPUTED_VALUE"""),"Navigation")</f>
        <v>Navigation</v>
      </c>
      <c r="BW51" s="285" t="str">
        <f>IFERROR(__xludf.DUMMYFUNCTION("""COMPUTED_VALUE"""),"Labor Force")</f>
        <v>Labor Force</v>
      </c>
      <c r="BX51" s="285" t="str">
        <f>IFERROR(__xludf.DUMMYFUNCTION("""COMPUTED_VALUE"""),"Ironworking")</f>
        <v>Ironworking</v>
      </c>
      <c r="BY51" s="285" t="str">
        <f>IFERROR(__xludf.DUMMYFUNCTION("""COMPUTED_VALUE"""),"Metaphysics")</f>
        <v>Metaphysics</v>
      </c>
      <c r="BZ51" s="285" t="str">
        <f>IFERROR(__xludf.DUMMYFUNCTION("""COMPUTED_VALUE"""),"Rhetoric")</f>
        <v>Rhetoric</v>
      </c>
      <c r="CA51" s="285" t="str">
        <f>IFERROR(__xludf.DUMMYFUNCTION("""COMPUTED_VALUE"""),"Administration")</f>
        <v>Administration</v>
      </c>
      <c r="CB51" s="285" t="str">
        <f>IFERROR(__xludf.DUMMYFUNCTION("""COMPUTED_VALUE"""),"Hydraulics")</f>
        <v>Hydraulics</v>
      </c>
      <c r="CC51" s="285" t="str">
        <f>IFERROR(__xludf.DUMMYFUNCTION("""COMPUTED_VALUE"""),"Machinery")</f>
        <v>Machinery</v>
      </c>
      <c r="CD51" s="285" t="str">
        <f>IFERROR(__xludf.DUMMYFUNCTION("""COMPUTED_VALUE"""),"Sovereignty")</f>
        <v>Sovereignty</v>
      </c>
      <c r="CE51" s="285" t="str">
        <f>IFERROR(__xludf.DUMMYFUNCTION("""COMPUTED_VALUE"""),"Aristocracy")</f>
        <v>Aristocracy</v>
      </c>
      <c r="CF51" s="285" t="str">
        <f>IFERROR(__xludf.DUMMYFUNCTION("""COMPUTED_VALUE"""),"Divination")</f>
        <v>Divination</v>
      </c>
    </row>
    <row r="52">
      <c r="A52" s="459"/>
      <c r="C52" s="675"/>
      <c r="D52" s="675"/>
      <c r="E52" s="667"/>
      <c r="F52" s="55"/>
      <c r="G52" s="667"/>
      <c r="H52" s="55"/>
      <c r="I52" s="667"/>
      <c r="K52" s="652"/>
      <c r="L52" s="544"/>
      <c r="M52" s="276"/>
    </row>
    <row r="53">
      <c r="A53" s="459"/>
      <c r="B53" s="676" t="s">
        <v>2119</v>
      </c>
      <c r="C53" s="677">
        <v>0.0</v>
      </c>
      <c r="D53" s="678">
        <f t="shared" ref="D53:D55" si="15">C53+M53</f>
        <v>8000</v>
      </c>
      <c r="E53" s="667" t="str">
        <f t="shared" ref="E53:E55" si="16">VLOOKUP(F53,$B:$N,13,false)</f>
        <v/>
      </c>
      <c r="F53" s="105" t="s">
        <v>2029</v>
      </c>
      <c r="G53" s="667" t="str">
        <f t="shared" ref="G53:G55" si="17">VLOOKUP(H53,$B:$N,13,false)</f>
        <v/>
      </c>
      <c r="H53" s="105" t="s">
        <v>1970</v>
      </c>
      <c r="I53" s="667" t="str">
        <f t="shared" ref="I53:I54" si="18">VLOOKUP(J53,$B:$N,13,false)</f>
        <v/>
      </c>
      <c r="J53" s="34" t="s">
        <v>1942</v>
      </c>
      <c r="K53" s="652"/>
      <c r="L53" s="544" t="str">
        <f t="shared" ref="L53:L55" si="19">TEXTJOIN(",",true,O53:AI53)</f>
        <v>Fiscal Policy,Lateen Sail,Coinage,Navigation,Labor Force,Ironworking,Cartography,Metaphysics,Rhetoric,Administration,Jurisprudence,Scholarship,Citizenship,Phalanx,Doctrine,Monasticism,Aristocracy,Divination,Sovereignty</v>
      </c>
      <c r="M53" s="669">
        <f t="array" ref="M53">SUM(IF(O53:AZ53=0,0,VLOOKUP(O53:AZ53,$B:$C,2,false)))</f>
        <v>8000</v>
      </c>
      <c r="N53" s="285" t="str">
        <f t="shared" ref="N53:N55" si="20">A53</f>
        <v/>
      </c>
      <c r="O53" s="285" t="str">
        <f t="shared" ref="O53:O55" si="21">UNIQUE(BC53:CN53,true)</f>
        <v>Fiscal Policy</v>
      </c>
      <c r="P53" s="285" t="s">
        <v>2028</v>
      </c>
      <c r="Q53" s="285" t="s">
        <v>2069</v>
      </c>
      <c r="R53" s="285" t="s">
        <v>1943</v>
      </c>
      <c r="S53" s="285" t="s">
        <v>268</v>
      </c>
      <c r="T53" s="285" t="s">
        <v>258</v>
      </c>
      <c r="U53" s="285" t="s">
        <v>2092</v>
      </c>
      <c r="V53" s="285" t="s">
        <v>1796</v>
      </c>
      <c r="W53" s="285" t="s">
        <v>266</v>
      </c>
      <c r="X53" s="285" t="s">
        <v>261</v>
      </c>
      <c r="Y53" s="285" t="s">
        <v>2027</v>
      </c>
      <c r="Z53" s="285" t="s">
        <v>2081</v>
      </c>
      <c r="AA53" s="285" t="s">
        <v>1969</v>
      </c>
      <c r="AB53" s="285" t="s">
        <v>2060</v>
      </c>
      <c r="AC53" s="285" t="s">
        <v>1970</v>
      </c>
      <c r="AD53" s="285" t="s">
        <v>1944</v>
      </c>
      <c r="AE53" s="285" t="s">
        <v>267</v>
      </c>
      <c r="AF53" s="285" t="s">
        <v>262</v>
      </c>
      <c r="AG53" s="285" t="s">
        <v>1942</v>
      </c>
      <c r="AH53" s="285"/>
      <c r="BB53" s="285" t="str">
        <f t="shared" ref="BB53:BB55" si="22">IF(F53="","",F53&amp;","&amp;VLOOKUP(F53,B:L,11,false)&amp;",")&amp;IF(H53="","",H53&amp;","&amp;VLOOKUP(H53,B:L,11,false)&amp;",")&amp;IF(J53="","",J53&amp;","&amp;VLOOKUP(J53,B:L,11,false))</f>
        <v>Fiscal Policy,Lateen Sail,Coinage,Navigation,Labor Force,Ironworking,Cartography,Metaphysics,Rhetoric,Administration,Jurisprudence,Scholarship,Citizenship,Phalanx,Doctrine,Monasticism,Aristocracy,Divination,Sovereignty,Aristocracy,Divination,Rhetoric,Administration</v>
      </c>
      <c r="BC53" s="285" t="str">
        <f>IFERROR(__xludf.DUMMYFUNCTION("SPLIT(BB53,"","")"),"Fiscal Policy")</f>
        <v>Fiscal Policy</v>
      </c>
      <c r="BD53" s="285" t="str">
        <f>IFERROR(__xludf.DUMMYFUNCTION("""COMPUTED_VALUE"""),"Lateen Sail")</f>
        <v>Lateen Sail</v>
      </c>
      <c r="BE53" s="285" t="str">
        <f>IFERROR(__xludf.DUMMYFUNCTION("""COMPUTED_VALUE"""),"Coinage")</f>
        <v>Coinage</v>
      </c>
      <c r="BF53" s="285" t="str">
        <f>IFERROR(__xludf.DUMMYFUNCTION("""COMPUTED_VALUE"""),"Navigation")</f>
        <v>Navigation</v>
      </c>
      <c r="BG53" s="285" t="str">
        <f>IFERROR(__xludf.DUMMYFUNCTION("""COMPUTED_VALUE"""),"Labor Force")</f>
        <v>Labor Force</v>
      </c>
      <c r="BH53" s="285" t="str">
        <f>IFERROR(__xludf.DUMMYFUNCTION("""COMPUTED_VALUE"""),"Ironworking")</f>
        <v>Ironworking</v>
      </c>
      <c r="BI53" s="285" t="str">
        <f>IFERROR(__xludf.DUMMYFUNCTION("""COMPUTED_VALUE"""),"Cartography")</f>
        <v>Cartography</v>
      </c>
      <c r="BJ53" s="285" t="str">
        <f>IFERROR(__xludf.DUMMYFUNCTION("""COMPUTED_VALUE"""),"Metaphysics")</f>
        <v>Metaphysics</v>
      </c>
      <c r="BK53" s="285" t="str">
        <f>IFERROR(__xludf.DUMMYFUNCTION("""COMPUTED_VALUE"""),"Rhetoric")</f>
        <v>Rhetoric</v>
      </c>
      <c r="BL53" s="285" t="str">
        <f>IFERROR(__xludf.DUMMYFUNCTION("""COMPUTED_VALUE"""),"Administration")</f>
        <v>Administration</v>
      </c>
      <c r="BM53" s="285" t="str">
        <f>IFERROR(__xludf.DUMMYFUNCTION("""COMPUTED_VALUE"""),"Jurisprudence")</f>
        <v>Jurisprudence</v>
      </c>
      <c r="BN53" s="285" t="str">
        <f>IFERROR(__xludf.DUMMYFUNCTION("""COMPUTED_VALUE"""),"Scholarship")</f>
        <v>Scholarship</v>
      </c>
      <c r="BO53" s="285" t="str">
        <f>IFERROR(__xludf.DUMMYFUNCTION("""COMPUTED_VALUE"""),"Citizenship")</f>
        <v>Citizenship</v>
      </c>
      <c r="BP53" s="285" t="str">
        <f>IFERROR(__xludf.DUMMYFUNCTION("""COMPUTED_VALUE"""),"Phalanx")</f>
        <v>Phalanx</v>
      </c>
      <c r="BQ53" s="285" t="str">
        <f>IFERROR(__xludf.DUMMYFUNCTION("""COMPUTED_VALUE"""),"Doctrine")</f>
        <v>Doctrine</v>
      </c>
      <c r="BR53" s="285" t="str">
        <f>IFERROR(__xludf.DUMMYFUNCTION("""COMPUTED_VALUE"""),"Monasticism")</f>
        <v>Monasticism</v>
      </c>
      <c r="BS53" s="285" t="str">
        <f>IFERROR(__xludf.DUMMYFUNCTION("""COMPUTED_VALUE"""),"Aristocracy")</f>
        <v>Aristocracy</v>
      </c>
      <c r="BT53" s="285" t="str">
        <f>IFERROR(__xludf.DUMMYFUNCTION("""COMPUTED_VALUE"""),"Divination")</f>
        <v>Divination</v>
      </c>
      <c r="BU53" s="285" t="str">
        <f>IFERROR(__xludf.DUMMYFUNCTION("""COMPUTED_VALUE"""),"Sovereignty")</f>
        <v>Sovereignty</v>
      </c>
      <c r="BV53" s="285" t="str">
        <f>IFERROR(__xludf.DUMMYFUNCTION("""COMPUTED_VALUE"""),"Aristocracy")</f>
        <v>Aristocracy</v>
      </c>
      <c r="BW53" s="285" t="str">
        <f>IFERROR(__xludf.DUMMYFUNCTION("""COMPUTED_VALUE"""),"Divination")</f>
        <v>Divination</v>
      </c>
      <c r="BX53" s="285" t="str">
        <f>IFERROR(__xludf.DUMMYFUNCTION("""COMPUTED_VALUE"""),"Rhetoric")</f>
        <v>Rhetoric</v>
      </c>
      <c r="BY53" s="285" t="str">
        <f>IFERROR(__xludf.DUMMYFUNCTION("""COMPUTED_VALUE"""),"Administration")</f>
        <v>Administration</v>
      </c>
    </row>
    <row r="54">
      <c r="A54" s="459"/>
      <c r="B54" s="676" t="s">
        <v>2120</v>
      </c>
      <c r="C54" s="677">
        <v>0.0</v>
      </c>
      <c r="D54" s="678">
        <f t="shared" si="15"/>
        <v>6240</v>
      </c>
      <c r="E54" s="667" t="str">
        <f t="shared" si="16"/>
        <v/>
      </c>
      <c r="F54" s="105" t="s">
        <v>1999</v>
      </c>
      <c r="G54" s="667" t="str">
        <f t="shared" si="17"/>
        <v/>
      </c>
      <c r="H54" s="105" t="s">
        <v>1998</v>
      </c>
      <c r="I54" s="667" t="str">
        <f t="shared" si="18"/>
        <v/>
      </c>
      <c r="J54" s="34" t="s">
        <v>1997</v>
      </c>
      <c r="K54" s="652"/>
      <c r="L54" s="544" t="str">
        <f t="shared" si="19"/>
        <v>Martial Code,Stirrups,Portcullis,Spoked Wheel,Husbandry,Ironworking,Citizenship,Phalanx,Labor Force,Vaulting,Architecture,Drama,Stonecutting,Manor,Land Consolidation,Forestry,Polis,Composite Bow,Military Drill,Trapping</v>
      </c>
      <c r="M54" s="669">
        <f t="array" ref="M54">SUM(IF(O54:AZ54=0,0,VLOOKUP(O54:AZ54,$B:$C,2,false)))</f>
        <v>6240</v>
      </c>
      <c r="N54" s="285" t="str">
        <f t="shared" si="20"/>
        <v/>
      </c>
      <c r="O54" s="285" t="str">
        <f t="shared" si="21"/>
        <v>Martial Code</v>
      </c>
      <c r="P54" s="285" t="s">
        <v>2083</v>
      </c>
      <c r="Q54" s="285" t="s">
        <v>2072</v>
      </c>
      <c r="R54" s="285" t="s">
        <v>2062</v>
      </c>
      <c r="S54" s="285" t="s">
        <v>259</v>
      </c>
      <c r="T54" s="285" t="s">
        <v>258</v>
      </c>
      <c r="U54" s="285" t="s">
        <v>1969</v>
      </c>
      <c r="V54" s="285" t="s">
        <v>2060</v>
      </c>
      <c r="W54" s="285" t="s">
        <v>268</v>
      </c>
      <c r="X54" s="285" t="s">
        <v>1998</v>
      </c>
      <c r="Y54" s="285" t="s">
        <v>1971</v>
      </c>
      <c r="Z54" s="285" t="s">
        <v>269</v>
      </c>
      <c r="AA54" s="285" t="s">
        <v>263</v>
      </c>
      <c r="AB54" s="285" t="s">
        <v>1997</v>
      </c>
      <c r="AC54" s="285" t="s">
        <v>2074</v>
      </c>
      <c r="AD54" s="285" t="s">
        <v>1798</v>
      </c>
      <c r="AE54" s="285" t="s">
        <v>270</v>
      </c>
      <c r="AF54" s="285" t="s">
        <v>2076</v>
      </c>
      <c r="AG54" s="285" t="s">
        <v>264</v>
      </c>
      <c r="AH54" s="285" t="s">
        <v>257</v>
      </c>
      <c r="AI54" s="285"/>
      <c r="BB54" s="285" t="str">
        <f t="shared" si="22"/>
        <v>Martial Code,Stirrups,Portcullis,Spoked Wheel,Husbandry,Ironworking,Citizenship,Phalanx,Labor Force,Vaulting,Architecture,Drama,Stonecutting,Manor,Land Consolidation,Forestry,Polis,Stonecutting,Composite Bow,Military Drill,Trapping</v>
      </c>
      <c r="BC54" s="285" t="str">
        <f>IFERROR(__xludf.DUMMYFUNCTION("SPLIT(BB54,"","")"),"Martial Code")</f>
        <v>Martial Code</v>
      </c>
      <c r="BD54" s="285" t="str">
        <f>IFERROR(__xludf.DUMMYFUNCTION("""COMPUTED_VALUE"""),"Stirrups")</f>
        <v>Stirrups</v>
      </c>
      <c r="BE54" s="285" t="str">
        <f>IFERROR(__xludf.DUMMYFUNCTION("""COMPUTED_VALUE"""),"Portcullis")</f>
        <v>Portcullis</v>
      </c>
      <c r="BF54" s="285" t="str">
        <f>IFERROR(__xludf.DUMMYFUNCTION("""COMPUTED_VALUE"""),"Spoked Wheel")</f>
        <v>Spoked Wheel</v>
      </c>
      <c r="BG54" s="285" t="str">
        <f>IFERROR(__xludf.DUMMYFUNCTION("""COMPUTED_VALUE"""),"Husbandry")</f>
        <v>Husbandry</v>
      </c>
      <c r="BH54" s="285" t="str">
        <f>IFERROR(__xludf.DUMMYFUNCTION("""COMPUTED_VALUE"""),"Ironworking")</f>
        <v>Ironworking</v>
      </c>
      <c r="BI54" s="285" t="str">
        <f>IFERROR(__xludf.DUMMYFUNCTION("""COMPUTED_VALUE"""),"Citizenship")</f>
        <v>Citizenship</v>
      </c>
      <c r="BJ54" s="285" t="str">
        <f>IFERROR(__xludf.DUMMYFUNCTION("""COMPUTED_VALUE"""),"Phalanx")</f>
        <v>Phalanx</v>
      </c>
      <c r="BK54" s="285" t="str">
        <f>IFERROR(__xludf.DUMMYFUNCTION("""COMPUTED_VALUE"""),"Labor Force")</f>
        <v>Labor Force</v>
      </c>
      <c r="BL54" s="285" t="str">
        <f>IFERROR(__xludf.DUMMYFUNCTION("""COMPUTED_VALUE"""),"Vaulting")</f>
        <v>Vaulting</v>
      </c>
      <c r="BM54" s="285" t="str">
        <f>IFERROR(__xludf.DUMMYFUNCTION("""COMPUTED_VALUE"""),"Architecture")</f>
        <v>Architecture</v>
      </c>
      <c r="BN54" s="285" t="str">
        <f>IFERROR(__xludf.DUMMYFUNCTION("""COMPUTED_VALUE"""),"Drama")</f>
        <v>Drama</v>
      </c>
      <c r="BO54" s="285" t="str">
        <f>IFERROR(__xludf.DUMMYFUNCTION("""COMPUTED_VALUE"""),"Stonecutting")</f>
        <v>Stonecutting</v>
      </c>
      <c r="BP54" s="285" t="str">
        <f>IFERROR(__xludf.DUMMYFUNCTION("""COMPUTED_VALUE"""),"Manor")</f>
        <v>Manor</v>
      </c>
      <c r="BQ54" s="285" t="str">
        <f>IFERROR(__xludf.DUMMYFUNCTION("""COMPUTED_VALUE"""),"Land Consolidation")</f>
        <v>Land Consolidation</v>
      </c>
      <c r="BR54" s="285" t="str">
        <f>IFERROR(__xludf.DUMMYFUNCTION("""COMPUTED_VALUE"""),"Forestry")</f>
        <v>Forestry</v>
      </c>
      <c r="BS54" s="285" t="str">
        <f>IFERROR(__xludf.DUMMYFUNCTION("""COMPUTED_VALUE"""),"Polis")</f>
        <v>Polis</v>
      </c>
      <c r="BT54" s="285" t="str">
        <f>IFERROR(__xludf.DUMMYFUNCTION("""COMPUTED_VALUE"""),"Stonecutting")</f>
        <v>Stonecutting</v>
      </c>
      <c r="BU54" s="285" t="str">
        <f>IFERROR(__xludf.DUMMYFUNCTION("""COMPUTED_VALUE"""),"Composite Bow")</f>
        <v>Composite Bow</v>
      </c>
      <c r="BV54" s="285" t="str">
        <f>IFERROR(__xludf.DUMMYFUNCTION("""COMPUTED_VALUE"""),"Military Drill")</f>
        <v>Military Drill</v>
      </c>
      <c r="BW54" s="285" t="str">
        <f>IFERROR(__xludf.DUMMYFUNCTION("""COMPUTED_VALUE"""),"Trapping")</f>
        <v>Trapping</v>
      </c>
    </row>
    <row r="55">
      <c r="A55" s="459"/>
      <c r="B55" s="34" t="s">
        <v>2121</v>
      </c>
      <c r="C55" s="677">
        <v>0.0</v>
      </c>
      <c r="D55" s="660">
        <f t="shared" si="15"/>
        <v>12840</v>
      </c>
      <c r="E55" s="667" t="str">
        <f t="shared" si="16"/>
        <v/>
      </c>
      <c r="F55" s="105" t="s">
        <v>2119</v>
      </c>
      <c r="G55" s="667" t="str">
        <f t="shared" si="17"/>
        <v/>
      </c>
      <c r="H55" s="105" t="s">
        <v>2120</v>
      </c>
      <c r="I55" s="667"/>
      <c r="J55" s="2"/>
      <c r="K55" s="652"/>
      <c r="L55" s="544" t="str">
        <f t="shared" si="19"/>
        <v>all Laws part 1,Fiscal Policy,Lateen Sail,Coinage,Navigation,Labor Force,Ironworking,Cartography,Metaphysics,Rhetoric,Administration,Jurisprudence,Scholarship,Citizenship,Phalanx,Doctrine,Monasticism,Aristocracy,Divination,Sovereignty,all Laws part 2</v>
      </c>
      <c r="M55" s="669">
        <f t="array" ref="M55">SUM(IF(O55:AZ55=0,0,VLOOKUP(O55:AZ55,$B:$C,2,false)))</f>
        <v>12840</v>
      </c>
      <c r="N55" s="285" t="str">
        <f t="shared" si="20"/>
        <v/>
      </c>
      <c r="O55" s="285" t="str">
        <f t="shared" si="21"/>
        <v>all Laws part 1</v>
      </c>
      <c r="P55" s="285" t="s">
        <v>2029</v>
      </c>
      <c r="Q55" s="285" t="s">
        <v>2028</v>
      </c>
      <c r="R55" s="285" t="s">
        <v>2069</v>
      </c>
      <c r="S55" s="285" t="s">
        <v>1943</v>
      </c>
      <c r="T55" s="285" t="s">
        <v>268</v>
      </c>
      <c r="U55" s="285" t="s">
        <v>258</v>
      </c>
      <c r="V55" s="285" t="s">
        <v>2092</v>
      </c>
      <c r="W55" s="285" t="s">
        <v>1796</v>
      </c>
      <c r="X55" s="285" t="s">
        <v>266</v>
      </c>
      <c r="Y55" s="285" t="s">
        <v>261</v>
      </c>
      <c r="Z55" s="285" t="s">
        <v>2027</v>
      </c>
      <c r="AA55" s="285" t="s">
        <v>2081</v>
      </c>
      <c r="AB55" s="285" t="s">
        <v>1969</v>
      </c>
      <c r="AC55" s="285" t="s">
        <v>2060</v>
      </c>
      <c r="AD55" s="285" t="s">
        <v>1970</v>
      </c>
      <c r="AE55" s="285" t="s">
        <v>1944</v>
      </c>
      <c r="AF55" s="285" t="s">
        <v>267</v>
      </c>
      <c r="AG55" s="285" t="s">
        <v>262</v>
      </c>
      <c r="AH55" s="285" t="s">
        <v>1942</v>
      </c>
      <c r="AI55" s="285" t="s">
        <v>2120</v>
      </c>
      <c r="AJ55" s="285" t="s">
        <v>1999</v>
      </c>
      <c r="AK55" s="285" t="s">
        <v>2083</v>
      </c>
      <c r="AL55" s="285" t="s">
        <v>2072</v>
      </c>
      <c r="AM55" s="285" t="s">
        <v>2062</v>
      </c>
      <c r="AN55" s="285" t="s">
        <v>259</v>
      </c>
      <c r="AO55" s="285" t="s">
        <v>1998</v>
      </c>
      <c r="AP55" s="285" t="s">
        <v>1971</v>
      </c>
      <c r="AQ55" s="285" t="s">
        <v>269</v>
      </c>
      <c r="AR55" s="285" t="s">
        <v>263</v>
      </c>
      <c r="AS55" s="285" t="s">
        <v>1997</v>
      </c>
      <c r="AT55" s="285" t="s">
        <v>2074</v>
      </c>
      <c r="AU55" s="285" t="s">
        <v>1798</v>
      </c>
      <c r="AV55" s="285" t="s">
        <v>270</v>
      </c>
      <c r="BB55" s="285" t="str">
        <f t="shared" si="22"/>
        <v>all Laws part 1,Fiscal Policy,Lateen Sail,Coinage,Navigation,Labor Force,Ironworking,Cartography,Metaphysics,Rhetoric,Administration,Jurisprudence,Scholarship,Citizenship,Phalanx,Doctrine,Monasticism,Aristocracy,Divination,Sovereignty,all Laws part 2,Martial Code,Stirrups,Portcullis,Spoked Wheel,Husbandry,Ironworking,Citizenship,Phalanx,Labor Force,Vaulting,Architecture,Drama,Stonecutting,Manor,Land Consolidation,Forestry,Polis,Composite Bow,Military Drill,Trapping,</v>
      </c>
      <c r="BC55" s="285" t="str">
        <f>IFERROR(__xludf.DUMMYFUNCTION("SPLIT(BB55,"","")"),"all Laws part 1")</f>
        <v>all Laws part 1</v>
      </c>
      <c r="BD55" s="285" t="str">
        <f>IFERROR(__xludf.DUMMYFUNCTION("""COMPUTED_VALUE"""),"Fiscal Policy")</f>
        <v>Fiscal Policy</v>
      </c>
      <c r="BE55" s="285" t="str">
        <f>IFERROR(__xludf.DUMMYFUNCTION("""COMPUTED_VALUE"""),"Lateen Sail")</f>
        <v>Lateen Sail</v>
      </c>
      <c r="BF55" s="285" t="str">
        <f>IFERROR(__xludf.DUMMYFUNCTION("""COMPUTED_VALUE"""),"Coinage")</f>
        <v>Coinage</v>
      </c>
      <c r="BG55" s="285" t="str">
        <f>IFERROR(__xludf.DUMMYFUNCTION("""COMPUTED_VALUE"""),"Navigation")</f>
        <v>Navigation</v>
      </c>
      <c r="BH55" s="285" t="str">
        <f>IFERROR(__xludf.DUMMYFUNCTION("""COMPUTED_VALUE"""),"Labor Force")</f>
        <v>Labor Force</v>
      </c>
      <c r="BI55" s="285" t="str">
        <f>IFERROR(__xludf.DUMMYFUNCTION("""COMPUTED_VALUE"""),"Ironworking")</f>
        <v>Ironworking</v>
      </c>
      <c r="BJ55" s="285" t="str">
        <f>IFERROR(__xludf.DUMMYFUNCTION("""COMPUTED_VALUE"""),"Cartography")</f>
        <v>Cartography</v>
      </c>
      <c r="BK55" s="285" t="str">
        <f>IFERROR(__xludf.DUMMYFUNCTION("""COMPUTED_VALUE"""),"Metaphysics")</f>
        <v>Metaphysics</v>
      </c>
      <c r="BL55" s="285" t="str">
        <f>IFERROR(__xludf.DUMMYFUNCTION("""COMPUTED_VALUE"""),"Rhetoric")</f>
        <v>Rhetoric</v>
      </c>
      <c r="BM55" s="285" t="str">
        <f>IFERROR(__xludf.DUMMYFUNCTION("""COMPUTED_VALUE"""),"Administration")</f>
        <v>Administration</v>
      </c>
      <c r="BN55" s="285" t="str">
        <f>IFERROR(__xludf.DUMMYFUNCTION("""COMPUTED_VALUE"""),"Jurisprudence")</f>
        <v>Jurisprudence</v>
      </c>
      <c r="BO55" s="285" t="str">
        <f>IFERROR(__xludf.DUMMYFUNCTION("""COMPUTED_VALUE"""),"Scholarship")</f>
        <v>Scholarship</v>
      </c>
      <c r="BP55" s="285" t="str">
        <f>IFERROR(__xludf.DUMMYFUNCTION("""COMPUTED_VALUE"""),"Citizenship")</f>
        <v>Citizenship</v>
      </c>
      <c r="BQ55" s="285" t="str">
        <f>IFERROR(__xludf.DUMMYFUNCTION("""COMPUTED_VALUE"""),"Phalanx")</f>
        <v>Phalanx</v>
      </c>
      <c r="BR55" s="285" t="str">
        <f>IFERROR(__xludf.DUMMYFUNCTION("""COMPUTED_VALUE"""),"Doctrine")</f>
        <v>Doctrine</v>
      </c>
      <c r="BS55" s="285" t="str">
        <f>IFERROR(__xludf.DUMMYFUNCTION("""COMPUTED_VALUE"""),"Monasticism")</f>
        <v>Monasticism</v>
      </c>
      <c r="BT55" s="285" t="str">
        <f>IFERROR(__xludf.DUMMYFUNCTION("""COMPUTED_VALUE"""),"Aristocracy")</f>
        <v>Aristocracy</v>
      </c>
      <c r="BU55" s="285" t="str">
        <f>IFERROR(__xludf.DUMMYFUNCTION("""COMPUTED_VALUE"""),"Divination")</f>
        <v>Divination</v>
      </c>
      <c r="BV55" s="285" t="str">
        <f>IFERROR(__xludf.DUMMYFUNCTION("""COMPUTED_VALUE"""),"Sovereignty")</f>
        <v>Sovereignty</v>
      </c>
      <c r="BW55" s="285" t="str">
        <f>IFERROR(__xludf.DUMMYFUNCTION("""COMPUTED_VALUE"""),"all Laws part 2")</f>
        <v>all Laws part 2</v>
      </c>
      <c r="BX55" s="285" t="str">
        <f>IFERROR(__xludf.DUMMYFUNCTION("""COMPUTED_VALUE"""),"Martial Code")</f>
        <v>Martial Code</v>
      </c>
      <c r="BY55" s="285" t="str">
        <f>IFERROR(__xludf.DUMMYFUNCTION("""COMPUTED_VALUE"""),"Stirrups")</f>
        <v>Stirrups</v>
      </c>
      <c r="BZ55" s="285" t="str">
        <f>IFERROR(__xludf.DUMMYFUNCTION("""COMPUTED_VALUE"""),"Portcullis")</f>
        <v>Portcullis</v>
      </c>
      <c r="CA55" s="285" t="str">
        <f>IFERROR(__xludf.DUMMYFUNCTION("""COMPUTED_VALUE"""),"Spoked Wheel")</f>
        <v>Spoked Wheel</v>
      </c>
      <c r="CB55" s="285" t="str">
        <f>IFERROR(__xludf.DUMMYFUNCTION("""COMPUTED_VALUE"""),"Husbandry")</f>
        <v>Husbandry</v>
      </c>
      <c r="CC55" s="285" t="str">
        <f>IFERROR(__xludf.DUMMYFUNCTION("""COMPUTED_VALUE"""),"Ironworking")</f>
        <v>Ironworking</v>
      </c>
      <c r="CD55" s="285" t="str">
        <f>IFERROR(__xludf.DUMMYFUNCTION("""COMPUTED_VALUE"""),"Citizenship")</f>
        <v>Citizenship</v>
      </c>
      <c r="CE55" s="285" t="str">
        <f>IFERROR(__xludf.DUMMYFUNCTION("""COMPUTED_VALUE"""),"Phalanx")</f>
        <v>Phalanx</v>
      </c>
      <c r="CF55" s="285" t="str">
        <f>IFERROR(__xludf.DUMMYFUNCTION("""COMPUTED_VALUE"""),"Labor Force")</f>
        <v>Labor Force</v>
      </c>
      <c r="CG55" s="285" t="str">
        <f>IFERROR(__xludf.DUMMYFUNCTION("""COMPUTED_VALUE"""),"Vaulting")</f>
        <v>Vaulting</v>
      </c>
      <c r="CH55" s="285" t="str">
        <f>IFERROR(__xludf.DUMMYFUNCTION("""COMPUTED_VALUE"""),"Architecture")</f>
        <v>Architecture</v>
      </c>
      <c r="CI55" s="285" t="str">
        <f>IFERROR(__xludf.DUMMYFUNCTION("""COMPUTED_VALUE"""),"Drama")</f>
        <v>Drama</v>
      </c>
      <c r="CJ55" s="285" t="str">
        <f>IFERROR(__xludf.DUMMYFUNCTION("""COMPUTED_VALUE"""),"Stonecutting")</f>
        <v>Stonecutting</v>
      </c>
      <c r="CK55" s="285" t="str">
        <f>IFERROR(__xludf.DUMMYFUNCTION("""COMPUTED_VALUE"""),"Manor")</f>
        <v>Manor</v>
      </c>
      <c r="CL55" s="285" t="str">
        <f>IFERROR(__xludf.DUMMYFUNCTION("""COMPUTED_VALUE"""),"Land Consolidation")</f>
        <v>Land Consolidation</v>
      </c>
      <c r="CM55" s="285" t="str">
        <f>IFERROR(__xludf.DUMMYFUNCTION("""COMPUTED_VALUE"""),"Forestry")</f>
        <v>Forestry</v>
      </c>
      <c r="CN55" s="285" t="str">
        <f>IFERROR(__xludf.DUMMYFUNCTION("""COMPUTED_VALUE"""),"Polis")</f>
        <v>Polis</v>
      </c>
      <c r="CO55" s="285" t="str">
        <f>IFERROR(__xludf.DUMMYFUNCTION("""COMPUTED_VALUE"""),"Composite Bow")</f>
        <v>Composite Bow</v>
      </c>
      <c r="CP55" s="285" t="str">
        <f>IFERROR(__xludf.DUMMYFUNCTION("""COMPUTED_VALUE"""),"Military Drill")</f>
        <v>Military Drill</v>
      </c>
      <c r="CQ55" s="285" t="str">
        <f>IFERROR(__xludf.DUMMYFUNCTION("""COMPUTED_VALUE"""),"Trapping")</f>
        <v>Trapping</v>
      </c>
    </row>
    <row r="56">
      <c r="A56" s="459"/>
      <c r="C56" s="276"/>
      <c r="D56" s="276"/>
      <c r="E56" s="651"/>
      <c r="F56" s="55"/>
      <c r="G56" s="651"/>
      <c r="H56" s="55"/>
      <c r="I56" s="651"/>
      <c r="K56" s="652"/>
      <c r="M56" s="276"/>
    </row>
    <row r="57">
      <c r="A57" s="459"/>
      <c r="C57" s="276"/>
      <c r="D57" s="276"/>
      <c r="E57" s="651"/>
      <c r="F57" s="55"/>
      <c r="G57" s="651"/>
      <c r="H57" s="55"/>
      <c r="I57" s="651"/>
      <c r="K57" s="652"/>
      <c r="M57" s="276"/>
    </row>
    <row r="58">
      <c r="A58" s="459"/>
      <c r="C58" s="276"/>
      <c r="D58" s="276"/>
      <c r="E58" s="651"/>
      <c r="F58" s="55"/>
      <c r="G58" s="651"/>
      <c r="H58" s="55"/>
      <c r="I58" s="651"/>
      <c r="K58" s="652"/>
      <c r="M58" s="276"/>
    </row>
    <row r="59">
      <c r="A59" s="459"/>
      <c r="C59" s="276"/>
      <c r="D59" s="276"/>
      <c r="E59" s="651"/>
      <c r="F59" s="55"/>
      <c r="G59" s="651"/>
      <c r="H59" s="55"/>
      <c r="I59" s="651"/>
      <c r="K59" s="652"/>
      <c r="M59" s="276"/>
    </row>
    <row r="60">
      <c r="A60" s="459"/>
      <c r="C60" s="276"/>
      <c r="D60" s="276"/>
      <c r="E60" s="651"/>
      <c r="F60" s="55"/>
      <c r="G60" s="651"/>
      <c r="H60" s="55"/>
      <c r="I60" s="651"/>
      <c r="K60" s="652"/>
      <c r="M60" s="276"/>
    </row>
    <row r="61">
      <c r="A61" s="459"/>
      <c r="C61" s="276"/>
      <c r="D61" s="276"/>
      <c r="E61" s="651"/>
      <c r="F61" s="55"/>
      <c r="G61" s="651"/>
      <c r="H61" s="55"/>
      <c r="I61" s="651"/>
      <c r="K61" s="652"/>
      <c r="M61" s="276"/>
    </row>
    <row r="62">
      <c r="A62" s="459"/>
      <c r="C62" s="276"/>
      <c r="D62" s="276"/>
      <c r="E62" s="651"/>
      <c r="F62" s="55"/>
      <c r="G62" s="651"/>
      <c r="H62" s="55"/>
      <c r="I62" s="651"/>
      <c r="K62" s="652"/>
      <c r="M62" s="276"/>
    </row>
    <row r="63">
      <c r="A63" s="459"/>
      <c r="C63" s="276"/>
      <c r="D63" s="276"/>
      <c r="E63" s="651"/>
      <c r="F63" s="55"/>
      <c r="G63" s="651"/>
      <c r="H63" s="55"/>
      <c r="I63" s="651"/>
      <c r="K63" s="652"/>
      <c r="M63" s="276"/>
    </row>
    <row r="64">
      <c r="A64" s="459"/>
      <c r="C64" s="276"/>
      <c r="D64" s="276"/>
      <c r="E64" s="651"/>
      <c r="F64" s="55"/>
      <c r="G64" s="651"/>
      <c r="H64" s="55"/>
      <c r="I64" s="651"/>
      <c r="K64" s="652"/>
      <c r="M64" s="276"/>
    </row>
    <row r="65">
      <c r="A65" s="459"/>
      <c r="C65" s="276"/>
      <c r="D65" s="276"/>
      <c r="E65" s="651"/>
      <c r="F65" s="55"/>
      <c r="G65" s="651"/>
      <c r="H65" s="55"/>
      <c r="I65" s="651"/>
      <c r="K65" s="652"/>
      <c r="M65" s="276"/>
    </row>
    <row r="66">
      <c r="A66" s="459"/>
      <c r="C66" s="276"/>
      <c r="D66" s="276"/>
      <c r="E66" s="651"/>
      <c r="F66" s="55"/>
      <c r="G66" s="651"/>
      <c r="H66" s="55"/>
      <c r="I66" s="651"/>
      <c r="K66" s="652"/>
      <c r="M66" s="276"/>
    </row>
    <row r="67">
      <c r="A67" s="459"/>
      <c r="C67" s="276"/>
      <c r="D67" s="276"/>
      <c r="E67" s="651"/>
      <c r="F67" s="55"/>
      <c r="G67" s="651"/>
      <c r="H67" s="55"/>
      <c r="I67" s="651"/>
      <c r="K67" s="652"/>
      <c r="M67" s="276"/>
    </row>
    <row r="68">
      <c r="A68" s="459"/>
      <c r="C68" s="276"/>
      <c r="D68" s="276"/>
      <c r="E68" s="651"/>
      <c r="F68" s="55"/>
      <c r="G68" s="651"/>
      <c r="H68" s="55"/>
      <c r="I68" s="651"/>
      <c r="K68" s="652"/>
      <c r="M68" s="276"/>
    </row>
    <row r="69">
      <c r="A69" s="459"/>
      <c r="C69" s="276"/>
      <c r="D69" s="276"/>
      <c r="E69" s="651"/>
      <c r="F69" s="55"/>
      <c r="G69" s="651"/>
      <c r="H69" s="55"/>
      <c r="I69" s="651"/>
      <c r="K69" s="652"/>
      <c r="M69" s="276"/>
    </row>
    <row r="70">
      <c r="A70" s="459"/>
      <c r="C70" s="276"/>
      <c r="D70" s="276"/>
      <c r="E70" s="651"/>
      <c r="F70" s="55"/>
      <c r="G70" s="651"/>
      <c r="H70" s="55"/>
      <c r="I70" s="651"/>
      <c r="K70" s="652"/>
      <c r="M70" s="276"/>
    </row>
    <row r="71">
      <c r="A71" s="459"/>
      <c r="C71" s="276"/>
      <c r="D71" s="276"/>
      <c r="E71" s="651"/>
      <c r="F71" s="55"/>
      <c r="G71" s="651"/>
      <c r="H71" s="55"/>
      <c r="I71" s="651"/>
      <c r="K71" s="652"/>
      <c r="M71" s="276"/>
    </row>
    <row r="72">
      <c r="A72" s="459"/>
      <c r="C72" s="276"/>
      <c r="D72" s="276"/>
      <c r="E72" s="651"/>
      <c r="F72" s="55"/>
      <c r="G72" s="651"/>
      <c r="H72" s="55"/>
      <c r="I72" s="651"/>
      <c r="K72" s="652"/>
      <c r="M72" s="276"/>
    </row>
    <row r="73">
      <c r="A73" s="459"/>
      <c r="C73" s="276"/>
      <c r="D73" s="276"/>
      <c r="E73" s="651"/>
      <c r="F73" s="55"/>
      <c r="G73" s="651"/>
      <c r="H73" s="55"/>
      <c r="I73" s="651"/>
      <c r="K73" s="652"/>
      <c r="M73" s="276"/>
    </row>
    <row r="74">
      <c r="A74" s="459"/>
      <c r="C74" s="276"/>
      <c r="D74" s="276"/>
      <c r="E74" s="651"/>
      <c r="F74" s="55"/>
      <c r="G74" s="651"/>
      <c r="H74" s="55"/>
      <c r="I74" s="651"/>
      <c r="K74" s="652"/>
      <c r="M74" s="276"/>
    </row>
    <row r="75">
      <c r="A75" s="459"/>
      <c r="C75" s="276"/>
      <c r="D75" s="276"/>
      <c r="E75" s="651"/>
      <c r="F75" s="55"/>
      <c r="G75" s="651"/>
      <c r="H75" s="55"/>
      <c r="I75" s="651"/>
      <c r="K75" s="652"/>
      <c r="M75" s="276"/>
    </row>
    <row r="76">
      <c r="A76" s="459"/>
      <c r="C76" s="276"/>
      <c r="D76" s="276"/>
      <c r="E76" s="651"/>
      <c r="F76" s="55"/>
      <c r="G76" s="651"/>
      <c r="H76" s="55"/>
      <c r="I76" s="651"/>
      <c r="K76" s="652"/>
      <c r="M76" s="276"/>
    </row>
    <row r="77">
      <c r="A77" s="459"/>
      <c r="C77" s="276"/>
      <c r="D77" s="276"/>
      <c r="E77" s="651"/>
      <c r="F77" s="55"/>
      <c r="G77" s="651"/>
      <c r="H77" s="55"/>
      <c r="I77" s="651"/>
      <c r="K77" s="652"/>
      <c r="M77" s="276"/>
    </row>
    <row r="78">
      <c r="A78" s="459"/>
      <c r="C78" s="276"/>
      <c r="D78" s="276"/>
      <c r="E78" s="651"/>
      <c r="F78" s="55"/>
      <c r="G78" s="651"/>
      <c r="H78" s="55"/>
      <c r="I78" s="651"/>
      <c r="K78" s="652"/>
      <c r="M78" s="276"/>
    </row>
    <row r="79">
      <c r="A79" s="459"/>
      <c r="C79" s="276"/>
      <c r="D79" s="276"/>
      <c r="E79" s="651"/>
      <c r="F79" s="55"/>
      <c r="G79" s="651"/>
      <c r="H79" s="55"/>
      <c r="I79" s="651"/>
      <c r="K79" s="652"/>
      <c r="M79" s="276"/>
    </row>
    <row r="80">
      <c r="A80" s="459"/>
      <c r="C80" s="276"/>
      <c r="D80" s="276"/>
      <c r="E80" s="651"/>
      <c r="F80" s="55"/>
      <c r="G80" s="651"/>
      <c r="H80" s="55"/>
      <c r="I80" s="651"/>
      <c r="K80" s="652"/>
      <c r="M80" s="276"/>
    </row>
    <row r="81">
      <c r="A81" s="459"/>
      <c r="C81" s="276"/>
      <c r="D81" s="276"/>
      <c r="E81" s="651"/>
      <c r="F81" s="55"/>
      <c r="G81" s="651"/>
      <c r="H81" s="55"/>
      <c r="I81" s="651"/>
      <c r="K81" s="652"/>
      <c r="M81" s="276"/>
    </row>
    <row r="82">
      <c r="A82" s="459"/>
      <c r="C82" s="276"/>
      <c r="D82" s="276"/>
      <c r="E82" s="651"/>
      <c r="F82" s="55"/>
      <c r="G82" s="651"/>
      <c r="H82" s="55"/>
      <c r="I82" s="651"/>
      <c r="K82" s="652"/>
      <c r="M82" s="276"/>
    </row>
    <row r="83">
      <c r="A83" s="459"/>
      <c r="C83" s="276"/>
      <c r="D83" s="276"/>
      <c r="E83" s="651"/>
      <c r="F83" s="55"/>
      <c r="G83" s="651"/>
      <c r="H83" s="55"/>
      <c r="I83" s="651"/>
      <c r="K83" s="652"/>
      <c r="M83" s="276"/>
    </row>
    <row r="84">
      <c r="A84" s="459"/>
      <c r="C84" s="276"/>
      <c r="D84" s="276"/>
      <c r="E84" s="651"/>
      <c r="F84" s="55"/>
      <c r="G84" s="651"/>
      <c r="H84" s="55"/>
      <c r="I84" s="651"/>
      <c r="K84" s="652"/>
      <c r="M84" s="276"/>
    </row>
    <row r="85">
      <c r="A85" s="459"/>
      <c r="C85" s="276"/>
      <c r="D85" s="276"/>
      <c r="E85" s="651"/>
      <c r="F85" s="55"/>
      <c r="G85" s="651"/>
      <c r="H85" s="55"/>
      <c r="I85" s="651"/>
      <c r="K85" s="652"/>
      <c r="M85" s="276"/>
    </row>
    <row r="86">
      <c r="A86" s="459"/>
      <c r="C86" s="276"/>
      <c r="D86" s="276"/>
      <c r="E86" s="651"/>
      <c r="F86" s="55"/>
      <c r="G86" s="651"/>
      <c r="H86" s="55"/>
      <c r="I86" s="651"/>
      <c r="K86" s="652"/>
      <c r="M86" s="276"/>
    </row>
    <row r="87">
      <c r="A87" s="459"/>
      <c r="C87" s="276"/>
      <c r="D87" s="276"/>
      <c r="E87" s="651"/>
      <c r="F87" s="55"/>
      <c r="G87" s="651"/>
      <c r="H87" s="55"/>
      <c r="I87" s="651"/>
      <c r="K87" s="652"/>
      <c r="M87" s="276"/>
    </row>
    <row r="88">
      <c r="A88" s="459"/>
      <c r="C88" s="276"/>
      <c r="D88" s="276"/>
      <c r="E88" s="651"/>
      <c r="F88" s="55"/>
      <c r="G88" s="651"/>
      <c r="H88" s="55"/>
      <c r="I88" s="651"/>
      <c r="K88" s="652"/>
      <c r="M88" s="276"/>
    </row>
    <row r="89">
      <c r="A89" s="459"/>
      <c r="C89" s="276"/>
      <c r="D89" s="276"/>
      <c r="E89" s="651"/>
      <c r="F89" s="55"/>
      <c r="G89" s="651"/>
      <c r="H89" s="55"/>
      <c r="I89" s="651"/>
      <c r="K89" s="652"/>
      <c r="M89" s="276"/>
    </row>
    <row r="90">
      <c r="A90" s="459"/>
      <c r="C90" s="276"/>
      <c r="D90" s="276"/>
      <c r="E90" s="651"/>
      <c r="F90" s="55"/>
      <c r="G90" s="651"/>
      <c r="H90" s="55"/>
      <c r="I90" s="651"/>
      <c r="K90" s="652"/>
      <c r="M90" s="276"/>
    </row>
    <row r="91">
      <c r="A91" s="459"/>
      <c r="C91" s="276"/>
      <c r="D91" s="276"/>
      <c r="E91" s="651"/>
      <c r="F91" s="55"/>
      <c r="G91" s="651"/>
      <c r="H91" s="55"/>
      <c r="I91" s="651"/>
      <c r="K91" s="652"/>
      <c r="M91" s="276"/>
    </row>
    <row r="92">
      <c r="A92" s="459"/>
      <c r="C92" s="276"/>
      <c r="D92" s="276"/>
      <c r="E92" s="651"/>
      <c r="F92" s="55"/>
      <c r="G92" s="651"/>
      <c r="H92" s="55"/>
      <c r="I92" s="651"/>
      <c r="K92" s="652"/>
      <c r="M92" s="276"/>
    </row>
    <row r="93">
      <c r="A93" s="459"/>
      <c r="C93" s="276"/>
      <c r="D93" s="276"/>
      <c r="E93" s="651"/>
      <c r="F93" s="55"/>
      <c r="G93" s="651"/>
      <c r="H93" s="55"/>
      <c r="I93" s="651"/>
      <c r="K93" s="652"/>
      <c r="M93" s="276"/>
    </row>
    <row r="94">
      <c r="A94" s="459"/>
      <c r="C94" s="276"/>
      <c r="D94" s="276"/>
      <c r="E94" s="651"/>
      <c r="F94" s="55"/>
      <c r="G94" s="651"/>
      <c r="H94" s="55"/>
      <c r="I94" s="651"/>
      <c r="K94" s="652"/>
      <c r="M94" s="276"/>
    </row>
    <row r="95">
      <c r="A95" s="459"/>
      <c r="C95" s="276"/>
      <c r="D95" s="276"/>
      <c r="E95" s="651"/>
      <c r="F95" s="55"/>
      <c r="G95" s="651"/>
      <c r="H95" s="55"/>
      <c r="I95" s="651"/>
      <c r="K95" s="652"/>
      <c r="M95" s="276"/>
    </row>
    <row r="96">
      <c r="A96" s="459"/>
      <c r="C96" s="276"/>
      <c r="D96" s="276"/>
      <c r="E96" s="651"/>
      <c r="F96" s="55"/>
      <c r="G96" s="651"/>
      <c r="H96" s="55"/>
      <c r="I96" s="651"/>
      <c r="K96" s="652"/>
      <c r="M96" s="276"/>
    </row>
    <row r="97">
      <c r="A97" s="459"/>
      <c r="C97" s="276"/>
      <c r="D97" s="276"/>
      <c r="E97" s="651"/>
      <c r="F97" s="55"/>
      <c r="G97" s="651"/>
      <c r="H97" s="55"/>
      <c r="I97" s="651"/>
      <c r="K97" s="652"/>
      <c r="M97" s="276"/>
    </row>
    <row r="98">
      <c r="A98" s="459"/>
      <c r="C98" s="276"/>
      <c r="D98" s="276"/>
      <c r="E98" s="651"/>
      <c r="F98" s="55"/>
      <c r="G98" s="651"/>
      <c r="H98" s="55"/>
      <c r="I98" s="651"/>
      <c r="K98" s="652"/>
      <c r="M98" s="276"/>
    </row>
    <row r="99">
      <c r="A99" s="459"/>
      <c r="C99" s="276"/>
      <c r="D99" s="276"/>
      <c r="E99" s="651"/>
      <c r="F99" s="55"/>
      <c r="G99" s="651"/>
      <c r="H99" s="55"/>
      <c r="I99" s="651"/>
      <c r="K99" s="652"/>
      <c r="M99" s="276"/>
    </row>
    <row r="100">
      <c r="A100" s="459"/>
      <c r="C100" s="276"/>
      <c r="D100" s="276"/>
      <c r="E100" s="651"/>
      <c r="F100" s="55"/>
      <c r="G100" s="651"/>
      <c r="H100" s="55"/>
      <c r="I100" s="651"/>
      <c r="K100" s="652"/>
      <c r="M100" s="276"/>
    </row>
    <row r="101">
      <c r="A101" s="459"/>
      <c r="C101" s="276"/>
      <c r="D101" s="276"/>
      <c r="E101" s="651"/>
      <c r="F101" s="55"/>
      <c r="G101" s="651"/>
      <c r="H101" s="55"/>
      <c r="I101" s="651"/>
      <c r="K101" s="652"/>
      <c r="M101" s="276"/>
    </row>
    <row r="102">
      <c r="A102" s="459"/>
      <c r="C102" s="276"/>
      <c r="D102" s="276"/>
      <c r="E102" s="651"/>
      <c r="F102" s="55"/>
      <c r="G102" s="651"/>
      <c r="H102" s="55"/>
      <c r="I102" s="651"/>
      <c r="K102" s="652"/>
      <c r="M102" s="276"/>
    </row>
    <row r="103">
      <c r="A103" s="459"/>
      <c r="C103" s="276"/>
      <c r="D103" s="276"/>
      <c r="E103" s="651"/>
      <c r="F103" s="55"/>
      <c r="G103" s="651"/>
      <c r="H103" s="55"/>
      <c r="I103" s="651"/>
      <c r="K103" s="652"/>
      <c r="M103" s="276"/>
    </row>
    <row r="104">
      <c r="A104" s="459"/>
      <c r="C104" s="276"/>
      <c r="D104" s="276"/>
      <c r="E104" s="651"/>
      <c r="F104" s="55"/>
      <c r="G104" s="651"/>
      <c r="H104" s="55"/>
      <c r="I104" s="651"/>
      <c r="K104" s="652"/>
      <c r="M104" s="276"/>
    </row>
    <row r="105">
      <c r="A105" s="459"/>
      <c r="C105" s="276"/>
      <c r="D105" s="276"/>
      <c r="E105" s="651"/>
      <c r="F105" s="55"/>
      <c r="G105" s="651"/>
      <c r="H105" s="55"/>
      <c r="I105" s="651"/>
      <c r="K105" s="652"/>
      <c r="M105" s="276"/>
    </row>
    <row r="106">
      <c r="A106" s="459"/>
      <c r="C106" s="276"/>
      <c r="D106" s="276"/>
      <c r="E106" s="651"/>
      <c r="F106" s="55"/>
      <c r="G106" s="651"/>
      <c r="H106" s="55"/>
      <c r="I106" s="651"/>
      <c r="K106" s="652"/>
      <c r="M106" s="276"/>
    </row>
    <row r="107">
      <c r="A107" s="459"/>
      <c r="C107" s="276"/>
      <c r="D107" s="276"/>
      <c r="E107" s="651"/>
      <c r="F107" s="55"/>
      <c r="G107" s="651"/>
      <c r="H107" s="55"/>
      <c r="I107" s="651"/>
      <c r="K107" s="652"/>
      <c r="M107" s="276"/>
    </row>
    <row r="108">
      <c r="A108" s="459"/>
      <c r="C108" s="276"/>
      <c r="D108" s="276"/>
      <c r="E108" s="651"/>
      <c r="F108" s="55"/>
      <c r="G108" s="651"/>
      <c r="H108" s="55"/>
      <c r="I108" s="651"/>
      <c r="K108" s="652"/>
      <c r="M108" s="276"/>
    </row>
    <row r="109">
      <c r="A109" s="459"/>
      <c r="C109" s="276"/>
      <c r="D109" s="276"/>
      <c r="E109" s="651"/>
      <c r="F109" s="55"/>
      <c r="G109" s="651"/>
      <c r="H109" s="55"/>
      <c r="I109" s="651"/>
      <c r="K109" s="652"/>
      <c r="M109" s="276"/>
    </row>
    <row r="110">
      <c r="A110" s="459"/>
      <c r="C110" s="276"/>
      <c r="D110" s="276"/>
      <c r="E110" s="651"/>
      <c r="F110" s="55"/>
      <c r="G110" s="651"/>
      <c r="H110" s="55"/>
      <c r="I110" s="651"/>
      <c r="K110" s="652"/>
      <c r="M110" s="276"/>
    </row>
    <row r="111">
      <c r="A111" s="459"/>
      <c r="C111" s="276"/>
      <c r="D111" s="276"/>
      <c r="E111" s="651"/>
      <c r="F111" s="55"/>
      <c r="G111" s="651"/>
      <c r="H111" s="55"/>
      <c r="I111" s="651"/>
      <c r="K111" s="652"/>
      <c r="M111" s="276"/>
    </row>
    <row r="112">
      <c r="A112" s="459"/>
      <c r="C112" s="276"/>
      <c r="D112" s="276"/>
      <c r="E112" s="651"/>
      <c r="F112" s="55"/>
      <c r="G112" s="651"/>
      <c r="H112" s="55"/>
      <c r="I112" s="651"/>
      <c r="K112" s="652"/>
      <c r="M112" s="276"/>
    </row>
    <row r="113">
      <c r="A113" s="459"/>
      <c r="C113" s="276"/>
      <c r="D113" s="276"/>
      <c r="E113" s="651"/>
      <c r="F113" s="55"/>
      <c r="G113" s="651"/>
      <c r="H113" s="55"/>
      <c r="I113" s="651"/>
      <c r="K113" s="652"/>
      <c r="M113" s="276"/>
    </row>
    <row r="114">
      <c r="A114" s="459"/>
      <c r="C114" s="276"/>
      <c r="D114" s="276"/>
      <c r="E114" s="651"/>
      <c r="F114" s="55"/>
      <c r="G114" s="651"/>
      <c r="H114" s="55"/>
      <c r="I114" s="651"/>
      <c r="K114" s="652"/>
      <c r="M114" s="276"/>
    </row>
    <row r="115">
      <c r="A115" s="459"/>
      <c r="C115" s="276"/>
      <c r="D115" s="276"/>
      <c r="E115" s="651"/>
      <c r="F115" s="55"/>
      <c r="G115" s="651"/>
      <c r="H115" s="55"/>
      <c r="I115" s="651"/>
      <c r="K115" s="652"/>
      <c r="M115" s="276"/>
    </row>
    <row r="116">
      <c r="A116" s="459"/>
      <c r="C116" s="276"/>
      <c r="D116" s="276"/>
      <c r="E116" s="651"/>
      <c r="F116" s="55"/>
      <c r="G116" s="651"/>
      <c r="H116" s="55"/>
      <c r="I116" s="651"/>
      <c r="K116" s="652"/>
      <c r="M116" s="276"/>
    </row>
    <row r="117">
      <c r="A117" s="459"/>
      <c r="C117" s="276"/>
      <c r="D117" s="276"/>
      <c r="E117" s="651"/>
      <c r="F117" s="55"/>
      <c r="G117" s="651"/>
      <c r="H117" s="55"/>
      <c r="I117" s="651"/>
      <c r="K117" s="652"/>
      <c r="M117" s="276"/>
    </row>
    <row r="118">
      <c r="A118" s="459"/>
      <c r="C118" s="276"/>
      <c r="D118" s="276"/>
      <c r="E118" s="651"/>
      <c r="F118" s="55"/>
      <c r="G118" s="651"/>
      <c r="H118" s="55"/>
      <c r="I118" s="651"/>
      <c r="K118" s="652"/>
      <c r="M118" s="276"/>
    </row>
    <row r="119">
      <c r="A119" s="459"/>
      <c r="C119" s="276"/>
      <c r="D119" s="276"/>
      <c r="E119" s="651"/>
      <c r="F119" s="55"/>
      <c r="G119" s="651"/>
      <c r="H119" s="55"/>
      <c r="I119" s="651"/>
      <c r="K119" s="652"/>
      <c r="M119" s="276"/>
    </row>
    <row r="120">
      <c r="A120" s="459"/>
      <c r="C120" s="276"/>
      <c r="D120" s="276"/>
      <c r="E120" s="651"/>
      <c r="F120" s="55"/>
      <c r="G120" s="651"/>
      <c r="H120" s="55"/>
      <c r="I120" s="651"/>
      <c r="K120" s="652"/>
      <c r="M120" s="276"/>
    </row>
    <row r="121">
      <c r="A121" s="459"/>
      <c r="C121" s="276"/>
      <c r="D121" s="276"/>
      <c r="E121" s="651"/>
      <c r="F121" s="55"/>
      <c r="G121" s="651"/>
      <c r="H121" s="55"/>
      <c r="I121" s="651"/>
      <c r="K121" s="652"/>
      <c r="M121" s="276"/>
    </row>
    <row r="122">
      <c r="A122" s="459"/>
      <c r="C122" s="276"/>
      <c r="D122" s="276"/>
      <c r="E122" s="651"/>
      <c r="F122" s="55"/>
      <c r="G122" s="651"/>
      <c r="H122" s="55"/>
      <c r="I122" s="651"/>
      <c r="K122" s="652"/>
      <c r="M122" s="276"/>
    </row>
    <row r="123">
      <c r="A123" s="459"/>
      <c r="C123" s="276"/>
      <c r="D123" s="276"/>
      <c r="E123" s="651"/>
      <c r="F123" s="55"/>
      <c r="G123" s="651"/>
      <c r="H123" s="55"/>
      <c r="I123" s="651"/>
      <c r="K123" s="652"/>
      <c r="M123" s="276"/>
    </row>
    <row r="124">
      <c r="A124" s="459"/>
      <c r="C124" s="276"/>
      <c r="D124" s="276"/>
      <c r="E124" s="651"/>
      <c r="F124" s="55"/>
      <c r="G124" s="651"/>
      <c r="H124" s="55"/>
      <c r="I124" s="651"/>
      <c r="K124" s="652"/>
      <c r="M124" s="276"/>
    </row>
    <row r="125">
      <c r="A125" s="459"/>
      <c r="C125" s="276"/>
      <c r="D125" s="276"/>
      <c r="E125" s="651"/>
      <c r="F125" s="55"/>
      <c r="G125" s="651"/>
      <c r="H125" s="55"/>
      <c r="I125" s="651"/>
      <c r="K125" s="652"/>
      <c r="M125" s="276"/>
    </row>
    <row r="126">
      <c r="A126" s="459"/>
      <c r="C126" s="276"/>
      <c r="D126" s="276"/>
      <c r="E126" s="651"/>
      <c r="F126" s="55"/>
      <c r="G126" s="651"/>
      <c r="H126" s="55"/>
      <c r="I126" s="651"/>
      <c r="K126" s="652"/>
      <c r="M126" s="276"/>
    </row>
    <row r="127">
      <c r="A127" s="459"/>
      <c r="C127" s="276"/>
      <c r="D127" s="276"/>
      <c r="E127" s="651"/>
      <c r="F127" s="55"/>
      <c r="G127" s="651"/>
      <c r="H127" s="55"/>
      <c r="I127" s="651"/>
      <c r="K127" s="652"/>
      <c r="M127" s="276"/>
    </row>
    <row r="128">
      <c r="A128" s="459"/>
      <c r="C128" s="276"/>
      <c r="D128" s="276"/>
      <c r="E128" s="651"/>
      <c r="F128" s="55"/>
      <c r="G128" s="651"/>
      <c r="H128" s="55"/>
      <c r="I128" s="651"/>
      <c r="K128" s="652"/>
      <c r="M128" s="276"/>
    </row>
    <row r="129">
      <c r="A129" s="459"/>
      <c r="C129" s="276"/>
      <c r="D129" s="276"/>
      <c r="E129" s="651"/>
      <c r="F129" s="55"/>
      <c r="G129" s="651"/>
      <c r="H129" s="55"/>
      <c r="I129" s="651"/>
      <c r="K129" s="652"/>
      <c r="M129" s="276"/>
    </row>
    <row r="130">
      <c r="A130" s="459"/>
      <c r="C130" s="276"/>
      <c r="D130" s="276"/>
      <c r="E130" s="651"/>
      <c r="F130" s="55"/>
      <c r="G130" s="651"/>
      <c r="H130" s="55"/>
      <c r="I130" s="651"/>
      <c r="K130" s="652"/>
      <c r="M130" s="276"/>
    </row>
    <row r="131">
      <c r="A131" s="459"/>
      <c r="C131" s="276"/>
      <c r="D131" s="276"/>
      <c r="E131" s="651"/>
      <c r="F131" s="55"/>
      <c r="G131" s="651"/>
      <c r="H131" s="55"/>
      <c r="I131" s="651"/>
      <c r="K131" s="652"/>
      <c r="M131" s="276"/>
    </row>
    <row r="132">
      <c r="A132" s="459"/>
      <c r="C132" s="276"/>
      <c r="D132" s="276"/>
      <c r="E132" s="651"/>
      <c r="F132" s="55"/>
      <c r="G132" s="651"/>
      <c r="H132" s="55"/>
      <c r="I132" s="651"/>
      <c r="K132" s="652"/>
      <c r="M132" s="276"/>
    </row>
    <row r="133">
      <c r="A133" s="459"/>
      <c r="C133" s="276"/>
      <c r="D133" s="276"/>
      <c r="E133" s="651"/>
      <c r="F133" s="55"/>
      <c r="G133" s="651"/>
      <c r="H133" s="55"/>
      <c r="I133" s="651"/>
      <c r="K133" s="652"/>
      <c r="M133" s="276"/>
    </row>
    <row r="134">
      <c r="A134" s="459"/>
      <c r="C134" s="276"/>
      <c r="D134" s="276"/>
      <c r="E134" s="651"/>
      <c r="F134" s="55"/>
      <c r="G134" s="651"/>
      <c r="H134" s="55"/>
      <c r="I134" s="651"/>
      <c r="K134" s="652"/>
      <c r="M134" s="276"/>
    </row>
    <row r="135">
      <c r="A135" s="459"/>
      <c r="C135" s="276"/>
      <c r="D135" s="276"/>
      <c r="E135" s="651"/>
      <c r="F135" s="55"/>
      <c r="G135" s="651"/>
      <c r="H135" s="55"/>
      <c r="I135" s="651"/>
      <c r="K135" s="652"/>
      <c r="M135" s="276"/>
    </row>
    <row r="136">
      <c r="A136" s="459"/>
      <c r="C136" s="276"/>
      <c r="D136" s="276"/>
      <c r="E136" s="651"/>
      <c r="F136" s="55"/>
      <c r="G136" s="651"/>
      <c r="H136" s="55"/>
      <c r="I136" s="651"/>
      <c r="K136" s="652"/>
      <c r="M136" s="276"/>
    </row>
    <row r="137">
      <c r="A137" s="459"/>
      <c r="C137" s="276"/>
      <c r="D137" s="276"/>
      <c r="E137" s="651"/>
      <c r="F137" s="55"/>
      <c r="G137" s="651"/>
      <c r="H137" s="55"/>
      <c r="I137" s="651"/>
      <c r="K137" s="652"/>
      <c r="M137" s="276"/>
    </row>
    <row r="138">
      <c r="A138" s="459"/>
      <c r="C138" s="276"/>
      <c r="D138" s="276"/>
      <c r="E138" s="651"/>
      <c r="F138" s="55"/>
      <c r="G138" s="651"/>
      <c r="H138" s="55"/>
      <c r="I138" s="651"/>
      <c r="K138" s="652"/>
      <c r="M138" s="276"/>
    </row>
    <row r="139">
      <c r="A139" s="459"/>
      <c r="C139" s="276"/>
      <c r="D139" s="276"/>
      <c r="E139" s="651"/>
      <c r="F139" s="55"/>
      <c r="G139" s="651"/>
      <c r="H139" s="55"/>
      <c r="I139" s="651"/>
      <c r="K139" s="652"/>
      <c r="M139" s="276"/>
    </row>
    <row r="140">
      <c r="A140" s="459"/>
      <c r="C140" s="276"/>
      <c r="D140" s="276"/>
      <c r="E140" s="651"/>
      <c r="F140" s="55"/>
      <c r="G140" s="651"/>
      <c r="H140" s="55"/>
      <c r="I140" s="651"/>
      <c r="K140" s="652"/>
      <c r="M140" s="276"/>
    </row>
    <row r="141">
      <c r="A141" s="459"/>
      <c r="C141" s="276"/>
      <c r="D141" s="276"/>
      <c r="E141" s="651"/>
      <c r="F141" s="55"/>
      <c r="G141" s="651"/>
      <c r="H141" s="55"/>
      <c r="I141" s="651"/>
      <c r="K141" s="652"/>
      <c r="M141" s="276"/>
    </row>
    <row r="142">
      <c r="A142" s="459"/>
      <c r="C142" s="276"/>
      <c r="D142" s="276"/>
      <c r="E142" s="651"/>
      <c r="F142" s="55"/>
      <c r="G142" s="651"/>
      <c r="H142" s="55"/>
      <c r="I142" s="651"/>
      <c r="K142" s="652"/>
      <c r="M142" s="276"/>
    </row>
    <row r="143">
      <c r="A143" s="459"/>
      <c r="C143" s="276"/>
      <c r="D143" s="276"/>
      <c r="E143" s="651"/>
      <c r="F143" s="55"/>
      <c r="G143" s="651"/>
      <c r="H143" s="55"/>
      <c r="I143" s="651"/>
      <c r="K143" s="652"/>
      <c r="M143" s="276"/>
    </row>
    <row r="144">
      <c r="A144" s="459"/>
      <c r="C144" s="276"/>
      <c r="D144" s="276"/>
      <c r="E144" s="651"/>
      <c r="F144" s="55"/>
      <c r="G144" s="651"/>
      <c r="H144" s="55"/>
      <c r="I144" s="651"/>
      <c r="K144" s="652"/>
      <c r="M144" s="276"/>
    </row>
    <row r="145">
      <c r="A145" s="459"/>
      <c r="C145" s="276"/>
      <c r="D145" s="276"/>
      <c r="E145" s="651"/>
      <c r="F145" s="55"/>
      <c r="G145" s="651"/>
      <c r="H145" s="55"/>
      <c r="I145" s="651"/>
      <c r="K145" s="652"/>
      <c r="M145" s="276"/>
    </row>
    <row r="146">
      <c r="A146" s="459"/>
      <c r="C146" s="276"/>
      <c r="D146" s="276"/>
      <c r="E146" s="651"/>
      <c r="F146" s="55"/>
      <c r="G146" s="651"/>
      <c r="H146" s="55"/>
      <c r="I146" s="651"/>
      <c r="K146" s="652"/>
      <c r="M146" s="276"/>
    </row>
    <row r="147">
      <c r="A147" s="459"/>
      <c r="C147" s="276"/>
      <c r="D147" s="276"/>
      <c r="E147" s="651"/>
      <c r="F147" s="55"/>
      <c r="G147" s="651"/>
      <c r="H147" s="55"/>
      <c r="I147" s="651"/>
      <c r="K147" s="652"/>
      <c r="M147" s="276"/>
    </row>
    <row r="148">
      <c r="A148" s="459"/>
      <c r="C148" s="276"/>
      <c r="D148" s="276"/>
      <c r="E148" s="651"/>
      <c r="F148" s="55"/>
      <c r="G148" s="651"/>
      <c r="H148" s="55"/>
      <c r="I148" s="651"/>
      <c r="K148" s="652"/>
      <c r="M148" s="276"/>
    </row>
    <row r="149">
      <c r="A149" s="459"/>
      <c r="C149" s="276"/>
      <c r="D149" s="276"/>
      <c r="E149" s="651"/>
      <c r="F149" s="55"/>
      <c r="G149" s="651"/>
      <c r="H149" s="55"/>
      <c r="I149" s="651"/>
      <c r="K149" s="652"/>
      <c r="M149" s="276"/>
    </row>
    <row r="150">
      <c r="A150" s="459"/>
      <c r="C150" s="276"/>
      <c r="D150" s="276"/>
      <c r="E150" s="651"/>
      <c r="F150" s="55"/>
      <c r="G150" s="651"/>
      <c r="H150" s="55"/>
      <c r="I150" s="651"/>
      <c r="K150" s="652"/>
      <c r="M150" s="276"/>
    </row>
    <row r="151">
      <c r="A151" s="459"/>
      <c r="C151" s="276"/>
      <c r="D151" s="276"/>
      <c r="E151" s="651"/>
      <c r="F151" s="55"/>
      <c r="G151" s="651"/>
      <c r="H151" s="55"/>
      <c r="I151" s="651"/>
      <c r="K151" s="652"/>
      <c r="M151" s="276"/>
    </row>
    <row r="152">
      <c r="A152" s="459"/>
      <c r="C152" s="276"/>
      <c r="D152" s="276"/>
      <c r="E152" s="651"/>
      <c r="F152" s="55"/>
      <c r="G152" s="651"/>
      <c r="H152" s="55"/>
      <c r="I152" s="651"/>
      <c r="K152" s="652"/>
      <c r="M152" s="276"/>
    </row>
    <row r="153">
      <c r="A153" s="459"/>
      <c r="C153" s="276"/>
      <c r="D153" s="276"/>
      <c r="E153" s="651"/>
      <c r="F153" s="55"/>
      <c r="G153" s="651"/>
      <c r="H153" s="55"/>
      <c r="I153" s="651"/>
      <c r="K153" s="652"/>
      <c r="M153" s="276"/>
    </row>
    <row r="154">
      <c r="A154" s="459"/>
      <c r="C154" s="276"/>
      <c r="D154" s="276"/>
      <c r="E154" s="651"/>
      <c r="F154" s="55"/>
      <c r="G154" s="651"/>
      <c r="H154" s="55"/>
      <c r="I154" s="651"/>
      <c r="K154" s="652"/>
      <c r="M154" s="276"/>
    </row>
    <row r="155">
      <c r="A155" s="459"/>
      <c r="C155" s="276"/>
      <c r="D155" s="276"/>
      <c r="E155" s="651"/>
      <c r="F155" s="55"/>
      <c r="G155" s="651"/>
      <c r="H155" s="55"/>
      <c r="I155" s="651"/>
      <c r="K155" s="652"/>
      <c r="M155" s="276"/>
    </row>
    <row r="156">
      <c r="A156" s="459"/>
      <c r="C156" s="276"/>
      <c r="D156" s="276"/>
      <c r="E156" s="651"/>
      <c r="F156" s="55"/>
      <c r="G156" s="651"/>
      <c r="H156" s="55"/>
      <c r="I156" s="651"/>
      <c r="K156" s="652"/>
      <c r="M156" s="276"/>
    </row>
    <row r="157">
      <c r="A157" s="459"/>
      <c r="C157" s="276"/>
      <c r="D157" s="276"/>
      <c r="E157" s="651"/>
      <c r="F157" s="55"/>
      <c r="G157" s="651"/>
      <c r="H157" s="55"/>
      <c r="I157" s="651"/>
      <c r="K157" s="652"/>
      <c r="M157" s="276"/>
    </row>
    <row r="158">
      <c r="A158" s="459"/>
      <c r="C158" s="276"/>
      <c r="D158" s="276"/>
      <c r="E158" s="651"/>
      <c r="F158" s="55"/>
      <c r="G158" s="651"/>
      <c r="H158" s="55"/>
      <c r="I158" s="651"/>
      <c r="K158" s="652"/>
      <c r="M158" s="276"/>
    </row>
    <row r="159">
      <c r="A159" s="459"/>
      <c r="C159" s="276"/>
      <c r="D159" s="276"/>
      <c r="E159" s="651"/>
      <c r="F159" s="55"/>
      <c r="G159" s="651"/>
      <c r="H159" s="55"/>
      <c r="I159" s="651"/>
      <c r="K159" s="652"/>
      <c r="M159" s="276"/>
    </row>
    <row r="160">
      <c r="A160" s="459"/>
      <c r="C160" s="276"/>
      <c r="D160" s="276"/>
      <c r="E160" s="651"/>
      <c r="F160" s="55"/>
      <c r="G160" s="651"/>
      <c r="H160" s="55"/>
      <c r="I160" s="651"/>
      <c r="K160" s="652"/>
      <c r="M160" s="276"/>
    </row>
    <row r="161">
      <c r="A161" s="459"/>
      <c r="C161" s="276"/>
      <c r="D161" s="276"/>
      <c r="E161" s="651"/>
      <c r="F161" s="55"/>
      <c r="G161" s="651"/>
      <c r="H161" s="55"/>
      <c r="I161" s="651"/>
      <c r="K161" s="652"/>
      <c r="M161" s="276"/>
    </row>
    <row r="162">
      <c r="A162" s="459"/>
      <c r="C162" s="276"/>
      <c r="D162" s="276"/>
      <c r="E162" s="651"/>
      <c r="F162" s="55"/>
      <c r="G162" s="651"/>
      <c r="H162" s="55"/>
      <c r="I162" s="651"/>
      <c r="K162" s="652"/>
      <c r="M162" s="276"/>
    </row>
    <row r="163">
      <c r="A163" s="459"/>
      <c r="C163" s="276"/>
      <c r="D163" s="276"/>
      <c r="E163" s="651"/>
      <c r="F163" s="55"/>
      <c r="G163" s="651"/>
      <c r="H163" s="55"/>
      <c r="I163" s="651"/>
      <c r="K163" s="652"/>
      <c r="M163" s="276"/>
    </row>
    <row r="164">
      <c r="A164" s="459"/>
      <c r="C164" s="276"/>
      <c r="D164" s="276"/>
      <c r="E164" s="651"/>
      <c r="F164" s="55"/>
      <c r="G164" s="651"/>
      <c r="H164" s="55"/>
      <c r="I164" s="651"/>
      <c r="K164" s="652"/>
      <c r="M164" s="276"/>
    </row>
    <row r="165">
      <c r="A165" s="459"/>
      <c r="C165" s="276"/>
      <c r="D165" s="276"/>
      <c r="E165" s="651"/>
      <c r="F165" s="55"/>
      <c r="G165" s="651"/>
      <c r="H165" s="55"/>
      <c r="I165" s="651"/>
      <c r="K165" s="652"/>
      <c r="M165" s="276"/>
    </row>
    <row r="166">
      <c r="A166" s="459"/>
      <c r="C166" s="276"/>
      <c r="D166" s="276"/>
      <c r="E166" s="651"/>
      <c r="F166" s="55"/>
      <c r="G166" s="651"/>
      <c r="H166" s="55"/>
      <c r="I166" s="651"/>
      <c r="K166" s="652"/>
      <c r="M166" s="276"/>
    </row>
    <row r="167">
      <c r="A167" s="459"/>
      <c r="C167" s="276"/>
      <c r="D167" s="276"/>
      <c r="E167" s="651"/>
      <c r="F167" s="55"/>
      <c r="G167" s="651"/>
      <c r="H167" s="55"/>
      <c r="I167" s="651"/>
      <c r="K167" s="652"/>
      <c r="M167" s="276"/>
    </row>
    <row r="168">
      <c r="A168" s="459"/>
      <c r="C168" s="276"/>
      <c r="D168" s="276"/>
      <c r="E168" s="651"/>
      <c r="F168" s="55"/>
      <c r="G168" s="651"/>
      <c r="H168" s="55"/>
      <c r="I168" s="651"/>
      <c r="K168" s="652"/>
      <c r="M168" s="276"/>
    </row>
    <row r="169">
      <c r="A169" s="459"/>
      <c r="C169" s="276"/>
      <c r="D169" s="276"/>
      <c r="E169" s="651"/>
      <c r="F169" s="55"/>
      <c r="G169" s="651"/>
      <c r="H169" s="55"/>
      <c r="I169" s="651"/>
      <c r="K169" s="652"/>
      <c r="M169" s="276"/>
    </row>
    <row r="170">
      <c r="A170" s="459"/>
      <c r="C170" s="276"/>
      <c r="D170" s="276"/>
      <c r="E170" s="651"/>
      <c r="F170" s="55"/>
      <c r="G170" s="651"/>
      <c r="H170" s="55"/>
      <c r="I170" s="651"/>
      <c r="K170" s="652"/>
      <c r="M170" s="276"/>
    </row>
    <row r="171">
      <c r="A171" s="459"/>
      <c r="C171" s="276"/>
      <c r="D171" s="276"/>
      <c r="E171" s="651"/>
      <c r="F171" s="55"/>
      <c r="G171" s="651"/>
      <c r="H171" s="55"/>
      <c r="I171" s="651"/>
      <c r="K171" s="652"/>
      <c r="M171" s="276"/>
    </row>
    <row r="172">
      <c r="A172" s="459"/>
      <c r="C172" s="276"/>
      <c r="D172" s="276"/>
      <c r="E172" s="651"/>
      <c r="F172" s="55"/>
      <c r="G172" s="651"/>
      <c r="H172" s="55"/>
      <c r="I172" s="651"/>
      <c r="K172" s="652"/>
      <c r="M172" s="276"/>
    </row>
    <row r="173">
      <c r="A173" s="459"/>
      <c r="C173" s="276"/>
      <c r="D173" s="276"/>
      <c r="E173" s="651"/>
      <c r="F173" s="55"/>
      <c r="G173" s="651"/>
      <c r="H173" s="55"/>
      <c r="I173" s="651"/>
      <c r="K173" s="652"/>
      <c r="M173" s="276"/>
    </row>
    <row r="174">
      <c r="A174" s="459"/>
      <c r="C174" s="276"/>
      <c r="D174" s="276"/>
      <c r="E174" s="651"/>
      <c r="F174" s="55"/>
      <c r="G174" s="651"/>
      <c r="H174" s="55"/>
      <c r="I174" s="651"/>
      <c r="K174" s="652"/>
      <c r="M174" s="276"/>
    </row>
    <row r="175">
      <c r="A175" s="459"/>
      <c r="C175" s="276"/>
      <c r="D175" s="276"/>
      <c r="E175" s="651"/>
      <c r="F175" s="55"/>
      <c r="G175" s="651"/>
      <c r="H175" s="55"/>
      <c r="I175" s="651"/>
      <c r="K175" s="652"/>
      <c r="M175" s="276"/>
    </row>
    <row r="176">
      <c r="A176" s="459"/>
      <c r="C176" s="276"/>
      <c r="D176" s="276"/>
      <c r="E176" s="651"/>
      <c r="F176" s="55"/>
      <c r="G176" s="651"/>
      <c r="H176" s="55"/>
      <c r="I176" s="651"/>
      <c r="K176" s="652"/>
      <c r="M176" s="276"/>
    </row>
    <row r="177">
      <c r="A177" s="459"/>
      <c r="C177" s="276"/>
      <c r="D177" s="276"/>
      <c r="E177" s="651"/>
      <c r="F177" s="55"/>
      <c r="G177" s="651"/>
      <c r="H177" s="55"/>
      <c r="I177" s="651"/>
      <c r="K177" s="652"/>
      <c r="M177" s="276"/>
    </row>
    <row r="178">
      <c r="A178" s="459"/>
      <c r="C178" s="276"/>
      <c r="D178" s="276"/>
      <c r="E178" s="651"/>
      <c r="F178" s="55"/>
      <c r="G178" s="651"/>
      <c r="H178" s="55"/>
      <c r="I178" s="651"/>
      <c r="K178" s="652"/>
      <c r="M178" s="276"/>
    </row>
    <row r="179">
      <c r="A179" s="459"/>
      <c r="C179" s="276"/>
      <c r="D179" s="276"/>
      <c r="E179" s="651"/>
      <c r="F179" s="55"/>
      <c r="G179" s="651"/>
      <c r="H179" s="55"/>
      <c r="I179" s="651"/>
      <c r="K179" s="652"/>
      <c r="M179" s="276"/>
    </row>
    <row r="180">
      <c r="A180" s="459"/>
      <c r="C180" s="276"/>
      <c r="D180" s="276"/>
      <c r="E180" s="651"/>
      <c r="F180" s="55"/>
      <c r="G180" s="651"/>
      <c r="H180" s="55"/>
      <c r="I180" s="651"/>
      <c r="K180" s="652"/>
      <c r="M180" s="276"/>
    </row>
    <row r="181">
      <c r="A181" s="459"/>
      <c r="C181" s="276"/>
      <c r="D181" s="276"/>
      <c r="E181" s="651"/>
      <c r="F181" s="55"/>
      <c r="G181" s="651"/>
      <c r="H181" s="55"/>
      <c r="I181" s="651"/>
      <c r="K181" s="652"/>
      <c r="M181" s="276"/>
    </row>
    <row r="182">
      <c r="A182" s="459"/>
      <c r="C182" s="276"/>
      <c r="D182" s="276"/>
      <c r="E182" s="651"/>
      <c r="F182" s="55"/>
      <c r="G182" s="651"/>
      <c r="H182" s="55"/>
      <c r="I182" s="651"/>
      <c r="K182" s="652"/>
      <c r="M182" s="276"/>
    </row>
    <row r="183">
      <c r="A183" s="459"/>
      <c r="C183" s="276"/>
      <c r="D183" s="276"/>
      <c r="E183" s="651"/>
      <c r="F183" s="55"/>
      <c r="G183" s="651"/>
      <c r="H183" s="55"/>
      <c r="I183" s="651"/>
      <c r="K183" s="652"/>
      <c r="M183" s="276"/>
    </row>
    <row r="184">
      <c r="A184" s="459"/>
      <c r="C184" s="276"/>
      <c r="D184" s="276"/>
      <c r="E184" s="651"/>
      <c r="F184" s="55"/>
      <c r="G184" s="651"/>
      <c r="H184" s="55"/>
      <c r="I184" s="651"/>
      <c r="K184" s="652"/>
      <c r="M184" s="276"/>
    </row>
    <row r="185">
      <c r="A185" s="459"/>
      <c r="C185" s="276"/>
      <c r="D185" s="276"/>
      <c r="E185" s="651"/>
      <c r="F185" s="55"/>
      <c r="G185" s="651"/>
      <c r="H185" s="55"/>
      <c r="I185" s="651"/>
      <c r="K185" s="652"/>
      <c r="M185" s="276"/>
    </row>
    <row r="186">
      <c r="A186" s="459"/>
      <c r="C186" s="276"/>
      <c r="D186" s="276"/>
      <c r="E186" s="651"/>
      <c r="F186" s="55"/>
      <c r="G186" s="651"/>
      <c r="H186" s="55"/>
      <c r="I186" s="651"/>
      <c r="K186" s="652"/>
      <c r="M186" s="276"/>
    </row>
    <row r="187">
      <c r="A187" s="459"/>
      <c r="C187" s="276"/>
      <c r="D187" s="276"/>
      <c r="E187" s="651"/>
      <c r="F187" s="55"/>
      <c r="G187" s="651"/>
      <c r="H187" s="55"/>
      <c r="I187" s="651"/>
      <c r="K187" s="652"/>
      <c r="M187" s="276"/>
    </row>
    <row r="188">
      <c r="A188" s="459"/>
      <c r="C188" s="276"/>
      <c r="D188" s="276"/>
      <c r="E188" s="651"/>
      <c r="F188" s="55"/>
      <c r="G188" s="651"/>
      <c r="H188" s="55"/>
      <c r="I188" s="651"/>
      <c r="K188" s="652"/>
      <c r="M188" s="276"/>
    </row>
    <row r="189">
      <c r="A189" s="459"/>
      <c r="C189" s="276"/>
      <c r="D189" s="276"/>
      <c r="E189" s="651"/>
      <c r="F189" s="55"/>
      <c r="G189" s="651"/>
      <c r="H189" s="55"/>
      <c r="I189" s="651"/>
      <c r="K189" s="652"/>
      <c r="M189" s="276"/>
    </row>
    <row r="190">
      <c r="A190" s="459"/>
      <c r="C190" s="276"/>
      <c r="D190" s="276"/>
      <c r="E190" s="651"/>
      <c r="F190" s="55"/>
      <c r="G190" s="651"/>
      <c r="H190" s="55"/>
      <c r="I190" s="651"/>
      <c r="K190" s="652"/>
      <c r="M190" s="276"/>
    </row>
    <row r="191">
      <c r="A191" s="459"/>
      <c r="C191" s="276"/>
      <c r="D191" s="276"/>
      <c r="E191" s="651"/>
      <c r="F191" s="55"/>
      <c r="G191" s="651"/>
      <c r="H191" s="55"/>
      <c r="I191" s="651"/>
      <c r="K191" s="652"/>
      <c r="M191" s="276"/>
    </row>
    <row r="192">
      <c r="A192" s="459"/>
      <c r="C192" s="276"/>
      <c r="D192" s="276"/>
      <c r="E192" s="651"/>
      <c r="F192" s="55"/>
      <c r="G192" s="651"/>
      <c r="H192" s="55"/>
      <c r="I192" s="651"/>
      <c r="K192" s="652"/>
      <c r="M192" s="276"/>
    </row>
    <row r="193">
      <c r="A193" s="459"/>
      <c r="C193" s="276"/>
      <c r="D193" s="276"/>
      <c r="E193" s="651"/>
      <c r="F193" s="55"/>
      <c r="G193" s="651"/>
      <c r="H193" s="55"/>
      <c r="I193" s="651"/>
      <c r="K193" s="652"/>
      <c r="M193" s="276"/>
    </row>
    <row r="194">
      <c r="A194" s="459"/>
      <c r="C194" s="276"/>
      <c r="D194" s="276"/>
      <c r="E194" s="651"/>
      <c r="F194" s="55"/>
      <c r="G194" s="651"/>
      <c r="H194" s="55"/>
      <c r="I194" s="651"/>
      <c r="K194" s="652"/>
      <c r="M194" s="276"/>
    </row>
    <row r="195">
      <c r="A195" s="459"/>
      <c r="C195" s="276"/>
      <c r="D195" s="276"/>
      <c r="E195" s="651"/>
      <c r="F195" s="55"/>
      <c r="G195" s="651"/>
      <c r="H195" s="55"/>
      <c r="I195" s="651"/>
      <c r="K195" s="652"/>
      <c r="M195" s="276"/>
    </row>
    <row r="196">
      <c r="A196" s="459"/>
      <c r="C196" s="276"/>
      <c r="D196" s="276"/>
      <c r="E196" s="651"/>
      <c r="F196" s="55"/>
      <c r="G196" s="651"/>
      <c r="H196" s="55"/>
      <c r="I196" s="651"/>
      <c r="K196" s="652"/>
      <c r="M196" s="276"/>
    </row>
    <row r="197">
      <c r="A197" s="459"/>
      <c r="C197" s="276"/>
      <c r="D197" s="276"/>
      <c r="E197" s="651"/>
      <c r="F197" s="55"/>
      <c r="G197" s="651"/>
      <c r="H197" s="55"/>
      <c r="I197" s="651"/>
      <c r="K197" s="652"/>
      <c r="M197" s="276"/>
    </row>
    <row r="198">
      <c r="A198" s="459"/>
      <c r="C198" s="276"/>
      <c r="D198" s="276"/>
      <c r="E198" s="651"/>
      <c r="F198" s="55"/>
      <c r="G198" s="651"/>
      <c r="H198" s="55"/>
      <c r="I198" s="651"/>
      <c r="K198" s="652"/>
      <c r="M198" s="276"/>
    </row>
    <row r="199">
      <c r="A199" s="459"/>
      <c r="C199" s="276"/>
      <c r="D199" s="276"/>
      <c r="E199" s="651"/>
      <c r="F199" s="55"/>
      <c r="G199" s="651"/>
      <c r="H199" s="55"/>
      <c r="I199" s="651"/>
      <c r="K199" s="652"/>
      <c r="M199" s="276"/>
    </row>
    <row r="200">
      <c r="A200" s="459"/>
      <c r="C200" s="276"/>
      <c r="D200" s="276"/>
      <c r="E200" s="651"/>
      <c r="F200" s="55"/>
      <c r="G200" s="651"/>
      <c r="H200" s="55"/>
      <c r="I200" s="651"/>
      <c r="K200" s="652"/>
      <c r="M200" s="276"/>
    </row>
    <row r="201">
      <c r="A201" s="459"/>
      <c r="C201" s="276"/>
      <c r="D201" s="276"/>
      <c r="E201" s="651"/>
      <c r="F201" s="55"/>
      <c r="G201" s="651"/>
      <c r="H201" s="55"/>
      <c r="I201" s="651"/>
      <c r="K201" s="652"/>
      <c r="M201" s="276"/>
    </row>
    <row r="202">
      <c r="A202" s="459"/>
      <c r="C202" s="276"/>
      <c r="D202" s="276"/>
      <c r="E202" s="651"/>
      <c r="F202" s="55"/>
      <c r="G202" s="651"/>
      <c r="H202" s="55"/>
      <c r="I202" s="651"/>
      <c r="K202" s="652"/>
      <c r="M202" s="276"/>
    </row>
    <row r="203">
      <c r="A203" s="459"/>
      <c r="C203" s="276"/>
      <c r="D203" s="276"/>
      <c r="E203" s="651"/>
      <c r="F203" s="55"/>
      <c r="G203" s="651"/>
      <c r="H203" s="55"/>
      <c r="I203" s="651"/>
      <c r="K203" s="652"/>
      <c r="M203" s="276"/>
    </row>
    <row r="204">
      <c r="A204" s="459"/>
      <c r="C204" s="276"/>
      <c r="D204" s="276"/>
      <c r="E204" s="651"/>
      <c r="F204" s="55"/>
      <c r="G204" s="651"/>
      <c r="H204" s="55"/>
      <c r="I204" s="651"/>
      <c r="K204" s="652"/>
      <c r="M204" s="276"/>
    </row>
    <row r="205">
      <c r="A205" s="459"/>
      <c r="C205" s="276"/>
      <c r="D205" s="276"/>
      <c r="E205" s="651"/>
      <c r="F205" s="55"/>
      <c r="G205" s="651"/>
      <c r="H205" s="55"/>
      <c r="I205" s="651"/>
      <c r="K205" s="652"/>
      <c r="M205" s="276"/>
    </row>
    <row r="206">
      <c r="A206" s="459"/>
      <c r="C206" s="276"/>
      <c r="D206" s="276"/>
      <c r="E206" s="651"/>
      <c r="F206" s="55"/>
      <c r="G206" s="651"/>
      <c r="H206" s="55"/>
      <c r="I206" s="651"/>
      <c r="K206" s="652"/>
      <c r="M206" s="276"/>
    </row>
    <row r="207">
      <c r="A207" s="459"/>
      <c r="C207" s="276"/>
      <c r="D207" s="276"/>
      <c r="E207" s="651"/>
      <c r="F207" s="55"/>
      <c r="G207" s="651"/>
      <c r="H207" s="55"/>
      <c r="I207" s="651"/>
      <c r="K207" s="652"/>
      <c r="M207" s="276"/>
    </row>
    <row r="208">
      <c r="A208" s="459"/>
      <c r="C208" s="276"/>
      <c r="D208" s="276"/>
      <c r="E208" s="651"/>
      <c r="F208" s="55"/>
      <c r="G208" s="651"/>
      <c r="H208" s="55"/>
      <c r="I208" s="651"/>
      <c r="K208" s="652"/>
      <c r="M208" s="276"/>
    </row>
    <row r="209">
      <c r="A209" s="459"/>
      <c r="C209" s="276"/>
      <c r="D209" s="276"/>
      <c r="E209" s="651"/>
      <c r="F209" s="55"/>
      <c r="G209" s="651"/>
      <c r="H209" s="55"/>
      <c r="I209" s="651"/>
      <c r="K209" s="652"/>
      <c r="M209" s="276"/>
    </row>
    <row r="210">
      <c r="A210" s="459"/>
      <c r="C210" s="276"/>
      <c r="D210" s="276"/>
      <c r="E210" s="651"/>
      <c r="F210" s="55"/>
      <c r="G210" s="651"/>
      <c r="H210" s="55"/>
      <c r="I210" s="651"/>
      <c r="K210" s="652"/>
      <c r="M210" s="276"/>
    </row>
    <row r="211">
      <c r="A211" s="459"/>
      <c r="C211" s="276"/>
      <c r="D211" s="276"/>
      <c r="E211" s="651"/>
      <c r="F211" s="55"/>
      <c r="G211" s="651"/>
      <c r="H211" s="55"/>
      <c r="I211" s="651"/>
      <c r="K211" s="652"/>
      <c r="M211" s="276"/>
    </row>
    <row r="212">
      <c r="A212" s="459"/>
      <c r="C212" s="276"/>
      <c r="D212" s="276"/>
      <c r="E212" s="651"/>
      <c r="F212" s="55"/>
      <c r="G212" s="651"/>
      <c r="H212" s="55"/>
      <c r="I212" s="651"/>
      <c r="K212" s="652"/>
      <c r="M212" s="276"/>
    </row>
    <row r="213">
      <c r="A213" s="459"/>
      <c r="C213" s="276"/>
      <c r="D213" s="276"/>
      <c r="E213" s="651"/>
      <c r="F213" s="55"/>
      <c r="G213" s="651"/>
      <c r="H213" s="55"/>
      <c r="I213" s="651"/>
      <c r="K213" s="652"/>
      <c r="M213" s="276"/>
    </row>
    <row r="214">
      <c r="A214" s="459"/>
      <c r="C214" s="276"/>
      <c r="D214" s="276"/>
      <c r="E214" s="651"/>
      <c r="F214" s="55"/>
      <c r="G214" s="651"/>
      <c r="H214" s="55"/>
      <c r="I214" s="651"/>
      <c r="K214" s="652"/>
      <c r="M214" s="276"/>
    </row>
    <row r="215">
      <c r="A215" s="459"/>
      <c r="C215" s="276"/>
      <c r="D215" s="276"/>
      <c r="E215" s="651"/>
      <c r="F215" s="55"/>
      <c r="G215" s="651"/>
      <c r="H215" s="55"/>
      <c r="I215" s="651"/>
      <c r="K215" s="652"/>
      <c r="M215" s="276"/>
    </row>
    <row r="216">
      <c r="A216" s="459"/>
      <c r="C216" s="276"/>
      <c r="D216" s="276"/>
      <c r="E216" s="651"/>
      <c r="F216" s="55"/>
      <c r="G216" s="651"/>
      <c r="H216" s="55"/>
      <c r="I216" s="651"/>
      <c r="K216" s="652"/>
      <c r="M216" s="276"/>
    </row>
    <row r="217">
      <c r="A217" s="459"/>
      <c r="C217" s="276"/>
      <c r="D217" s="276"/>
      <c r="E217" s="651"/>
      <c r="F217" s="55"/>
      <c r="G217" s="651"/>
      <c r="H217" s="55"/>
      <c r="I217" s="651"/>
      <c r="K217" s="652"/>
      <c r="M217" s="276"/>
    </row>
    <row r="218">
      <c r="A218" s="459"/>
      <c r="C218" s="276"/>
      <c r="D218" s="276"/>
      <c r="E218" s="651"/>
      <c r="F218" s="55"/>
      <c r="G218" s="651"/>
      <c r="H218" s="55"/>
      <c r="I218" s="651"/>
      <c r="K218" s="652"/>
      <c r="M218" s="276"/>
    </row>
    <row r="219">
      <c r="A219" s="459"/>
      <c r="C219" s="276"/>
      <c r="D219" s="276"/>
      <c r="E219" s="651"/>
      <c r="F219" s="55"/>
      <c r="G219" s="651"/>
      <c r="H219" s="55"/>
      <c r="I219" s="651"/>
      <c r="K219" s="652"/>
      <c r="M219" s="276"/>
    </row>
    <row r="220">
      <c r="A220" s="459"/>
      <c r="C220" s="276"/>
      <c r="D220" s="276"/>
      <c r="E220" s="651"/>
      <c r="F220" s="55"/>
      <c r="G220" s="651"/>
      <c r="H220" s="55"/>
      <c r="I220" s="651"/>
      <c r="K220" s="652"/>
      <c r="M220" s="276"/>
    </row>
    <row r="221">
      <c r="A221" s="459"/>
      <c r="C221" s="276"/>
      <c r="D221" s="276"/>
      <c r="E221" s="651"/>
      <c r="F221" s="55"/>
      <c r="G221" s="651"/>
      <c r="H221" s="55"/>
      <c r="I221" s="651"/>
      <c r="K221" s="652"/>
      <c r="M221" s="276"/>
    </row>
    <row r="222">
      <c r="A222" s="459"/>
      <c r="C222" s="276"/>
      <c r="D222" s="276"/>
      <c r="E222" s="651"/>
      <c r="F222" s="55"/>
      <c r="G222" s="651"/>
      <c r="H222" s="55"/>
      <c r="I222" s="651"/>
      <c r="K222" s="652"/>
      <c r="M222" s="276"/>
    </row>
    <row r="223">
      <c r="A223" s="459"/>
      <c r="C223" s="276"/>
      <c r="D223" s="276"/>
      <c r="E223" s="651"/>
      <c r="F223" s="55"/>
      <c r="G223" s="651"/>
      <c r="H223" s="55"/>
      <c r="I223" s="651"/>
      <c r="K223" s="652"/>
      <c r="M223" s="276"/>
    </row>
    <row r="224">
      <c r="A224" s="459"/>
      <c r="C224" s="276"/>
      <c r="D224" s="276"/>
      <c r="E224" s="651"/>
      <c r="F224" s="55"/>
      <c r="G224" s="651"/>
      <c r="H224" s="55"/>
      <c r="I224" s="651"/>
      <c r="K224" s="652"/>
      <c r="M224" s="276"/>
    </row>
    <row r="225">
      <c r="A225" s="459"/>
      <c r="C225" s="276"/>
      <c r="D225" s="276"/>
      <c r="E225" s="651"/>
      <c r="F225" s="55"/>
      <c r="G225" s="651"/>
      <c r="H225" s="55"/>
      <c r="I225" s="651"/>
      <c r="K225" s="652"/>
      <c r="M225" s="276"/>
    </row>
    <row r="226">
      <c r="A226" s="459"/>
      <c r="C226" s="276"/>
      <c r="D226" s="276"/>
      <c r="E226" s="651"/>
      <c r="F226" s="55"/>
      <c r="G226" s="651"/>
      <c r="H226" s="55"/>
      <c r="I226" s="651"/>
      <c r="K226" s="652"/>
      <c r="M226" s="276"/>
    </row>
    <row r="227">
      <c r="A227" s="459"/>
      <c r="C227" s="276"/>
      <c r="D227" s="276"/>
      <c r="E227" s="651"/>
      <c r="F227" s="55"/>
      <c r="G227" s="651"/>
      <c r="H227" s="55"/>
      <c r="I227" s="651"/>
      <c r="K227" s="652"/>
      <c r="M227" s="276"/>
    </row>
    <row r="228">
      <c r="A228" s="459"/>
      <c r="C228" s="276"/>
      <c r="D228" s="276"/>
      <c r="E228" s="651"/>
      <c r="F228" s="55"/>
      <c r="G228" s="651"/>
      <c r="H228" s="55"/>
      <c r="I228" s="651"/>
      <c r="K228" s="652"/>
      <c r="M228" s="276"/>
    </row>
    <row r="229">
      <c r="A229" s="459"/>
      <c r="C229" s="276"/>
      <c r="D229" s="276"/>
      <c r="E229" s="651"/>
      <c r="F229" s="55"/>
      <c r="G229" s="651"/>
      <c r="H229" s="55"/>
      <c r="I229" s="651"/>
      <c r="K229" s="652"/>
      <c r="M229" s="276"/>
    </row>
    <row r="230">
      <c r="A230" s="459"/>
      <c r="C230" s="276"/>
      <c r="D230" s="276"/>
      <c r="E230" s="651"/>
      <c r="F230" s="55"/>
      <c r="G230" s="651"/>
      <c r="H230" s="55"/>
      <c r="I230" s="651"/>
      <c r="K230" s="652"/>
      <c r="M230" s="276"/>
    </row>
    <row r="231">
      <c r="A231" s="459"/>
      <c r="C231" s="276"/>
      <c r="D231" s="276"/>
      <c r="E231" s="651"/>
      <c r="F231" s="55"/>
      <c r="G231" s="651"/>
      <c r="H231" s="55"/>
      <c r="I231" s="651"/>
      <c r="K231" s="652"/>
      <c r="M231" s="276"/>
    </row>
    <row r="232">
      <c r="A232" s="459"/>
      <c r="C232" s="276"/>
      <c r="D232" s="276"/>
      <c r="E232" s="651"/>
      <c r="F232" s="55"/>
      <c r="G232" s="651"/>
      <c r="H232" s="55"/>
      <c r="I232" s="651"/>
      <c r="K232" s="652"/>
      <c r="M232" s="276"/>
    </row>
    <row r="233">
      <c r="A233" s="459"/>
      <c r="C233" s="276"/>
      <c r="D233" s="276"/>
      <c r="E233" s="651"/>
      <c r="F233" s="55"/>
      <c r="G233" s="651"/>
      <c r="H233" s="55"/>
      <c r="I233" s="651"/>
      <c r="K233" s="652"/>
      <c r="M233" s="276"/>
    </row>
    <row r="234">
      <c r="A234" s="459"/>
      <c r="C234" s="276"/>
      <c r="D234" s="276"/>
      <c r="E234" s="651"/>
      <c r="F234" s="55"/>
      <c r="G234" s="651"/>
      <c r="H234" s="55"/>
      <c r="I234" s="651"/>
      <c r="K234" s="652"/>
      <c r="M234" s="276"/>
    </row>
    <row r="235">
      <c r="A235" s="459"/>
      <c r="C235" s="276"/>
      <c r="D235" s="276"/>
      <c r="E235" s="651"/>
      <c r="F235" s="55"/>
      <c r="G235" s="651"/>
      <c r="H235" s="55"/>
      <c r="I235" s="651"/>
      <c r="K235" s="652"/>
      <c r="M235" s="276"/>
    </row>
    <row r="236">
      <c r="A236" s="459"/>
      <c r="C236" s="276"/>
      <c r="D236" s="276"/>
      <c r="E236" s="651"/>
      <c r="F236" s="55"/>
      <c r="G236" s="651"/>
      <c r="H236" s="55"/>
      <c r="I236" s="651"/>
      <c r="K236" s="652"/>
      <c r="M236" s="276"/>
    </row>
    <row r="237">
      <c r="A237" s="459"/>
      <c r="C237" s="276"/>
      <c r="D237" s="276"/>
      <c r="E237" s="651"/>
      <c r="F237" s="55"/>
      <c r="G237" s="651"/>
      <c r="H237" s="55"/>
      <c r="I237" s="651"/>
      <c r="K237" s="652"/>
      <c r="M237" s="276"/>
    </row>
    <row r="238">
      <c r="A238" s="459"/>
      <c r="C238" s="276"/>
      <c r="D238" s="276"/>
      <c r="E238" s="651"/>
      <c r="F238" s="55"/>
      <c r="G238" s="651"/>
      <c r="H238" s="55"/>
      <c r="I238" s="651"/>
      <c r="K238" s="652"/>
      <c r="M238" s="276"/>
    </row>
    <row r="239">
      <c r="A239" s="459"/>
      <c r="C239" s="276"/>
      <c r="D239" s="276"/>
      <c r="E239" s="651"/>
      <c r="F239" s="55"/>
      <c r="G239" s="651"/>
      <c r="H239" s="55"/>
      <c r="I239" s="651"/>
      <c r="K239" s="652"/>
      <c r="M239" s="276"/>
    </row>
    <row r="240">
      <c r="A240" s="459"/>
      <c r="C240" s="276"/>
      <c r="D240" s="276"/>
      <c r="E240" s="651"/>
      <c r="F240" s="55"/>
      <c r="G240" s="651"/>
      <c r="H240" s="55"/>
      <c r="I240" s="651"/>
      <c r="K240" s="652"/>
      <c r="M240" s="276"/>
    </row>
    <row r="241">
      <c r="A241" s="459"/>
      <c r="C241" s="276"/>
      <c r="D241" s="276"/>
      <c r="E241" s="651"/>
      <c r="F241" s="55"/>
      <c r="G241" s="651"/>
      <c r="H241" s="55"/>
      <c r="I241" s="651"/>
      <c r="K241" s="652"/>
      <c r="M241" s="276"/>
    </row>
    <row r="242">
      <c r="A242" s="459"/>
      <c r="C242" s="276"/>
      <c r="D242" s="276"/>
      <c r="E242" s="651"/>
      <c r="F242" s="55"/>
      <c r="G242" s="651"/>
      <c r="H242" s="55"/>
      <c r="I242" s="651"/>
      <c r="K242" s="652"/>
      <c r="M242" s="276"/>
    </row>
    <row r="243">
      <c r="A243" s="459"/>
      <c r="C243" s="276"/>
      <c r="D243" s="276"/>
      <c r="E243" s="651"/>
      <c r="F243" s="55"/>
      <c r="G243" s="651"/>
      <c r="H243" s="55"/>
      <c r="I243" s="651"/>
      <c r="K243" s="652"/>
      <c r="M243" s="276"/>
    </row>
    <row r="244">
      <c r="A244" s="459"/>
      <c r="C244" s="276"/>
      <c r="D244" s="276"/>
      <c r="E244" s="651"/>
      <c r="F244" s="55"/>
      <c r="G244" s="651"/>
      <c r="H244" s="55"/>
      <c r="I244" s="651"/>
      <c r="K244" s="652"/>
      <c r="M244" s="276"/>
    </row>
    <row r="245">
      <c r="A245" s="459"/>
      <c r="C245" s="276"/>
      <c r="D245" s="276"/>
      <c r="E245" s="651"/>
      <c r="F245" s="55"/>
      <c r="G245" s="651"/>
      <c r="H245" s="55"/>
      <c r="I245" s="651"/>
      <c r="K245" s="652"/>
      <c r="M245" s="276"/>
    </row>
    <row r="246">
      <c r="A246" s="459"/>
      <c r="C246" s="276"/>
      <c r="D246" s="276"/>
      <c r="E246" s="651"/>
      <c r="F246" s="55"/>
      <c r="G246" s="651"/>
      <c r="H246" s="55"/>
      <c r="I246" s="651"/>
      <c r="K246" s="652"/>
      <c r="M246" s="276"/>
    </row>
    <row r="247">
      <c r="A247" s="459"/>
      <c r="C247" s="276"/>
      <c r="D247" s="276"/>
      <c r="E247" s="651"/>
      <c r="F247" s="55"/>
      <c r="G247" s="651"/>
      <c r="H247" s="55"/>
      <c r="I247" s="651"/>
      <c r="K247" s="652"/>
      <c r="M247" s="276"/>
    </row>
    <row r="248">
      <c r="A248" s="459"/>
      <c r="C248" s="276"/>
      <c r="D248" s="276"/>
      <c r="E248" s="651"/>
      <c r="F248" s="55"/>
      <c r="G248" s="651"/>
      <c r="H248" s="55"/>
      <c r="I248" s="651"/>
      <c r="K248" s="652"/>
      <c r="M248" s="276"/>
    </row>
    <row r="249">
      <c r="A249" s="459"/>
      <c r="C249" s="276"/>
      <c r="D249" s="276"/>
      <c r="E249" s="651"/>
      <c r="F249" s="55"/>
      <c r="G249" s="651"/>
      <c r="H249" s="55"/>
      <c r="I249" s="651"/>
      <c r="K249" s="652"/>
      <c r="M249" s="276"/>
    </row>
    <row r="250">
      <c r="A250" s="459"/>
      <c r="C250" s="276"/>
      <c r="D250" s="276"/>
      <c r="E250" s="651"/>
      <c r="F250" s="55"/>
      <c r="G250" s="651"/>
      <c r="H250" s="55"/>
      <c r="I250" s="651"/>
      <c r="K250" s="652"/>
      <c r="M250" s="276"/>
    </row>
    <row r="251">
      <c r="A251" s="459"/>
      <c r="C251" s="276"/>
      <c r="D251" s="276"/>
      <c r="E251" s="651"/>
      <c r="F251" s="55"/>
      <c r="G251" s="651"/>
      <c r="H251" s="55"/>
      <c r="I251" s="651"/>
      <c r="K251" s="652"/>
      <c r="M251" s="276"/>
    </row>
    <row r="252">
      <c r="A252" s="459"/>
      <c r="C252" s="276"/>
      <c r="D252" s="276"/>
      <c r="E252" s="651"/>
      <c r="F252" s="55"/>
      <c r="G252" s="651"/>
      <c r="H252" s="55"/>
      <c r="I252" s="651"/>
      <c r="K252" s="652"/>
      <c r="M252" s="276"/>
    </row>
    <row r="253">
      <c r="A253" s="459"/>
      <c r="C253" s="276"/>
      <c r="D253" s="276"/>
      <c r="E253" s="651"/>
      <c r="F253" s="55"/>
      <c r="G253" s="651"/>
      <c r="H253" s="55"/>
      <c r="I253" s="651"/>
      <c r="K253" s="652"/>
      <c r="M253" s="276"/>
    </row>
    <row r="254">
      <c r="A254" s="459"/>
      <c r="C254" s="276"/>
      <c r="D254" s="276"/>
      <c r="E254" s="651"/>
      <c r="F254" s="55"/>
      <c r="G254" s="651"/>
      <c r="H254" s="55"/>
      <c r="I254" s="651"/>
      <c r="K254" s="652"/>
      <c r="M254" s="276"/>
    </row>
    <row r="255">
      <c r="A255" s="459"/>
      <c r="C255" s="276"/>
      <c r="D255" s="276"/>
      <c r="E255" s="651"/>
      <c r="F255" s="55"/>
      <c r="G255" s="651"/>
      <c r="H255" s="55"/>
      <c r="I255" s="651"/>
      <c r="K255" s="652"/>
      <c r="M255" s="276"/>
    </row>
    <row r="256">
      <c r="A256" s="459"/>
      <c r="C256" s="276"/>
      <c r="D256" s="276"/>
      <c r="E256" s="651"/>
      <c r="F256" s="55"/>
      <c r="G256" s="651"/>
      <c r="H256" s="55"/>
      <c r="I256" s="651"/>
      <c r="K256" s="652"/>
      <c r="M256" s="276"/>
    </row>
    <row r="257">
      <c r="A257" s="459"/>
      <c r="C257" s="276"/>
      <c r="D257" s="276"/>
      <c r="E257" s="651"/>
      <c r="F257" s="55"/>
      <c r="G257" s="651"/>
      <c r="H257" s="55"/>
      <c r="I257" s="651"/>
      <c r="K257" s="652"/>
      <c r="M257" s="276"/>
    </row>
    <row r="258">
      <c r="A258" s="459"/>
      <c r="C258" s="276"/>
      <c r="D258" s="276"/>
      <c r="E258" s="651"/>
      <c r="F258" s="55"/>
      <c r="G258" s="651"/>
      <c r="H258" s="55"/>
      <c r="I258" s="651"/>
      <c r="K258" s="652"/>
      <c r="M258" s="276"/>
    </row>
    <row r="259">
      <c r="A259" s="459"/>
      <c r="C259" s="276"/>
      <c r="D259" s="276"/>
      <c r="E259" s="651"/>
      <c r="F259" s="55"/>
      <c r="G259" s="651"/>
      <c r="H259" s="55"/>
      <c r="I259" s="651"/>
      <c r="K259" s="652"/>
      <c r="M259" s="276"/>
    </row>
    <row r="260">
      <c r="A260" s="459"/>
      <c r="C260" s="276"/>
      <c r="D260" s="276"/>
      <c r="E260" s="651"/>
      <c r="F260" s="55"/>
      <c r="G260" s="651"/>
      <c r="H260" s="55"/>
      <c r="I260" s="651"/>
      <c r="K260" s="652"/>
      <c r="M260" s="276"/>
    </row>
    <row r="261">
      <c r="A261" s="459"/>
      <c r="C261" s="276"/>
      <c r="D261" s="276"/>
      <c r="E261" s="651"/>
      <c r="F261" s="55"/>
      <c r="G261" s="651"/>
      <c r="H261" s="55"/>
      <c r="I261" s="651"/>
      <c r="K261" s="652"/>
      <c r="M261" s="276"/>
    </row>
    <row r="262">
      <c r="A262" s="459"/>
      <c r="C262" s="276"/>
      <c r="D262" s="276"/>
      <c r="E262" s="651"/>
      <c r="F262" s="55"/>
      <c r="G262" s="651"/>
      <c r="H262" s="55"/>
      <c r="I262" s="651"/>
      <c r="K262" s="652"/>
      <c r="M262" s="276"/>
    </row>
    <row r="263">
      <c r="A263" s="459"/>
      <c r="C263" s="276"/>
      <c r="D263" s="276"/>
      <c r="E263" s="651"/>
      <c r="F263" s="55"/>
      <c r="G263" s="651"/>
      <c r="H263" s="55"/>
      <c r="I263" s="651"/>
      <c r="K263" s="652"/>
      <c r="M263" s="276"/>
    </row>
    <row r="264">
      <c r="A264" s="459"/>
      <c r="C264" s="276"/>
      <c r="D264" s="276"/>
      <c r="E264" s="651"/>
      <c r="F264" s="55"/>
      <c r="G264" s="651"/>
      <c r="H264" s="55"/>
      <c r="I264" s="651"/>
      <c r="K264" s="652"/>
      <c r="M264" s="276"/>
    </row>
    <row r="265">
      <c r="A265" s="459"/>
      <c r="C265" s="276"/>
      <c r="D265" s="276"/>
      <c r="E265" s="651"/>
      <c r="F265" s="55"/>
      <c r="G265" s="651"/>
      <c r="H265" s="55"/>
      <c r="I265" s="651"/>
      <c r="K265" s="652"/>
      <c r="M265" s="276"/>
    </row>
    <row r="266">
      <c r="A266" s="459"/>
      <c r="C266" s="276"/>
      <c r="D266" s="276"/>
      <c r="E266" s="651"/>
      <c r="F266" s="55"/>
      <c r="G266" s="651"/>
      <c r="H266" s="55"/>
      <c r="I266" s="651"/>
      <c r="K266" s="652"/>
      <c r="M266" s="276"/>
    </row>
    <row r="267">
      <c r="A267" s="459"/>
      <c r="C267" s="276"/>
      <c r="D267" s="276"/>
      <c r="E267" s="651"/>
      <c r="F267" s="55"/>
      <c r="G267" s="651"/>
      <c r="H267" s="55"/>
      <c r="I267" s="651"/>
      <c r="K267" s="652"/>
      <c r="M267" s="276"/>
    </row>
    <row r="268">
      <c r="A268" s="459"/>
      <c r="C268" s="276"/>
      <c r="D268" s="276"/>
      <c r="E268" s="651"/>
      <c r="F268" s="55"/>
      <c r="G268" s="651"/>
      <c r="H268" s="55"/>
      <c r="I268" s="651"/>
      <c r="K268" s="652"/>
      <c r="M268" s="276"/>
    </row>
    <row r="269">
      <c r="A269" s="459"/>
      <c r="C269" s="276"/>
      <c r="D269" s="276"/>
      <c r="E269" s="651"/>
      <c r="F269" s="55"/>
      <c r="G269" s="651"/>
      <c r="H269" s="55"/>
      <c r="I269" s="651"/>
      <c r="K269" s="652"/>
      <c r="M269" s="276"/>
    </row>
    <row r="270">
      <c r="A270" s="459"/>
      <c r="C270" s="276"/>
      <c r="D270" s="276"/>
      <c r="E270" s="651"/>
      <c r="F270" s="55"/>
      <c r="G270" s="651"/>
      <c r="H270" s="55"/>
      <c r="I270" s="651"/>
      <c r="K270" s="652"/>
      <c r="M270" s="276"/>
    </row>
    <row r="271">
      <c r="A271" s="459"/>
      <c r="C271" s="276"/>
      <c r="D271" s="276"/>
      <c r="E271" s="651"/>
      <c r="F271" s="55"/>
      <c r="G271" s="651"/>
      <c r="H271" s="55"/>
      <c r="I271" s="651"/>
      <c r="K271" s="652"/>
      <c r="M271" s="276"/>
    </row>
    <row r="272">
      <c r="A272" s="459"/>
      <c r="C272" s="276"/>
      <c r="D272" s="276"/>
      <c r="E272" s="651"/>
      <c r="F272" s="55"/>
      <c r="G272" s="651"/>
      <c r="H272" s="55"/>
      <c r="I272" s="651"/>
      <c r="K272" s="652"/>
      <c r="M272" s="276"/>
    </row>
    <row r="273">
      <c r="A273" s="459"/>
      <c r="C273" s="276"/>
      <c r="D273" s="276"/>
      <c r="E273" s="651"/>
      <c r="F273" s="55"/>
      <c r="G273" s="651"/>
      <c r="H273" s="55"/>
      <c r="I273" s="651"/>
      <c r="K273" s="652"/>
      <c r="M273" s="276"/>
    </row>
    <row r="274">
      <c r="A274" s="459"/>
      <c r="C274" s="276"/>
      <c r="D274" s="276"/>
      <c r="E274" s="651"/>
      <c r="F274" s="55"/>
      <c r="G274" s="651"/>
      <c r="H274" s="55"/>
      <c r="I274" s="651"/>
      <c r="K274" s="652"/>
      <c r="M274" s="276"/>
    </row>
    <row r="275">
      <c r="A275" s="459"/>
      <c r="C275" s="276"/>
      <c r="D275" s="276"/>
      <c r="E275" s="651"/>
      <c r="F275" s="55"/>
      <c r="G275" s="651"/>
      <c r="H275" s="55"/>
      <c r="I275" s="651"/>
      <c r="K275" s="652"/>
      <c r="M275" s="276"/>
    </row>
    <row r="276">
      <c r="A276" s="459"/>
      <c r="C276" s="276"/>
      <c r="D276" s="276"/>
      <c r="E276" s="651"/>
      <c r="F276" s="55"/>
      <c r="G276" s="651"/>
      <c r="H276" s="55"/>
      <c r="I276" s="651"/>
      <c r="K276" s="652"/>
      <c r="M276" s="276"/>
    </row>
    <row r="277">
      <c r="A277" s="459"/>
      <c r="C277" s="276"/>
      <c r="D277" s="276"/>
      <c r="E277" s="651"/>
      <c r="F277" s="55"/>
      <c r="G277" s="651"/>
      <c r="H277" s="55"/>
      <c r="I277" s="651"/>
      <c r="K277" s="652"/>
      <c r="M277" s="276"/>
    </row>
    <row r="278">
      <c r="A278" s="459"/>
      <c r="C278" s="276"/>
      <c r="D278" s="276"/>
      <c r="E278" s="651"/>
      <c r="F278" s="55"/>
      <c r="G278" s="651"/>
      <c r="H278" s="55"/>
      <c r="I278" s="651"/>
      <c r="K278" s="652"/>
      <c r="M278" s="276"/>
    </row>
    <row r="279">
      <c r="A279" s="459"/>
      <c r="C279" s="276"/>
      <c r="D279" s="276"/>
      <c r="E279" s="651"/>
      <c r="F279" s="55"/>
      <c r="G279" s="651"/>
      <c r="H279" s="55"/>
      <c r="I279" s="651"/>
      <c r="K279" s="652"/>
      <c r="M279" s="276"/>
    </row>
    <row r="280">
      <c r="A280" s="459"/>
      <c r="C280" s="276"/>
      <c r="D280" s="276"/>
      <c r="E280" s="651"/>
      <c r="F280" s="55"/>
      <c r="G280" s="651"/>
      <c r="H280" s="55"/>
      <c r="I280" s="651"/>
      <c r="K280" s="652"/>
      <c r="M280" s="276"/>
    </row>
    <row r="281">
      <c r="A281" s="459"/>
      <c r="C281" s="276"/>
      <c r="D281" s="276"/>
      <c r="E281" s="651"/>
      <c r="F281" s="55"/>
      <c r="G281" s="651"/>
      <c r="H281" s="55"/>
      <c r="I281" s="651"/>
      <c r="K281" s="652"/>
      <c r="M281" s="276"/>
    </row>
    <row r="282">
      <c r="A282" s="459"/>
      <c r="C282" s="276"/>
      <c r="D282" s="276"/>
      <c r="E282" s="651"/>
      <c r="F282" s="55"/>
      <c r="G282" s="651"/>
      <c r="H282" s="55"/>
      <c r="I282" s="651"/>
      <c r="K282" s="652"/>
      <c r="M282" s="276"/>
    </row>
    <row r="283">
      <c r="A283" s="459"/>
      <c r="C283" s="276"/>
      <c r="D283" s="276"/>
      <c r="E283" s="651"/>
      <c r="F283" s="55"/>
      <c r="G283" s="651"/>
      <c r="H283" s="55"/>
      <c r="I283" s="651"/>
      <c r="K283" s="652"/>
      <c r="M283" s="276"/>
    </row>
    <row r="284">
      <c r="A284" s="459"/>
      <c r="C284" s="276"/>
      <c r="D284" s="276"/>
      <c r="E284" s="651"/>
      <c r="F284" s="55"/>
      <c r="G284" s="651"/>
      <c r="H284" s="55"/>
      <c r="I284" s="651"/>
      <c r="K284" s="652"/>
      <c r="M284" s="276"/>
    </row>
    <row r="285">
      <c r="A285" s="459"/>
      <c r="C285" s="276"/>
      <c r="D285" s="276"/>
      <c r="E285" s="651"/>
      <c r="F285" s="55"/>
      <c r="G285" s="651"/>
      <c r="H285" s="55"/>
      <c r="I285" s="651"/>
      <c r="K285" s="652"/>
      <c r="M285" s="276"/>
    </row>
    <row r="286">
      <c r="A286" s="459"/>
      <c r="C286" s="276"/>
      <c r="D286" s="276"/>
      <c r="E286" s="651"/>
      <c r="F286" s="55"/>
      <c r="G286" s="651"/>
      <c r="H286" s="55"/>
      <c r="I286" s="651"/>
      <c r="K286" s="652"/>
      <c r="M286" s="276"/>
    </row>
    <row r="287">
      <c r="A287" s="459"/>
      <c r="C287" s="276"/>
      <c r="D287" s="276"/>
      <c r="E287" s="651"/>
      <c r="F287" s="55"/>
      <c r="G287" s="651"/>
      <c r="H287" s="55"/>
      <c r="I287" s="651"/>
      <c r="K287" s="652"/>
      <c r="M287" s="276"/>
    </row>
    <row r="288">
      <c r="A288" s="459"/>
      <c r="C288" s="276"/>
      <c r="D288" s="276"/>
      <c r="E288" s="651"/>
      <c r="F288" s="55"/>
      <c r="G288" s="651"/>
      <c r="H288" s="55"/>
      <c r="I288" s="651"/>
      <c r="K288" s="652"/>
      <c r="M288" s="276"/>
    </row>
    <row r="289">
      <c r="A289" s="459"/>
      <c r="C289" s="276"/>
      <c r="D289" s="276"/>
      <c r="E289" s="651"/>
      <c r="F289" s="55"/>
      <c r="G289" s="651"/>
      <c r="H289" s="55"/>
      <c r="I289" s="651"/>
      <c r="K289" s="652"/>
      <c r="M289" s="276"/>
    </row>
    <row r="290">
      <c r="A290" s="459"/>
      <c r="C290" s="276"/>
      <c r="D290" s="276"/>
      <c r="E290" s="651"/>
      <c r="F290" s="55"/>
      <c r="G290" s="651"/>
      <c r="H290" s="55"/>
      <c r="I290" s="651"/>
      <c r="K290" s="652"/>
      <c r="M290" s="276"/>
    </row>
    <row r="291">
      <c r="A291" s="459"/>
      <c r="C291" s="276"/>
      <c r="D291" s="276"/>
      <c r="E291" s="651"/>
      <c r="F291" s="55"/>
      <c r="G291" s="651"/>
      <c r="H291" s="55"/>
      <c r="I291" s="651"/>
      <c r="K291" s="652"/>
      <c r="M291" s="276"/>
    </row>
    <row r="292">
      <c r="A292" s="459"/>
      <c r="C292" s="276"/>
      <c r="D292" s="276"/>
      <c r="E292" s="651"/>
      <c r="F292" s="55"/>
      <c r="G292" s="651"/>
      <c r="H292" s="55"/>
      <c r="I292" s="651"/>
      <c r="K292" s="652"/>
      <c r="M292" s="276"/>
    </row>
    <row r="293">
      <c r="A293" s="459"/>
      <c r="C293" s="276"/>
      <c r="D293" s="276"/>
      <c r="E293" s="651"/>
      <c r="F293" s="55"/>
      <c r="G293" s="651"/>
      <c r="H293" s="55"/>
      <c r="I293" s="651"/>
      <c r="K293" s="652"/>
      <c r="M293" s="276"/>
    </row>
    <row r="294">
      <c r="A294" s="459"/>
      <c r="C294" s="276"/>
      <c r="D294" s="276"/>
      <c r="E294" s="651"/>
      <c r="F294" s="55"/>
      <c r="G294" s="651"/>
      <c r="H294" s="55"/>
      <c r="I294" s="651"/>
      <c r="K294" s="652"/>
      <c r="M294" s="276"/>
    </row>
    <row r="295">
      <c r="A295" s="459"/>
      <c r="C295" s="276"/>
      <c r="D295" s="276"/>
      <c r="E295" s="651"/>
      <c r="F295" s="55"/>
      <c r="G295" s="651"/>
      <c r="H295" s="55"/>
      <c r="I295" s="651"/>
      <c r="K295" s="652"/>
      <c r="M295" s="276"/>
    </row>
    <row r="296">
      <c r="A296" s="459"/>
      <c r="C296" s="276"/>
      <c r="D296" s="276"/>
      <c r="E296" s="651"/>
      <c r="F296" s="55"/>
      <c r="G296" s="651"/>
      <c r="H296" s="55"/>
      <c r="I296" s="651"/>
      <c r="K296" s="652"/>
      <c r="M296" s="276"/>
    </row>
    <row r="297">
      <c r="A297" s="459"/>
      <c r="C297" s="276"/>
      <c r="D297" s="276"/>
      <c r="E297" s="651"/>
      <c r="F297" s="55"/>
      <c r="G297" s="651"/>
      <c r="H297" s="55"/>
      <c r="I297" s="651"/>
      <c r="K297" s="652"/>
      <c r="M297" s="276"/>
    </row>
    <row r="298">
      <c r="A298" s="459"/>
      <c r="C298" s="276"/>
      <c r="D298" s="276"/>
      <c r="E298" s="651"/>
      <c r="F298" s="55"/>
      <c r="G298" s="651"/>
      <c r="H298" s="55"/>
      <c r="I298" s="651"/>
      <c r="K298" s="652"/>
      <c r="M298" s="276"/>
    </row>
    <row r="299">
      <c r="A299" s="459"/>
      <c r="C299" s="276"/>
      <c r="D299" s="276"/>
      <c r="E299" s="651"/>
      <c r="F299" s="55"/>
      <c r="G299" s="651"/>
      <c r="H299" s="55"/>
      <c r="I299" s="651"/>
      <c r="K299" s="652"/>
      <c r="M299" s="276"/>
    </row>
    <row r="300">
      <c r="A300" s="459"/>
      <c r="C300" s="276"/>
      <c r="D300" s="276"/>
      <c r="E300" s="651"/>
      <c r="F300" s="55"/>
      <c r="G300" s="651"/>
      <c r="H300" s="55"/>
      <c r="I300" s="651"/>
      <c r="K300" s="652"/>
      <c r="M300" s="276"/>
    </row>
    <row r="301">
      <c r="A301" s="459"/>
      <c r="C301" s="276"/>
      <c r="D301" s="276"/>
      <c r="E301" s="651"/>
      <c r="F301" s="55"/>
      <c r="G301" s="651"/>
      <c r="H301" s="55"/>
      <c r="I301" s="651"/>
      <c r="K301" s="652"/>
      <c r="M301" s="276"/>
    </row>
    <row r="302">
      <c r="A302" s="459"/>
      <c r="C302" s="276"/>
      <c r="D302" s="276"/>
      <c r="E302" s="651"/>
      <c r="F302" s="55"/>
      <c r="G302" s="651"/>
      <c r="H302" s="55"/>
      <c r="I302" s="651"/>
      <c r="K302" s="652"/>
      <c r="M302" s="276"/>
    </row>
    <row r="303">
      <c r="A303" s="459"/>
      <c r="C303" s="276"/>
      <c r="D303" s="276"/>
      <c r="E303" s="651"/>
      <c r="F303" s="55"/>
      <c r="G303" s="651"/>
      <c r="H303" s="55"/>
      <c r="I303" s="651"/>
      <c r="K303" s="652"/>
      <c r="M303" s="276"/>
    </row>
    <row r="304">
      <c r="A304" s="459"/>
      <c r="C304" s="276"/>
      <c r="D304" s="276"/>
      <c r="E304" s="651"/>
      <c r="F304" s="55"/>
      <c r="G304" s="651"/>
      <c r="H304" s="55"/>
      <c r="I304" s="651"/>
      <c r="K304" s="652"/>
      <c r="M304" s="276"/>
    </row>
    <row r="305">
      <c r="A305" s="459"/>
      <c r="C305" s="276"/>
      <c r="D305" s="276"/>
      <c r="E305" s="651"/>
      <c r="F305" s="55"/>
      <c r="G305" s="651"/>
      <c r="H305" s="55"/>
      <c r="I305" s="651"/>
      <c r="K305" s="652"/>
      <c r="M305" s="276"/>
    </row>
    <row r="306">
      <c r="A306" s="459"/>
      <c r="C306" s="276"/>
      <c r="D306" s="276"/>
      <c r="E306" s="651"/>
      <c r="F306" s="55"/>
      <c r="G306" s="651"/>
      <c r="H306" s="55"/>
      <c r="I306" s="651"/>
      <c r="K306" s="652"/>
      <c r="M306" s="276"/>
    </row>
    <row r="307">
      <c r="A307" s="459"/>
      <c r="C307" s="276"/>
      <c r="D307" s="276"/>
      <c r="E307" s="651"/>
      <c r="F307" s="55"/>
      <c r="G307" s="651"/>
      <c r="H307" s="55"/>
      <c r="I307" s="651"/>
      <c r="K307" s="652"/>
      <c r="M307" s="276"/>
    </row>
    <row r="308">
      <c r="A308" s="459"/>
      <c r="C308" s="276"/>
      <c r="D308" s="276"/>
      <c r="E308" s="651"/>
      <c r="F308" s="55"/>
      <c r="G308" s="651"/>
      <c r="H308" s="55"/>
      <c r="I308" s="651"/>
      <c r="K308" s="652"/>
      <c r="M308" s="276"/>
    </row>
    <row r="309">
      <c r="A309" s="459"/>
      <c r="C309" s="276"/>
      <c r="D309" s="276"/>
      <c r="E309" s="651"/>
      <c r="F309" s="55"/>
      <c r="G309" s="651"/>
      <c r="H309" s="55"/>
      <c r="I309" s="651"/>
      <c r="K309" s="652"/>
      <c r="M309" s="276"/>
    </row>
    <row r="310">
      <c r="A310" s="459"/>
      <c r="C310" s="276"/>
      <c r="D310" s="276"/>
      <c r="E310" s="651"/>
      <c r="F310" s="55"/>
      <c r="G310" s="651"/>
      <c r="H310" s="55"/>
      <c r="I310" s="651"/>
      <c r="K310" s="652"/>
      <c r="M310" s="276"/>
    </row>
    <row r="311">
      <c r="A311" s="459"/>
      <c r="C311" s="276"/>
      <c r="D311" s="276"/>
      <c r="E311" s="651"/>
      <c r="F311" s="55"/>
      <c r="G311" s="651"/>
      <c r="H311" s="55"/>
      <c r="I311" s="651"/>
      <c r="K311" s="652"/>
      <c r="M311" s="276"/>
    </row>
    <row r="312">
      <c r="A312" s="459"/>
      <c r="C312" s="276"/>
      <c r="D312" s="276"/>
      <c r="E312" s="651"/>
      <c r="F312" s="55"/>
      <c r="G312" s="651"/>
      <c r="H312" s="55"/>
      <c r="I312" s="651"/>
      <c r="K312" s="652"/>
      <c r="M312" s="276"/>
    </row>
    <row r="313">
      <c r="A313" s="459"/>
      <c r="C313" s="276"/>
      <c r="D313" s="276"/>
      <c r="E313" s="651"/>
      <c r="F313" s="55"/>
      <c r="G313" s="651"/>
      <c r="H313" s="55"/>
      <c r="I313" s="651"/>
      <c r="K313" s="652"/>
      <c r="M313" s="276"/>
    </row>
    <row r="314">
      <c r="A314" s="459"/>
      <c r="C314" s="276"/>
      <c r="D314" s="276"/>
      <c r="E314" s="651"/>
      <c r="F314" s="55"/>
      <c r="G314" s="651"/>
      <c r="H314" s="55"/>
      <c r="I314" s="651"/>
      <c r="K314" s="652"/>
      <c r="M314" s="276"/>
    </row>
    <row r="315">
      <c r="A315" s="459"/>
      <c r="C315" s="276"/>
      <c r="D315" s="276"/>
      <c r="E315" s="651"/>
      <c r="F315" s="55"/>
      <c r="G315" s="651"/>
      <c r="H315" s="55"/>
      <c r="I315" s="651"/>
      <c r="K315" s="652"/>
      <c r="M315" s="276"/>
    </row>
    <row r="316">
      <c r="A316" s="459"/>
      <c r="C316" s="276"/>
      <c r="D316" s="276"/>
      <c r="E316" s="651"/>
      <c r="F316" s="55"/>
      <c r="G316" s="651"/>
      <c r="H316" s="55"/>
      <c r="I316" s="651"/>
      <c r="K316" s="652"/>
      <c r="M316" s="276"/>
    </row>
    <row r="317">
      <c r="A317" s="459"/>
      <c r="C317" s="276"/>
      <c r="D317" s="276"/>
      <c r="E317" s="651"/>
      <c r="F317" s="55"/>
      <c r="G317" s="651"/>
      <c r="H317" s="55"/>
      <c r="I317" s="651"/>
      <c r="K317" s="652"/>
      <c r="M317" s="276"/>
    </row>
    <row r="318">
      <c r="A318" s="459"/>
      <c r="C318" s="276"/>
      <c r="D318" s="276"/>
      <c r="E318" s="651"/>
      <c r="F318" s="55"/>
      <c r="G318" s="651"/>
      <c r="H318" s="55"/>
      <c r="I318" s="651"/>
      <c r="K318" s="652"/>
      <c r="M318" s="276"/>
    </row>
    <row r="319">
      <c r="A319" s="459"/>
      <c r="C319" s="276"/>
      <c r="D319" s="276"/>
      <c r="E319" s="651"/>
      <c r="F319" s="55"/>
      <c r="G319" s="651"/>
      <c r="H319" s="55"/>
      <c r="I319" s="651"/>
      <c r="K319" s="652"/>
      <c r="M319" s="276"/>
    </row>
    <row r="320">
      <c r="A320" s="459"/>
      <c r="C320" s="276"/>
      <c r="D320" s="276"/>
      <c r="E320" s="651"/>
      <c r="F320" s="55"/>
      <c r="G320" s="651"/>
      <c r="H320" s="55"/>
      <c r="I320" s="651"/>
      <c r="K320" s="652"/>
      <c r="M320" s="276"/>
    </row>
    <row r="321">
      <c r="A321" s="459"/>
      <c r="C321" s="276"/>
      <c r="D321" s="276"/>
      <c r="E321" s="651"/>
      <c r="F321" s="55"/>
      <c r="G321" s="651"/>
      <c r="H321" s="55"/>
      <c r="I321" s="651"/>
      <c r="K321" s="652"/>
      <c r="M321" s="276"/>
    </row>
    <row r="322">
      <c r="A322" s="459"/>
      <c r="C322" s="276"/>
      <c r="D322" s="276"/>
      <c r="E322" s="651"/>
      <c r="F322" s="55"/>
      <c r="G322" s="651"/>
      <c r="H322" s="55"/>
      <c r="I322" s="651"/>
      <c r="K322" s="652"/>
      <c r="M322" s="276"/>
    </row>
    <row r="323">
      <c r="A323" s="459"/>
      <c r="C323" s="276"/>
      <c r="D323" s="276"/>
      <c r="E323" s="651"/>
      <c r="F323" s="55"/>
      <c r="G323" s="651"/>
      <c r="H323" s="55"/>
      <c r="I323" s="651"/>
      <c r="K323" s="652"/>
      <c r="M323" s="276"/>
    </row>
    <row r="324">
      <c r="A324" s="459"/>
      <c r="C324" s="276"/>
      <c r="D324" s="276"/>
      <c r="E324" s="651"/>
      <c r="F324" s="55"/>
      <c r="G324" s="651"/>
      <c r="H324" s="55"/>
      <c r="I324" s="651"/>
      <c r="K324" s="652"/>
      <c r="M324" s="276"/>
    </row>
    <row r="325">
      <c r="A325" s="459"/>
      <c r="C325" s="276"/>
      <c r="D325" s="276"/>
      <c r="E325" s="651"/>
      <c r="F325" s="55"/>
      <c r="G325" s="651"/>
      <c r="H325" s="55"/>
      <c r="I325" s="651"/>
      <c r="K325" s="652"/>
      <c r="M325" s="276"/>
    </row>
    <row r="326">
      <c r="A326" s="459"/>
      <c r="C326" s="276"/>
      <c r="D326" s="276"/>
      <c r="E326" s="651"/>
      <c r="F326" s="55"/>
      <c r="G326" s="651"/>
      <c r="H326" s="55"/>
      <c r="I326" s="651"/>
      <c r="K326" s="652"/>
      <c r="M326" s="276"/>
    </row>
    <row r="327">
      <c r="A327" s="459"/>
      <c r="C327" s="276"/>
      <c r="D327" s="276"/>
      <c r="E327" s="651"/>
      <c r="F327" s="55"/>
      <c r="G327" s="651"/>
      <c r="H327" s="55"/>
      <c r="I327" s="651"/>
      <c r="K327" s="652"/>
      <c r="M327" s="276"/>
    </row>
    <row r="328">
      <c r="A328" s="459"/>
      <c r="C328" s="276"/>
      <c r="D328" s="276"/>
      <c r="E328" s="651"/>
      <c r="F328" s="55"/>
      <c r="G328" s="651"/>
      <c r="H328" s="55"/>
      <c r="I328" s="651"/>
      <c r="K328" s="652"/>
      <c r="M328" s="276"/>
    </row>
    <row r="329">
      <c r="A329" s="459"/>
      <c r="C329" s="276"/>
      <c r="D329" s="276"/>
      <c r="E329" s="651"/>
      <c r="F329" s="55"/>
      <c r="G329" s="651"/>
      <c r="H329" s="55"/>
      <c r="I329" s="651"/>
      <c r="K329" s="652"/>
      <c r="M329" s="276"/>
    </row>
    <row r="330">
      <c r="A330" s="459"/>
      <c r="C330" s="276"/>
      <c r="D330" s="276"/>
      <c r="E330" s="651"/>
      <c r="F330" s="55"/>
      <c r="G330" s="651"/>
      <c r="H330" s="55"/>
      <c r="I330" s="651"/>
      <c r="K330" s="652"/>
      <c r="M330" s="276"/>
    </row>
    <row r="331">
      <c r="A331" s="459"/>
      <c r="C331" s="276"/>
      <c r="D331" s="276"/>
      <c r="E331" s="651"/>
      <c r="F331" s="55"/>
      <c r="G331" s="651"/>
      <c r="H331" s="55"/>
      <c r="I331" s="651"/>
      <c r="K331" s="652"/>
      <c r="M331" s="276"/>
    </row>
    <row r="332">
      <c r="A332" s="459"/>
      <c r="C332" s="276"/>
      <c r="D332" s="276"/>
      <c r="E332" s="651"/>
      <c r="F332" s="55"/>
      <c r="G332" s="651"/>
      <c r="H332" s="55"/>
      <c r="I332" s="651"/>
      <c r="K332" s="652"/>
      <c r="M332" s="276"/>
    </row>
    <row r="333">
      <c r="A333" s="459"/>
      <c r="C333" s="276"/>
      <c r="D333" s="276"/>
      <c r="E333" s="651"/>
      <c r="F333" s="55"/>
      <c r="G333" s="651"/>
      <c r="H333" s="55"/>
      <c r="I333" s="651"/>
      <c r="K333" s="652"/>
      <c r="M333" s="276"/>
    </row>
    <row r="334">
      <c r="A334" s="459"/>
      <c r="C334" s="276"/>
      <c r="D334" s="276"/>
      <c r="E334" s="651"/>
      <c r="F334" s="55"/>
      <c r="G334" s="651"/>
      <c r="H334" s="55"/>
      <c r="I334" s="651"/>
      <c r="K334" s="652"/>
      <c r="M334" s="276"/>
    </row>
    <row r="335">
      <c r="A335" s="459"/>
      <c r="C335" s="276"/>
      <c r="D335" s="276"/>
      <c r="E335" s="651"/>
      <c r="F335" s="55"/>
      <c r="G335" s="651"/>
      <c r="H335" s="55"/>
      <c r="I335" s="651"/>
      <c r="K335" s="652"/>
      <c r="M335" s="276"/>
    </row>
    <row r="336">
      <c r="A336" s="459"/>
      <c r="C336" s="276"/>
      <c r="D336" s="276"/>
      <c r="E336" s="651"/>
      <c r="F336" s="55"/>
      <c r="G336" s="651"/>
      <c r="H336" s="55"/>
      <c r="I336" s="651"/>
      <c r="K336" s="652"/>
      <c r="M336" s="276"/>
    </row>
    <row r="337">
      <c r="A337" s="459"/>
      <c r="C337" s="276"/>
      <c r="D337" s="276"/>
      <c r="E337" s="651"/>
      <c r="F337" s="55"/>
      <c r="G337" s="651"/>
      <c r="H337" s="55"/>
      <c r="I337" s="651"/>
      <c r="K337" s="652"/>
      <c r="M337" s="276"/>
    </row>
    <row r="338">
      <c r="A338" s="459"/>
      <c r="C338" s="276"/>
      <c r="D338" s="276"/>
      <c r="E338" s="651"/>
      <c r="F338" s="55"/>
      <c r="G338" s="651"/>
      <c r="H338" s="55"/>
      <c r="I338" s="651"/>
      <c r="K338" s="652"/>
      <c r="M338" s="276"/>
    </row>
    <row r="339">
      <c r="A339" s="459"/>
      <c r="C339" s="276"/>
      <c r="D339" s="276"/>
      <c r="E339" s="651"/>
      <c r="F339" s="55"/>
      <c r="G339" s="651"/>
      <c r="H339" s="55"/>
      <c r="I339" s="651"/>
      <c r="K339" s="652"/>
      <c r="M339" s="276"/>
    </row>
    <row r="340">
      <c r="A340" s="459"/>
      <c r="C340" s="276"/>
      <c r="D340" s="276"/>
      <c r="E340" s="651"/>
      <c r="F340" s="55"/>
      <c r="G340" s="651"/>
      <c r="H340" s="55"/>
      <c r="I340" s="651"/>
      <c r="K340" s="652"/>
      <c r="M340" s="276"/>
    </row>
    <row r="341">
      <c r="A341" s="459"/>
      <c r="C341" s="276"/>
      <c r="D341" s="276"/>
      <c r="E341" s="651"/>
      <c r="F341" s="55"/>
      <c r="G341" s="651"/>
      <c r="H341" s="55"/>
      <c r="I341" s="651"/>
      <c r="K341" s="652"/>
      <c r="M341" s="276"/>
    </row>
    <row r="342">
      <c r="A342" s="459"/>
      <c r="C342" s="276"/>
      <c r="D342" s="276"/>
      <c r="E342" s="651"/>
      <c r="F342" s="55"/>
      <c r="G342" s="651"/>
      <c r="H342" s="55"/>
      <c r="I342" s="651"/>
      <c r="K342" s="652"/>
      <c r="M342" s="276"/>
    </row>
    <row r="343">
      <c r="A343" s="459"/>
      <c r="C343" s="276"/>
      <c r="D343" s="276"/>
      <c r="E343" s="651"/>
      <c r="F343" s="55"/>
      <c r="G343" s="651"/>
      <c r="H343" s="55"/>
      <c r="I343" s="651"/>
      <c r="K343" s="652"/>
      <c r="M343" s="276"/>
    </row>
    <row r="344">
      <c r="A344" s="459"/>
      <c r="C344" s="276"/>
      <c r="D344" s="276"/>
      <c r="E344" s="651"/>
      <c r="F344" s="55"/>
      <c r="G344" s="651"/>
      <c r="H344" s="55"/>
      <c r="I344" s="651"/>
      <c r="K344" s="652"/>
      <c r="M344" s="276"/>
    </row>
    <row r="345">
      <c r="A345" s="459"/>
      <c r="C345" s="276"/>
      <c r="D345" s="276"/>
      <c r="E345" s="651"/>
      <c r="F345" s="55"/>
      <c r="G345" s="651"/>
      <c r="H345" s="55"/>
      <c r="I345" s="651"/>
      <c r="K345" s="652"/>
      <c r="M345" s="276"/>
    </row>
    <row r="346">
      <c r="A346" s="459"/>
      <c r="C346" s="276"/>
      <c r="D346" s="276"/>
      <c r="E346" s="651"/>
      <c r="F346" s="55"/>
      <c r="G346" s="651"/>
      <c r="H346" s="55"/>
      <c r="I346" s="651"/>
      <c r="K346" s="652"/>
      <c r="M346" s="276"/>
    </row>
    <row r="347">
      <c r="A347" s="459"/>
      <c r="C347" s="276"/>
      <c r="D347" s="276"/>
      <c r="E347" s="651"/>
      <c r="F347" s="55"/>
      <c r="G347" s="651"/>
      <c r="H347" s="55"/>
      <c r="I347" s="651"/>
      <c r="K347" s="652"/>
      <c r="M347" s="276"/>
    </row>
    <row r="348">
      <c r="A348" s="459"/>
      <c r="C348" s="276"/>
      <c r="D348" s="276"/>
      <c r="E348" s="651"/>
      <c r="F348" s="55"/>
      <c r="G348" s="651"/>
      <c r="H348" s="55"/>
      <c r="I348" s="651"/>
      <c r="K348" s="652"/>
      <c r="M348" s="276"/>
    </row>
    <row r="349">
      <c r="A349" s="459"/>
      <c r="C349" s="276"/>
      <c r="D349" s="276"/>
      <c r="E349" s="651"/>
      <c r="F349" s="55"/>
      <c r="G349" s="651"/>
      <c r="H349" s="55"/>
      <c r="I349" s="651"/>
      <c r="K349" s="652"/>
      <c r="M349" s="276"/>
    </row>
    <row r="350">
      <c r="A350" s="459"/>
      <c r="C350" s="276"/>
      <c r="D350" s="276"/>
      <c r="E350" s="651"/>
      <c r="F350" s="55"/>
      <c r="G350" s="651"/>
      <c r="H350" s="55"/>
      <c r="I350" s="651"/>
      <c r="K350" s="652"/>
      <c r="M350" s="276"/>
    </row>
    <row r="351">
      <c r="A351" s="459"/>
      <c r="C351" s="276"/>
      <c r="D351" s="276"/>
      <c r="E351" s="651"/>
      <c r="F351" s="55"/>
      <c r="G351" s="651"/>
      <c r="H351" s="55"/>
      <c r="I351" s="651"/>
      <c r="K351" s="652"/>
      <c r="M351" s="276"/>
    </row>
    <row r="352">
      <c r="A352" s="459"/>
      <c r="C352" s="276"/>
      <c r="D352" s="276"/>
      <c r="E352" s="651"/>
      <c r="F352" s="55"/>
      <c r="G352" s="651"/>
      <c r="H352" s="55"/>
      <c r="I352" s="651"/>
      <c r="K352" s="652"/>
      <c r="M352" s="276"/>
    </row>
    <row r="353">
      <c r="A353" s="459"/>
      <c r="C353" s="276"/>
      <c r="D353" s="276"/>
      <c r="E353" s="651"/>
      <c r="F353" s="55"/>
      <c r="G353" s="651"/>
      <c r="H353" s="55"/>
      <c r="I353" s="651"/>
      <c r="K353" s="652"/>
      <c r="M353" s="276"/>
    </row>
    <row r="354">
      <c r="A354" s="459"/>
      <c r="C354" s="276"/>
      <c r="D354" s="276"/>
      <c r="E354" s="651"/>
      <c r="F354" s="55"/>
      <c r="G354" s="651"/>
      <c r="H354" s="55"/>
      <c r="I354" s="651"/>
      <c r="K354" s="652"/>
      <c r="M354" s="276"/>
    </row>
    <row r="355">
      <c r="A355" s="459"/>
      <c r="C355" s="276"/>
      <c r="D355" s="276"/>
      <c r="E355" s="651"/>
      <c r="F355" s="55"/>
      <c r="G355" s="651"/>
      <c r="H355" s="55"/>
      <c r="I355" s="651"/>
      <c r="K355" s="652"/>
      <c r="M355" s="276"/>
    </row>
    <row r="356">
      <c r="A356" s="459"/>
      <c r="C356" s="276"/>
      <c r="D356" s="276"/>
      <c r="E356" s="651"/>
      <c r="F356" s="55"/>
      <c r="G356" s="651"/>
      <c r="H356" s="55"/>
      <c r="I356" s="651"/>
      <c r="K356" s="652"/>
      <c r="M356" s="276"/>
    </row>
    <row r="357">
      <c r="A357" s="459"/>
      <c r="C357" s="276"/>
      <c r="D357" s="276"/>
      <c r="E357" s="651"/>
      <c r="F357" s="55"/>
      <c r="G357" s="651"/>
      <c r="H357" s="55"/>
      <c r="I357" s="651"/>
      <c r="K357" s="652"/>
      <c r="M357" s="276"/>
    </row>
    <row r="358">
      <c r="A358" s="459"/>
      <c r="C358" s="276"/>
      <c r="D358" s="276"/>
      <c r="E358" s="651"/>
      <c r="F358" s="55"/>
      <c r="G358" s="651"/>
      <c r="H358" s="55"/>
      <c r="I358" s="651"/>
      <c r="K358" s="652"/>
      <c r="M358" s="276"/>
    </row>
    <row r="359">
      <c r="A359" s="459"/>
      <c r="C359" s="276"/>
      <c r="D359" s="276"/>
      <c r="E359" s="651"/>
      <c r="F359" s="55"/>
      <c r="G359" s="651"/>
      <c r="H359" s="55"/>
      <c r="I359" s="651"/>
      <c r="K359" s="652"/>
      <c r="M359" s="276"/>
    </row>
    <row r="360">
      <c r="A360" s="459"/>
      <c r="C360" s="276"/>
      <c r="D360" s="276"/>
      <c r="E360" s="651"/>
      <c r="F360" s="55"/>
      <c r="G360" s="651"/>
      <c r="H360" s="55"/>
      <c r="I360" s="651"/>
      <c r="K360" s="652"/>
      <c r="M360" s="276"/>
    </row>
    <row r="361">
      <c r="A361" s="459"/>
      <c r="C361" s="276"/>
      <c r="D361" s="276"/>
      <c r="E361" s="651"/>
      <c r="F361" s="55"/>
      <c r="G361" s="651"/>
      <c r="H361" s="55"/>
      <c r="I361" s="651"/>
      <c r="K361" s="652"/>
      <c r="M361" s="276"/>
    </row>
    <row r="362">
      <c r="A362" s="459"/>
      <c r="C362" s="276"/>
      <c r="D362" s="276"/>
      <c r="E362" s="651"/>
      <c r="F362" s="55"/>
      <c r="G362" s="651"/>
      <c r="H362" s="55"/>
      <c r="I362" s="651"/>
      <c r="K362" s="652"/>
      <c r="M362" s="276"/>
    </row>
    <row r="363">
      <c r="A363" s="459"/>
      <c r="C363" s="276"/>
      <c r="D363" s="276"/>
      <c r="E363" s="651"/>
      <c r="F363" s="55"/>
      <c r="G363" s="651"/>
      <c r="H363" s="55"/>
      <c r="I363" s="651"/>
      <c r="K363" s="652"/>
      <c r="M363" s="276"/>
    </row>
    <row r="364">
      <c r="A364" s="459"/>
      <c r="C364" s="276"/>
      <c r="D364" s="276"/>
      <c r="E364" s="651"/>
      <c r="F364" s="55"/>
      <c r="G364" s="651"/>
      <c r="H364" s="55"/>
      <c r="I364" s="651"/>
      <c r="K364" s="652"/>
      <c r="M364" s="276"/>
    </row>
    <row r="365">
      <c r="A365" s="459"/>
      <c r="C365" s="276"/>
      <c r="D365" s="276"/>
      <c r="E365" s="651"/>
      <c r="F365" s="55"/>
      <c r="G365" s="651"/>
      <c r="H365" s="55"/>
      <c r="I365" s="651"/>
      <c r="K365" s="652"/>
      <c r="M365" s="276"/>
    </row>
    <row r="366">
      <c r="A366" s="459"/>
      <c r="C366" s="276"/>
      <c r="D366" s="276"/>
      <c r="E366" s="651"/>
      <c r="F366" s="55"/>
      <c r="G366" s="651"/>
      <c r="H366" s="55"/>
      <c r="I366" s="651"/>
      <c r="K366" s="652"/>
      <c r="M366" s="276"/>
    </row>
    <row r="367">
      <c r="A367" s="459"/>
      <c r="C367" s="276"/>
      <c r="D367" s="276"/>
      <c r="E367" s="651"/>
      <c r="F367" s="55"/>
      <c r="G367" s="651"/>
      <c r="H367" s="55"/>
      <c r="I367" s="651"/>
      <c r="K367" s="652"/>
      <c r="M367" s="276"/>
    </row>
    <row r="368">
      <c r="A368" s="459"/>
      <c r="C368" s="276"/>
      <c r="D368" s="276"/>
      <c r="E368" s="651"/>
      <c r="F368" s="55"/>
      <c r="G368" s="651"/>
      <c r="H368" s="55"/>
      <c r="I368" s="651"/>
      <c r="K368" s="652"/>
      <c r="M368" s="276"/>
    </row>
    <row r="369">
      <c r="A369" s="459"/>
      <c r="C369" s="276"/>
      <c r="D369" s="276"/>
      <c r="E369" s="651"/>
      <c r="F369" s="55"/>
      <c r="G369" s="651"/>
      <c r="H369" s="55"/>
      <c r="I369" s="651"/>
      <c r="K369" s="652"/>
      <c r="M369" s="276"/>
    </row>
    <row r="370">
      <c r="A370" s="459"/>
      <c r="C370" s="276"/>
      <c r="D370" s="276"/>
      <c r="E370" s="651"/>
      <c r="F370" s="55"/>
      <c r="G370" s="651"/>
      <c r="H370" s="55"/>
      <c r="I370" s="651"/>
      <c r="K370" s="652"/>
      <c r="M370" s="276"/>
    </row>
    <row r="371">
      <c r="A371" s="459"/>
      <c r="C371" s="276"/>
      <c r="D371" s="276"/>
      <c r="E371" s="651"/>
      <c r="F371" s="55"/>
      <c r="G371" s="651"/>
      <c r="H371" s="55"/>
      <c r="I371" s="651"/>
      <c r="K371" s="652"/>
      <c r="M371" s="276"/>
    </row>
    <row r="372">
      <c r="A372" s="459"/>
      <c r="C372" s="276"/>
      <c r="D372" s="276"/>
      <c r="E372" s="651"/>
      <c r="F372" s="55"/>
      <c r="G372" s="651"/>
      <c r="H372" s="55"/>
      <c r="I372" s="651"/>
      <c r="K372" s="652"/>
      <c r="M372" s="276"/>
    </row>
    <row r="373">
      <c r="A373" s="459"/>
      <c r="C373" s="276"/>
      <c r="D373" s="276"/>
      <c r="E373" s="651"/>
      <c r="F373" s="55"/>
      <c r="G373" s="651"/>
      <c r="H373" s="55"/>
      <c r="I373" s="651"/>
      <c r="K373" s="652"/>
      <c r="M373" s="276"/>
    </row>
    <row r="374">
      <c r="A374" s="459"/>
      <c r="C374" s="276"/>
      <c r="D374" s="276"/>
      <c r="E374" s="651"/>
      <c r="F374" s="55"/>
      <c r="G374" s="651"/>
      <c r="H374" s="55"/>
      <c r="I374" s="651"/>
      <c r="K374" s="652"/>
      <c r="M374" s="276"/>
    </row>
    <row r="375">
      <c r="A375" s="459"/>
      <c r="C375" s="276"/>
      <c r="D375" s="276"/>
      <c r="E375" s="651"/>
      <c r="F375" s="55"/>
      <c r="G375" s="651"/>
      <c r="H375" s="55"/>
      <c r="I375" s="651"/>
      <c r="K375" s="652"/>
      <c r="M375" s="276"/>
    </row>
    <row r="376">
      <c r="A376" s="459"/>
      <c r="C376" s="276"/>
      <c r="D376" s="276"/>
      <c r="E376" s="651"/>
      <c r="F376" s="55"/>
      <c r="G376" s="651"/>
      <c r="H376" s="55"/>
      <c r="I376" s="651"/>
      <c r="K376" s="652"/>
      <c r="M376" s="276"/>
    </row>
    <row r="377">
      <c r="A377" s="459"/>
      <c r="C377" s="276"/>
      <c r="D377" s="276"/>
      <c r="E377" s="651"/>
      <c r="F377" s="55"/>
      <c r="G377" s="651"/>
      <c r="H377" s="55"/>
      <c r="I377" s="651"/>
      <c r="K377" s="652"/>
      <c r="M377" s="276"/>
    </row>
    <row r="378">
      <c r="A378" s="459"/>
      <c r="C378" s="276"/>
      <c r="D378" s="276"/>
      <c r="E378" s="651"/>
      <c r="F378" s="55"/>
      <c r="G378" s="651"/>
      <c r="H378" s="55"/>
      <c r="I378" s="651"/>
      <c r="K378" s="652"/>
      <c r="M378" s="276"/>
    </row>
    <row r="379">
      <c r="A379" s="459"/>
      <c r="C379" s="276"/>
      <c r="D379" s="276"/>
      <c r="E379" s="651"/>
      <c r="F379" s="55"/>
      <c r="G379" s="651"/>
      <c r="H379" s="55"/>
      <c r="I379" s="651"/>
      <c r="K379" s="652"/>
      <c r="M379" s="276"/>
    </row>
    <row r="380">
      <c r="A380" s="459"/>
      <c r="C380" s="276"/>
      <c r="D380" s="276"/>
      <c r="E380" s="651"/>
      <c r="F380" s="55"/>
      <c r="G380" s="651"/>
      <c r="H380" s="55"/>
      <c r="I380" s="651"/>
      <c r="K380" s="652"/>
      <c r="M380" s="276"/>
    </row>
    <row r="381">
      <c r="A381" s="459"/>
      <c r="C381" s="276"/>
      <c r="D381" s="276"/>
      <c r="E381" s="651"/>
      <c r="F381" s="55"/>
      <c r="G381" s="651"/>
      <c r="H381" s="55"/>
      <c r="I381" s="651"/>
      <c r="K381" s="652"/>
      <c r="M381" s="276"/>
    </row>
    <row r="382">
      <c r="A382" s="459"/>
      <c r="C382" s="276"/>
      <c r="D382" s="276"/>
      <c r="E382" s="651"/>
      <c r="F382" s="55"/>
      <c r="G382" s="651"/>
      <c r="H382" s="55"/>
      <c r="I382" s="651"/>
      <c r="K382" s="652"/>
      <c r="M382" s="276"/>
    </row>
    <row r="383">
      <c r="A383" s="459"/>
      <c r="C383" s="276"/>
      <c r="D383" s="276"/>
      <c r="E383" s="651"/>
      <c r="F383" s="55"/>
      <c r="G383" s="651"/>
      <c r="H383" s="55"/>
      <c r="I383" s="651"/>
      <c r="K383" s="652"/>
      <c r="M383" s="276"/>
    </row>
    <row r="384">
      <c r="A384" s="459"/>
      <c r="C384" s="276"/>
      <c r="D384" s="276"/>
      <c r="E384" s="651"/>
      <c r="F384" s="55"/>
      <c r="G384" s="651"/>
      <c r="H384" s="55"/>
      <c r="I384" s="651"/>
      <c r="K384" s="652"/>
      <c r="M384" s="276"/>
    </row>
    <row r="385">
      <c r="A385" s="459"/>
      <c r="C385" s="276"/>
      <c r="D385" s="276"/>
      <c r="E385" s="651"/>
      <c r="F385" s="55"/>
      <c r="G385" s="651"/>
      <c r="H385" s="55"/>
      <c r="I385" s="651"/>
      <c r="K385" s="652"/>
      <c r="M385" s="276"/>
    </row>
    <row r="386">
      <c r="A386" s="459"/>
      <c r="C386" s="276"/>
      <c r="D386" s="276"/>
      <c r="E386" s="651"/>
      <c r="F386" s="55"/>
      <c r="G386" s="651"/>
      <c r="H386" s="55"/>
      <c r="I386" s="651"/>
      <c r="K386" s="652"/>
      <c r="M386" s="276"/>
    </row>
    <row r="387">
      <c r="A387" s="459"/>
      <c r="C387" s="276"/>
      <c r="D387" s="276"/>
      <c r="E387" s="651"/>
      <c r="F387" s="55"/>
      <c r="G387" s="651"/>
      <c r="H387" s="55"/>
      <c r="I387" s="651"/>
      <c r="K387" s="652"/>
      <c r="M387" s="276"/>
    </row>
    <row r="388">
      <c r="A388" s="459"/>
      <c r="C388" s="276"/>
      <c r="D388" s="276"/>
      <c r="E388" s="651"/>
      <c r="F388" s="55"/>
      <c r="G388" s="651"/>
      <c r="H388" s="55"/>
      <c r="I388" s="651"/>
      <c r="K388" s="652"/>
      <c r="M388" s="276"/>
    </row>
    <row r="389">
      <c r="A389" s="459"/>
      <c r="C389" s="276"/>
      <c r="D389" s="276"/>
      <c r="E389" s="651"/>
      <c r="F389" s="55"/>
      <c r="G389" s="651"/>
      <c r="H389" s="55"/>
      <c r="I389" s="651"/>
      <c r="K389" s="652"/>
      <c r="M389" s="276"/>
    </row>
    <row r="390">
      <c r="A390" s="459"/>
      <c r="C390" s="276"/>
      <c r="D390" s="276"/>
      <c r="E390" s="651"/>
      <c r="F390" s="55"/>
      <c r="G390" s="651"/>
      <c r="H390" s="55"/>
      <c r="I390" s="651"/>
      <c r="K390" s="652"/>
      <c r="M390" s="276"/>
    </row>
    <row r="391">
      <c r="A391" s="459"/>
      <c r="C391" s="276"/>
      <c r="D391" s="276"/>
      <c r="E391" s="651"/>
      <c r="F391" s="55"/>
      <c r="G391" s="651"/>
      <c r="H391" s="55"/>
      <c r="I391" s="651"/>
      <c r="K391" s="652"/>
      <c r="M391" s="276"/>
    </row>
    <row r="392">
      <c r="A392" s="459"/>
      <c r="C392" s="276"/>
      <c r="D392" s="276"/>
      <c r="E392" s="651"/>
      <c r="F392" s="55"/>
      <c r="G392" s="651"/>
      <c r="H392" s="55"/>
      <c r="I392" s="651"/>
      <c r="K392" s="652"/>
      <c r="M392" s="276"/>
    </row>
    <row r="393">
      <c r="A393" s="459"/>
      <c r="C393" s="276"/>
      <c r="D393" s="276"/>
      <c r="E393" s="651"/>
      <c r="F393" s="55"/>
      <c r="G393" s="651"/>
      <c r="H393" s="55"/>
      <c r="I393" s="651"/>
      <c r="K393" s="652"/>
      <c r="M393" s="276"/>
    </row>
    <row r="394">
      <c r="A394" s="459"/>
      <c r="C394" s="276"/>
      <c r="D394" s="276"/>
      <c r="E394" s="651"/>
      <c r="F394" s="55"/>
      <c r="G394" s="651"/>
      <c r="H394" s="55"/>
      <c r="I394" s="651"/>
      <c r="K394" s="652"/>
      <c r="M394" s="276"/>
    </row>
    <row r="395">
      <c r="A395" s="459"/>
      <c r="C395" s="276"/>
      <c r="D395" s="276"/>
      <c r="E395" s="651"/>
      <c r="F395" s="55"/>
      <c r="G395" s="651"/>
      <c r="H395" s="55"/>
      <c r="I395" s="651"/>
      <c r="K395" s="652"/>
      <c r="M395" s="276"/>
    </row>
    <row r="396">
      <c r="A396" s="459"/>
      <c r="C396" s="276"/>
      <c r="D396" s="276"/>
      <c r="E396" s="651"/>
      <c r="F396" s="55"/>
      <c r="G396" s="651"/>
      <c r="H396" s="55"/>
      <c r="I396" s="651"/>
      <c r="K396" s="652"/>
      <c r="M396" s="276"/>
    </row>
    <row r="397">
      <c r="A397" s="459"/>
      <c r="C397" s="276"/>
      <c r="D397" s="276"/>
      <c r="E397" s="651"/>
      <c r="F397" s="55"/>
      <c r="G397" s="651"/>
      <c r="H397" s="55"/>
      <c r="I397" s="651"/>
      <c r="K397" s="652"/>
      <c r="M397" s="276"/>
    </row>
    <row r="398">
      <c r="A398" s="459"/>
      <c r="C398" s="276"/>
      <c r="D398" s="276"/>
      <c r="E398" s="651"/>
      <c r="F398" s="55"/>
      <c r="G398" s="651"/>
      <c r="H398" s="55"/>
      <c r="I398" s="651"/>
      <c r="K398" s="652"/>
      <c r="M398" s="276"/>
    </row>
    <row r="399">
      <c r="A399" s="459"/>
      <c r="C399" s="276"/>
      <c r="D399" s="276"/>
      <c r="E399" s="651"/>
      <c r="F399" s="55"/>
      <c r="G399" s="651"/>
      <c r="H399" s="55"/>
      <c r="I399" s="651"/>
      <c r="K399" s="652"/>
      <c r="M399" s="276"/>
    </row>
    <row r="400">
      <c r="A400" s="459"/>
      <c r="C400" s="276"/>
      <c r="D400" s="276"/>
      <c r="E400" s="651"/>
      <c r="F400" s="55"/>
      <c r="G400" s="651"/>
      <c r="H400" s="55"/>
      <c r="I400" s="651"/>
      <c r="K400" s="652"/>
      <c r="M400" s="276"/>
    </row>
    <row r="401">
      <c r="A401" s="459"/>
      <c r="C401" s="276"/>
      <c r="D401" s="276"/>
      <c r="E401" s="651"/>
      <c r="F401" s="55"/>
      <c r="G401" s="651"/>
      <c r="H401" s="55"/>
      <c r="I401" s="651"/>
      <c r="K401" s="652"/>
      <c r="M401" s="276"/>
    </row>
    <row r="402">
      <c r="A402" s="459"/>
      <c r="C402" s="276"/>
      <c r="D402" s="276"/>
      <c r="E402" s="651"/>
      <c r="F402" s="55"/>
      <c r="G402" s="651"/>
      <c r="H402" s="55"/>
      <c r="I402" s="651"/>
      <c r="K402" s="652"/>
      <c r="M402" s="276"/>
    </row>
    <row r="403">
      <c r="A403" s="459"/>
      <c r="C403" s="276"/>
      <c r="D403" s="276"/>
      <c r="E403" s="651"/>
      <c r="F403" s="55"/>
      <c r="G403" s="651"/>
      <c r="H403" s="55"/>
      <c r="I403" s="651"/>
      <c r="K403" s="652"/>
      <c r="M403" s="276"/>
    </row>
    <row r="404">
      <c r="A404" s="459"/>
      <c r="C404" s="276"/>
      <c r="D404" s="276"/>
      <c r="E404" s="651"/>
      <c r="F404" s="55"/>
      <c r="G404" s="651"/>
      <c r="H404" s="55"/>
      <c r="I404" s="651"/>
      <c r="K404" s="652"/>
      <c r="M404" s="276"/>
    </row>
    <row r="405">
      <c r="A405" s="459"/>
      <c r="C405" s="276"/>
      <c r="D405" s="276"/>
      <c r="E405" s="651"/>
      <c r="F405" s="55"/>
      <c r="G405" s="651"/>
      <c r="H405" s="55"/>
      <c r="I405" s="651"/>
      <c r="K405" s="652"/>
      <c r="M405" s="276"/>
    </row>
    <row r="406">
      <c r="A406" s="459"/>
      <c r="C406" s="276"/>
      <c r="D406" s="276"/>
      <c r="E406" s="651"/>
      <c r="F406" s="55"/>
      <c r="G406" s="651"/>
      <c r="H406" s="55"/>
      <c r="I406" s="651"/>
      <c r="K406" s="652"/>
      <c r="M406" s="276"/>
    </row>
    <row r="407">
      <c r="A407" s="459"/>
      <c r="C407" s="276"/>
      <c r="D407" s="276"/>
      <c r="E407" s="651"/>
      <c r="F407" s="55"/>
      <c r="G407" s="651"/>
      <c r="H407" s="55"/>
      <c r="I407" s="651"/>
      <c r="K407" s="652"/>
      <c r="M407" s="276"/>
    </row>
    <row r="408">
      <c r="A408" s="459"/>
      <c r="C408" s="276"/>
      <c r="D408" s="276"/>
      <c r="E408" s="651"/>
      <c r="F408" s="55"/>
      <c r="G408" s="651"/>
      <c r="H408" s="55"/>
      <c r="I408" s="651"/>
      <c r="K408" s="652"/>
      <c r="M408" s="276"/>
    </row>
    <row r="409">
      <c r="A409" s="459"/>
      <c r="C409" s="276"/>
      <c r="D409" s="276"/>
      <c r="E409" s="651"/>
      <c r="F409" s="55"/>
      <c r="G409" s="651"/>
      <c r="H409" s="55"/>
      <c r="I409" s="651"/>
      <c r="K409" s="652"/>
      <c r="M409" s="276"/>
    </row>
    <row r="410">
      <c r="A410" s="459"/>
      <c r="C410" s="276"/>
      <c r="D410" s="276"/>
      <c r="E410" s="651"/>
      <c r="F410" s="55"/>
      <c r="G410" s="651"/>
      <c r="H410" s="55"/>
      <c r="I410" s="651"/>
      <c r="K410" s="652"/>
      <c r="M410" s="276"/>
    </row>
    <row r="411">
      <c r="A411" s="459"/>
      <c r="C411" s="276"/>
      <c r="D411" s="276"/>
      <c r="E411" s="651"/>
      <c r="F411" s="55"/>
      <c r="G411" s="651"/>
      <c r="H411" s="55"/>
      <c r="I411" s="651"/>
      <c r="K411" s="652"/>
      <c r="M411" s="276"/>
    </row>
    <row r="412">
      <c r="A412" s="459"/>
      <c r="C412" s="276"/>
      <c r="D412" s="276"/>
      <c r="E412" s="651"/>
      <c r="F412" s="55"/>
      <c r="G412" s="651"/>
      <c r="H412" s="55"/>
      <c r="I412" s="651"/>
      <c r="K412" s="652"/>
      <c r="M412" s="276"/>
    </row>
    <row r="413">
      <c r="A413" s="459"/>
      <c r="C413" s="276"/>
      <c r="D413" s="276"/>
      <c r="E413" s="651"/>
      <c r="F413" s="55"/>
      <c r="G413" s="651"/>
      <c r="H413" s="55"/>
      <c r="I413" s="651"/>
      <c r="K413" s="652"/>
      <c r="M413" s="276"/>
    </row>
    <row r="414">
      <c r="A414" s="459"/>
      <c r="C414" s="276"/>
      <c r="D414" s="276"/>
      <c r="E414" s="651"/>
      <c r="F414" s="55"/>
      <c r="G414" s="651"/>
      <c r="H414" s="55"/>
      <c r="I414" s="651"/>
      <c r="K414" s="652"/>
      <c r="M414" s="276"/>
    </row>
    <row r="415">
      <c r="A415" s="459"/>
      <c r="C415" s="276"/>
      <c r="D415" s="276"/>
      <c r="E415" s="651"/>
      <c r="F415" s="55"/>
      <c r="G415" s="651"/>
      <c r="H415" s="55"/>
      <c r="I415" s="651"/>
      <c r="K415" s="652"/>
      <c r="M415" s="276"/>
    </row>
    <row r="416">
      <c r="A416" s="459"/>
      <c r="C416" s="276"/>
      <c r="D416" s="276"/>
      <c r="E416" s="651"/>
      <c r="F416" s="55"/>
      <c r="G416" s="651"/>
      <c r="H416" s="55"/>
      <c r="I416" s="651"/>
      <c r="K416" s="652"/>
      <c r="M416" s="276"/>
    </row>
    <row r="417">
      <c r="A417" s="459"/>
      <c r="C417" s="276"/>
      <c r="D417" s="276"/>
      <c r="E417" s="651"/>
      <c r="F417" s="55"/>
      <c r="G417" s="651"/>
      <c r="H417" s="55"/>
      <c r="I417" s="651"/>
      <c r="K417" s="652"/>
      <c r="M417" s="276"/>
    </row>
    <row r="418">
      <c r="A418" s="459"/>
      <c r="C418" s="276"/>
      <c r="D418" s="276"/>
      <c r="E418" s="651"/>
      <c r="F418" s="55"/>
      <c r="G418" s="651"/>
      <c r="H418" s="55"/>
      <c r="I418" s="651"/>
      <c r="K418" s="652"/>
      <c r="M418" s="276"/>
    </row>
    <row r="419">
      <c r="A419" s="459"/>
      <c r="C419" s="276"/>
      <c r="D419" s="276"/>
      <c r="E419" s="651"/>
      <c r="F419" s="55"/>
      <c r="G419" s="651"/>
      <c r="H419" s="55"/>
      <c r="I419" s="651"/>
      <c r="K419" s="652"/>
      <c r="M419" s="276"/>
    </row>
    <row r="420">
      <c r="A420" s="459"/>
      <c r="C420" s="276"/>
      <c r="D420" s="276"/>
      <c r="E420" s="651"/>
      <c r="F420" s="55"/>
      <c r="G420" s="651"/>
      <c r="H420" s="55"/>
      <c r="I420" s="651"/>
      <c r="K420" s="652"/>
      <c r="M420" s="276"/>
    </row>
    <row r="421">
      <c r="A421" s="459"/>
      <c r="C421" s="276"/>
      <c r="D421" s="276"/>
      <c r="E421" s="651"/>
      <c r="F421" s="55"/>
      <c r="G421" s="651"/>
      <c r="H421" s="55"/>
      <c r="I421" s="651"/>
      <c r="K421" s="652"/>
      <c r="M421" s="276"/>
    </row>
    <row r="422">
      <c r="A422" s="459"/>
      <c r="C422" s="276"/>
      <c r="D422" s="276"/>
      <c r="E422" s="651"/>
      <c r="F422" s="55"/>
      <c r="G422" s="651"/>
      <c r="H422" s="55"/>
      <c r="I422" s="651"/>
      <c r="K422" s="652"/>
      <c r="M422" s="276"/>
    </row>
    <row r="423">
      <c r="A423" s="459"/>
      <c r="C423" s="276"/>
      <c r="D423" s="276"/>
      <c r="E423" s="651"/>
      <c r="F423" s="55"/>
      <c r="G423" s="651"/>
      <c r="H423" s="55"/>
      <c r="I423" s="651"/>
      <c r="K423" s="652"/>
      <c r="M423" s="276"/>
    </row>
    <row r="424">
      <c r="A424" s="459"/>
      <c r="C424" s="276"/>
      <c r="D424" s="276"/>
      <c r="E424" s="651"/>
      <c r="F424" s="55"/>
      <c r="G424" s="651"/>
      <c r="H424" s="55"/>
      <c r="I424" s="651"/>
      <c r="K424" s="652"/>
      <c r="M424" s="276"/>
    </row>
    <row r="425">
      <c r="A425" s="459"/>
      <c r="C425" s="276"/>
      <c r="D425" s="276"/>
      <c r="E425" s="651"/>
      <c r="F425" s="55"/>
      <c r="G425" s="651"/>
      <c r="H425" s="55"/>
      <c r="I425" s="651"/>
      <c r="K425" s="652"/>
      <c r="M425" s="276"/>
    </row>
    <row r="426">
      <c r="A426" s="459"/>
      <c r="C426" s="276"/>
      <c r="D426" s="276"/>
      <c r="E426" s="651"/>
      <c r="F426" s="55"/>
      <c r="G426" s="651"/>
      <c r="H426" s="55"/>
      <c r="I426" s="651"/>
      <c r="K426" s="652"/>
      <c r="M426" s="276"/>
    </row>
    <row r="427">
      <c r="A427" s="459"/>
      <c r="C427" s="276"/>
      <c r="D427" s="276"/>
      <c r="E427" s="651"/>
      <c r="F427" s="55"/>
      <c r="G427" s="651"/>
      <c r="H427" s="55"/>
      <c r="I427" s="651"/>
      <c r="K427" s="652"/>
      <c r="M427" s="276"/>
    </row>
    <row r="428">
      <c r="A428" s="459"/>
      <c r="C428" s="276"/>
      <c r="D428" s="276"/>
      <c r="E428" s="651"/>
      <c r="F428" s="55"/>
      <c r="G428" s="651"/>
      <c r="H428" s="55"/>
      <c r="I428" s="651"/>
      <c r="K428" s="652"/>
      <c r="M428" s="276"/>
    </row>
    <row r="429">
      <c r="A429" s="459"/>
      <c r="C429" s="276"/>
      <c r="D429" s="276"/>
      <c r="E429" s="651"/>
      <c r="F429" s="55"/>
      <c r="G429" s="651"/>
      <c r="H429" s="55"/>
      <c r="I429" s="651"/>
      <c r="K429" s="652"/>
      <c r="M429" s="276"/>
    </row>
    <row r="430">
      <c r="A430" s="459"/>
      <c r="C430" s="276"/>
      <c r="D430" s="276"/>
      <c r="E430" s="651"/>
      <c r="F430" s="55"/>
      <c r="G430" s="651"/>
      <c r="H430" s="55"/>
      <c r="I430" s="651"/>
      <c r="K430" s="652"/>
      <c r="M430" s="276"/>
    </row>
    <row r="431">
      <c r="A431" s="459"/>
      <c r="C431" s="276"/>
      <c r="D431" s="276"/>
      <c r="E431" s="651"/>
      <c r="F431" s="55"/>
      <c r="G431" s="651"/>
      <c r="H431" s="55"/>
      <c r="I431" s="651"/>
      <c r="K431" s="652"/>
      <c r="M431" s="276"/>
    </row>
    <row r="432">
      <c r="A432" s="459"/>
      <c r="C432" s="276"/>
      <c r="D432" s="276"/>
      <c r="E432" s="651"/>
      <c r="F432" s="55"/>
      <c r="G432" s="651"/>
      <c r="H432" s="55"/>
      <c r="I432" s="651"/>
      <c r="K432" s="652"/>
      <c r="M432" s="276"/>
    </row>
    <row r="433">
      <c r="A433" s="459"/>
      <c r="C433" s="276"/>
      <c r="D433" s="276"/>
      <c r="E433" s="651"/>
      <c r="F433" s="55"/>
      <c r="G433" s="651"/>
      <c r="H433" s="55"/>
      <c r="I433" s="651"/>
      <c r="K433" s="652"/>
      <c r="M433" s="276"/>
    </row>
    <row r="434">
      <c r="A434" s="459"/>
      <c r="C434" s="276"/>
      <c r="D434" s="276"/>
      <c r="E434" s="651"/>
      <c r="F434" s="55"/>
      <c r="G434" s="651"/>
      <c r="H434" s="55"/>
      <c r="I434" s="651"/>
      <c r="K434" s="652"/>
      <c r="M434" s="276"/>
    </row>
    <row r="435">
      <c r="A435" s="459"/>
      <c r="C435" s="276"/>
      <c r="D435" s="276"/>
      <c r="E435" s="651"/>
      <c r="F435" s="55"/>
      <c r="G435" s="651"/>
      <c r="H435" s="55"/>
      <c r="I435" s="651"/>
      <c r="K435" s="652"/>
      <c r="M435" s="276"/>
    </row>
    <row r="436">
      <c r="A436" s="459"/>
      <c r="C436" s="276"/>
      <c r="D436" s="276"/>
      <c r="E436" s="651"/>
      <c r="F436" s="55"/>
      <c r="G436" s="651"/>
      <c r="H436" s="55"/>
      <c r="I436" s="651"/>
      <c r="K436" s="652"/>
      <c r="M436" s="276"/>
    </row>
    <row r="437">
      <c r="A437" s="459"/>
      <c r="C437" s="276"/>
      <c r="D437" s="276"/>
      <c r="E437" s="651"/>
      <c r="F437" s="55"/>
      <c r="G437" s="651"/>
      <c r="H437" s="55"/>
      <c r="I437" s="651"/>
      <c r="K437" s="652"/>
      <c r="M437" s="276"/>
    </row>
    <row r="438">
      <c r="A438" s="459"/>
      <c r="C438" s="276"/>
      <c r="D438" s="276"/>
      <c r="E438" s="651"/>
      <c r="F438" s="55"/>
      <c r="G438" s="651"/>
      <c r="H438" s="55"/>
      <c r="I438" s="651"/>
      <c r="K438" s="652"/>
      <c r="M438" s="276"/>
    </row>
    <row r="439">
      <c r="A439" s="459"/>
      <c r="C439" s="276"/>
      <c r="D439" s="276"/>
      <c r="E439" s="651"/>
      <c r="F439" s="55"/>
      <c r="G439" s="651"/>
      <c r="H439" s="55"/>
      <c r="I439" s="651"/>
      <c r="K439" s="652"/>
      <c r="M439" s="276"/>
    </row>
    <row r="440">
      <c r="A440" s="459"/>
      <c r="C440" s="276"/>
      <c r="D440" s="276"/>
      <c r="E440" s="651"/>
      <c r="F440" s="55"/>
      <c r="G440" s="651"/>
      <c r="H440" s="55"/>
      <c r="I440" s="651"/>
      <c r="K440" s="652"/>
      <c r="M440" s="276"/>
    </row>
    <row r="441">
      <c r="A441" s="459"/>
      <c r="C441" s="276"/>
      <c r="D441" s="276"/>
      <c r="E441" s="651"/>
      <c r="F441" s="55"/>
      <c r="G441" s="651"/>
      <c r="H441" s="55"/>
      <c r="I441" s="651"/>
      <c r="K441" s="652"/>
      <c r="M441" s="276"/>
    </row>
    <row r="442">
      <c r="A442" s="459"/>
      <c r="C442" s="276"/>
      <c r="D442" s="276"/>
      <c r="E442" s="651"/>
      <c r="F442" s="55"/>
      <c r="G442" s="651"/>
      <c r="H442" s="55"/>
      <c r="I442" s="651"/>
      <c r="K442" s="652"/>
      <c r="M442" s="276"/>
    </row>
    <row r="443">
      <c r="A443" s="459"/>
      <c r="C443" s="276"/>
      <c r="D443" s="276"/>
      <c r="E443" s="651"/>
      <c r="F443" s="55"/>
      <c r="G443" s="651"/>
      <c r="H443" s="55"/>
      <c r="I443" s="651"/>
      <c r="K443" s="652"/>
      <c r="M443" s="276"/>
    </row>
    <row r="444">
      <c r="A444" s="459"/>
      <c r="C444" s="276"/>
      <c r="D444" s="276"/>
      <c r="E444" s="651"/>
      <c r="F444" s="55"/>
      <c r="G444" s="651"/>
      <c r="H444" s="55"/>
      <c r="I444" s="651"/>
      <c r="K444" s="652"/>
      <c r="M444" s="276"/>
    </row>
    <row r="445">
      <c r="A445" s="459"/>
      <c r="C445" s="276"/>
      <c r="D445" s="276"/>
      <c r="E445" s="651"/>
      <c r="F445" s="55"/>
      <c r="G445" s="651"/>
      <c r="H445" s="55"/>
      <c r="I445" s="651"/>
      <c r="K445" s="652"/>
      <c r="M445" s="276"/>
    </row>
    <row r="446">
      <c r="A446" s="459"/>
      <c r="C446" s="276"/>
      <c r="D446" s="276"/>
      <c r="E446" s="651"/>
      <c r="F446" s="55"/>
      <c r="G446" s="651"/>
      <c r="H446" s="55"/>
      <c r="I446" s="651"/>
      <c r="K446" s="652"/>
      <c r="M446" s="276"/>
    </row>
    <row r="447">
      <c r="A447" s="459"/>
      <c r="C447" s="276"/>
      <c r="D447" s="276"/>
      <c r="E447" s="651"/>
      <c r="F447" s="55"/>
      <c r="G447" s="651"/>
      <c r="H447" s="55"/>
      <c r="I447" s="651"/>
      <c r="K447" s="652"/>
      <c r="M447" s="276"/>
    </row>
    <row r="448">
      <c r="A448" s="459"/>
      <c r="C448" s="276"/>
      <c r="D448" s="276"/>
      <c r="E448" s="651"/>
      <c r="F448" s="55"/>
      <c r="G448" s="651"/>
      <c r="H448" s="55"/>
      <c r="I448" s="651"/>
      <c r="K448" s="652"/>
      <c r="M448" s="276"/>
    </row>
    <row r="449">
      <c r="A449" s="459"/>
      <c r="C449" s="276"/>
      <c r="D449" s="276"/>
      <c r="E449" s="651"/>
      <c r="F449" s="55"/>
      <c r="G449" s="651"/>
      <c r="H449" s="55"/>
      <c r="I449" s="651"/>
      <c r="K449" s="652"/>
      <c r="M449" s="276"/>
    </row>
    <row r="450">
      <c r="A450" s="459"/>
      <c r="C450" s="276"/>
      <c r="D450" s="276"/>
      <c r="E450" s="651"/>
      <c r="F450" s="55"/>
      <c r="G450" s="651"/>
      <c r="H450" s="55"/>
      <c r="I450" s="651"/>
      <c r="K450" s="652"/>
      <c r="M450" s="276"/>
    </row>
    <row r="451">
      <c r="A451" s="459"/>
      <c r="C451" s="276"/>
      <c r="D451" s="276"/>
      <c r="E451" s="651"/>
      <c r="F451" s="55"/>
      <c r="G451" s="651"/>
      <c r="H451" s="55"/>
      <c r="I451" s="651"/>
      <c r="K451" s="652"/>
      <c r="M451" s="276"/>
    </row>
    <row r="452">
      <c r="A452" s="459"/>
      <c r="C452" s="276"/>
      <c r="D452" s="276"/>
      <c r="E452" s="651"/>
      <c r="F452" s="55"/>
      <c r="G452" s="651"/>
      <c r="H452" s="55"/>
      <c r="I452" s="651"/>
      <c r="K452" s="652"/>
      <c r="M452" s="276"/>
    </row>
    <row r="453">
      <c r="A453" s="459"/>
      <c r="C453" s="276"/>
      <c r="D453" s="276"/>
      <c r="E453" s="651"/>
      <c r="F453" s="55"/>
      <c r="G453" s="651"/>
      <c r="H453" s="55"/>
      <c r="I453" s="651"/>
      <c r="K453" s="652"/>
      <c r="M453" s="276"/>
    </row>
    <row r="454">
      <c r="A454" s="459"/>
      <c r="C454" s="276"/>
      <c r="D454" s="276"/>
      <c r="E454" s="651"/>
      <c r="F454" s="55"/>
      <c r="G454" s="651"/>
      <c r="H454" s="55"/>
      <c r="I454" s="651"/>
      <c r="K454" s="652"/>
      <c r="M454" s="276"/>
    </row>
    <row r="455">
      <c r="A455" s="459"/>
      <c r="C455" s="276"/>
      <c r="D455" s="276"/>
      <c r="E455" s="651"/>
      <c r="F455" s="55"/>
      <c r="G455" s="651"/>
      <c r="H455" s="55"/>
      <c r="I455" s="651"/>
      <c r="K455" s="652"/>
      <c r="M455" s="276"/>
    </row>
    <row r="456">
      <c r="A456" s="459"/>
      <c r="C456" s="276"/>
      <c r="D456" s="276"/>
      <c r="E456" s="651"/>
      <c r="F456" s="55"/>
      <c r="G456" s="651"/>
      <c r="H456" s="55"/>
      <c r="I456" s="651"/>
      <c r="K456" s="652"/>
      <c r="M456" s="276"/>
    </row>
    <row r="457">
      <c r="A457" s="459"/>
      <c r="C457" s="276"/>
      <c r="D457" s="276"/>
      <c r="E457" s="651"/>
      <c r="F457" s="55"/>
      <c r="G457" s="651"/>
      <c r="H457" s="55"/>
      <c r="I457" s="651"/>
      <c r="K457" s="652"/>
      <c r="M457" s="276"/>
    </row>
    <row r="458">
      <c r="A458" s="459"/>
      <c r="C458" s="276"/>
      <c r="D458" s="276"/>
      <c r="E458" s="651"/>
      <c r="F458" s="55"/>
      <c r="G458" s="651"/>
      <c r="H458" s="55"/>
      <c r="I458" s="651"/>
      <c r="K458" s="652"/>
      <c r="M458" s="276"/>
    </row>
    <row r="459">
      <c r="A459" s="459"/>
      <c r="C459" s="276"/>
      <c r="D459" s="276"/>
      <c r="E459" s="651"/>
      <c r="F459" s="55"/>
      <c r="G459" s="651"/>
      <c r="H459" s="55"/>
      <c r="I459" s="651"/>
      <c r="K459" s="652"/>
      <c r="M459" s="276"/>
    </row>
    <row r="460">
      <c r="A460" s="459"/>
      <c r="C460" s="276"/>
      <c r="D460" s="276"/>
      <c r="E460" s="651"/>
      <c r="F460" s="55"/>
      <c r="G460" s="651"/>
      <c r="H460" s="55"/>
      <c r="I460" s="651"/>
      <c r="K460" s="652"/>
      <c r="M460" s="276"/>
    </row>
    <row r="461">
      <c r="A461" s="459"/>
      <c r="C461" s="276"/>
      <c r="D461" s="276"/>
      <c r="E461" s="651"/>
      <c r="F461" s="55"/>
      <c r="G461" s="651"/>
      <c r="H461" s="55"/>
      <c r="I461" s="651"/>
      <c r="K461" s="652"/>
      <c r="M461" s="276"/>
    </row>
    <row r="462">
      <c r="A462" s="459"/>
      <c r="C462" s="276"/>
      <c r="D462" s="276"/>
      <c r="E462" s="651"/>
      <c r="F462" s="55"/>
      <c r="G462" s="651"/>
      <c r="H462" s="55"/>
      <c r="I462" s="651"/>
      <c r="K462" s="652"/>
      <c r="M462" s="276"/>
    </row>
    <row r="463">
      <c r="A463" s="459"/>
      <c r="C463" s="276"/>
      <c r="D463" s="276"/>
      <c r="E463" s="651"/>
      <c r="F463" s="55"/>
      <c r="G463" s="651"/>
      <c r="H463" s="55"/>
      <c r="I463" s="651"/>
      <c r="K463" s="652"/>
      <c r="M463" s="276"/>
    </row>
    <row r="464">
      <c r="A464" s="459"/>
      <c r="C464" s="276"/>
      <c r="D464" s="276"/>
      <c r="E464" s="651"/>
      <c r="F464" s="55"/>
      <c r="G464" s="651"/>
      <c r="H464" s="55"/>
      <c r="I464" s="651"/>
      <c r="K464" s="652"/>
      <c r="M464" s="276"/>
    </row>
    <row r="465">
      <c r="A465" s="459"/>
      <c r="C465" s="276"/>
      <c r="D465" s="276"/>
      <c r="E465" s="651"/>
      <c r="F465" s="55"/>
      <c r="G465" s="651"/>
      <c r="H465" s="55"/>
      <c r="I465" s="651"/>
      <c r="K465" s="652"/>
      <c r="M465" s="276"/>
    </row>
    <row r="466">
      <c r="A466" s="459"/>
      <c r="C466" s="276"/>
      <c r="D466" s="276"/>
      <c r="E466" s="651"/>
      <c r="F466" s="55"/>
      <c r="G466" s="651"/>
      <c r="H466" s="55"/>
      <c r="I466" s="651"/>
      <c r="K466" s="652"/>
      <c r="M466" s="276"/>
    </row>
    <row r="467">
      <c r="A467" s="459"/>
      <c r="C467" s="276"/>
      <c r="D467" s="276"/>
      <c r="E467" s="651"/>
      <c r="F467" s="55"/>
      <c r="G467" s="651"/>
      <c r="H467" s="55"/>
      <c r="I467" s="651"/>
      <c r="K467" s="652"/>
      <c r="M467" s="276"/>
    </row>
    <row r="468">
      <c r="A468" s="459"/>
      <c r="C468" s="276"/>
      <c r="D468" s="276"/>
      <c r="E468" s="651"/>
      <c r="F468" s="55"/>
      <c r="G468" s="651"/>
      <c r="H468" s="55"/>
      <c r="I468" s="651"/>
      <c r="K468" s="652"/>
      <c r="M468" s="276"/>
    </row>
    <row r="469">
      <c r="A469" s="459"/>
      <c r="C469" s="276"/>
      <c r="D469" s="276"/>
      <c r="E469" s="651"/>
      <c r="F469" s="55"/>
      <c r="G469" s="651"/>
      <c r="H469" s="55"/>
      <c r="I469" s="651"/>
      <c r="K469" s="652"/>
      <c r="M469" s="276"/>
    </row>
    <row r="470">
      <c r="A470" s="459"/>
      <c r="C470" s="276"/>
      <c r="D470" s="276"/>
      <c r="E470" s="651"/>
      <c r="F470" s="55"/>
      <c r="G470" s="651"/>
      <c r="H470" s="55"/>
      <c r="I470" s="651"/>
      <c r="K470" s="652"/>
      <c r="M470" s="276"/>
    </row>
    <row r="471">
      <c r="A471" s="459"/>
      <c r="C471" s="276"/>
      <c r="D471" s="276"/>
      <c r="E471" s="651"/>
      <c r="F471" s="55"/>
      <c r="G471" s="651"/>
      <c r="H471" s="55"/>
      <c r="I471" s="651"/>
      <c r="K471" s="652"/>
      <c r="M471" s="276"/>
    </row>
    <row r="472">
      <c r="A472" s="459"/>
      <c r="C472" s="276"/>
      <c r="D472" s="276"/>
      <c r="E472" s="651"/>
      <c r="F472" s="55"/>
      <c r="G472" s="651"/>
      <c r="H472" s="55"/>
      <c r="I472" s="651"/>
      <c r="K472" s="652"/>
      <c r="M472" s="276"/>
    </row>
    <row r="473">
      <c r="A473" s="459"/>
      <c r="C473" s="276"/>
      <c r="D473" s="276"/>
      <c r="E473" s="651"/>
      <c r="F473" s="55"/>
      <c r="G473" s="651"/>
      <c r="H473" s="55"/>
      <c r="I473" s="651"/>
      <c r="K473" s="652"/>
      <c r="M473" s="276"/>
    </row>
    <row r="474">
      <c r="A474" s="459"/>
      <c r="C474" s="276"/>
      <c r="D474" s="276"/>
      <c r="E474" s="651"/>
      <c r="F474" s="55"/>
      <c r="G474" s="651"/>
      <c r="H474" s="55"/>
      <c r="I474" s="651"/>
      <c r="K474" s="652"/>
      <c r="M474" s="276"/>
    </row>
    <row r="475">
      <c r="A475" s="459"/>
      <c r="C475" s="276"/>
      <c r="D475" s="276"/>
      <c r="E475" s="651"/>
      <c r="F475" s="55"/>
      <c r="G475" s="651"/>
      <c r="H475" s="55"/>
      <c r="I475" s="651"/>
      <c r="K475" s="652"/>
      <c r="M475" s="276"/>
    </row>
    <row r="476">
      <c r="A476" s="459"/>
      <c r="C476" s="276"/>
      <c r="D476" s="276"/>
      <c r="E476" s="651"/>
      <c r="F476" s="55"/>
      <c r="G476" s="651"/>
      <c r="H476" s="55"/>
      <c r="I476" s="651"/>
      <c r="K476" s="652"/>
      <c r="M476" s="276"/>
    </row>
    <row r="477">
      <c r="A477" s="459"/>
      <c r="C477" s="276"/>
      <c r="D477" s="276"/>
      <c r="E477" s="651"/>
      <c r="F477" s="55"/>
      <c r="G477" s="651"/>
      <c r="H477" s="55"/>
      <c r="I477" s="651"/>
      <c r="K477" s="652"/>
      <c r="M477" s="276"/>
    </row>
    <row r="478">
      <c r="A478" s="459"/>
      <c r="C478" s="276"/>
      <c r="D478" s="276"/>
      <c r="E478" s="651"/>
      <c r="F478" s="55"/>
      <c r="G478" s="651"/>
      <c r="H478" s="55"/>
      <c r="I478" s="651"/>
      <c r="K478" s="652"/>
      <c r="M478" s="276"/>
    </row>
    <row r="479">
      <c r="A479" s="459"/>
      <c r="C479" s="276"/>
      <c r="D479" s="276"/>
      <c r="E479" s="651"/>
      <c r="F479" s="55"/>
      <c r="G479" s="651"/>
      <c r="H479" s="55"/>
      <c r="I479" s="651"/>
      <c r="K479" s="652"/>
      <c r="M479" s="276"/>
    </row>
    <row r="480">
      <c r="A480" s="459"/>
      <c r="C480" s="276"/>
      <c r="D480" s="276"/>
      <c r="E480" s="651"/>
      <c r="F480" s="55"/>
      <c r="G480" s="651"/>
      <c r="H480" s="55"/>
      <c r="I480" s="651"/>
      <c r="K480" s="652"/>
      <c r="M480" s="276"/>
    </row>
    <row r="481">
      <c r="A481" s="459"/>
      <c r="C481" s="276"/>
      <c r="D481" s="276"/>
      <c r="E481" s="651"/>
      <c r="F481" s="55"/>
      <c r="G481" s="651"/>
      <c r="H481" s="55"/>
      <c r="I481" s="651"/>
      <c r="K481" s="652"/>
      <c r="M481" s="276"/>
    </row>
    <row r="482">
      <c r="A482" s="459"/>
      <c r="C482" s="276"/>
      <c r="D482" s="276"/>
      <c r="E482" s="651"/>
      <c r="F482" s="55"/>
      <c r="G482" s="651"/>
      <c r="H482" s="55"/>
      <c r="I482" s="651"/>
      <c r="K482" s="652"/>
      <c r="M482" s="276"/>
    </row>
    <row r="483">
      <c r="A483" s="459"/>
      <c r="C483" s="276"/>
      <c r="D483" s="276"/>
      <c r="E483" s="651"/>
      <c r="F483" s="55"/>
      <c r="G483" s="651"/>
      <c r="H483" s="55"/>
      <c r="I483" s="651"/>
      <c r="K483" s="652"/>
      <c r="M483" s="276"/>
    </row>
    <row r="484">
      <c r="A484" s="459"/>
      <c r="C484" s="276"/>
      <c r="D484" s="276"/>
      <c r="E484" s="651"/>
      <c r="F484" s="55"/>
      <c r="G484" s="651"/>
      <c r="H484" s="55"/>
      <c r="I484" s="651"/>
      <c r="K484" s="652"/>
      <c r="M484" s="276"/>
    </row>
    <row r="485">
      <c r="A485" s="459"/>
      <c r="C485" s="276"/>
      <c r="D485" s="276"/>
      <c r="E485" s="651"/>
      <c r="F485" s="55"/>
      <c r="G485" s="651"/>
      <c r="H485" s="55"/>
      <c r="I485" s="651"/>
      <c r="K485" s="652"/>
      <c r="M485" s="276"/>
    </row>
    <row r="486">
      <c r="A486" s="459"/>
      <c r="C486" s="276"/>
      <c r="D486" s="276"/>
      <c r="E486" s="651"/>
      <c r="F486" s="55"/>
      <c r="G486" s="651"/>
      <c r="H486" s="55"/>
      <c r="I486" s="651"/>
      <c r="K486" s="652"/>
      <c r="M486" s="276"/>
    </row>
    <row r="487">
      <c r="A487" s="459"/>
      <c r="C487" s="276"/>
      <c r="D487" s="276"/>
      <c r="E487" s="651"/>
      <c r="F487" s="55"/>
      <c r="G487" s="651"/>
      <c r="H487" s="55"/>
      <c r="I487" s="651"/>
      <c r="K487" s="652"/>
      <c r="M487" s="276"/>
    </row>
    <row r="488">
      <c r="A488" s="459"/>
      <c r="C488" s="276"/>
      <c r="D488" s="276"/>
      <c r="E488" s="651"/>
      <c r="F488" s="55"/>
      <c r="G488" s="651"/>
      <c r="H488" s="55"/>
      <c r="I488" s="651"/>
      <c r="K488" s="652"/>
      <c r="M488" s="276"/>
    </row>
    <row r="489">
      <c r="A489" s="459"/>
      <c r="C489" s="276"/>
      <c r="D489" s="276"/>
      <c r="E489" s="651"/>
      <c r="F489" s="55"/>
      <c r="G489" s="651"/>
      <c r="H489" s="55"/>
      <c r="I489" s="651"/>
      <c r="K489" s="652"/>
      <c r="M489" s="276"/>
    </row>
    <row r="490">
      <c r="A490" s="459"/>
      <c r="C490" s="276"/>
      <c r="D490" s="276"/>
      <c r="E490" s="651"/>
      <c r="F490" s="55"/>
      <c r="G490" s="651"/>
      <c r="H490" s="55"/>
      <c r="I490" s="651"/>
      <c r="K490" s="652"/>
      <c r="M490" s="276"/>
    </row>
    <row r="491">
      <c r="A491" s="459"/>
      <c r="C491" s="276"/>
      <c r="D491" s="276"/>
      <c r="E491" s="651"/>
      <c r="F491" s="55"/>
      <c r="G491" s="651"/>
      <c r="H491" s="55"/>
      <c r="I491" s="651"/>
      <c r="K491" s="652"/>
      <c r="M491" s="276"/>
    </row>
    <row r="492">
      <c r="A492" s="459"/>
      <c r="C492" s="276"/>
      <c r="D492" s="276"/>
      <c r="E492" s="651"/>
      <c r="F492" s="55"/>
      <c r="G492" s="651"/>
      <c r="H492" s="55"/>
      <c r="I492" s="651"/>
      <c r="K492" s="652"/>
      <c r="M492" s="276"/>
    </row>
    <row r="493">
      <c r="A493" s="459"/>
      <c r="C493" s="276"/>
      <c r="D493" s="276"/>
      <c r="E493" s="651"/>
      <c r="F493" s="55"/>
      <c r="G493" s="651"/>
      <c r="H493" s="55"/>
      <c r="I493" s="651"/>
      <c r="K493" s="652"/>
      <c r="M493" s="276"/>
    </row>
    <row r="494">
      <c r="A494" s="459"/>
      <c r="C494" s="276"/>
      <c r="D494" s="276"/>
      <c r="E494" s="651"/>
      <c r="F494" s="55"/>
      <c r="G494" s="651"/>
      <c r="H494" s="55"/>
      <c r="I494" s="651"/>
      <c r="K494" s="652"/>
      <c r="M494" s="276"/>
    </row>
    <row r="495">
      <c r="A495" s="459"/>
      <c r="C495" s="276"/>
      <c r="D495" s="276"/>
      <c r="E495" s="651"/>
      <c r="F495" s="55"/>
      <c r="G495" s="651"/>
      <c r="H495" s="55"/>
      <c r="I495" s="651"/>
      <c r="K495" s="652"/>
      <c r="M495" s="276"/>
    </row>
    <row r="496">
      <c r="A496" s="459"/>
      <c r="C496" s="276"/>
      <c r="D496" s="276"/>
      <c r="E496" s="651"/>
      <c r="F496" s="55"/>
      <c r="G496" s="651"/>
      <c r="H496" s="55"/>
      <c r="I496" s="651"/>
      <c r="K496" s="652"/>
      <c r="M496" s="276"/>
    </row>
    <row r="497">
      <c r="A497" s="459"/>
      <c r="C497" s="276"/>
      <c r="D497" s="276"/>
      <c r="E497" s="651"/>
      <c r="F497" s="55"/>
      <c r="G497" s="651"/>
      <c r="H497" s="55"/>
      <c r="I497" s="651"/>
      <c r="K497" s="652"/>
      <c r="M497" s="276"/>
    </row>
    <row r="498">
      <c r="A498" s="459"/>
      <c r="C498" s="276"/>
      <c r="D498" s="276"/>
      <c r="E498" s="651"/>
      <c r="F498" s="55"/>
      <c r="G498" s="651"/>
      <c r="H498" s="55"/>
      <c r="I498" s="651"/>
      <c r="K498" s="652"/>
      <c r="M498" s="276"/>
    </row>
    <row r="499">
      <c r="A499" s="459"/>
      <c r="C499" s="276"/>
      <c r="D499" s="276"/>
      <c r="E499" s="651"/>
      <c r="F499" s="55"/>
      <c r="G499" s="651"/>
      <c r="H499" s="55"/>
      <c r="I499" s="651"/>
      <c r="K499" s="652"/>
      <c r="M499" s="276"/>
    </row>
    <row r="500">
      <c r="A500" s="459"/>
      <c r="C500" s="276"/>
      <c r="D500" s="276"/>
      <c r="E500" s="651"/>
      <c r="F500" s="55"/>
      <c r="G500" s="651"/>
      <c r="H500" s="55"/>
      <c r="I500" s="651"/>
      <c r="K500" s="652"/>
      <c r="M500" s="276"/>
    </row>
    <row r="501">
      <c r="A501" s="459"/>
      <c r="C501" s="276"/>
      <c r="D501" s="276"/>
      <c r="E501" s="651"/>
      <c r="F501" s="55"/>
      <c r="G501" s="651"/>
      <c r="H501" s="55"/>
      <c r="I501" s="651"/>
      <c r="K501" s="652"/>
      <c r="M501" s="276"/>
    </row>
    <row r="502">
      <c r="A502" s="459"/>
      <c r="C502" s="276"/>
      <c r="D502" s="276"/>
      <c r="E502" s="651"/>
      <c r="F502" s="55"/>
      <c r="G502" s="651"/>
      <c r="H502" s="55"/>
      <c r="I502" s="651"/>
      <c r="K502" s="652"/>
      <c r="M502" s="276"/>
    </row>
    <row r="503">
      <c r="A503" s="459"/>
      <c r="C503" s="276"/>
      <c r="D503" s="276"/>
      <c r="E503" s="651"/>
      <c r="F503" s="55"/>
      <c r="G503" s="651"/>
      <c r="H503" s="55"/>
      <c r="I503" s="651"/>
      <c r="K503" s="652"/>
      <c r="M503" s="276"/>
    </row>
    <row r="504">
      <c r="A504" s="459"/>
      <c r="C504" s="276"/>
      <c r="D504" s="276"/>
      <c r="E504" s="651"/>
      <c r="F504" s="55"/>
      <c r="G504" s="651"/>
      <c r="H504" s="55"/>
      <c r="I504" s="651"/>
      <c r="K504" s="652"/>
      <c r="M504" s="276"/>
    </row>
    <row r="505">
      <c r="A505" s="459"/>
      <c r="C505" s="276"/>
      <c r="D505" s="276"/>
      <c r="E505" s="651"/>
      <c r="F505" s="55"/>
      <c r="G505" s="651"/>
      <c r="H505" s="55"/>
      <c r="I505" s="651"/>
      <c r="K505" s="652"/>
      <c r="M505" s="276"/>
    </row>
    <row r="506">
      <c r="A506" s="459"/>
      <c r="C506" s="276"/>
      <c r="D506" s="276"/>
      <c r="E506" s="651"/>
      <c r="F506" s="55"/>
      <c r="G506" s="651"/>
      <c r="H506" s="55"/>
      <c r="I506" s="651"/>
      <c r="K506" s="652"/>
      <c r="M506" s="276"/>
    </row>
    <row r="507">
      <c r="A507" s="459"/>
      <c r="C507" s="276"/>
      <c r="D507" s="276"/>
      <c r="E507" s="651"/>
      <c r="F507" s="55"/>
      <c r="G507" s="651"/>
      <c r="H507" s="55"/>
      <c r="I507" s="651"/>
      <c r="K507" s="652"/>
      <c r="M507" s="276"/>
    </row>
    <row r="508">
      <c r="A508" s="459"/>
      <c r="C508" s="276"/>
      <c r="D508" s="276"/>
      <c r="E508" s="651"/>
      <c r="F508" s="55"/>
      <c r="G508" s="651"/>
      <c r="H508" s="55"/>
      <c r="I508" s="651"/>
      <c r="K508" s="652"/>
      <c r="M508" s="276"/>
    </row>
    <row r="509">
      <c r="A509" s="459"/>
      <c r="C509" s="276"/>
      <c r="D509" s="276"/>
      <c r="E509" s="651"/>
      <c r="F509" s="55"/>
      <c r="G509" s="651"/>
      <c r="H509" s="55"/>
      <c r="I509" s="651"/>
      <c r="K509" s="652"/>
      <c r="M509" s="276"/>
    </row>
    <row r="510">
      <c r="A510" s="459"/>
      <c r="C510" s="276"/>
      <c r="D510" s="276"/>
      <c r="E510" s="651"/>
      <c r="F510" s="55"/>
      <c r="G510" s="651"/>
      <c r="H510" s="55"/>
      <c r="I510" s="651"/>
      <c r="K510" s="652"/>
      <c r="M510" s="276"/>
    </row>
    <row r="511">
      <c r="A511" s="459"/>
      <c r="C511" s="276"/>
      <c r="D511" s="276"/>
      <c r="E511" s="651"/>
      <c r="F511" s="55"/>
      <c r="G511" s="651"/>
      <c r="H511" s="55"/>
      <c r="I511" s="651"/>
      <c r="K511" s="652"/>
      <c r="M511" s="276"/>
    </row>
    <row r="512">
      <c r="A512" s="459"/>
      <c r="C512" s="276"/>
      <c r="D512" s="276"/>
      <c r="E512" s="651"/>
      <c r="F512" s="55"/>
      <c r="G512" s="651"/>
      <c r="H512" s="55"/>
      <c r="I512" s="651"/>
      <c r="K512" s="652"/>
      <c r="M512" s="276"/>
    </row>
    <row r="513">
      <c r="A513" s="459"/>
      <c r="C513" s="276"/>
      <c r="D513" s="276"/>
      <c r="E513" s="651"/>
      <c r="F513" s="55"/>
      <c r="G513" s="651"/>
      <c r="H513" s="55"/>
      <c r="I513" s="651"/>
      <c r="K513" s="652"/>
      <c r="M513" s="276"/>
    </row>
    <row r="514">
      <c r="A514" s="459"/>
      <c r="C514" s="276"/>
      <c r="D514" s="276"/>
      <c r="E514" s="651"/>
      <c r="F514" s="55"/>
      <c r="G514" s="651"/>
      <c r="H514" s="55"/>
      <c r="I514" s="651"/>
      <c r="K514" s="652"/>
      <c r="M514" s="276"/>
    </row>
    <row r="515">
      <c r="A515" s="459"/>
      <c r="C515" s="276"/>
      <c r="D515" s="276"/>
      <c r="E515" s="651"/>
      <c r="F515" s="55"/>
      <c r="G515" s="651"/>
      <c r="H515" s="55"/>
      <c r="I515" s="651"/>
      <c r="K515" s="652"/>
      <c r="M515" s="276"/>
    </row>
    <row r="516">
      <c r="A516" s="459"/>
      <c r="C516" s="276"/>
      <c r="D516" s="276"/>
      <c r="E516" s="651"/>
      <c r="F516" s="55"/>
      <c r="G516" s="651"/>
      <c r="H516" s="55"/>
      <c r="I516" s="651"/>
      <c r="K516" s="652"/>
      <c r="M516" s="276"/>
    </row>
    <row r="517">
      <c r="A517" s="459"/>
      <c r="C517" s="276"/>
      <c r="D517" s="276"/>
      <c r="E517" s="651"/>
      <c r="F517" s="55"/>
      <c r="G517" s="651"/>
      <c r="H517" s="55"/>
      <c r="I517" s="651"/>
      <c r="K517" s="652"/>
      <c r="M517" s="276"/>
    </row>
    <row r="518">
      <c r="A518" s="459"/>
      <c r="C518" s="276"/>
      <c r="D518" s="276"/>
      <c r="E518" s="651"/>
      <c r="F518" s="55"/>
      <c r="G518" s="651"/>
      <c r="H518" s="55"/>
      <c r="I518" s="651"/>
      <c r="K518" s="652"/>
      <c r="M518" s="276"/>
    </row>
    <row r="519">
      <c r="A519" s="459"/>
      <c r="C519" s="276"/>
      <c r="D519" s="276"/>
      <c r="E519" s="651"/>
      <c r="F519" s="55"/>
      <c r="G519" s="651"/>
      <c r="H519" s="55"/>
      <c r="I519" s="651"/>
      <c r="K519" s="652"/>
      <c r="M519" s="276"/>
    </row>
    <row r="520">
      <c r="A520" s="459"/>
      <c r="C520" s="276"/>
      <c r="D520" s="276"/>
      <c r="E520" s="651"/>
      <c r="F520" s="55"/>
      <c r="G520" s="651"/>
      <c r="H520" s="55"/>
      <c r="I520" s="651"/>
      <c r="K520" s="652"/>
      <c r="M520" s="276"/>
    </row>
    <row r="521">
      <c r="A521" s="459"/>
      <c r="C521" s="276"/>
      <c r="D521" s="276"/>
      <c r="E521" s="651"/>
      <c r="F521" s="55"/>
      <c r="G521" s="651"/>
      <c r="H521" s="55"/>
      <c r="I521" s="651"/>
      <c r="K521" s="652"/>
      <c r="M521" s="276"/>
    </row>
    <row r="522">
      <c r="A522" s="459"/>
      <c r="C522" s="276"/>
      <c r="D522" s="276"/>
      <c r="E522" s="651"/>
      <c r="F522" s="55"/>
      <c r="G522" s="651"/>
      <c r="H522" s="55"/>
      <c r="I522" s="651"/>
      <c r="K522" s="652"/>
      <c r="M522" s="276"/>
    </row>
    <row r="523">
      <c r="A523" s="459"/>
      <c r="C523" s="276"/>
      <c r="D523" s="276"/>
      <c r="E523" s="651"/>
      <c r="F523" s="55"/>
      <c r="G523" s="651"/>
      <c r="H523" s="55"/>
      <c r="I523" s="651"/>
      <c r="K523" s="652"/>
      <c r="M523" s="276"/>
    </row>
    <row r="524">
      <c r="A524" s="459"/>
      <c r="C524" s="276"/>
      <c r="D524" s="276"/>
      <c r="E524" s="651"/>
      <c r="F524" s="55"/>
      <c r="G524" s="651"/>
      <c r="H524" s="55"/>
      <c r="I524" s="651"/>
      <c r="K524" s="652"/>
      <c r="M524" s="276"/>
    </row>
    <row r="525">
      <c r="A525" s="459"/>
      <c r="C525" s="276"/>
      <c r="D525" s="276"/>
      <c r="E525" s="651"/>
      <c r="F525" s="55"/>
      <c r="G525" s="651"/>
      <c r="H525" s="55"/>
      <c r="I525" s="651"/>
      <c r="K525" s="652"/>
      <c r="M525" s="276"/>
    </row>
    <row r="526">
      <c r="A526" s="459"/>
      <c r="C526" s="276"/>
      <c r="D526" s="276"/>
      <c r="E526" s="651"/>
      <c r="F526" s="55"/>
      <c r="G526" s="651"/>
      <c r="H526" s="55"/>
      <c r="I526" s="651"/>
      <c r="K526" s="652"/>
      <c r="M526" s="276"/>
    </row>
    <row r="527">
      <c r="A527" s="459"/>
      <c r="C527" s="276"/>
      <c r="D527" s="276"/>
      <c r="E527" s="651"/>
      <c r="F527" s="55"/>
      <c r="G527" s="651"/>
      <c r="H527" s="55"/>
      <c r="I527" s="651"/>
      <c r="K527" s="652"/>
      <c r="M527" s="276"/>
    </row>
    <row r="528">
      <c r="A528" s="459"/>
      <c r="C528" s="276"/>
      <c r="D528" s="276"/>
      <c r="E528" s="651"/>
      <c r="F528" s="55"/>
      <c r="G528" s="651"/>
      <c r="H528" s="55"/>
      <c r="I528" s="651"/>
      <c r="K528" s="652"/>
      <c r="M528" s="276"/>
    </row>
    <row r="529">
      <c r="A529" s="459"/>
      <c r="C529" s="276"/>
      <c r="D529" s="276"/>
      <c r="E529" s="651"/>
      <c r="F529" s="55"/>
      <c r="G529" s="651"/>
      <c r="H529" s="55"/>
      <c r="I529" s="651"/>
      <c r="K529" s="652"/>
      <c r="M529" s="276"/>
    </row>
    <row r="530">
      <c r="A530" s="459"/>
      <c r="C530" s="276"/>
      <c r="D530" s="276"/>
      <c r="E530" s="651"/>
      <c r="F530" s="55"/>
      <c r="G530" s="651"/>
      <c r="H530" s="55"/>
      <c r="I530" s="651"/>
      <c r="K530" s="652"/>
      <c r="M530" s="276"/>
    </row>
    <row r="531">
      <c r="A531" s="459"/>
      <c r="C531" s="276"/>
      <c r="D531" s="276"/>
      <c r="E531" s="651"/>
      <c r="F531" s="55"/>
      <c r="G531" s="651"/>
      <c r="H531" s="55"/>
      <c r="I531" s="651"/>
      <c r="K531" s="652"/>
      <c r="M531" s="276"/>
    </row>
    <row r="532">
      <c r="A532" s="459"/>
      <c r="C532" s="276"/>
      <c r="D532" s="276"/>
      <c r="E532" s="651"/>
      <c r="F532" s="55"/>
      <c r="G532" s="651"/>
      <c r="H532" s="55"/>
      <c r="I532" s="651"/>
      <c r="K532" s="652"/>
      <c r="M532" s="276"/>
    </row>
    <row r="533">
      <c r="A533" s="459"/>
      <c r="C533" s="276"/>
      <c r="D533" s="276"/>
      <c r="E533" s="651"/>
      <c r="F533" s="55"/>
      <c r="G533" s="651"/>
      <c r="H533" s="55"/>
      <c r="I533" s="651"/>
      <c r="K533" s="652"/>
      <c r="M533" s="276"/>
    </row>
    <row r="534">
      <c r="A534" s="459"/>
      <c r="C534" s="276"/>
      <c r="D534" s="276"/>
      <c r="E534" s="651"/>
      <c r="F534" s="55"/>
      <c r="G534" s="651"/>
      <c r="H534" s="55"/>
      <c r="I534" s="651"/>
      <c r="K534" s="652"/>
      <c r="M534" s="276"/>
    </row>
    <row r="535">
      <c r="A535" s="459"/>
      <c r="C535" s="276"/>
      <c r="D535" s="276"/>
      <c r="E535" s="651"/>
      <c r="F535" s="55"/>
      <c r="G535" s="651"/>
      <c r="H535" s="55"/>
      <c r="I535" s="651"/>
      <c r="K535" s="652"/>
      <c r="M535" s="276"/>
    </row>
    <row r="536">
      <c r="A536" s="459"/>
      <c r="C536" s="276"/>
      <c r="D536" s="276"/>
      <c r="E536" s="651"/>
      <c r="F536" s="55"/>
      <c r="G536" s="651"/>
      <c r="H536" s="55"/>
      <c r="I536" s="651"/>
      <c r="K536" s="652"/>
      <c r="M536" s="276"/>
    </row>
    <row r="537">
      <c r="A537" s="459"/>
      <c r="C537" s="276"/>
      <c r="D537" s="276"/>
      <c r="E537" s="651"/>
      <c r="F537" s="55"/>
      <c r="G537" s="651"/>
      <c r="H537" s="55"/>
      <c r="I537" s="651"/>
      <c r="K537" s="652"/>
      <c r="M537" s="276"/>
    </row>
    <row r="538">
      <c r="A538" s="459"/>
      <c r="C538" s="276"/>
      <c r="D538" s="276"/>
      <c r="E538" s="651"/>
      <c r="F538" s="55"/>
      <c r="G538" s="651"/>
      <c r="H538" s="55"/>
      <c r="I538" s="651"/>
      <c r="K538" s="652"/>
      <c r="M538" s="276"/>
    </row>
    <row r="539">
      <c r="A539" s="459"/>
      <c r="C539" s="276"/>
      <c r="D539" s="276"/>
      <c r="E539" s="651"/>
      <c r="F539" s="55"/>
      <c r="G539" s="651"/>
      <c r="H539" s="55"/>
      <c r="I539" s="651"/>
      <c r="K539" s="652"/>
      <c r="M539" s="276"/>
    </row>
    <row r="540">
      <c r="A540" s="459"/>
      <c r="C540" s="276"/>
      <c r="D540" s="276"/>
      <c r="E540" s="651"/>
      <c r="F540" s="55"/>
      <c r="G540" s="651"/>
      <c r="H540" s="55"/>
      <c r="I540" s="651"/>
      <c r="K540" s="652"/>
      <c r="M540" s="276"/>
    </row>
    <row r="541">
      <c r="A541" s="459"/>
      <c r="C541" s="276"/>
      <c r="D541" s="276"/>
      <c r="E541" s="651"/>
      <c r="F541" s="55"/>
      <c r="G541" s="651"/>
      <c r="H541" s="55"/>
      <c r="I541" s="651"/>
      <c r="K541" s="652"/>
      <c r="M541" s="276"/>
    </row>
    <row r="542">
      <c r="A542" s="459"/>
      <c r="C542" s="276"/>
      <c r="D542" s="276"/>
      <c r="E542" s="651"/>
      <c r="F542" s="55"/>
      <c r="G542" s="651"/>
      <c r="H542" s="55"/>
      <c r="I542" s="651"/>
      <c r="K542" s="652"/>
      <c r="M542" s="276"/>
    </row>
    <row r="543">
      <c r="A543" s="459"/>
      <c r="C543" s="276"/>
      <c r="D543" s="276"/>
      <c r="E543" s="651"/>
      <c r="F543" s="55"/>
      <c r="G543" s="651"/>
      <c r="H543" s="55"/>
      <c r="I543" s="651"/>
      <c r="K543" s="652"/>
      <c r="M543" s="276"/>
    </row>
    <row r="544">
      <c r="A544" s="459"/>
      <c r="C544" s="276"/>
      <c r="D544" s="276"/>
      <c r="E544" s="651"/>
      <c r="F544" s="55"/>
      <c r="G544" s="651"/>
      <c r="H544" s="55"/>
      <c r="I544" s="651"/>
      <c r="K544" s="652"/>
      <c r="M544" s="276"/>
    </row>
    <row r="545">
      <c r="A545" s="459"/>
      <c r="C545" s="276"/>
      <c r="D545" s="276"/>
      <c r="E545" s="651"/>
      <c r="F545" s="55"/>
      <c r="G545" s="651"/>
      <c r="H545" s="55"/>
      <c r="I545" s="651"/>
      <c r="K545" s="652"/>
      <c r="M545" s="276"/>
    </row>
    <row r="546">
      <c r="A546" s="459"/>
      <c r="C546" s="276"/>
      <c r="D546" s="276"/>
      <c r="E546" s="651"/>
      <c r="F546" s="55"/>
      <c r="G546" s="651"/>
      <c r="H546" s="55"/>
      <c r="I546" s="651"/>
      <c r="K546" s="652"/>
      <c r="M546" s="276"/>
    </row>
    <row r="547">
      <c r="A547" s="459"/>
      <c r="C547" s="276"/>
      <c r="D547" s="276"/>
      <c r="E547" s="651"/>
      <c r="F547" s="55"/>
      <c r="G547" s="651"/>
      <c r="H547" s="55"/>
      <c r="I547" s="651"/>
      <c r="K547" s="652"/>
      <c r="M547" s="276"/>
    </row>
    <row r="548">
      <c r="A548" s="459"/>
      <c r="C548" s="276"/>
      <c r="D548" s="276"/>
      <c r="E548" s="651"/>
      <c r="F548" s="55"/>
      <c r="G548" s="651"/>
      <c r="H548" s="55"/>
      <c r="I548" s="651"/>
      <c r="K548" s="652"/>
      <c r="M548" s="276"/>
    </row>
    <row r="549">
      <c r="A549" s="459"/>
      <c r="C549" s="276"/>
      <c r="D549" s="276"/>
      <c r="E549" s="651"/>
      <c r="F549" s="55"/>
      <c r="G549" s="651"/>
      <c r="H549" s="55"/>
      <c r="I549" s="651"/>
      <c r="K549" s="652"/>
      <c r="M549" s="276"/>
    </row>
    <row r="550">
      <c r="A550" s="459"/>
      <c r="C550" s="276"/>
      <c r="D550" s="276"/>
      <c r="E550" s="651"/>
      <c r="F550" s="55"/>
      <c r="G550" s="651"/>
      <c r="H550" s="55"/>
      <c r="I550" s="651"/>
      <c r="K550" s="652"/>
      <c r="M550" s="276"/>
    </row>
    <row r="551">
      <c r="A551" s="459"/>
      <c r="C551" s="276"/>
      <c r="D551" s="276"/>
      <c r="E551" s="651"/>
      <c r="F551" s="55"/>
      <c r="G551" s="651"/>
      <c r="H551" s="55"/>
      <c r="I551" s="651"/>
      <c r="K551" s="652"/>
      <c r="M551" s="276"/>
    </row>
    <row r="552">
      <c r="A552" s="459"/>
      <c r="C552" s="276"/>
      <c r="D552" s="276"/>
      <c r="E552" s="651"/>
      <c r="F552" s="55"/>
      <c r="G552" s="651"/>
      <c r="H552" s="55"/>
      <c r="I552" s="651"/>
      <c r="K552" s="652"/>
      <c r="M552" s="276"/>
    </row>
    <row r="553">
      <c r="A553" s="459"/>
      <c r="C553" s="276"/>
      <c r="D553" s="276"/>
      <c r="E553" s="651"/>
      <c r="F553" s="55"/>
      <c r="G553" s="651"/>
      <c r="H553" s="55"/>
      <c r="I553" s="651"/>
      <c r="K553" s="652"/>
      <c r="M553" s="276"/>
    </row>
    <row r="554">
      <c r="A554" s="459"/>
      <c r="C554" s="276"/>
      <c r="D554" s="276"/>
      <c r="E554" s="651"/>
      <c r="F554" s="55"/>
      <c r="G554" s="651"/>
      <c r="H554" s="55"/>
      <c r="I554" s="651"/>
      <c r="K554" s="652"/>
      <c r="M554" s="276"/>
    </row>
    <row r="555">
      <c r="A555" s="459"/>
      <c r="C555" s="276"/>
      <c r="D555" s="276"/>
      <c r="E555" s="651"/>
      <c r="F555" s="55"/>
      <c r="G555" s="651"/>
      <c r="H555" s="55"/>
      <c r="I555" s="651"/>
      <c r="K555" s="652"/>
      <c r="M555" s="276"/>
    </row>
    <row r="556">
      <c r="A556" s="459"/>
      <c r="C556" s="276"/>
      <c r="D556" s="276"/>
      <c r="E556" s="651"/>
      <c r="F556" s="55"/>
      <c r="G556" s="651"/>
      <c r="H556" s="55"/>
      <c r="I556" s="651"/>
      <c r="K556" s="652"/>
      <c r="M556" s="276"/>
    </row>
    <row r="557">
      <c r="A557" s="459"/>
      <c r="C557" s="276"/>
      <c r="D557" s="276"/>
      <c r="E557" s="651"/>
      <c r="F557" s="55"/>
      <c r="G557" s="651"/>
      <c r="H557" s="55"/>
      <c r="I557" s="651"/>
      <c r="K557" s="652"/>
      <c r="M557" s="276"/>
    </row>
    <row r="558">
      <c r="A558" s="459"/>
      <c r="C558" s="276"/>
      <c r="D558" s="276"/>
      <c r="E558" s="651"/>
      <c r="F558" s="55"/>
      <c r="G558" s="651"/>
      <c r="H558" s="55"/>
      <c r="I558" s="651"/>
      <c r="K558" s="652"/>
      <c r="M558" s="276"/>
    </row>
    <row r="559">
      <c r="A559" s="459"/>
      <c r="C559" s="276"/>
      <c r="D559" s="276"/>
      <c r="E559" s="651"/>
      <c r="F559" s="55"/>
      <c r="G559" s="651"/>
      <c r="H559" s="55"/>
      <c r="I559" s="651"/>
      <c r="K559" s="652"/>
      <c r="M559" s="276"/>
    </row>
    <row r="560">
      <c r="A560" s="459"/>
      <c r="C560" s="276"/>
      <c r="D560" s="276"/>
      <c r="E560" s="651"/>
      <c r="F560" s="55"/>
      <c r="G560" s="651"/>
      <c r="H560" s="55"/>
      <c r="I560" s="651"/>
      <c r="K560" s="652"/>
      <c r="M560" s="276"/>
    </row>
    <row r="561">
      <c r="A561" s="459"/>
      <c r="C561" s="276"/>
      <c r="D561" s="276"/>
      <c r="E561" s="651"/>
      <c r="F561" s="55"/>
      <c r="G561" s="651"/>
      <c r="H561" s="55"/>
      <c r="I561" s="651"/>
      <c r="K561" s="652"/>
      <c r="M561" s="276"/>
    </row>
    <row r="562">
      <c r="A562" s="459"/>
      <c r="C562" s="276"/>
      <c r="D562" s="276"/>
      <c r="E562" s="651"/>
      <c r="F562" s="55"/>
      <c r="G562" s="651"/>
      <c r="H562" s="55"/>
      <c r="I562" s="651"/>
      <c r="K562" s="652"/>
      <c r="M562" s="276"/>
    </row>
    <row r="563">
      <c r="A563" s="459"/>
      <c r="C563" s="276"/>
      <c r="D563" s="276"/>
      <c r="E563" s="651"/>
      <c r="F563" s="55"/>
      <c r="G563" s="651"/>
      <c r="H563" s="55"/>
      <c r="I563" s="651"/>
      <c r="K563" s="652"/>
      <c r="M563" s="276"/>
    </row>
    <row r="564">
      <c r="A564" s="459"/>
      <c r="C564" s="276"/>
      <c r="D564" s="276"/>
      <c r="E564" s="651"/>
      <c r="F564" s="55"/>
      <c r="G564" s="651"/>
      <c r="H564" s="55"/>
      <c r="I564" s="651"/>
      <c r="K564" s="652"/>
      <c r="M564" s="276"/>
    </row>
    <row r="565">
      <c r="A565" s="459"/>
      <c r="C565" s="276"/>
      <c r="D565" s="276"/>
      <c r="E565" s="651"/>
      <c r="F565" s="55"/>
      <c r="G565" s="651"/>
      <c r="H565" s="55"/>
      <c r="I565" s="651"/>
      <c r="K565" s="652"/>
      <c r="M565" s="276"/>
    </row>
    <row r="566">
      <c r="A566" s="459"/>
      <c r="C566" s="276"/>
      <c r="D566" s="276"/>
      <c r="E566" s="651"/>
      <c r="F566" s="55"/>
      <c r="G566" s="651"/>
      <c r="H566" s="55"/>
      <c r="I566" s="651"/>
      <c r="K566" s="652"/>
      <c r="M566" s="276"/>
    </row>
    <row r="567">
      <c r="A567" s="459"/>
      <c r="C567" s="276"/>
      <c r="D567" s="276"/>
      <c r="E567" s="651"/>
      <c r="F567" s="55"/>
      <c r="G567" s="651"/>
      <c r="H567" s="55"/>
      <c r="I567" s="651"/>
      <c r="K567" s="652"/>
      <c r="M567" s="276"/>
    </row>
    <row r="568">
      <c r="A568" s="459"/>
      <c r="C568" s="276"/>
      <c r="D568" s="276"/>
      <c r="E568" s="651"/>
      <c r="F568" s="55"/>
      <c r="G568" s="651"/>
      <c r="H568" s="55"/>
      <c r="I568" s="651"/>
      <c r="K568" s="652"/>
      <c r="M568" s="276"/>
    </row>
    <row r="569">
      <c r="A569" s="459"/>
      <c r="C569" s="276"/>
      <c r="D569" s="276"/>
      <c r="E569" s="651"/>
      <c r="F569" s="55"/>
      <c r="G569" s="651"/>
      <c r="H569" s="55"/>
      <c r="I569" s="651"/>
      <c r="K569" s="652"/>
      <c r="M569" s="276"/>
    </row>
    <row r="570">
      <c r="A570" s="459"/>
      <c r="C570" s="276"/>
      <c r="D570" s="276"/>
      <c r="E570" s="651"/>
      <c r="F570" s="55"/>
      <c r="G570" s="651"/>
      <c r="H570" s="55"/>
      <c r="I570" s="651"/>
      <c r="K570" s="652"/>
      <c r="M570" s="276"/>
    </row>
    <row r="571">
      <c r="A571" s="459"/>
      <c r="C571" s="276"/>
      <c r="D571" s="276"/>
      <c r="E571" s="651"/>
      <c r="F571" s="55"/>
      <c r="G571" s="651"/>
      <c r="H571" s="55"/>
      <c r="I571" s="651"/>
      <c r="K571" s="652"/>
      <c r="M571" s="276"/>
    </row>
    <row r="572">
      <c r="A572" s="459"/>
      <c r="C572" s="276"/>
      <c r="D572" s="276"/>
      <c r="E572" s="651"/>
      <c r="F572" s="55"/>
      <c r="G572" s="651"/>
      <c r="H572" s="55"/>
      <c r="I572" s="651"/>
      <c r="K572" s="652"/>
      <c r="M572" s="276"/>
    </row>
    <row r="573">
      <c r="A573" s="459"/>
      <c r="C573" s="276"/>
      <c r="D573" s="276"/>
      <c r="E573" s="651"/>
      <c r="F573" s="55"/>
      <c r="G573" s="651"/>
      <c r="H573" s="55"/>
      <c r="I573" s="651"/>
      <c r="K573" s="652"/>
      <c r="M573" s="276"/>
    </row>
    <row r="574">
      <c r="A574" s="459"/>
      <c r="C574" s="276"/>
      <c r="D574" s="276"/>
      <c r="E574" s="651"/>
      <c r="F574" s="55"/>
      <c r="G574" s="651"/>
      <c r="H574" s="55"/>
      <c r="I574" s="651"/>
      <c r="K574" s="652"/>
      <c r="M574" s="276"/>
    </row>
    <row r="575">
      <c r="A575" s="459"/>
      <c r="C575" s="276"/>
      <c r="D575" s="276"/>
      <c r="E575" s="651"/>
      <c r="F575" s="55"/>
      <c r="G575" s="651"/>
      <c r="H575" s="55"/>
      <c r="I575" s="651"/>
      <c r="K575" s="652"/>
      <c r="M575" s="276"/>
    </row>
    <row r="576">
      <c r="A576" s="459"/>
      <c r="C576" s="276"/>
      <c r="D576" s="276"/>
      <c r="E576" s="651"/>
      <c r="F576" s="55"/>
      <c r="G576" s="651"/>
      <c r="H576" s="55"/>
      <c r="I576" s="651"/>
      <c r="K576" s="652"/>
      <c r="M576" s="276"/>
    </row>
    <row r="577">
      <c r="A577" s="459"/>
      <c r="C577" s="276"/>
      <c r="D577" s="276"/>
      <c r="E577" s="651"/>
      <c r="F577" s="55"/>
      <c r="G577" s="651"/>
      <c r="H577" s="55"/>
      <c r="I577" s="651"/>
      <c r="K577" s="652"/>
      <c r="M577" s="276"/>
    </row>
    <row r="578">
      <c r="A578" s="459"/>
      <c r="C578" s="276"/>
      <c r="D578" s="276"/>
      <c r="E578" s="651"/>
      <c r="F578" s="55"/>
      <c r="G578" s="651"/>
      <c r="H578" s="55"/>
      <c r="I578" s="651"/>
      <c r="K578" s="652"/>
      <c r="M578" s="276"/>
    </row>
    <row r="579">
      <c r="A579" s="459"/>
      <c r="C579" s="276"/>
      <c r="D579" s="276"/>
      <c r="E579" s="651"/>
      <c r="F579" s="55"/>
      <c r="G579" s="651"/>
      <c r="H579" s="55"/>
      <c r="I579" s="651"/>
      <c r="K579" s="652"/>
      <c r="M579" s="276"/>
    </row>
    <row r="580">
      <c r="A580" s="459"/>
      <c r="C580" s="276"/>
      <c r="D580" s="276"/>
      <c r="E580" s="651"/>
      <c r="F580" s="55"/>
      <c r="G580" s="651"/>
      <c r="H580" s="55"/>
      <c r="I580" s="651"/>
      <c r="K580" s="652"/>
      <c r="M580" s="276"/>
    </row>
    <row r="581">
      <c r="A581" s="459"/>
      <c r="C581" s="276"/>
      <c r="D581" s="276"/>
      <c r="E581" s="651"/>
      <c r="F581" s="55"/>
      <c r="G581" s="651"/>
      <c r="H581" s="55"/>
      <c r="I581" s="651"/>
      <c r="K581" s="652"/>
      <c r="M581" s="276"/>
    </row>
    <row r="582">
      <c r="A582" s="459"/>
      <c r="C582" s="276"/>
      <c r="D582" s="276"/>
      <c r="E582" s="651"/>
      <c r="F582" s="55"/>
      <c r="G582" s="651"/>
      <c r="H582" s="55"/>
      <c r="I582" s="651"/>
      <c r="K582" s="652"/>
      <c r="M582" s="276"/>
    </row>
    <row r="583">
      <c r="A583" s="459"/>
      <c r="C583" s="276"/>
      <c r="D583" s="276"/>
      <c r="E583" s="651"/>
      <c r="F583" s="55"/>
      <c r="G583" s="651"/>
      <c r="H583" s="55"/>
      <c r="I583" s="651"/>
      <c r="K583" s="652"/>
      <c r="M583" s="276"/>
    </row>
    <row r="584">
      <c r="A584" s="459"/>
      <c r="C584" s="276"/>
      <c r="D584" s="276"/>
      <c r="E584" s="651"/>
      <c r="F584" s="55"/>
      <c r="G584" s="651"/>
      <c r="H584" s="55"/>
      <c r="I584" s="651"/>
      <c r="K584" s="652"/>
      <c r="M584" s="276"/>
    </row>
    <row r="585">
      <c r="A585" s="459"/>
      <c r="C585" s="276"/>
      <c r="D585" s="276"/>
      <c r="E585" s="651"/>
      <c r="F585" s="55"/>
      <c r="G585" s="651"/>
      <c r="H585" s="55"/>
      <c r="I585" s="651"/>
      <c r="K585" s="652"/>
      <c r="M585" s="276"/>
    </row>
    <row r="586">
      <c r="A586" s="459"/>
      <c r="C586" s="276"/>
      <c r="D586" s="276"/>
      <c r="E586" s="651"/>
      <c r="F586" s="55"/>
      <c r="G586" s="651"/>
      <c r="H586" s="55"/>
      <c r="I586" s="651"/>
      <c r="K586" s="652"/>
      <c r="M586" s="276"/>
    </row>
    <row r="587">
      <c r="A587" s="459"/>
      <c r="C587" s="276"/>
      <c r="D587" s="276"/>
      <c r="E587" s="651"/>
      <c r="F587" s="55"/>
      <c r="G587" s="651"/>
      <c r="H587" s="55"/>
      <c r="I587" s="651"/>
      <c r="K587" s="652"/>
      <c r="M587" s="276"/>
    </row>
    <row r="588">
      <c r="A588" s="459"/>
      <c r="C588" s="276"/>
      <c r="D588" s="276"/>
      <c r="E588" s="651"/>
      <c r="F588" s="55"/>
      <c r="G588" s="651"/>
      <c r="H588" s="55"/>
      <c r="I588" s="651"/>
      <c r="K588" s="652"/>
      <c r="M588" s="276"/>
    </row>
    <row r="589">
      <c r="A589" s="459"/>
      <c r="C589" s="276"/>
      <c r="D589" s="276"/>
      <c r="E589" s="651"/>
      <c r="F589" s="55"/>
      <c r="G589" s="651"/>
      <c r="H589" s="55"/>
      <c r="I589" s="651"/>
      <c r="K589" s="652"/>
      <c r="M589" s="276"/>
    </row>
    <row r="590">
      <c r="A590" s="459"/>
      <c r="C590" s="276"/>
      <c r="D590" s="276"/>
      <c r="E590" s="651"/>
      <c r="F590" s="55"/>
      <c r="G590" s="651"/>
      <c r="H590" s="55"/>
      <c r="I590" s="651"/>
      <c r="K590" s="652"/>
      <c r="M590" s="276"/>
    </row>
    <row r="591">
      <c r="A591" s="459"/>
      <c r="C591" s="276"/>
      <c r="D591" s="276"/>
      <c r="E591" s="651"/>
      <c r="F591" s="55"/>
      <c r="G591" s="651"/>
      <c r="H591" s="55"/>
      <c r="I591" s="651"/>
      <c r="K591" s="652"/>
      <c r="M591" s="276"/>
    </row>
    <row r="592">
      <c r="A592" s="459"/>
      <c r="C592" s="276"/>
      <c r="D592" s="276"/>
      <c r="E592" s="651"/>
      <c r="F592" s="55"/>
      <c r="G592" s="651"/>
      <c r="H592" s="55"/>
      <c r="I592" s="651"/>
      <c r="K592" s="652"/>
      <c r="M592" s="276"/>
    </row>
    <row r="593">
      <c r="A593" s="459"/>
      <c r="C593" s="276"/>
      <c r="D593" s="276"/>
      <c r="E593" s="651"/>
      <c r="F593" s="55"/>
      <c r="G593" s="651"/>
      <c r="H593" s="55"/>
      <c r="I593" s="651"/>
      <c r="K593" s="652"/>
      <c r="M593" s="276"/>
    </row>
    <row r="594">
      <c r="A594" s="459"/>
      <c r="C594" s="276"/>
      <c r="D594" s="276"/>
      <c r="E594" s="651"/>
      <c r="F594" s="55"/>
      <c r="G594" s="651"/>
      <c r="H594" s="55"/>
      <c r="I594" s="651"/>
      <c r="K594" s="652"/>
      <c r="M594" s="276"/>
    </row>
    <row r="595">
      <c r="A595" s="459"/>
      <c r="C595" s="276"/>
      <c r="D595" s="276"/>
      <c r="E595" s="651"/>
      <c r="F595" s="55"/>
      <c r="G595" s="651"/>
      <c r="H595" s="55"/>
      <c r="I595" s="651"/>
      <c r="K595" s="652"/>
      <c r="M595" s="276"/>
    </row>
    <row r="596">
      <c r="A596" s="459"/>
      <c r="C596" s="276"/>
      <c r="D596" s="276"/>
      <c r="E596" s="651"/>
      <c r="F596" s="55"/>
      <c r="G596" s="651"/>
      <c r="H596" s="55"/>
      <c r="I596" s="651"/>
      <c r="K596" s="652"/>
      <c r="M596" s="276"/>
    </row>
    <row r="597">
      <c r="A597" s="459"/>
      <c r="C597" s="276"/>
      <c r="D597" s="276"/>
      <c r="E597" s="651"/>
      <c r="F597" s="55"/>
      <c r="G597" s="651"/>
      <c r="H597" s="55"/>
      <c r="I597" s="651"/>
      <c r="K597" s="652"/>
      <c r="M597" s="276"/>
    </row>
    <row r="598">
      <c r="A598" s="459"/>
      <c r="C598" s="276"/>
      <c r="D598" s="276"/>
      <c r="E598" s="651"/>
      <c r="F598" s="55"/>
      <c r="G598" s="651"/>
      <c r="H598" s="55"/>
      <c r="I598" s="651"/>
      <c r="K598" s="652"/>
      <c r="M598" s="276"/>
    </row>
    <row r="599">
      <c r="A599" s="459"/>
      <c r="C599" s="276"/>
      <c r="D599" s="276"/>
      <c r="E599" s="651"/>
      <c r="F599" s="55"/>
      <c r="G599" s="651"/>
      <c r="H599" s="55"/>
      <c r="I599" s="651"/>
      <c r="K599" s="652"/>
      <c r="M599" s="276"/>
    </row>
    <row r="600">
      <c r="A600" s="459"/>
      <c r="C600" s="276"/>
      <c r="D600" s="276"/>
      <c r="E600" s="651"/>
      <c r="F600" s="55"/>
      <c r="G600" s="651"/>
      <c r="H600" s="55"/>
      <c r="I600" s="651"/>
      <c r="K600" s="652"/>
      <c r="M600" s="276"/>
    </row>
    <row r="601">
      <c r="A601" s="459"/>
      <c r="C601" s="276"/>
      <c r="D601" s="276"/>
      <c r="E601" s="651"/>
      <c r="F601" s="55"/>
      <c r="G601" s="651"/>
      <c r="H601" s="55"/>
      <c r="I601" s="651"/>
      <c r="K601" s="652"/>
      <c r="M601" s="276"/>
    </row>
    <row r="602">
      <c r="A602" s="459"/>
      <c r="C602" s="276"/>
      <c r="D602" s="276"/>
      <c r="E602" s="651"/>
      <c r="F602" s="55"/>
      <c r="G602" s="651"/>
      <c r="H602" s="55"/>
      <c r="I602" s="651"/>
      <c r="K602" s="652"/>
      <c r="M602" s="276"/>
    </row>
    <row r="603">
      <c r="A603" s="459"/>
      <c r="C603" s="276"/>
      <c r="D603" s="276"/>
      <c r="E603" s="651"/>
      <c r="F603" s="55"/>
      <c r="G603" s="651"/>
      <c r="H603" s="55"/>
      <c r="I603" s="651"/>
      <c r="K603" s="652"/>
      <c r="M603" s="276"/>
    </row>
    <row r="604">
      <c r="A604" s="459"/>
      <c r="C604" s="276"/>
      <c r="D604" s="276"/>
      <c r="E604" s="651"/>
      <c r="F604" s="55"/>
      <c r="G604" s="651"/>
      <c r="H604" s="55"/>
      <c r="I604" s="651"/>
      <c r="K604" s="652"/>
      <c r="M604" s="276"/>
    </row>
    <row r="605">
      <c r="A605" s="459"/>
      <c r="C605" s="276"/>
      <c r="D605" s="276"/>
      <c r="E605" s="651"/>
      <c r="F605" s="55"/>
      <c r="G605" s="651"/>
      <c r="H605" s="55"/>
      <c r="I605" s="651"/>
      <c r="K605" s="652"/>
      <c r="M605" s="276"/>
    </row>
    <row r="606">
      <c r="A606" s="459"/>
      <c r="C606" s="276"/>
      <c r="D606" s="276"/>
      <c r="E606" s="651"/>
      <c r="F606" s="55"/>
      <c r="G606" s="651"/>
      <c r="H606" s="55"/>
      <c r="I606" s="651"/>
      <c r="K606" s="652"/>
      <c r="M606" s="276"/>
    </row>
    <row r="607">
      <c r="A607" s="459"/>
      <c r="C607" s="276"/>
      <c r="D607" s="276"/>
      <c r="E607" s="651"/>
      <c r="F607" s="55"/>
      <c r="G607" s="651"/>
      <c r="H607" s="55"/>
      <c r="I607" s="651"/>
      <c r="K607" s="652"/>
      <c r="M607" s="276"/>
    </row>
    <row r="608">
      <c r="A608" s="459"/>
      <c r="C608" s="276"/>
      <c r="D608" s="276"/>
      <c r="E608" s="651"/>
      <c r="F608" s="55"/>
      <c r="G608" s="651"/>
      <c r="H608" s="55"/>
      <c r="I608" s="651"/>
      <c r="K608" s="652"/>
      <c r="M608" s="276"/>
    </row>
    <row r="609">
      <c r="A609" s="459"/>
      <c r="C609" s="276"/>
      <c r="D609" s="276"/>
      <c r="E609" s="651"/>
      <c r="F609" s="55"/>
      <c r="G609" s="651"/>
      <c r="H609" s="55"/>
      <c r="I609" s="651"/>
      <c r="K609" s="652"/>
      <c r="M609" s="276"/>
    </row>
    <row r="610">
      <c r="A610" s="459"/>
      <c r="C610" s="276"/>
      <c r="D610" s="276"/>
      <c r="E610" s="651"/>
      <c r="F610" s="55"/>
      <c r="G610" s="651"/>
      <c r="H610" s="55"/>
      <c r="I610" s="651"/>
      <c r="K610" s="652"/>
      <c r="M610" s="276"/>
    </row>
    <row r="611">
      <c r="A611" s="459"/>
      <c r="C611" s="276"/>
      <c r="D611" s="276"/>
      <c r="E611" s="651"/>
      <c r="F611" s="55"/>
      <c r="G611" s="651"/>
      <c r="H611" s="55"/>
      <c r="I611" s="651"/>
      <c r="K611" s="652"/>
      <c r="M611" s="276"/>
    </row>
    <row r="612">
      <c r="A612" s="459"/>
      <c r="C612" s="276"/>
      <c r="D612" s="276"/>
      <c r="E612" s="651"/>
      <c r="F612" s="55"/>
      <c r="G612" s="651"/>
      <c r="H612" s="55"/>
      <c r="I612" s="651"/>
      <c r="K612" s="652"/>
      <c r="M612" s="276"/>
    </row>
    <row r="613">
      <c r="A613" s="459"/>
      <c r="C613" s="276"/>
      <c r="D613" s="276"/>
      <c r="E613" s="651"/>
      <c r="F613" s="55"/>
      <c r="G613" s="651"/>
      <c r="H613" s="55"/>
      <c r="I613" s="651"/>
      <c r="K613" s="652"/>
      <c r="M613" s="276"/>
    </row>
    <row r="614">
      <c r="A614" s="459"/>
      <c r="C614" s="276"/>
      <c r="D614" s="276"/>
      <c r="E614" s="651"/>
      <c r="F614" s="55"/>
      <c r="G614" s="651"/>
      <c r="H614" s="55"/>
      <c r="I614" s="651"/>
      <c r="K614" s="652"/>
      <c r="M614" s="276"/>
    </row>
    <row r="615">
      <c r="A615" s="459"/>
      <c r="C615" s="276"/>
      <c r="D615" s="276"/>
      <c r="E615" s="651"/>
      <c r="F615" s="55"/>
      <c r="G615" s="651"/>
      <c r="H615" s="55"/>
      <c r="I615" s="651"/>
      <c r="K615" s="652"/>
      <c r="M615" s="276"/>
    </row>
    <row r="616">
      <c r="A616" s="459"/>
      <c r="C616" s="276"/>
      <c r="D616" s="276"/>
      <c r="E616" s="651"/>
      <c r="F616" s="55"/>
      <c r="G616" s="651"/>
      <c r="H616" s="55"/>
      <c r="I616" s="651"/>
      <c r="K616" s="652"/>
      <c r="M616" s="276"/>
    </row>
    <row r="617">
      <c r="A617" s="459"/>
      <c r="C617" s="276"/>
      <c r="D617" s="276"/>
      <c r="E617" s="651"/>
      <c r="F617" s="55"/>
      <c r="G617" s="651"/>
      <c r="H617" s="55"/>
      <c r="I617" s="651"/>
      <c r="K617" s="652"/>
      <c r="M617" s="276"/>
    </row>
    <row r="618">
      <c r="A618" s="459"/>
      <c r="C618" s="276"/>
      <c r="D618" s="276"/>
      <c r="E618" s="651"/>
      <c r="F618" s="55"/>
      <c r="G618" s="651"/>
      <c r="H618" s="55"/>
      <c r="I618" s="651"/>
      <c r="K618" s="652"/>
      <c r="M618" s="276"/>
    </row>
    <row r="619">
      <c r="A619" s="459"/>
      <c r="C619" s="276"/>
      <c r="D619" s="276"/>
      <c r="E619" s="651"/>
      <c r="F619" s="55"/>
      <c r="G619" s="651"/>
      <c r="H619" s="55"/>
      <c r="I619" s="651"/>
      <c r="K619" s="652"/>
      <c r="M619" s="276"/>
    </row>
    <row r="620">
      <c r="A620" s="459"/>
      <c r="C620" s="276"/>
      <c r="D620" s="276"/>
      <c r="E620" s="651"/>
      <c r="F620" s="55"/>
      <c r="G620" s="651"/>
      <c r="H620" s="55"/>
      <c r="I620" s="651"/>
      <c r="K620" s="652"/>
      <c r="M620" s="276"/>
    </row>
    <row r="621">
      <c r="A621" s="459"/>
      <c r="C621" s="276"/>
      <c r="D621" s="276"/>
      <c r="E621" s="651"/>
      <c r="F621" s="55"/>
      <c r="G621" s="651"/>
      <c r="H621" s="55"/>
      <c r="I621" s="651"/>
      <c r="K621" s="652"/>
      <c r="M621" s="276"/>
    </row>
    <row r="622">
      <c r="A622" s="459"/>
      <c r="C622" s="276"/>
      <c r="D622" s="276"/>
      <c r="E622" s="651"/>
      <c r="F622" s="55"/>
      <c r="G622" s="651"/>
      <c r="H622" s="55"/>
      <c r="I622" s="651"/>
      <c r="K622" s="652"/>
      <c r="M622" s="276"/>
    </row>
    <row r="623">
      <c r="A623" s="459"/>
      <c r="C623" s="276"/>
      <c r="D623" s="276"/>
      <c r="E623" s="651"/>
      <c r="F623" s="55"/>
      <c r="G623" s="651"/>
      <c r="H623" s="55"/>
      <c r="I623" s="651"/>
      <c r="K623" s="652"/>
      <c r="M623" s="276"/>
    </row>
    <row r="624">
      <c r="A624" s="459"/>
      <c r="C624" s="276"/>
      <c r="D624" s="276"/>
      <c r="E624" s="651"/>
      <c r="F624" s="55"/>
      <c r="G624" s="651"/>
      <c r="H624" s="55"/>
      <c r="I624" s="651"/>
      <c r="K624" s="652"/>
      <c r="M624" s="276"/>
    </row>
    <row r="625">
      <c r="A625" s="459"/>
      <c r="C625" s="276"/>
      <c r="D625" s="276"/>
      <c r="E625" s="651"/>
      <c r="F625" s="55"/>
      <c r="G625" s="651"/>
      <c r="H625" s="55"/>
      <c r="I625" s="651"/>
      <c r="K625" s="652"/>
      <c r="M625" s="276"/>
    </row>
    <row r="626">
      <c r="A626" s="459"/>
      <c r="C626" s="276"/>
      <c r="D626" s="276"/>
      <c r="E626" s="651"/>
      <c r="F626" s="55"/>
      <c r="G626" s="651"/>
      <c r="H626" s="55"/>
      <c r="I626" s="651"/>
      <c r="K626" s="652"/>
      <c r="M626" s="276"/>
    </row>
    <row r="627">
      <c r="A627" s="459"/>
      <c r="C627" s="276"/>
      <c r="D627" s="276"/>
      <c r="E627" s="651"/>
      <c r="F627" s="55"/>
      <c r="G627" s="651"/>
      <c r="H627" s="55"/>
      <c r="I627" s="651"/>
      <c r="K627" s="652"/>
      <c r="M627" s="276"/>
    </row>
    <row r="628">
      <c r="A628" s="459"/>
      <c r="C628" s="276"/>
      <c r="D628" s="276"/>
      <c r="E628" s="651"/>
      <c r="F628" s="55"/>
      <c r="G628" s="651"/>
      <c r="H628" s="55"/>
      <c r="I628" s="651"/>
      <c r="K628" s="652"/>
      <c r="M628" s="276"/>
    </row>
    <row r="629">
      <c r="A629" s="459"/>
      <c r="C629" s="276"/>
      <c r="D629" s="276"/>
      <c r="E629" s="651"/>
      <c r="F629" s="55"/>
      <c r="G629" s="651"/>
      <c r="H629" s="55"/>
      <c r="I629" s="651"/>
      <c r="K629" s="652"/>
      <c r="M629" s="276"/>
    </row>
    <row r="630">
      <c r="A630" s="459"/>
      <c r="C630" s="276"/>
      <c r="D630" s="276"/>
      <c r="E630" s="651"/>
      <c r="F630" s="55"/>
      <c r="G630" s="651"/>
      <c r="H630" s="55"/>
      <c r="I630" s="651"/>
      <c r="K630" s="652"/>
      <c r="M630" s="276"/>
    </row>
    <row r="631">
      <c r="A631" s="459"/>
      <c r="C631" s="276"/>
      <c r="D631" s="276"/>
      <c r="E631" s="651"/>
      <c r="F631" s="55"/>
      <c r="G631" s="651"/>
      <c r="H631" s="55"/>
      <c r="I631" s="651"/>
      <c r="K631" s="652"/>
      <c r="M631" s="276"/>
    </row>
    <row r="632">
      <c r="A632" s="459"/>
      <c r="C632" s="276"/>
      <c r="D632" s="276"/>
      <c r="E632" s="651"/>
      <c r="F632" s="55"/>
      <c r="G632" s="651"/>
      <c r="H632" s="55"/>
      <c r="I632" s="651"/>
      <c r="K632" s="652"/>
      <c r="M632" s="276"/>
    </row>
    <row r="633">
      <c r="A633" s="459"/>
      <c r="C633" s="276"/>
      <c r="D633" s="276"/>
      <c r="E633" s="651"/>
      <c r="F633" s="55"/>
      <c r="G633" s="651"/>
      <c r="H633" s="55"/>
      <c r="I633" s="651"/>
      <c r="K633" s="652"/>
      <c r="M633" s="276"/>
    </row>
    <row r="634">
      <c r="A634" s="459"/>
      <c r="C634" s="276"/>
      <c r="D634" s="276"/>
      <c r="E634" s="651"/>
      <c r="F634" s="55"/>
      <c r="G634" s="651"/>
      <c r="H634" s="55"/>
      <c r="I634" s="651"/>
      <c r="K634" s="652"/>
      <c r="M634" s="276"/>
    </row>
    <row r="635">
      <c r="A635" s="459"/>
      <c r="C635" s="276"/>
      <c r="D635" s="276"/>
      <c r="E635" s="651"/>
      <c r="F635" s="55"/>
      <c r="G635" s="651"/>
      <c r="H635" s="55"/>
      <c r="I635" s="651"/>
      <c r="K635" s="652"/>
      <c r="M635" s="276"/>
    </row>
    <row r="636">
      <c r="A636" s="459"/>
      <c r="C636" s="276"/>
      <c r="D636" s="276"/>
      <c r="E636" s="651"/>
      <c r="F636" s="55"/>
      <c r="G636" s="651"/>
      <c r="H636" s="55"/>
      <c r="I636" s="651"/>
      <c r="K636" s="652"/>
      <c r="M636" s="276"/>
    </row>
    <row r="637">
      <c r="A637" s="459"/>
      <c r="C637" s="276"/>
      <c r="D637" s="276"/>
      <c r="E637" s="651"/>
      <c r="F637" s="55"/>
      <c r="G637" s="651"/>
      <c r="H637" s="55"/>
      <c r="I637" s="651"/>
      <c r="K637" s="652"/>
      <c r="M637" s="276"/>
    </row>
    <row r="638">
      <c r="A638" s="459"/>
      <c r="C638" s="276"/>
      <c r="D638" s="276"/>
      <c r="E638" s="651"/>
      <c r="F638" s="55"/>
      <c r="G638" s="651"/>
      <c r="H638" s="55"/>
      <c r="I638" s="651"/>
      <c r="K638" s="652"/>
      <c r="M638" s="276"/>
    </row>
    <row r="639">
      <c r="A639" s="459"/>
      <c r="C639" s="276"/>
      <c r="D639" s="276"/>
      <c r="E639" s="651"/>
      <c r="F639" s="55"/>
      <c r="G639" s="651"/>
      <c r="H639" s="55"/>
      <c r="I639" s="651"/>
      <c r="K639" s="652"/>
      <c r="M639" s="276"/>
    </row>
    <row r="640">
      <c r="A640" s="459"/>
      <c r="C640" s="276"/>
      <c r="D640" s="276"/>
      <c r="E640" s="651"/>
      <c r="F640" s="55"/>
      <c r="G640" s="651"/>
      <c r="H640" s="55"/>
      <c r="I640" s="651"/>
      <c r="K640" s="652"/>
      <c r="M640" s="276"/>
    </row>
    <row r="641">
      <c r="A641" s="459"/>
      <c r="C641" s="276"/>
      <c r="D641" s="276"/>
      <c r="E641" s="651"/>
      <c r="F641" s="55"/>
      <c r="G641" s="651"/>
      <c r="H641" s="55"/>
      <c r="I641" s="651"/>
      <c r="K641" s="652"/>
      <c r="M641" s="276"/>
    </row>
    <row r="642">
      <c r="A642" s="459"/>
      <c r="C642" s="276"/>
      <c r="D642" s="276"/>
      <c r="E642" s="651"/>
      <c r="F642" s="55"/>
      <c r="G642" s="651"/>
      <c r="H642" s="55"/>
      <c r="I642" s="651"/>
      <c r="K642" s="652"/>
      <c r="M642" s="276"/>
    </row>
    <row r="643">
      <c r="A643" s="459"/>
      <c r="C643" s="276"/>
      <c r="D643" s="276"/>
      <c r="E643" s="651"/>
      <c r="F643" s="55"/>
      <c r="G643" s="651"/>
      <c r="H643" s="55"/>
      <c r="I643" s="651"/>
      <c r="K643" s="652"/>
      <c r="M643" s="276"/>
    </row>
    <row r="644">
      <c r="A644" s="459"/>
      <c r="C644" s="276"/>
      <c r="D644" s="276"/>
      <c r="E644" s="651"/>
      <c r="F644" s="55"/>
      <c r="G644" s="651"/>
      <c r="H644" s="55"/>
      <c r="I644" s="651"/>
      <c r="K644" s="652"/>
      <c r="M644" s="276"/>
    </row>
    <row r="645">
      <c r="A645" s="459"/>
      <c r="C645" s="276"/>
      <c r="D645" s="276"/>
      <c r="E645" s="651"/>
      <c r="F645" s="55"/>
      <c r="G645" s="651"/>
      <c r="H645" s="55"/>
      <c r="I645" s="651"/>
      <c r="K645" s="652"/>
      <c r="M645" s="276"/>
    </row>
    <row r="646">
      <c r="A646" s="459"/>
      <c r="C646" s="276"/>
      <c r="D646" s="276"/>
      <c r="E646" s="651"/>
      <c r="F646" s="55"/>
      <c r="G646" s="651"/>
      <c r="H646" s="55"/>
      <c r="I646" s="651"/>
      <c r="K646" s="652"/>
      <c r="M646" s="276"/>
    </row>
    <row r="647">
      <c r="A647" s="459"/>
      <c r="C647" s="276"/>
      <c r="D647" s="276"/>
      <c r="E647" s="651"/>
      <c r="F647" s="55"/>
      <c r="G647" s="651"/>
      <c r="H647" s="55"/>
      <c r="I647" s="651"/>
      <c r="K647" s="652"/>
      <c r="M647" s="276"/>
    </row>
    <row r="648">
      <c r="A648" s="459"/>
      <c r="C648" s="276"/>
      <c r="D648" s="276"/>
      <c r="E648" s="651"/>
      <c r="F648" s="55"/>
      <c r="G648" s="651"/>
      <c r="H648" s="55"/>
      <c r="I648" s="651"/>
      <c r="K648" s="652"/>
      <c r="M648" s="276"/>
    </row>
    <row r="649">
      <c r="A649" s="459"/>
      <c r="C649" s="276"/>
      <c r="D649" s="276"/>
      <c r="E649" s="651"/>
      <c r="F649" s="55"/>
      <c r="G649" s="651"/>
      <c r="H649" s="55"/>
      <c r="I649" s="651"/>
      <c r="K649" s="652"/>
      <c r="M649" s="276"/>
    </row>
    <row r="650">
      <c r="A650" s="459"/>
      <c r="C650" s="276"/>
      <c r="D650" s="276"/>
      <c r="E650" s="651"/>
      <c r="F650" s="55"/>
      <c r="G650" s="651"/>
      <c r="H650" s="55"/>
      <c r="I650" s="651"/>
      <c r="K650" s="652"/>
      <c r="M650" s="276"/>
    </row>
    <row r="651">
      <c r="A651" s="459"/>
      <c r="C651" s="276"/>
      <c r="D651" s="276"/>
      <c r="E651" s="651"/>
      <c r="F651" s="55"/>
      <c r="G651" s="651"/>
      <c r="H651" s="55"/>
      <c r="I651" s="651"/>
      <c r="K651" s="652"/>
      <c r="M651" s="276"/>
    </row>
    <row r="652">
      <c r="A652" s="459"/>
      <c r="C652" s="276"/>
      <c r="D652" s="276"/>
      <c r="E652" s="651"/>
      <c r="F652" s="55"/>
      <c r="G652" s="651"/>
      <c r="H652" s="55"/>
      <c r="I652" s="651"/>
      <c r="K652" s="652"/>
      <c r="M652" s="276"/>
    </row>
    <row r="653">
      <c r="A653" s="459"/>
      <c r="C653" s="276"/>
      <c r="D653" s="276"/>
      <c r="E653" s="651"/>
      <c r="F653" s="55"/>
      <c r="G653" s="651"/>
      <c r="H653" s="55"/>
      <c r="I653" s="651"/>
      <c r="K653" s="652"/>
      <c r="M653" s="276"/>
    </row>
    <row r="654">
      <c r="A654" s="459"/>
      <c r="C654" s="276"/>
      <c r="D654" s="276"/>
      <c r="E654" s="651"/>
      <c r="F654" s="55"/>
      <c r="G654" s="651"/>
      <c r="H654" s="55"/>
      <c r="I654" s="651"/>
      <c r="K654" s="652"/>
      <c r="M654" s="276"/>
    </row>
    <row r="655">
      <c r="A655" s="459"/>
      <c r="C655" s="276"/>
      <c r="D655" s="276"/>
      <c r="E655" s="651"/>
      <c r="F655" s="55"/>
      <c r="G655" s="651"/>
      <c r="H655" s="55"/>
      <c r="I655" s="651"/>
      <c r="K655" s="652"/>
      <c r="M655" s="276"/>
    </row>
    <row r="656">
      <c r="A656" s="459"/>
      <c r="C656" s="276"/>
      <c r="D656" s="276"/>
      <c r="E656" s="651"/>
      <c r="F656" s="55"/>
      <c r="G656" s="651"/>
      <c r="H656" s="55"/>
      <c r="I656" s="651"/>
      <c r="K656" s="652"/>
      <c r="M656" s="276"/>
    </row>
    <row r="657">
      <c r="A657" s="459"/>
      <c r="C657" s="276"/>
      <c r="D657" s="276"/>
      <c r="E657" s="651"/>
      <c r="F657" s="55"/>
      <c r="G657" s="651"/>
      <c r="H657" s="55"/>
      <c r="I657" s="651"/>
      <c r="K657" s="652"/>
      <c r="M657" s="276"/>
    </row>
    <row r="658">
      <c r="A658" s="459"/>
      <c r="C658" s="276"/>
      <c r="D658" s="276"/>
      <c r="E658" s="651"/>
      <c r="F658" s="55"/>
      <c r="G658" s="651"/>
      <c r="H658" s="55"/>
      <c r="I658" s="651"/>
      <c r="K658" s="652"/>
      <c r="M658" s="276"/>
    </row>
    <row r="659">
      <c r="A659" s="459"/>
      <c r="C659" s="276"/>
      <c r="D659" s="276"/>
      <c r="E659" s="651"/>
      <c r="F659" s="55"/>
      <c r="G659" s="651"/>
      <c r="H659" s="55"/>
      <c r="I659" s="651"/>
      <c r="K659" s="652"/>
      <c r="M659" s="276"/>
    </row>
    <row r="660">
      <c r="A660" s="459"/>
      <c r="C660" s="276"/>
      <c r="D660" s="276"/>
      <c r="E660" s="651"/>
      <c r="F660" s="55"/>
      <c r="G660" s="651"/>
      <c r="H660" s="55"/>
      <c r="I660" s="651"/>
      <c r="K660" s="652"/>
      <c r="M660" s="276"/>
    </row>
    <row r="661">
      <c r="A661" s="459"/>
      <c r="C661" s="276"/>
      <c r="D661" s="276"/>
      <c r="E661" s="651"/>
      <c r="F661" s="55"/>
      <c r="G661" s="651"/>
      <c r="H661" s="55"/>
      <c r="I661" s="651"/>
      <c r="K661" s="652"/>
      <c r="M661" s="276"/>
    </row>
    <row r="662">
      <c r="A662" s="459"/>
      <c r="C662" s="276"/>
      <c r="D662" s="276"/>
      <c r="E662" s="651"/>
      <c r="F662" s="55"/>
      <c r="G662" s="651"/>
      <c r="H662" s="55"/>
      <c r="I662" s="651"/>
      <c r="K662" s="652"/>
      <c r="M662" s="276"/>
    </row>
    <row r="663">
      <c r="A663" s="459"/>
      <c r="C663" s="276"/>
      <c r="D663" s="276"/>
      <c r="E663" s="651"/>
      <c r="F663" s="55"/>
      <c r="G663" s="651"/>
      <c r="H663" s="55"/>
      <c r="I663" s="651"/>
      <c r="K663" s="652"/>
      <c r="M663" s="276"/>
    </row>
    <row r="664">
      <c r="A664" s="459"/>
      <c r="C664" s="276"/>
      <c r="D664" s="276"/>
      <c r="E664" s="651"/>
      <c r="F664" s="55"/>
      <c r="G664" s="651"/>
      <c r="H664" s="55"/>
      <c r="I664" s="651"/>
      <c r="K664" s="652"/>
      <c r="M664" s="276"/>
    </row>
    <row r="665">
      <c r="A665" s="459"/>
      <c r="C665" s="276"/>
      <c r="D665" s="276"/>
      <c r="E665" s="651"/>
      <c r="F665" s="55"/>
      <c r="G665" s="651"/>
      <c r="H665" s="55"/>
      <c r="I665" s="651"/>
      <c r="K665" s="652"/>
      <c r="M665" s="276"/>
    </row>
    <row r="666">
      <c r="A666" s="459"/>
      <c r="C666" s="276"/>
      <c r="D666" s="276"/>
      <c r="E666" s="651"/>
      <c r="F666" s="55"/>
      <c r="G666" s="651"/>
      <c r="H666" s="55"/>
      <c r="I666" s="651"/>
      <c r="K666" s="652"/>
      <c r="M666" s="276"/>
    </row>
    <row r="667">
      <c r="A667" s="459"/>
      <c r="C667" s="276"/>
      <c r="D667" s="276"/>
      <c r="E667" s="651"/>
      <c r="F667" s="55"/>
      <c r="G667" s="651"/>
      <c r="H667" s="55"/>
      <c r="I667" s="651"/>
      <c r="K667" s="652"/>
      <c r="M667" s="276"/>
    </row>
    <row r="668">
      <c r="A668" s="459"/>
      <c r="C668" s="276"/>
      <c r="D668" s="276"/>
      <c r="E668" s="651"/>
      <c r="F668" s="55"/>
      <c r="G668" s="651"/>
      <c r="H668" s="55"/>
      <c r="I668" s="651"/>
      <c r="K668" s="652"/>
      <c r="M668" s="276"/>
    </row>
    <row r="669">
      <c r="A669" s="459"/>
      <c r="C669" s="276"/>
      <c r="D669" s="276"/>
      <c r="E669" s="651"/>
      <c r="F669" s="55"/>
      <c r="G669" s="651"/>
      <c r="H669" s="55"/>
      <c r="I669" s="651"/>
      <c r="K669" s="652"/>
      <c r="M669" s="276"/>
    </row>
    <row r="670">
      <c r="A670" s="459"/>
      <c r="C670" s="276"/>
      <c r="D670" s="276"/>
      <c r="E670" s="651"/>
      <c r="F670" s="55"/>
      <c r="G670" s="651"/>
      <c r="H670" s="55"/>
      <c r="I670" s="651"/>
      <c r="K670" s="652"/>
      <c r="M670" s="276"/>
    </row>
    <row r="671">
      <c r="A671" s="459"/>
      <c r="C671" s="276"/>
      <c r="D671" s="276"/>
      <c r="E671" s="651"/>
      <c r="F671" s="55"/>
      <c r="G671" s="651"/>
      <c r="H671" s="55"/>
      <c r="I671" s="651"/>
      <c r="K671" s="652"/>
      <c r="M671" s="276"/>
    </row>
    <row r="672">
      <c r="A672" s="459"/>
      <c r="C672" s="276"/>
      <c r="D672" s="276"/>
      <c r="E672" s="651"/>
      <c r="F672" s="55"/>
      <c r="G672" s="651"/>
      <c r="H672" s="55"/>
      <c r="I672" s="651"/>
      <c r="K672" s="652"/>
      <c r="M672" s="276"/>
    </row>
    <row r="673">
      <c r="A673" s="459"/>
      <c r="C673" s="276"/>
      <c r="D673" s="276"/>
      <c r="E673" s="651"/>
      <c r="F673" s="55"/>
      <c r="G673" s="651"/>
      <c r="H673" s="55"/>
      <c r="I673" s="651"/>
      <c r="K673" s="652"/>
      <c r="M673" s="276"/>
    </row>
    <row r="674">
      <c r="A674" s="459"/>
      <c r="C674" s="276"/>
      <c r="D674" s="276"/>
      <c r="E674" s="651"/>
      <c r="F674" s="55"/>
      <c r="G674" s="651"/>
      <c r="H674" s="55"/>
      <c r="I674" s="651"/>
      <c r="K674" s="652"/>
      <c r="M674" s="276"/>
    </row>
    <row r="675">
      <c r="A675" s="459"/>
      <c r="C675" s="276"/>
      <c r="D675" s="276"/>
      <c r="E675" s="651"/>
      <c r="F675" s="55"/>
      <c r="G675" s="651"/>
      <c r="H675" s="55"/>
      <c r="I675" s="651"/>
      <c r="K675" s="652"/>
      <c r="M675" s="276"/>
    </row>
    <row r="676">
      <c r="A676" s="459"/>
      <c r="C676" s="276"/>
      <c r="D676" s="276"/>
      <c r="E676" s="651"/>
      <c r="F676" s="55"/>
      <c r="G676" s="651"/>
      <c r="H676" s="55"/>
      <c r="I676" s="651"/>
      <c r="K676" s="652"/>
      <c r="M676" s="276"/>
    </row>
    <row r="677">
      <c r="A677" s="459"/>
      <c r="C677" s="276"/>
      <c r="D677" s="276"/>
      <c r="E677" s="651"/>
      <c r="F677" s="55"/>
      <c r="G677" s="651"/>
      <c r="H677" s="55"/>
      <c r="I677" s="651"/>
      <c r="K677" s="652"/>
      <c r="M677" s="276"/>
    </row>
    <row r="678">
      <c r="A678" s="459"/>
      <c r="C678" s="276"/>
      <c r="D678" s="276"/>
      <c r="E678" s="651"/>
      <c r="F678" s="55"/>
      <c r="G678" s="651"/>
      <c r="H678" s="55"/>
      <c r="I678" s="651"/>
      <c r="K678" s="652"/>
      <c r="M678" s="276"/>
    </row>
    <row r="679">
      <c r="A679" s="459"/>
      <c r="C679" s="276"/>
      <c r="D679" s="276"/>
      <c r="E679" s="651"/>
      <c r="F679" s="55"/>
      <c r="G679" s="651"/>
      <c r="H679" s="55"/>
      <c r="I679" s="651"/>
      <c r="K679" s="652"/>
      <c r="M679" s="276"/>
    </row>
    <row r="680">
      <c r="A680" s="459"/>
      <c r="C680" s="276"/>
      <c r="D680" s="276"/>
      <c r="E680" s="651"/>
      <c r="F680" s="55"/>
      <c r="G680" s="651"/>
      <c r="H680" s="55"/>
      <c r="I680" s="651"/>
      <c r="K680" s="652"/>
      <c r="M680" s="276"/>
    </row>
    <row r="681">
      <c r="A681" s="459"/>
      <c r="C681" s="276"/>
      <c r="D681" s="276"/>
      <c r="E681" s="651"/>
      <c r="F681" s="55"/>
      <c r="G681" s="651"/>
      <c r="H681" s="55"/>
      <c r="I681" s="651"/>
      <c r="K681" s="652"/>
      <c r="M681" s="276"/>
    </row>
    <row r="682">
      <c r="A682" s="459"/>
      <c r="C682" s="276"/>
      <c r="D682" s="276"/>
      <c r="E682" s="651"/>
      <c r="F682" s="55"/>
      <c r="G682" s="651"/>
      <c r="H682" s="55"/>
      <c r="I682" s="651"/>
      <c r="K682" s="652"/>
      <c r="M682" s="276"/>
    </row>
    <row r="683">
      <c r="A683" s="459"/>
      <c r="C683" s="276"/>
      <c r="D683" s="276"/>
      <c r="E683" s="651"/>
      <c r="F683" s="55"/>
      <c r="G683" s="651"/>
      <c r="H683" s="55"/>
      <c r="I683" s="651"/>
      <c r="K683" s="652"/>
      <c r="M683" s="276"/>
    </row>
    <row r="684">
      <c r="A684" s="459"/>
      <c r="C684" s="276"/>
      <c r="D684" s="276"/>
      <c r="E684" s="651"/>
      <c r="F684" s="55"/>
      <c r="G684" s="651"/>
      <c r="H684" s="55"/>
      <c r="I684" s="651"/>
      <c r="K684" s="652"/>
      <c r="M684" s="276"/>
    </row>
    <row r="685">
      <c r="A685" s="459"/>
      <c r="C685" s="276"/>
      <c r="D685" s="276"/>
      <c r="E685" s="651"/>
      <c r="F685" s="55"/>
      <c r="G685" s="651"/>
      <c r="H685" s="55"/>
      <c r="I685" s="651"/>
      <c r="K685" s="652"/>
      <c r="M685" s="276"/>
    </row>
    <row r="686">
      <c r="A686" s="459"/>
      <c r="C686" s="276"/>
      <c r="D686" s="276"/>
      <c r="E686" s="651"/>
      <c r="F686" s="55"/>
      <c r="G686" s="651"/>
      <c r="H686" s="55"/>
      <c r="I686" s="651"/>
      <c r="K686" s="652"/>
      <c r="M686" s="276"/>
    </row>
    <row r="687">
      <c r="A687" s="459"/>
      <c r="C687" s="276"/>
      <c r="D687" s="276"/>
      <c r="E687" s="651"/>
      <c r="F687" s="55"/>
      <c r="G687" s="651"/>
      <c r="H687" s="55"/>
      <c r="I687" s="651"/>
      <c r="K687" s="652"/>
      <c r="M687" s="276"/>
    </row>
    <row r="688">
      <c r="A688" s="459"/>
      <c r="C688" s="276"/>
      <c r="D688" s="276"/>
      <c r="E688" s="651"/>
      <c r="F688" s="55"/>
      <c r="G688" s="651"/>
      <c r="H688" s="55"/>
      <c r="I688" s="651"/>
      <c r="K688" s="652"/>
      <c r="M688" s="276"/>
    </row>
    <row r="689">
      <c r="A689" s="459"/>
      <c r="C689" s="276"/>
      <c r="D689" s="276"/>
      <c r="E689" s="651"/>
      <c r="F689" s="55"/>
      <c r="G689" s="651"/>
      <c r="H689" s="55"/>
      <c r="I689" s="651"/>
      <c r="K689" s="652"/>
      <c r="M689" s="276"/>
    </row>
    <row r="690">
      <c r="A690" s="459"/>
      <c r="C690" s="276"/>
      <c r="D690" s="276"/>
      <c r="E690" s="651"/>
      <c r="F690" s="55"/>
      <c r="G690" s="651"/>
      <c r="H690" s="55"/>
      <c r="I690" s="651"/>
      <c r="K690" s="652"/>
      <c r="M690" s="276"/>
    </row>
    <row r="691">
      <c r="A691" s="459"/>
      <c r="C691" s="276"/>
      <c r="D691" s="276"/>
      <c r="E691" s="651"/>
      <c r="F691" s="55"/>
      <c r="G691" s="651"/>
      <c r="H691" s="55"/>
      <c r="I691" s="651"/>
      <c r="K691" s="652"/>
      <c r="M691" s="276"/>
    </row>
    <row r="692">
      <c r="A692" s="459"/>
      <c r="C692" s="276"/>
      <c r="D692" s="276"/>
      <c r="E692" s="651"/>
      <c r="F692" s="55"/>
      <c r="G692" s="651"/>
      <c r="H692" s="55"/>
      <c r="I692" s="651"/>
      <c r="K692" s="652"/>
      <c r="M692" s="276"/>
    </row>
    <row r="693">
      <c r="A693" s="459"/>
      <c r="C693" s="276"/>
      <c r="D693" s="276"/>
      <c r="E693" s="651"/>
      <c r="F693" s="55"/>
      <c r="G693" s="651"/>
      <c r="H693" s="55"/>
      <c r="I693" s="651"/>
      <c r="K693" s="652"/>
      <c r="M693" s="276"/>
    </row>
    <row r="694">
      <c r="A694" s="459"/>
      <c r="C694" s="276"/>
      <c r="D694" s="276"/>
      <c r="E694" s="651"/>
      <c r="F694" s="55"/>
      <c r="G694" s="651"/>
      <c r="H694" s="55"/>
      <c r="I694" s="651"/>
      <c r="K694" s="652"/>
      <c r="M694" s="276"/>
    </row>
    <row r="695">
      <c r="A695" s="459"/>
      <c r="C695" s="276"/>
      <c r="D695" s="276"/>
      <c r="E695" s="651"/>
      <c r="F695" s="55"/>
      <c r="G695" s="651"/>
      <c r="H695" s="55"/>
      <c r="I695" s="651"/>
      <c r="K695" s="652"/>
      <c r="M695" s="276"/>
    </row>
    <row r="696">
      <c r="A696" s="459"/>
      <c r="C696" s="276"/>
      <c r="D696" s="276"/>
      <c r="E696" s="651"/>
      <c r="F696" s="55"/>
      <c r="G696" s="651"/>
      <c r="H696" s="55"/>
      <c r="I696" s="651"/>
      <c r="K696" s="652"/>
      <c r="M696" s="276"/>
    </row>
    <row r="697">
      <c r="A697" s="459"/>
      <c r="C697" s="276"/>
      <c r="D697" s="276"/>
      <c r="E697" s="651"/>
      <c r="F697" s="55"/>
      <c r="G697" s="651"/>
      <c r="H697" s="55"/>
      <c r="I697" s="651"/>
      <c r="K697" s="652"/>
      <c r="M697" s="276"/>
    </row>
    <row r="698">
      <c r="A698" s="459"/>
      <c r="C698" s="276"/>
      <c r="D698" s="276"/>
      <c r="E698" s="651"/>
      <c r="F698" s="55"/>
      <c r="G698" s="651"/>
      <c r="H698" s="55"/>
      <c r="I698" s="651"/>
      <c r="K698" s="652"/>
      <c r="M698" s="276"/>
    </row>
    <row r="699">
      <c r="A699" s="459"/>
      <c r="C699" s="276"/>
      <c r="D699" s="276"/>
      <c r="E699" s="651"/>
      <c r="F699" s="55"/>
      <c r="G699" s="651"/>
      <c r="H699" s="55"/>
      <c r="I699" s="651"/>
      <c r="K699" s="652"/>
      <c r="M699" s="276"/>
    </row>
    <row r="700">
      <c r="A700" s="459"/>
      <c r="C700" s="276"/>
      <c r="D700" s="276"/>
      <c r="E700" s="651"/>
      <c r="F700" s="55"/>
      <c r="G700" s="651"/>
      <c r="H700" s="55"/>
      <c r="I700" s="651"/>
      <c r="K700" s="652"/>
      <c r="M700" s="276"/>
    </row>
    <row r="701">
      <c r="A701" s="459"/>
      <c r="C701" s="276"/>
      <c r="D701" s="276"/>
      <c r="E701" s="651"/>
      <c r="F701" s="55"/>
      <c r="G701" s="651"/>
      <c r="H701" s="55"/>
      <c r="I701" s="651"/>
      <c r="K701" s="652"/>
      <c r="M701" s="276"/>
    </row>
    <row r="702">
      <c r="A702" s="459"/>
      <c r="C702" s="276"/>
      <c r="D702" s="276"/>
      <c r="E702" s="651"/>
      <c r="F702" s="55"/>
      <c r="G702" s="651"/>
      <c r="H702" s="55"/>
      <c r="I702" s="651"/>
      <c r="K702" s="652"/>
      <c r="M702" s="276"/>
    </row>
    <row r="703">
      <c r="A703" s="459"/>
      <c r="C703" s="276"/>
      <c r="D703" s="276"/>
      <c r="E703" s="651"/>
      <c r="F703" s="55"/>
      <c r="G703" s="651"/>
      <c r="H703" s="55"/>
      <c r="I703" s="651"/>
      <c r="K703" s="652"/>
      <c r="M703" s="276"/>
    </row>
    <row r="704">
      <c r="A704" s="459"/>
      <c r="C704" s="276"/>
      <c r="D704" s="276"/>
      <c r="E704" s="651"/>
      <c r="F704" s="55"/>
      <c r="G704" s="651"/>
      <c r="H704" s="55"/>
      <c r="I704" s="651"/>
      <c r="K704" s="652"/>
      <c r="M704" s="276"/>
    </row>
    <row r="705">
      <c r="A705" s="459"/>
      <c r="C705" s="276"/>
      <c r="D705" s="276"/>
      <c r="E705" s="651"/>
      <c r="F705" s="55"/>
      <c r="G705" s="651"/>
      <c r="H705" s="55"/>
      <c r="I705" s="651"/>
      <c r="K705" s="652"/>
      <c r="M705" s="276"/>
    </row>
    <row r="706">
      <c r="A706" s="459"/>
      <c r="C706" s="276"/>
      <c r="D706" s="276"/>
      <c r="E706" s="651"/>
      <c r="F706" s="55"/>
      <c r="G706" s="651"/>
      <c r="H706" s="55"/>
      <c r="I706" s="651"/>
      <c r="K706" s="652"/>
      <c r="M706" s="276"/>
    </row>
    <row r="707">
      <c r="A707" s="459"/>
      <c r="C707" s="276"/>
      <c r="D707" s="276"/>
      <c r="E707" s="651"/>
      <c r="F707" s="55"/>
      <c r="G707" s="651"/>
      <c r="H707" s="55"/>
      <c r="I707" s="651"/>
      <c r="K707" s="652"/>
      <c r="M707" s="276"/>
    </row>
    <row r="708">
      <c r="A708" s="459"/>
      <c r="C708" s="276"/>
      <c r="D708" s="276"/>
      <c r="E708" s="651"/>
      <c r="F708" s="55"/>
      <c r="G708" s="651"/>
      <c r="H708" s="55"/>
      <c r="I708" s="651"/>
      <c r="K708" s="652"/>
      <c r="M708" s="276"/>
    </row>
    <row r="709">
      <c r="A709" s="459"/>
      <c r="C709" s="276"/>
      <c r="D709" s="276"/>
      <c r="E709" s="651"/>
      <c r="F709" s="55"/>
      <c r="G709" s="651"/>
      <c r="H709" s="55"/>
      <c r="I709" s="651"/>
      <c r="K709" s="652"/>
      <c r="M709" s="276"/>
    </row>
    <row r="710">
      <c r="A710" s="459"/>
      <c r="C710" s="276"/>
      <c r="D710" s="276"/>
      <c r="E710" s="651"/>
      <c r="F710" s="55"/>
      <c r="G710" s="651"/>
      <c r="H710" s="55"/>
      <c r="I710" s="651"/>
      <c r="K710" s="652"/>
      <c r="M710" s="276"/>
    </row>
    <row r="711">
      <c r="A711" s="459"/>
      <c r="C711" s="276"/>
      <c r="D711" s="276"/>
      <c r="E711" s="651"/>
      <c r="F711" s="55"/>
      <c r="G711" s="651"/>
      <c r="H711" s="55"/>
      <c r="I711" s="651"/>
      <c r="K711" s="652"/>
      <c r="M711" s="276"/>
    </row>
    <row r="712">
      <c r="A712" s="459"/>
      <c r="C712" s="276"/>
      <c r="D712" s="276"/>
      <c r="E712" s="651"/>
      <c r="F712" s="55"/>
      <c r="G712" s="651"/>
      <c r="H712" s="55"/>
      <c r="I712" s="651"/>
      <c r="K712" s="652"/>
      <c r="M712" s="276"/>
    </row>
    <row r="713">
      <c r="A713" s="459"/>
      <c r="C713" s="276"/>
      <c r="D713" s="276"/>
      <c r="E713" s="651"/>
      <c r="F713" s="55"/>
      <c r="G713" s="651"/>
      <c r="H713" s="55"/>
      <c r="I713" s="651"/>
      <c r="K713" s="652"/>
      <c r="M713" s="276"/>
    </row>
    <row r="714">
      <c r="A714" s="459"/>
      <c r="C714" s="276"/>
      <c r="D714" s="276"/>
      <c r="E714" s="651"/>
      <c r="F714" s="55"/>
      <c r="G714" s="651"/>
      <c r="H714" s="55"/>
      <c r="I714" s="651"/>
      <c r="K714" s="652"/>
      <c r="M714" s="276"/>
    </row>
    <row r="715">
      <c r="A715" s="459"/>
      <c r="C715" s="276"/>
      <c r="D715" s="276"/>
      <c r="E715" s="651"/>
      <c r="F715" s="55"/>
      <c r="G715" s="651"/>
      <c r="H715" s="55"/>
      <c r="I715" s="651"/>
      <c r="K715" s="652"/>
      <c r="M715" s="276"/>
    </row>
    <row r="716">
      <c r="A716" s="459"/>
      <c r="C716" s="276"/>
      <c r="D716" s="276"/>
      <c r="E716" s="651"/>
      <c r="F716" s="55"/>
      <c r="G716" s="651"/>
      <c r="H716" s="55"/>
      <c r="I716" s="651"/>
      <c r="K716" s="652"/>
      <c r="M716" s="276"/>
    </row>
    <row r="717">
      <c r="A717" s="459"/>
      <c r="C717" s="276"/>
      <c r="D717" s="276"/>
      <c r="E717" s="651"/>
      <c r="F717" s="55"/>
      <c r="G717" s="651"/>
      <c r="H717" s="55"/>
      <c r="I717" s="651"/>
      <c r="K717" s="652"/>
      <c r="M717" s="276"/>
    </row>
    <row r="718">
      <c r="A718" s="459"/>
      <c r="C718" s="276"/>
      <c r="D718" s="276"/>
      <c r="E718" s="651"/>
      <c r="F718" s="55"/>
      <c r="G718" s="651"/>
      <c r="H718" s="55"/>
      <c r="I718" s="651"/>
      <c r="K718" s="652"/>
      <c r="M718" s="276"/>
    </row>
    <row r="719">
      <c r="A719" s="459"/>
      <c r="C719" s="276"/>
      <c r="D719" s="276"/>
      <c r="E719" s="651"/>
      <c r="F719" s="55"/>
      <c r="G719" s="651"/>
      <c r="H719" s="55"/>
      <c r="I719" s="651"/>
      <c r="K719" s="652"/>
      <c r="M719" s="276"/>
    </row>
    <row r="720">
      <c r="A720" s="459"/>
      <c r="C720" s="276"/>
      <c r="D720" s="276"/>
      <c r="E720" s="651"/>
      <c r="F720" s="55"/>
      <c r="G720" s="651"/>
      <c r="H720" s="55"/>
      <c r="I720" s="651"/>
      <c r="K720" s="652"/>
      <c r="M720" s="276"/>
    </row>
    <row r="721">
      <c r="A721" s="459"/>
      <c r="C721" s="276"/>
      <c r="D721" s="276"/>
      <c r="E721" s="651"/>
      <c r="F721" s="55"/>
      <c r="G721" s="651"/>
      <c r="H721" s="55"/>
      <c r="I721" s="651"/>
      <c r="K721" s="652"/>
      <c r="M721" s="276"/>
    </row>
    <row r="722">
      <c r="A722" s="459"/>
      <c r="C722" s="276"/>
      <c r="D722" s="276"/>
      <c r="E722" s="651"/>
      <c r="F722" s="55"/>
      <c r="G722" s="651"/>
      <c r="H722" s="55"/>
      <c r="I722" s="651"/>
      <c r="K722" s="652"/>
      <c r="M722" s="276"/>
    </row>
    <row r="723">
      <c r="A723" s="459"/>
      <c r="C723" s="276"/>
      <c r="D723" s="276"/>
      <c r="E723" s="651"/>
      <c r="F723" s="55"/>
      <c r="G723" s="651"/>
      <c r="H723" s="55"/>
      <c r="I723" s="651"/>
      <c r="K723" s="652"/>
      <c r="M723" s="276"/>
    </row>
    <row r="724">
      <c r="A724" s="459"/>
      <c r="C724" s="276"/>
      <c r="D724" s="276"/>
      <c r="E724" s="651"/>
      <c r="F724" s="55"/>
      <c r="G724" s="651"/>
      <c r="H724" s="55"/>
      <c r="I724" s="651"/>
      <c r="K724" s="652"/>
      <c r="M724" s="276"/>
    </row>
    <row r="725">
      <c r="A725" s="459"/>
      <c r="C725" s="276"/>
      <c r="D725" s="276"/>
      <c r="E725" s="651"/>
      <c r="F725" s="55"/>
      <c r="G725" s="651"/>
      <c r="H725" s="55"/>
      <c r="I725" s="651"/>
      <c r="K725" s="652"/>
      <c r="M725" s="276"/>
    </row>
    <row r="726">
      <c r="A726" s="459"/>
      <c r="C726" s="276"/>
      <c r="D726" s="276"/>
      <c r="E726" s="651"/>
      <c r="F726" s="55"/>
      <c r="G726" s="651"/>
      <c r="H726" s="55"/>
      <c r="I726" s="651"/>
      <c r="K726" s="652"/>
      <c r="M726" s="276"/>
    </row>
    <row r="727">
      <c r="A727" s="459"/>
      <c r="C727" s="276"/>
      <c r="D727" s="276"/>
      <c r="E727" s="651"/>
      <c r="F727" s="55"/>
      <c r="G727" s="651"/>
      <c r="H727" s="55"/>
      <c r="I727" s="651"/>
      <c r="K727" s="652"/>
      <c r="M727" s="276"/>
    </row>
    <row r="728">
      <c r="A728" s="459"/>
      <c r="C728" s="276"/>
      <c r="D728" s="276"/>
      <c r="E728" s="651"/>
      <c r="F728" s="55"/>
      <c r="G728" s="651"/>
      <c r="H728" s="55"/>
      <c r="I728" s="651"/>
      <c r="K728" s="652"/>
      <c r="M728" s="276"/>
    </row>
    <row r="729">
      <c r="A729" s="459"/>
      <c r="C729" s="276"/>
      <c r="D729" s="276"/>
      <c r="E729" s="651"/>
      <c r="F729" s="55"/>
      <c r="G729" s="651"/>
      <c r="H729" s="55"/>
      <c r="I729" s="651"/>
      <c r="K729" s="652"/>
      <c r="M729" s="276"/>
    </row>
    <row r="730">
      <c r="A730" s="459"/>
      <c r="C730" s="276"/>
      <c r="D730" s="276"/>
      <c r="E730" s="651"/>
      <c r="F730" s="55"/>
      <c r="G730" s="651"/>
      <c r="H730" s="55"/>
      <c r="I730" s="651"/>
      <c r="K730" s="652"/>
      <c r="M730" s="276"/>
    </row>
    <row r="731">
      <c r="A731" s="459"/>
      <c r="C731" s="276"/>
      <c r="D731" s="276"/>
      <c r="E731" s="651"/>
      <c r="F731" s="55"/>
      <c r="G731" s="651"/>
      <c r="H731" s="55"/>
      <c r="I731" s="651"/>
      <c r="K731" s="652"/>
      <c r="M731" s="276"/>
    </row>
    <row r="732">
      <c r="A732" s="459"/>
      <c r="C732" s="276"/>
      <c r="D732" s="276"/>
      <c r="E732" s="651"/>
      <c r="F732" s="55"/>
      <c r="G732" s="651"/>
      <c r="H732" s="55"/>
      <c r="I732" s="651"/>
      <c r="K732" s="652"/>
      <c r="M732" s="276"/>
    </row>
    <row r="733">
      <c r="A733" s="459"/>
      <c r="C733" s="276"/>
      <c r="D733" s="276"/>
      <c r="E733" s="651"/>
      <c r="F733" s="55"/>
      <c r="G733" s="651"/>
      <c r="H733" s="55"/>
      <c r="I733" s="651"/>
      <c r="K733" s="652"/>
      <c r="M733" s="276"/>
    </row>
    <row r="734">
      <c r="A734" s="459"/>
      <c r="C734" s="276"/>
      <c r="D734" s="276"/>
      <c r="E734" s="651"/>
      <c r="F734" s="55"/>
      <c r="G734" s="651"/>
      <c r="H734" s="55"/>
      <c r="I734" s="651"/>
      <c r="K734" s="652"/>
      <c r="M734" s="276"/>
    </row>
    <row r="735">
      <c r="A735" s="459"/>
      <c r="C735" s="276"/>
      <c r="D735" s="276"/>
      <c r="E735" s="651"/>
      <c r="F735" s="55"/>
      <c r="G735" s="651"/>
      <c r="H735" s="55"/>
      <c r="I735" s="651"/>
      <c r="K735" s="652"/>
      <c r="M735" s="276"/>
    </row>
    <row r="736">
      <c r="A736" s="459"/>
      <c r="C736" s="276"/>
      <c r="D736" s="276"/>
      <c r="E736" s="651"/>
      <c r="F736" s="55"/>
      <c r="G736" s="651"/>
      <c r="H736" s="55"/>
      <c r="I736" s="651"/>
      <c r="K736" s="652"/>
      <c r="M736" s="276"/>
    </row>
    <row r="737">
      <c r="A737" s="459"/>
      <c r="C737" s="276"/>
      <c r="D737" s="276"/>
      <c r="E737" s="651"/>
      <c r="F737" s="55"/>
      <c r="G737" s="651"/>
      <c r="H737" s="55"/>
      <c r="I737" s="651"/>
      <c r="K737" s="652"/>
      <c r="M737" s="276"/>
    </row>
    <row r="738">
      <c r="A738" s="459"/>
      <c r="C738" s="276"/>
      <c r="D738" s="276"/>
      <c r="E738" s="651"/>
      <c r="F738" s="55"/>
      <c r="G738" s="651"/>
      <c r="H738" s="55"/>
      <c r="I738" s="651"/>
      <c r="K738" s="652"/>
      <c r="M738" s="276"/>
    </row>
    <row r="739">
      <c r="A739" s="459"/>
      <c r="C739" s="276"/>
      <c r="D739" s="276"/>
      <c r="E739" s="651"/>
      <c r="F739" s="55"/>
      <c r="G739" s="651"/>
      <c r="H739" s="55"/>
      <c r="I739" s="651"/>
      <c r="K739" s="652"/>
      <c r="M739" s="276"/>
    </row>
    <row r="740">
      <c r="A740" s="459"/>
      <c r="C740" s="276"/>
      <c r="D740" s="276"/>
      <c r="E740" s="651"/>
      <c r="F740" s="55"/>
      <c r="G740" s="651"/>
      <c r="H740" s="55"/>
      <c r="I740" s="651"/>
      <c r="K740" s="652"/>
      <c r="M740" s="276"/>
    </row>
    <row r="741">
      <c r="A741" s="459"/>
      <c r="C741" s="276"/>
      <c r="D741" s="276"/>
      <c r="E741" s="651"/>
      <c r="F741" s="55"/>
      <c r="G741" s="651"/>
      <c r="H741" s="55"/>
      <c r="I741" s="651"/>
      <c r="K741" s="652"/>
      <c r="M741" s="276"/>
    </row>
    <row r="742">
      <c r="A742" s="459"/>
      <c r="C742" s="276"/>
      <c r="D742" s="276"/>
      <c r="E742" s="651"/>
      <c r="F742" s="55"/>
      <c r="G742" s="651"/>
      <c r="H742" s="55"/>
      <c r="I742" s="651"/>
      <c r="K742" s="652"/>
      <c r="M742" s="276"/>
    </row>
    <row r="743">
      <c r="A743" s="459"/>
      <c r="C743" s="276"/>
      <c r="D743" s="276"/>
      <c r="E743" s="651"/>
      <c r="F743" s="55"/>
      <c r="G743" s="651"/>
      <c r="H743" s="55"/>
      <c r="I743" s="651"/>
      <c r="K743" s="652"/>
      <c r="M743" s="276"/>
    </row>
    <row r="744">
      <c r="A744" s="459"/>
      <c r="C744" s="276"/>
      <c r="D744" s="276"/>
      <c r="E744" s="651"/>
      <c r="F744" s="55"/>
      <c r="G744" s="651"/>
      <c r="H744" s="55"/>
      <c r="I744" s="651"/>
      <c r="K744" s="652"/>
      <c r="M744" s="276"/>
    </row>
    <row r="745">
      <c r="A745" s="459"/>
      <c r="C745" s="276"/>
      <c r="D745" s="276"/>
      <c r="E745" s="651"/>
      <c r="F745" s="55"/>
      <c r="G745" s="651"/>
      <c r="H745" s="55"/>
      <c r="I745" s="651"/>
      <c r="K745" s="652"/>
      <c r="M745" s="276"/>
    </row>
    <row r="746">
      <c r="A746" s="459"/>
      <c r="C746" s="276"/>
      <c r="D746" s="276"/>
      <c r="E746" s="651"/>
      <c r="F746" s="55"/>
      <c r="G746" s="651"/>
      <c r="H746" s="55"/>
      <c r="I746" s="651"/>
      <c r="K746" s="652"/>
      <c r="M746" s="276"/>
    </row>
    <row r="747">
      <c r="A747" s="459"/>
      <c r="C747" s="276"/>
      <c r="D747" s="276"/>
      <c r="E747" s="651"/>
      <c r="F747" s="55"/>
      <c r="G747" s="651"/>
      <c r="H747" s="55"/>
      <c r="I747" s="651"/>
      <c r="K747" s="652"/>
      <c r="M747" s="276"/>
    </row>
    <row r="748">
      <c r="A748" s="459"/>
      <c r="C748" s="276"/>
      <c r="D748" s="276"/>
      <c r="E748" s="651"/>
      <c r="F748" s="55"/>
      <c r="G748" s="651"/>
      <c r="H748" s="55"/>
      <c r="I748" s="651"/>
      <c r="K748" s="652"/>
      <c r="M748" s="276"/>
    </row>
    <row r="749">
      <c r="A749" s="459"/>
      <c r="C749" s="276"/>
      <c r="D749" s="276"/>
      <c r="E749" s="651"/>
      <c r="F749" s="55"/>
      <c r="G749" s="651"/>
      <c r="H749" s="55"/>
      <c r="I749" s="651"/>
      <c r="K749" s="652"/>
      <c r="M749" s="276"/>
    </row>
    <row r="750">
      <c r="A750" s="459"/>
      <c r="C750" s="276"/>
      <c r="D750" s="276"/>
      <c r="E750" s="651"/>
      <c r="F750" s="55"/>
      <c r="G750" s="651"/>
      <c r="H750" s="55"/>
      <c r="I750" s="651"/>
      <c r="K750" s="652"/>
      <c r="M750" s="276"/>
    </row>
    <row r="751">
      <c r="A751" s="459"/>
      <c r="C751" s="276"/>
      <c r="D751" s="276"/>
      <c r="E751" s="651"/>
      <c r="F751" s="55"/>
      <c r="G751" s="651"/>
      <c r="H751" s="55"/>
      <c r="I751" s="651"/>
      <c r="K751" s="652"/>
      <c r="M751" s="276"/>
    </row>
    <row r="752">
      <c r="A752" s="459"/>
      <c r="C752" s="276"/>
      <c r="D752" s="276"/>
      <c r="E752" s="651"/>
      <c r="F752" s="55"/>
      <c r="G752" s="651"/>
      <c r="H752" s="55"/>
      <c r="I752" s="651"/>
      <c r="K752" s="652"/>
      <c r="M752" s="276"/>
    </row>
    <row r="753">
      <c r="A753" s="459"/>
      <c r="C753" s="276"/>
      <c r="D753" s="276"/>
      <c r="E753" s="651"/>
      <c r="F753" s="55"/>
      <c r="G753" s="651"/>
      <c r="H753" s="55"/>
      <c r="I753" s="651"/>
      <c r="K753" s="652"/>
      <c r="M753" s="276"/>
    </row>
    <row r="754">
      <c r="A754" s="459"/>
      <c r="C754" s="276"/>
      <c r="D754" s="276"/>
      <c r="E754" s="651"/>
      <c r="F754" s="55"/>
      <c r="G754" s="651"/>
      <c r="H754" s="55"/>
      <c r="I754" s="651"/>
      <c r="K754" s="652"/>
      <c r="M754" s="276"/>
    </row>
    <row r="755">
      <c r="A755" s="459"/>
      <c r="C755" s="276"/>
      <c r="D755" s="276"/>
      <c r="E755" s="651"/>
      <c r="F755" s="55"/>
      <c r="G755" s="651"/>
      <c r="H755" s="55"/>
      <c r="I755" s="651"/>
      <c r="K755" s="652"/>
      <c r="M755" s="276"/>
    </row>
    <row r="756">
      <c r="A756" s="459"/>
      <c r="C756" s="276"/>
      <c r="D756" s="276"/>
      <c r="E756" s="651"/>
      <c r="F756" s="55"/>
      <c r="G756" s="651"/>
      <c r="H756" s="55"/>
      <c r="I756" s="651"/>
      <c r="K756" s="652"/>
      <c r="M756" s="276"/>
    </row>
    <row r="757">
      <c r="A757" s="459"/>
      <c r="C757" s="276"/>
      <c r="D757" s="276"/>
      <c r="E757" s="651"/>
      <c r="F757" s="55"/>
      <c r="G757" s="651"/>
      <c r="H757" s="55"/>
      <c r="I757" s="651"/>
      <c r="K757" s="652"/>
      <c r="M757" s="276"/>
    </row>
    <row r="758">
      <c r="A758" s="459"/>
      <c r="C758" s="276"/>
      <c r="D758" s="276"/>
      <c r="E758" s="651"/>
      <c r="F758" s="55"/>
      <c r="G758" s="651"/>
      <c r="H758" s="55"/>
      <c r="I758" s="651"/>
      <c r="K758" s="652"/>
      <c r="M758" s="276"/>
    </row>
    <row r="759">
      <c r="A759" s="459"/>
      <c r="C759" s="276"/>
      <c r="D759" s="276"/>
      <c r="E759" s="651"/>
      <c r="F759" s="55"/>
      <c r="G759" s="651"/>
      <c r="H759" s="55"/>
      <c r="I759" s="651"/>
      <c r="K759" s="652"/>
      <c r="M759" s="276"/>
    </row>
    <row r="760">
      <c r="A760" s="459"/>
      <c r="C760" s="276"/>
      <c r="D760" s="276"/>
      <c r="E760" s="651"/>
      <c r="F760" s="55"/>
      <c r="G760" s="651"/>
      <c r="H760" s="55"/>
      <c r="I760" s="651"/>
      <c r="K760" s="652"/>
      <c r="M760" s="276"/>
    </row>
    <row r="761">
      <c r="A761" s="459"/>
      <c r="C761" s="276"/>
      <c r="D761" s="276"/>
      <c r="E761" s="651"/>
      <c r="F761" s="55"/>
      <c r="G761" s="651"/>
      <c r="H761" s="55"/>
      <c r="I761" s="651"/>
      <c r="K761" s="652"/>
      <c r="M761" s="276"/>
    </row>
    <row r="762">
      <c r="A762" s="459"/>
      <c r="C762" s="276"/>
      <c r="D762" s="276"/>
      <c r="E762" s="651"/>
      <c r="F762" s="55"/>
      <c r="G762" s="651"/>
      <c r="H762" s="55"/>
      <c r="I762" s="651"/>
      <c r="K762" s="652"/>
      <c r="M762" s="276"/>
    </row>
    <row r="763">
      <c r="A763" s="459"/>
      <c r="C763" s="276"/>
      <c r="D763" s="276"/>
      <c r="E763" s="651"/>
      <c r="F763" s="55"/>
      <c r="G763" s="651"/>
      <c r="H763" s="55"/>
      <c r="I763" s="651"/>
      <c r="K763" s="652"/>
      <c r="M763" s="276"/>
    </row>
    <row r="764">
      <c r="A764" s="459"/>
      <c r="C764" s="276"/>
      <c r="D764" s="276"/>
      <c r="E764" s="651"/>
      <c r="F764" s="55"/>
      <c r="G764" s="651"/>
      <c r="H764" s="55"/>
      <c r="I764" s="651"/>
      <c r="K764" s="652"/>
      <c r="M764" s="276"/>
    </row>
    <row r="765">
      <c r="A765" s="459"/>
      <c r="C765" s="276"/>
      <c r="D765" s="276"/>
      <c r="E765" s="651"/>
      <c r="F765" s="55"/>
      <c r="G765" s="651"/>
      <c r="H765" s="55"/>
      <c r="I765" s="651"/>
      <c r="K765" s="652"/>
      <c r="M765" s="276"/>
    </row>
    <row r="766">
      <c r="A766" s="459"/>
      <c r="C766" s="276"/>
      <c r="D766" s="276"/>
      <c r="E766" s="651"/>
      <c r="F766" s="55"/>
      <c r="G766" s="651"/>
      <c r="H766" s="55"/>
      <c r="I766" s="651"/>
      <c r="K766" s="652"/>
      <c r="M766" s="276"/>
    </row>
    <row r="767">
      <c r="A767" s="459"/>
      <c r="C767" s="276"/>
      <c r="D767" s="276"/>
      <c r="E767" s="651"/>
      <c r="F767" s="55"/>
      <c r="G767" s="651"/>
      <c r="H767" s="55"/>
      <c r="I767" s="651"/>
      <c r="K767" s="652"/>
      <c r="M767" s="276"/>
    </row>
    <row r="768">
      <c r="A768" s="459"/>
      <c r="C768" s="276"/>
      <c r="D768" s="276"/>
      <c r="E768" s="651"/>
      <c r="F768" s="55"/>
      <c r="G768" s="651"/>
      <c r="H768" s="55"/>
      <c r="I768" s="651"/>
      <c r="K768" s="652"/>
      <c r="M768" s="276"/>
    </row>
    <row r="769">
      <c r="A769" s="459"/>
      <c r="C769" s="276"/>
      <c r="D769" s="276"/>
      <c r="E769" s="651"/>
      <c r="F769" s="55"/>
      <c r="G769" s="651"/>
      <c r="H769" s="55"/>
      <c r="I769" s="651"/>
      <c r="K769" s="652"/>
      <c r="M769" s="276"/>
    </row>
    <row r="770">
      <c r="A770" s="459"/>
      <c r="C770" s="276"/>
      <c r="D770" s="276"/>
      <c r="E770" s="651"/>
      <c r="F770" s="55"/>
      <c r="G770" s="651"/>
      <c r="H770" s="55"/>
      <c r="I770" s="651"/>
      <c r="K770" s="652"/>
      <c r="M770" s="276"/>
    </row>
    <row r="771">
      <c r="A771" s="459"/>
      <c r="C771" s="276"/>
      <c r="D771" s="276"/>
      <c r="E771" s="651"/>
      <c r="F771" s="55"/>
      <c r="G771" s="651"/>
      <c r="H771" s="55"/>
      <c r="I771" s="651"/>
      <c r="K771" s="652"/>
      <c r="M771" s="276"/>
    </row>
    <row r="772">
      <c r="A772" s="459"/>
      <c r="C772" s="276"/>
      <c r="D772" s="276"/>
      <c r="E772" s="651"/>
      <c r="F772" s="55"/>
      <c r="G772" s="651"/>
      <c r="H772" s="55"/>
      <c r="I772" s="651"/>
      <c r="K772" s="652"/>
      <c r="M772" s="276"/>
    </row>
    <row r="773">
      <c r="A773" s="459"/>
      <c r="C773" s="276"/>
      <c r="D773" s="276"/>
      <c r="E773" s="651"/>
      <c r="F773" s="55"/>
      <c r="G773" s="651"/>
      <c r="H773" s="55"/>
      <c r="I773" s="651"/>
      <c r="K773" s="652"/>
      <c r="M773" s="276"/>
    </row>
    <row r="774">
      <c r="A774" s="459"/>
      <c r="C774" s="276"/>
      <c r="D774" s="276"/>
      <c r="E774" s="651"/>
      <c r="F774" s="55"/>
      <c r="G774" s="651"/>
      <c r="H774" s="55"/>
      <c r="I774" s="651"/>
      <c r="K774" s="652"/>
      <c r="M774" s="276"/>
    </row>
    <row r="775">
      <c r="A775" s="459"/>
      <c r="C775" s="276"/>
      <c r="D775" s="276"/>
      <c r="E775" s="651"/>
      <c r="F775" s="55"/>
      <c r="G775" s="651"/>
      <c r="H775" s="55"/>
      <c r="I775" s="651"/>
      <c r="K775" s="652"/>
      <c r="M775" s="276"/>
    </row>
    <row r="776">
      <c r="A776" s="459"/>
      <c r="C776" s="276"/>
      <c r="D776" s="276"/>
      <c r="E776" s="651"/>
      <c r="F776" s="55"/>
      <c r="G776" s="651"/>
      <c r="H776" s="55"/>
      <c r="I776" s="651"/>
      <c r="K776" s="652"/>
      <c r="M776" s="276"/>
    </row>
    <row r="777">
      <c r="A777" s="459"/>
      <c r="C777" s="276"/>
      <c r="D777" s="276"/>
      <c r="E777" s="651"/>
      <c r="F777" s="55"/>
      <c r="G777" s="651"/>
      <c r="H777" s="55"/>
      <c r="I777" s="651"/>
      <c r="K777" s="652"/>
      <c r="M777" s="276"/>
    </row>
    <row r="778">
      <c r="A778" s="459"/>
      <c r="C778" s="276"/>
      <c r="D778" s="276"/>
      <c r="E778" s="651"/>
      <c r="F778" s="55"/>
      <c r="G778" s="651"/>
      <c r="H778" s="55"/>
      <c r="I778" s="651"/>
      <c r="K778" s="652"/>
      <c r="M778" s="276"/>
    </row>
    <row r="779">
      <c r="A779" s="459"/>
      <c r="C779" s="276"/>
      <c r="D779" s="276"/>
      <c r="E779" s="651"/>
      <c r="F779" s="55"/>
      <c r="G779" s="651"/>
      <c r="H779" s="55"/>
      <c r="I779" s="651"/>
      <c r="K779" s="652"/>
      <c r="M779" s="276"/>
    </row>
    <row r="780">
      <c r="A780" s="459"/>
      <c r="C780" s="276"/>
      <c r="D780" s="276"/>
      <c r="E780" s="651"/>
      <c r="F780" s="55"/>
      <c r="G780" s="651"/>
      <c r="H780" s="55"/>
      <c r="I780" s="651"/>
      <c r="K780" s="652"/>
      <c r="M780" s="276"/>
    </row>
    <row r="781">
      <c r="A781" s="459"/>
      <c r="C781" s="276"/>
      <c r="D781" s="276"/>
      <c r="E781" s="651"/>
      <c r="F781" s="55"/>
      <c r="G781" s="651"/>
      <c r="H781" s="55"/>
      <c r="I781" s="651"/>
      <c r="K781" s="652"/>
      <c r="M781" s="276"/>
    </row>
    <row r="782">
      <c r="A782" s="459"/>
      <c r="C782" s="276"/>
      <c r="D782" s="276"/>
      <c r="E782" s="651"/>
      <c r="F782" s="55"/>
      <c r="G782" s="651"/>
      <c r="H782" s="55"/>
      <c r="I782" s="651"/>
      <c r="K782" s="652"/>
      <c r="M782" s="276"/>
    </row>
    <row r="783">
      <c r="A783" s="459"/>
      <c r="C783" s="276"/>
      <c r="D783" s="276"/>
      <c r="E783" s="651"/>
      <c r="F783" s="55"/>
      <c r="G783" s="651"/>
      <c r="H783" s="55"/>
      <c r="I783" s="651"/>
      <c r="K783" s="652"/>
      <c r="M783" s="276"/>
    </row>
    <row r="784">
      <c r="A784" s="459"/>
      <c r="C784" s="276"/>
      <c r="D784" s="276"/>
      <c r="E784" s="651"/>
      <c r="F784" s="55"/>
      <c r="G784" s="651"/>
      <c r="H784" s="55"/>
      <c r="I784" s="651"/>
      <c r="K784" s="652"/>
      <c r="M784" s="276"/>
    </row>
    <row r="785">
      <c r="A785" s="459"/>
      <c r="C785" s="276"/>
      <c r="D785" s="276"/>
      <c r="E785" s="651"/>
      <c r="F785" s="55"/>
      <c r="G785" s="651"/>
      <c r="H785" s="55"/>
      <c r="I785" s="651"/>
      <c r="K785" s="652"/>
      <c r="M785" s="276"/>
    </row>
    <row r="786">
      <c r="A786" s="459"/>
      <c r="C786" s="276"/>
      <c r="D786" s="276"/>
      <c r="E786" s="651"/>
      <c r="F786" s="55"/>
      <c r="G786" s="651"/>
      <c r="H786" s="55"/>
      <c r="I786" s="651"/>
      <c r="K786" s="652"/>
      <c r="M786" s="276"/>
    </row>
    <row r="787">
      <c r="A787" s="459"/>
      <c r="C787" s="276"/>
      <c r="D787" s="276"/>
      <c r="E787" s="651"/>
      <c r="F787" s="55"/>
      <c r="G787" s="651"/>
      <c r="H787" s="55"/>
      <c r="I787" s="651"/>
      <c r="K787" s="652"/>
      <c r="M787" s="276"/>
    </row>
    <row r="788">
      <c r="A788" s="459"/>
      <c r="C788" s="276"/>
      <c r="D788" s="276"/>
      <c r="E788" s="651"/>
      <c r="F788" s="55"/>
      <c r="G788" s="651"/>
      <c r="H788" s="55"/>
      <c r="I788" s="651"/>
      <c r="K788" s="652"/>
      <c r="M788" s="276"/>
    </row>
    <row r="789">
      <c r="A789" s="459"/>
      <c r="C789" s="276"/>
      <c r="D789" s="276"/>
      <c r="E789" s="651"/>
      <c r="F789" s="55"/>
      <c r="G789" s="651"/>
      <c r="H789" s="55"/>
      <c r="I789" s="651"/>
      <c r="K789" s="652"/>
      <c r="M789" s="276"/>
    </row>
    <row r="790">
      <c r="A790" s="459"/>
      <c r="C790" s="276"/>
      <c r="D790" s="276"/>
      <c r="E790" s="651"/>
      <c r="F790" s="55"/>
      <c r="G790" s="651"/>
      <c r="H790" s="55"/>
      <c r="I790" s="651"/>
      <c r="K790" s="652"/>
      <c r="M790" s="276"/>
    </row>
    <row r="791">
      <c r="A791" s="459"/>
      <c r="C791" s="276"/>
      <c r="D791" s="276"/>
      <c r="E791" s="651"/>
      <c r="F791" s="55"/>
      <c r="G791" s="651"/>
      <c r="H791" s="55"/>
      <c r="I791" s="651"/>
      <c r="K791" s="652"/>
      <c r="M791" s="276"/>
    </row>
    <row r="792">
      <c r="A792" s="459"/>
      <c r="C792" s="276"/>
      <c r="D792" s="276"/>
      <c r="E792" s="651"/>
      <c r="F792" s="55"/>
      <c r="G792" s="651"/>
      <c r="H792" s="55"/>
      <c r="I792" s="651"/>
      <c r="K792" s="652"/>
      <c r="M792" s="276"/>
    </row>
    <row r="793">
      <c r="A793" s="459"/>
      <c r="C793" s="276"/>
      <c r="D793" s="276"/>
      <c r="E793" s="651"/>
      <c r="F793" s="55"/>
      <c r="G793" s="651"/>
      <c r="H793" s="55"/>
      <c r="I793" s="651"/>
      <c r="K793" s="652"/>
      <c r="M793" s="276"/>
    </row>
    <row r="794">
      <c r="A794" s="459"/>
      <c r="C794" s="276"/>
      <c r="D794" s="276"/>
      <c r="E794" s="651"/>
      <c r="F794" s="55"/>
      <c r="G794" s="651"/>
      <c r="H794" s="55"/>
      <c r="I794" s="651"/>
      <c r="K794" s="652"/>
      <c r="M794" s="276"/>
    </row>
    <row r="795">
      <c r="A795" s="459"/>
      <c r="C795" s="276"/>
      <c r="D795" s="276"/>
      <c r="E795" s="651"/>
      <c r="F795" s="55"/>
      <c r="G795" s="651"/>
      <c r="H795" s="55"/>
      <c r="I795" s="651"/>
      <c r="K795" s="652"/>
      <c r="M795" s="276"/>
    </row>
    <row r="796">
      <c r="A796" s="459"/>
      <c r="C796" s="276"/>
      <c r="D796" s="276"/>
      <c r="E796" s="651"/>
      <c r="F796" s="55"/>
      <c r="G796" s="651"/>
      <c r="H796" s="55"/>
      <c r="I796" s="651"/>
      <c r="K796" s="652"/>
      <c r="M796" s="276"/>
    </row>
    <row r="797">
      <c r="A797" s="459"/>
      <c r="C797" s="276"/>
      <c r="D797" s="276"/>
      <c r="E797" s="651"/>
      <c r="F797" s="55"/>
      <c r="G797" s="651"/>
      <c r="H797" s="55"/>
      <c r="I797" s="651"/>
      <c r="K797" s="652"/>
      <c r="M797" s="276"/>
    </row>
    <row r="798">
      <c r="A798" s="459"/>
      <c r="C798" s="276"/>
      <c r="D798" s="276"/>
      <c r="E798" s="651"/>
      <c r="F798" s="55"/>
      <c r="G798" s="651"/>
      <c r="H798" s="55"/>
      <c r="I798" s="651"/>
      <c r="K798" s="652"/>
      <c r="M798" s="276"/>
    </row>
    <row r="799">
      <c r="A799" s="459"/>
      <c r="C799" s="276"/>
      <c r="D799" s="276"/>
      <c r="E799" s="651"/>
      <c r="F799" s="55"/>
      <c r="G799" s="651"/>
      <c r="H799" s="55"/>
      <c r="I799" s="651"/>
      <c r="K799" s="652"/>
      <c r="M799" s="276"/>
    </row>
    <row r="800">
      <c r="A800" s="459"/>
      <c r="C800" s="276"/>
      <c r="D800" s="276"/>
      <c r="E800" s="651"/>
      <c r="F800" s="55"/>
      <c r="G800" s="651"/>
      <c r="H800" s="55"/>
      <c r="I800" s="651"/>
      <c r="K800" s="652"/>
      <c r="M800" s="276"/>
    </row>
    <row r="801">
      <c r="A801" s="459"/>
      <c r="C801" s="276"/>
      <c r="D801" s="276"/>
      <c r="E801" s="651"/>
      <c r="F801" s="55"/>
      <c r="G801" s="651"/>
      <c r="H801" s="55"/>
      <c r="I801" s="651"/>
      <c r="K801" s="652"/>
      <c r="M801" s="276"/>
    </row>
    <row r="802">
      <c r="A802" s="459"/>
      <c r="C802" s="276"/>
      <c r="D802" s="276"/>
      <c r="E802" s="651"/>
      <c r="F802" s="55"/>
      <c r="G802" s="651"/>
      <c r="H802" s="55"/>
      <c r="I802" s="651"/>
      <c r="K802" s="652"/>
      <c r="M802" s="276"/>
    </row>
    <row r="803">
      <c r="A803" s="459"/>
      <c r="C803" s="276"/>
      <c r="D803" s="276"/>
      <c r="E803" s="651"/>
      <c r="F803" s="55"/>
      <c r="G803" s="651"/>
      <c r="H803" s="55"/>
      <c r="I803" s="651"/>
      <c r="K803" s="652"/>
      <c r="M803" s="276"/>
    </row>
    <row r="804">
      <c r="A804" s="459"/>
      <c r="C804" s="276"/>
      <c r="D804" s="276"/>
      <c r="E804" s="651"/>
      <c r="F804" s="55"/>
      <c r="G804" s="651"/>
      <c r="H804" s="55"/>
      <c r="I804" s="651"/>
      <c r="K804" s="652"/>
      <c r="M804" s="276"/>
    </row>
    <row r="805">
      <c r="A805" s="459"/>
      <c r="C805" s="276"/>
      <c r="D805" s="276"/>
      <c r="E805" s="651"/>
      <c r="F805" s="55"/>
      <c r="G805" s="651"/>
      <c r="H805" s="55"/>
      <c r="I805" s="651"/>
      <c r="K805" s="652"/>
      <c r="M805" s="276"/>
    </row>
    <row r="806">
      <c r="A806" s="459"/>
      <c r="C806" s="276"/>
      <c r="D806" s="276"/>
      <c r="E806" s="651"/>
      <c r="F806" s="55"/>
      <c r="G806" s="651"/>
      <c r="H806" s="55"/>
      <c r="I806" s="651"/>
      <c r="K806" s="652"/>
      <c r="M806" s="276"/>
    </row>
    <row r="807">
      <c r="A807" s="459"/>
      <c r="C807" s="276"/>
      <c r="D807" s="276"/>
      <c r="E807" s="651"/>
      <c r="F807" s="55"/>
      <c r="G807" s="651"/>
      <c r="H807" s="55"/>
      <c r="I807" s="651"/>
      <c r="K807" s="652"/>
      <c r="M807" s="276"/>
    </row>
    <row r="808">
      <c r="A808" s="459"/>
      <c r="C808" s="276"/>
      <c r="D808" s="276"/>
      <c r="E808" s="651"/>
      <c r="F808" s="55"/>
      <c r="G808" s="651"/>
      <c r="H808" s="55"/>
      <c r="I808" s="651"/>
      <c r="K808" s="652"/>
      <c r="M808" s="276"/>
    </row>
    <row r="809">
      <c r="A809" s="459"/>
      <c r="C809" s="276"/>
      <c r="D809" s="276"/>
      <c r="E809" s="651"/>
      <c r="F809" s="55"/>
      <c r="G809" s="651"/>
      <c r="H809" s="55"/>
      <c r="I809" s="651"/>
      <c r="K809" s="652"/>
      <c r="M809" s="276"/>
    </row>
    <row r="810">
      <c r="A810" s="459"/>
      <c r="C810" s="276"/>
      <c r="D810" s="276"/>
      <c r="E810" s="651"/>
      <c r="F810" s="55"/>
      <c r="G810" s="651"/>
      <c r="H810" s="55"/>
      <c r="I810" s="651"/>
      <c r="K810" s="652"/>
      <c r="M810" s="276"/>
    </row>
    <row r="811">
      <c r="A811" s="459"/>
      <c r="C811" s="276"/>
      <c r="D811" s="276"/>
      <c r="E811" s="651"/>
      <c r="F811" s="55"/>
      <c r="G811" s="651"/>
      <c r="H811" s="55"/>
      <c r="I811" s="651"/>
      <c r="K811" s="652"/>
      <c r="M811" s="276"/>
    </row>
    <row r="812">
      <c r="A812" s="459"/>
      <c r="C812" s="276"/>
      <c r="D812" s="276"/>
      <c r="E812" s="651"/>
      <c r="F812" s="55"/>
      <c r="G812" s="651"/>
      <c r="H812" s="55"/>
      <c r="I812" s="651"/>
      <c r="K812" s="652"/>
      <c r="M812" s="276"/>
    </row>
    <row r="813">
      <c r="A813" s="459"/>
      <c r="C813" s="276"/>
      <c r="D813" s="276"/>
      <c r="E813" s="651"/>
      <c r="F813" s="55"/>
      <c r="G813" s="651"/>
      <c r="H813" s="55"/>
      <c r="I813" s="651"/>
      <c r="K813" s="652"/>
      <c r="M813" s="276"/>
    </row>
    <row r="814">
      <c r="A814" s="459"/>
      <c r="C814" s="276"/>
      <c r="D814" s="276"/>
      <c r="E814" s="651"/>
      <c r="F814" s="55"/>
      <c r="G814" s="651"/>
      <c r="H814" s="55"/>
      <c r="I814" s="651"/>
      <c r="K814" s="652"/>
      <c r="M814" s="276"/>
    </row>
    <row r="815">
      <c r="A815" s="459"/>
      <c r="C815" s="276"/>
      <c r="D815" s="276"/>
      <c r="E815" s="651"/>
      <c r="F815" s="55"/>
      <c r="G815" s="651"/>
      <c r="H815" s="55"/>
      <c r="I815" s="651"/>
      <c r="K815" s="652"/>
      <c r="M815" s="276"/>
    </row>
    <row r="816">
      <c r="A816" s="459"/>
      <c r="C816" s="276"/>
      <c r="D816" s="276"/>
      <c r="E816" s="651"/>
      <c r="F816" s="55"/>
      <c r="G816" s="651"/>
      <c r="H816" s="55"/>
      <c r="I816" s="651"/>
      <c r="K816" s="652"/>
      <c r="M816" s="276"/>
    </row>
    <row r="817">
      <c r="A817" s="459"/>
      <c r="C817" s="276"/>
      <c r="D817" s="276"/>
      <c r="E817" s="651"/>
      <c r="F817" s="55"/>
      <c r="G817" s="651"/>
      <c r="H817" s="55"/>
      <c r="I817" s="651"/>
      <c r="K817" s="652"/>
      <c r="M817" s="276"/>
    </row>
    <row r="818">
      <c r="A818" s="459"/>
      <c r="C818" s="276"/>
      <c r="D818" s="276"/>
      <c r="E818" s="651"/>
      <c r="F818" s="55"/>
      <c r="G818" s="651"/>
      <c r="H818" s="55"/>
      <c r="I818" s="651"/>
      <c r="K818" s="652"/>
      <c r="M818" s="276"/>
    </row>
    <row r="819">
      <c r="A819" s="459"/>
      <c r="C819" s="276"/>
      <c r="D819" s="276"/>
      <c r="E819" s="651"/>
      <c r="F819" s="55"/>
      <c r="G819" s="651"/>
      <c r="H819" s="55"/>
      <c r="I819" s="651"/>
      <c r="K819" s="652"/>
      <c r="M819" s="276"/>
    </row>
    <row r="820">
      <c r="A820" s="459"/>
      <c r="C820" s="276"/>
      <c r="D820" s="276"/>
      <c r="E820" s="651"/>
      <c r="F820" s="55"/>
      <c r="G820" s="651"/>
      <c r="H820" s="55"/>
      <c r="I820" s="651"/>
      <c r="K820" s="652"/>
      <c r="M820" s="276"/>
    </row>
    <row r="821">
      <c r="A821" s="459"/>
      <c r="C821" s="276"/>
      <c r="D821" s="276"/>
      <c r="E821" s="651"/>
      <c r="F821" s="55"/>
      <c r="G821" s="651"/>
      <c r="H821" s="55"/>
      <c r="I821" s="651"/>
      <c r="K821" s="652"/>
      <c r="M821" s="276"/>
    </row>
    <row r="822">
      <c r="A822" s="459"/>
      <c r="C822" s="276"/>
      <c r="D822" s="276"/>
      <c r="E822" s="651"/>
      <c r="F822" s="55"/>
      <c r="G822" s="651"/>
      <c r="H822" s="55"/>
      <c r="I822" s="651"/>
      <c r="K822" s="652"/>
      <c r="M822" s="276"/>
    </row>
    <row r="823">
      <c r="A823" s="459"/>
      <c r="C823" s="276"/>
      <c r="D823" s="276"/>
      <c r="E823" s="651"/>
      <c r="F823" s="55"/>
      <c r="G823" s="651"/>
      <c r="H823" s="55"/>
      <c r="I823" s="651"/>
      <c r="K823" s="652"/>
      <c r="M823" s="276"/>
    </row>
    <row r="824">
      <c r="A824" s="459"/>
      <c r="C824" s="276"/>
      <c r="D824" s="276"/>
      <c r="E824" s="651"/>
      <c r="F824" s="55"/>
      <c r="G824" s="651"/>
      <c r="H824" s="55"/>
      <c r="I824" s="651"/>
      <c r="K824" s="652"/>
      <c r="M824" s="276"/>
    </row>
    <row r="825">
      <c r="A825" s="459"/>
      <c r="C825" s="276"/>
      <c r="D825" s="276"/>
      <c r="E825" s="651"/>
      <c r="F825" s="55"/>
      <c r="G825" s="651"/>
      <c r="H825" s="55"/>
      <c r="I825" s="651"/>
      <c r="K825" s="652"/>
      <c r="M825" s="276"/>
    </row>
    <row r="826">
      <c r="A826" s="459"/>
      <c r="C826" s="276"/>
      <c r="D826" s="276"/>
      <c r="E826" s="651"/>
      <c r="F826" s="55"/>
      <c r="G826" s="651"/>
      <c r="H826" s="55"/>
      <c r="I826" s="651"/>
      <c r="K826" s="652"/>
      <c r="M826" s="276"/>
    </row>
    <row r="827">
      <c r="A827" s="459"/>
      <c r="C827" s="276"/>
      <c r="D827" s="276"/>
      <c r="E827" s="651"/>
      <c r="F827" s="55"/>
      <c r="G827" s="651"/>
      <c r="H827" s="55"/>
      <c r="I827" s="651"/>
      <c r="K827" s="652"/>
      <c r="M827" s="276"/>
    </row>
    <row r="828">
      <c r="A828" s="459"/>
      <c r="C828" s="276"/>
      <c r="D828" s="276"/>
      <c r="E828" s="651"/>
      <c r="F828" s="55"/>
      <c r="G828" s="651"/>
      <c r="H828" s="55"/>
      <c r="I828" s="651"/>
      <c r="K828" s="652"/>
      <c r="M828" s="276"/>
    </row>
    <row r="829">
      <c r="A829" s="459"/>
      <c r="C829" s="276"/>
      <c r="D829" s="276"/>
      <c r="E829" s="651"/>
      <c r="F829" s="55"/>
      <c r="G829" s="651"/>
      <c r="H829" s="55"/>
      <c r="I829" s="651"/>
      <c r="K829" s="652"/>
      <c r="M829" s="276"/>
    </row>
    <row r="830">
      <c r="A830" s="459"/>
      <c r="C830" s="276"/>
      <c r="D830" s="276"/>
      <c r="E830" s="651"/>
      <c r="F830" s="55"/>
      <c r="G830" s="651"/>
      <c r="H830" s="55"/>
      <c r="I830" s="651"/>
      <c r="K830" s="652"/>
      <c r="M830" s="276"/>
    </row>
    <row r="831">
      <c r="A831" s="459"/>
      <c r="C831" s="276"/>
      <c r="D831" s="276"/>
      <c r="E831" s="651"/>
      <c r="F831" s="55"/>
      <c r="G831" s="651"/>
      <c r="H831" s="55"/>
      <c r="I831" s="651"/>
      <c r="K831" s="652"/>
      <c r="M831" s="276"/>
    </row>
    <row r="832">
      <c r="A832" s="459"/>
      <c r="C832" s="276"/>
      <c r="D832" s="276"/>
      <c r="E832" s="651"/>
      <c r="F832" s="55"/>
      <c r="G832" s="651"/>
      <c r="H832" s="55"/>
      <c r="I832" s="651"/>
      <c r="K832" s="652"/>
      <c r="M832" s="276"/>
    </row>
    <row r="833">
      <c r="A833" s="459"/>
      <c r="C833" s="276"/>
      <c r="D833" s="276"/>
      <c r="E833" s="651"/>
      <c r="F833" s="55"/>
      <c r="G833" s="651"/>
      <c r="H833" s="55"/>
      <c r="I833" s="651"/>
      <c r="K833" s="652"/>
      <c r="M833" s="276"/>
    </row>
    <row r="834">
      <c r="A834" s="459"/>
      <c r="C834" s="276"/>
      <c r="D834" s="276"/>
      <c r="E834" s="651"/>
      <c r="F834" s="55"/>
      <c r="G834" s="651"/>
      <c r="H834" s="55"/>
      <c r="I834" s="651"/>
      <c r="K834" s="652"/>
      <c r="M834" s="276"/>
    </row>
    <row r="835">
      <c r="A835" s="459"/>
      <c r="C835" s="276"/>
      <c r="D835" s="276"/>
      <c r="E835" s="651"/>
      <c r="F835" s="55"/>
      <c r="G835" s="651"/>
      <c r="H835" s="55"/>
      <c r="I835" s="651"/>
      <c r="K835" s="652"/>
      <c r="M835" s="276"/>
    </row>
    <row r="836">
      <c r="A836" s="459"/>
      <c r="C836" s="276"/>
      <c r="D836" s="276"/>
      <c r="E836" s="651"/>
      <c r="F836" s="55"/>
      <c r="G836" s="651"/>
      <c r="H836" s="55"/>
      <c r="I836" s="651"/>
      <c r="K836" s="652"/>
      <c r="M836" s="276"/>
    </row>
    <row r="837">
      <c r="A837" s="459"/>
      <c r="C837" s="276"/>
      <c r="D837" s="276"/>
      <c r="E837" s="651"/>
      <c r="F837" s="55"/>
      <c r="G837" s="651"/>
      <c r="H837" s="55"/>
      <c r="I837" s="651"/>
      <c r="K837" s="652"/>
      <c r="M837" s="276"/>
    </row>
    <row r="838">
      <c r="A838" s="459"/>
      <c r="C838" s="276"/>
      <c r="D838" s="276"/>
      <c r="E838" s="651"/>
      <c r="F838" s="55"/>
      <c r="G838" s="651"/>
      <c r="H838" s="55"/>
      <c r="I838" s="651"/>
      <c r="K838" s="652"/>
      <c r="M838" s="276"/>
    </row>
    <row r="839">
      <c r="A839" s="459"/>
      <c r="C839" s="276"/>
      <c r="D839" s="276"/>
      <c r="E839" s="651"/>
      <c r="F839" s="55"/>
      <c r="G839" s="651"/>
      <c r="H839" s="55"/>
      <c r="I839" s="651"/>
      <c r="K839" s="652"/>
      <c r="M839" s="276"/>
    </row>
    <row r="840">
      <c r="A840" s="459"/>
      <c r="C840" s="276"/>
      <c r="D840" s="276"/>
      <c r="E840" s="651"/>
      <c r="F840" s="55"/>
      <c r="G840" s="651"/>
      <c r="H840" s="55"/>
      <c r="I840" s="651"/>
      <c r="K840" s="652"/>
      <c r="M840" s="276"/>
    </row>
    <row r="841">
      <c r="A841" s="459"/>
      <c r="C841" s="276"/>
      <c r="D841" s="276"/>
      <c r="E841" s="651"/>
      <c r="F841" s="55"/>
      <c r="G841" s="651"/>
      <c r="H841" s="55"/>
      <c r="I841" s="651"/>
      <c r="K841" s="652"/>
      <c r="M841" s="276"/>
    </row>
    <row r="842">
      <c r="A842" s="459"/>
      <c r="C842" s="276"/>
      <c r="D842" s="276"/>
      <c r="E842" s="651"/>
      <c r="F842" s="55"/>
      <c r="G842" s="651"/>
      <c r="H842" s="55"/>
      <c r="I842" s="651"/>
      <c r="K842" s="652"/>
      <c r="M842" s="276"/>
    </row>
    <row r="843">
      <c r="A843" s="459"/>
      <c r="C843" s="276"/>
      <c r="D843" s="276"/>
      <c r="E843" s="651"/>
      <c r="F843" s="55"/>
      <c r="G843" s="651"/>
      <c r="H843" s="55"/>
      <c r="I843" s="651"/>
      <c r="K843" s="652"/>
      <c r="M843" s="276"/>
    </row>
    <row r="844">
      <c r="A844" s="459"/>
      <c r="C844" s="276"/>
      <c r="D844" s="276"/>
      <c r="E844" s="651"/>
      <c r="F844" s="55"/>
      <c r="G844" s="651"/>
      <c r="H844" s="55"/>
      <c r="I844" s="651"/>
      <c r="K844" s="652"/>
      <c r="M844" s="276"/>
    </row>
    <row r="845">
      <c r="A845" s="459"/>
      <c r="C845" s="276"/>
      <c r="D845" s="276"/>
      <c r="E845" s="651"/>
      <c r="F845" s="55"/>
      <c r="G845" s="651"/>
      <c r="H845" s="55"/>
      <c r="I845" s="651"/>
      <c r="K845" s="652"/>
      <c r="M845" s="276"/>
    </row>
    <row r="846">
      <c r="A846" s="459"/>
      <c r="C846" s="276"/>
      <c r="D846" s="276"/>
      <c r="E846" s="651"/>
      <c r="F846" s="55"/>
      <c r="G846" s="651"/>
      <c r="H846" s="55"/>
      <c r="I846" s="651"/>
      <c r="K846" s="652"/>
      <c r="M846" s="276"/>
    </row>
    <row r="847">
      <c r="A847" s="459"/>
      <c r="C847" s="276"/>
      <c r="D847" s="276"/>
      <c r="E847" s="651"/>
      <c r="F847" s="55"/>
      <c r="G847" s="651"/>
      <c r="H847" s="55"/>
      <c r="I847" s="651"/>
      <c r="K847" s="652"/>
      <c r="M847" s="276"/>
    </row>
    <row r="848">
      <c r="A848" s="459"/>
      <c r="C848" s="276"/>
      <c r="D848" s="276"/>
      <c r="E848" s="651"/>
      <c r="F848" s="55"/>
      <c r="G848" s="651"/>
      <c r="H848" s="55"/>
      <c r="I848" s="651"/>
      <c r="K848" s="652"/>
      <c r="M848" s="276"/>
    </row>
    <row r="849">
      <c r="A849" s="459"/>
      <c r="C849" s="276"/>
      <c r="D849" s="276"/>
      <c r="E849" s="651"/>
      <c r="F849" s="55"/>
      <c r="G849" s="651"/>
      <c r="H849" s="55"/>
      <c r="I849" s="651"/>
      <c r="K849" s="652"/>
      <c r="M849" s="276"/>
    </row>
    <row r="850">
      <c r="A850" s="459"/>
      <c r="C850" s="276"/>
      <c r="D850" s="276"/>
      <c r="E850" s="651"/>
      <c r="F850" s="55"/>
      <c r="G850" s="651"/>
      <c r="H850" s="55"/>
      <c r="I850" s="651"/>
      <c r="K850" s="652"/>
      <c r="M850" s="276"/>
    </row>
    <row r="851">
      <c r="A851" s="459"/>
      <c r="C851" s="276"/>
      <c r="D851" s="276"/>
      <c r="E851" s="651"/>
      <c r="F851" s="55"/>
      <c r="G851" s="651"/>
      <c r="H851" s="55"/>
      <c r="I851" s="651"/>
      <c r="K851" s="652"/>
      <c r="M851" s="276"/>
    </row>
    <row r="852">
      <c r="A852" s="459"/>
      <c r="C852" s="276"/>
      <c r="D852" s="276"/>
      <c r="E852" s="651"/>
      <c r="F852" s="55"/>
      <c r="G852" s="651"/>
      <c r="H852" s="55"/>
      <c r="I852" s="651"/>
      <c r="K852" s="652"/>
      <c r="M852" s="276"/>
    </row>
    <row r="853">
      <c r="A853" s="459"/>
      <c r="C853" s="276"/>
      <c r="D853" s="276"/>
      <c r="E853" s="651"/>
      <c r="F853" s="55"/>
      <c r="G853" s="651"/>
      <c r="H853" s="55"/>
      <c r="I853" s="651"/>
      <c r="K853" s="652"/>
      <c r="M853" s="276"/>
    </row>
    <row r="854">
      <c r="A854" s="459"/>
      <c r="C854" s="276"/>
      <c r="D854" s="276"/>
      <c r="E854" s="651"/>
      <c r="F854" s="55"/>
      <c r="G854" s="651"/>
      <c r="H854" s="55"/>
      <c r="I854" s="651"/>
      <c r="K854" s="652"/>
      <c r="M854" s="276"/>
    </row>
    <row r="855">
      <c r="A855" s="459"/>
      <c r="C855" s="276"/>
      <c r="D855" s="276"/>
      <c r="E855" s="651"/>
      <c r="F855" s="55"/>
      <c r="G855" s="651"/>
      <c r="H855" s="55"/>
      <c r="I855" s="651"/>
      <c r="K855" s="652"/>
      <c r="M855" s="276"/>
    </row>
    <row r="856">
      <c r="A856" s="459"/>
      <c r="C856" s="276"/>
      <c r="D856" s="276"/>
      <c r="E856" s="651"/>
      <c r="F856" s="55"/>
      <c r="G856" s="651"/>
      <c r="H856" s="55"/>
      <c r="I856" s="651"/>
      <c r="K856" s="652"/>
      <c r="M856" s="276"/>
    </row>
    <row r="857">
      <c r="A857" s="459"/>
      <c r="C857" s="276"/>
      <c r="D857" s="276"/>
      <c r="E857" s="651"/>
      <c r="F857" s="55"/>
      <c r="G857" s="651"/>
      <c r="H857" s="55"/>
      <c r="I857" s="651"/>
      <c r="K857" s="652"/>
      <c r="M857" s="276"/>
    </row>
    <row r="858">
      <c r="A858" s="459"/>
      <c r="C858" s="276"/>
      <c r="D858" s="276"/>
      <c r="E858" s="651"/>
      <c r="F858" s="55"/>
      <c r="G858" s="651"/>
      <c r="H858" s="55"/>
      <c r="I858" s="651"/>
      <c r="K858" s="652"/>
      <c r="M858" s="276"/>
    </row>
    <row r="859">
      <c r="A859" s="459"/>
      <c r="C859" s="276"/>
      <c r="D859" s="276"/>
      <c r="E859" s="651"/>
      <c r="F859" s="55"/>
      <c r="G859" s="651"/>
      <c r="H859" s="55"/>
      <c r="I859" s="651"/>
      <c r="K859" s="652"/>
      <c r="M859" s="276"/>
    </row>
    <row r="860">
      <c r="A860" s="459"/>
      <c r="C860" s="276"/>
      <c r="D860" s="276"/>
      <c r="E860" s="651"/>
      <c r="F860" s="55"/>
      <c r="G860" s="651"/>
      <c r="H860" s="55"/>
      <c r="I860" s="651"/>
      <c r="K860" s="652"/>
      <c r="M860" s="276"/>
    </row>
    <row r="861">
      <c r="A861" s="459"/>
      <c r="C861" s="276"/>
      <c r="D861" s="276"/>
      <c r="E861" s="651"/>
      <c r="F861" s="55"/>
      <c r="G861" s="651"/>
      <c r="H861" s="55"/>
      <c r="I861" s="651"/>
      <c r="K861" s="652"/>
      <c r="M861" s="276"/>
    </row>
    <row r="862">
      <c r="A862" s="459"/>
      <c r="C862" s="276"/>
      <c r="D862" s="276"/>
      <c r="E862" s="651"/>
      <c r="F862" s="55"/>
      <c r="G862" s="651"/>
      <c r="H862" s="55"/>
      <c r="I862" s="651"/>
      <c r="K862" s="652"/>
      <c r="M862" s="276"/>
    </row>
    <row r="863">
      <c r="A863" s="459"/>
      <c r="C863" s="276"/>
      <c r="D863" s="276"/>
      <c r="E863" s="651"/>
      <c r="F863" s="55"/>
      <c r="G863" s="651"/>
      <c r="H863" s="55"/>
      <c r="I863" s="651"/>
      <c r="K863" s="652"/>
      <c r="M863" s="276"/>
    </row>
    <row r="864">
      <c r="A864" s="459"/>
      <c r="C864" s="276"/>
      <c r="D864" s="276"/>
      <c r="E864" s="651"/>
      <c r="F864" s="55"/>
      <c r="G864" s="651"/>
      <c r="H864" s="55"/>
      <c r="I864" s="651"/>
      <c r="K864" s="652"/>
      <c r="M864" s="276"/>
    </row>
    <row r="865">
      <c r="A865" s="459"/>
      <c r="C865" s="276"/>
      <c r="D865" s="276"/>
      <c r="E865" s="651"/>
      <c r="F865" s="55"/>
      <c r="G865" s="651"/>
      <c r="H865" s="55"/>
      <c r="I865" s="651"/>
      <c r="K865" s="652"/>
      <c r="M865" s="276"/>
    </row>
    <row r="866">
      <c r="A866" s="459"/>
      <c r="C866" s="276"/>
      <c r="D866" s="276"/>
      <c r="E866" s="651"/>
      <c r="F866" s="55"/>
      <c r="G866" s="651"/>
      <c r="H866" s="55"/>
      <c r="I866" s="651"/>
      <c r="K866" s="652"/>
      <c r="M866" s="276"/>
    </row>
    <row r="867">
      <c r="A867" s="459"/>
      <c r="C867" s="276"/>
      <c r="D867" s="276"/>
      <c r="E867" s="651"/>
      <c r="F867" s="55"/>
      <c r="G867" s="651"/>
      <c r="H867" s="55"/>
      <c r="I867" s="651"/>
      <c r="K867" s="652"/>
      <c r="M867" s="276"/>
    </row>
    <row r="868">
      <c r="A868" s="459"/>
      <c r="C868" s="276"/>
      <c r="D868" s="276"/>
      <c r="E868" s="651"/>
      <c r="F868" s="55"/>
      <c r="G868" s="651"/>
      <c r="H868" s="55"/>
      <c r="I868" s="651"/>
      <c r="K868" s="652"/>
      <c r="M868" s="276"/>
    </row>
    <row r="869">
      <c r="A869" s="459"/>
      <c r="C869" s="276"/>
      <c r="D869" s="276"/>
      <c r="E869" s="651"/>
      <c r="F869" s="55"/>
      <c r="G869" s="651"/>
      <c r="H869" s="55"/>
      <c r="I869" s="651"/>
      <c r="K869" s="652"/>
      <c r="M869" s="276"/>
    </row>
    <row r="870">
      <c r="A870" s="459"/>
      <c r="C870" s="276"/>
      <c r="D870" s="276"/>
      <c r="E870" s="651"/>
      <c r="F870" s="55"/>
      <c r="G870" s="651"/>
      <c r="H870" s="55"/>
      <c r="I870" s="651"/>
      <c r="K870" s="652"/>
      <c r="M870" s="276"/>
    </row>
    <row r="871">
      <c r="A871" s="459"/>
      <c r="C871" s="276"/>
      <c r="D871" s="276"/>
      <c r="E871" s="651"/>
      <c r="F871" s="55"/>
      <c r="G871" s="651"/>
      <c r="H871" s="55"/>
      <c r="I871" s="651"/>
      <c r="K871" s="652"/>
      <c r="M871" s="276"/>
    </row>
    <row r="872">
      <c r="A872" s="459"/>
      <c r="C872" s="276"/>
      <c r="D872" s="276"/>
      <c r="E872" s="651"/>
      <c r="F872" s="55"/>
      <c r="G872" s="651"/>
      <c r="H872" s="55"/>
      <c r="I872" s="651"/>
      <c r="K872" s="652"/>
      <c r="M872" s="276"/>
    </row>
    <row r="873">
      <c r="A873" s="459"/>
      <c r="C873" s="276"/>
      <c r="D873" s="276"/>
      <c r="E873" s="651"/>
      <c r="F873" s="55"/>
      <c r="G873" s="651"/>
      <c r="H873" s="55"/>
      <c r="I873" s="651"/>
      <c r="K873" s="652"/>
      <c r="M873" s="276"/>
    </row>
    <row r="874">
      <c r="A874" s="459"/>
      <c r="C874" s="276"/>
      <c r="D874" s="276"/>
      <c r="E874" s="651"/>
      <c r="F874" s="55"/>
      <c r="G874" s="651"/>
      <c r="H874" s="55"/>
      <c r="I874" s="651"/>
      <c r="K874" s="652"/>
      <c r="M874" s="276"/>
    </row>
    <row r="875">
      <c r="A875" s="459"/>
      <c r="C875" s="276"/>
      <c r="D875" s="276"/>
      <c r="E875" s="651"/>
      <c r="F875" s="55"/>
      <c r="G875" s="651"/>
      <c r="H875" s="55"/>
      <c r="I875" s="651"/>
      <c r="K875" s="652"/>
      <c r="M875" s="276"/>
    </row>
    <row r="876">
      <c r="A876" s="459"/>
      <c r="C876" s="276"/>
      <c r="D876" s="276"/>
      <c r="E876" s="651"/>
      <c r="F876" s="55"/>
      <c r="G876" s="651"/>
      <c r="H876" s="55"/>
      <c r="I876" s="651"/>
      <c r="K876" s="652"/>
      <c r="M876" s="276"/>
    </row>
    <row r="877">
      <c r="A877" s="459"/>
      <c r="C877" s="276"/>
      <c r="D877" s="276"/>
      <c r="E877" s="651"/>
      <c r="F877" s="55"/>
      <c r="G877" s="651"/>
      <c r="H877" s="55"/>
      <c r="I877" s="651"/>
      <c r="K877" s="652"/>
      <c r="M877" s="276"/>
    </row>
    <row r="878">
      <c r="A878" s="459"/>
      <c r="C878" s="276"/>
      <c r="D878" s="276"/>
      <c r="E878" s="651"/>
      <c r="F878" s="55"/>
      <c r="G878" s="651"/>
      <c r="H878" s="55"/>
      <c r="I878" s="651"/>
      <c r="K878" s="652"/>
      <c r="M878" s="276"/>
    </row>
    <row r="879">
      <c r="A879" s="459"/>
      <c r="C879" s="276"/>
      <c r="D879" s="276"/>
      <c r="E879" s="651"/>
      <c r="F879" s="55"/>
      <c r="G879" s="651"/>
      <c r="H879" s="55"/>
      <c r="I879" s="651"/>
      <c r="K879" s="652"/>
      <c r="M879" s="276"/>
    </row>
    <row r="880">
      <c r="A880" s="459"/>
      <c r="C880" s="276"/>
      <c r="D880" s="276"/>
      <c r="E880" s="651"/>
      <c r="F880" s="55"/>
      <c r="G880" s="651"/>
      <c r="H880" s="55"/>
      <c r="I880" s="651"/>
      <c r="K880" s="652"/>
      <c r="M880" s="276"/>
    </row>
    <row r="881">
      <c r="A881" s="459"/>
      <c r="C881" s="276"/>
      <c r="D881" s="276"/>
      <c r="E881" s="651"/>
      <c r="F881" s="55"/>
      <c r="G881" s="651"/>
      <c r="H881" s="55"/>
      <c r="I881" s="651"/>
      <c r="K881" s="652"/>
      <c r="M881" s="276"/>
    </row>
    <row r="882">
      <c r="A882" s="459"/>
      <c r="C882" s="276"/>
      <c r="D882" s="276"/>
      <c r="E882" s="651"/>
      <c r="F882" s="55"/>
      <c r="G882" s="651"/>
      <c r="H882" s="55"/>
      <c r="I882" s="651"/>
      <c r="K882" s="652"/>
      <c r="M882" s="276"/>
    </row>
    <row r="883">
      <c r="A883" s="459"/>
      <c r="C883" s="276"/>
      <c r="D883" s="276"/>
      <c r="E883" s="651"/>
      <c r="F883" s="55"/>
      <c r="G883" s="651"/>
      <c r="H883" s="55"/>
      <c r="I883" s="651"/>
      <c r="K883" s="652"/>
      <c r="M883" s="276"/>
    </row>
    <row r="884">
      <c r="A884" s="459"/>
      <c r="C884" s="276"/>
      <c r="D884" s="276"/>
      <c r="E884" s="651"/>
      <c r="F884" s="55"/>
      <c r="G884" s="651"/>
      <c r="H884" s="55"/>
      <c r="I884" s="651"/>
      <c r="K884" s="652"/>
      <c r="M884" s="276"/>
    </row>
    <row r="885">
      <c r="A885" s="459"/>
      <c r="C885" s="276"/>
      <c r="D885" s="276"/>
      <c r="E885" s="651"/>
      <c r="F885" s="55"/>
      <c r="G885" s="651"/>
      <c r="H885" s="55"/>
      <c r="I885" s="651"/>
      <c r="K885" s="652"/>
      <c r="M885" s="276"/>
    </row>
    <row r="886">
      <c r="A886" s="459"/>
      <c r="C886" s="276"/>
      <c r="D886" s="276"/>
      <c r="E886" s="651"/>
      <c r="F886" s="55"/>
      <c r="G886" s="651"/>
      <c r="H886" s="55"/>
      <c r="I886" s="651"/>
      <c r="K886" s="652"/>
      <c r="M886" s="276"/>
    </row>
    <row r="887">
      <c r="A887" s="459"/>
      <c r="C887" s="276"/>
      <c r="D887" s="276"/>
      <c r="E887" s="651"/>
      <c r="F887" s="55"/>
      <c r="G887" s="651"/>
      <c r="H887" s="55"/>
      <c r="I887" s="651"/>
      <c r="K887" s="652"/>
      <c r="M887" s="276"/>
    </row>
    <row r="888">
      <c r="A888" s="459"/>
      <c r="C888" s="276"/>
      <c r="D888" s="276"/>
      <c r="E888" s="651"/>
      <c r="F888" s="55"/>
      <c r="G888" s="651"/>
      <c r="H888" s="55"/>
      <c r="I888" s="651"/>
      <c r="K888" s="652"/>
      <c r="M888" s="276"/>
    </row>
    <row r="889">
      <c r="A889" s="459"/>
      <c r="C889" s="276"/>
      <c r="D889" s="276"/>
      <c r="E889" s="651"/>
      <c r="F889" s="55"/>
      <c r="G889" s="651"/>
      <c r="H889" s="55"/>
      <c r="I889" s="651"/>
      <c r="K889" s="652"/>
      <c r="M889" s="276"/>
    </row>
    <row r="890">
      <c r="A890" s="459"/>
      <c r="C890" s="276"/>
      <c r="D890" s="276"/>
      <c r="E890" s="651"/>
      <c r="F890" s="55"/>
      <c r="G890" s="651"/>
      <c r="H890" s="55"/>
      <c r="I890" s="651"/>
      <c r="K890" s="652"/>
      <c r="M890" s="276"/>
    </row>
    <row r="891">
      <c r="A891" s="459"/>
      <c r="C891" s="276"/>
      <c r="D891" s="276"/>
      <c r="E891" s="651"/>
      <c r="F891" s="55"/>
      <c r="G891" s="651"/>
      <c r="H891" s="55"/>
      <c r="I891" s="651"/>
      <c r="K891" s="652"/>
      <c r="M891" s="276"/>
    </row>
    <row r="892">
      <c r="A892" s="459"/>
      <c r="C892" s="276"/>
      <c r="D892" s="276"/>
      <c r="E892" s="651"/>
      <c r="F892" s="55"/>
      <c r="G892" s="651"/>
      <c r="H892" s="55"/>
      <c r="I892" s="651"/>
      <c r="K892" s="652"/>
      <c r="M892" s="276"/>
    </row>
    <row r="893">
      <c r="A893" s="459"/>
      <c r="C893" s="276"/>
      <c r="D893" s="276"/>
      <c r="E893" s="651"/>
      <c r="F893" s="55"/>
      <c r="G893" s="651"/>
      <c r="H893" s="55"/>
      <c r="I893" s="651"/>
      <c r="K893" s="652"/>
      <c r="M893" s="276"/>
    </row>
    <row r="894">
      <c r="A894" s="459"/>
      <c r="C894" s="276"/>
      <c r="D894" s="276"/>
      <c r="E894" s="651"/>
      <c r="F894" s="55"/>
      <c r="G894" s="651"/>
      <c r="H894" s="55"/>
      <c r="I894" s="651"/>
      <c r="K894" s="652"/>
      <c r="M894" s="276"/>
    </row>
    <row r="895">
      <c r="A895" s="459"/>
      <c r="C895" s="276"/>
      <c r="D895" s="276"/>
      <c r="E895" s="651"/>
      <c r="F895" s="55"/>
      <c r="G895" s="651"/>
      <c r="H895" s="55"/>
      <c r="I895" s="651"/>
      <c r="K895" s="652"/>
      <c r="M895" s="276"/>
    </row>
    <row r="896">
      <c r="A896" s="459"/>
      <c r="C896" s="276"/>
      <c r="D896" s="276"/>
      <c r="E896" s="651"/>
      <c r="F896" s="55"/>
      <c r="G896" s="651"/>
      <c r="H896" s="55"/>
      <c r="I896" s="651"/>
      <c r="K896" s="652"/>
      <c r="M896" s="276"/>
    </row>
    <row r="897">
      <c r="A897" s="459"/>
      <c r="C897" s="276"/>
      <c r="D897" s="276"/>
      <c r="E897" s="651"/>
      <c r="F897" s="55"/>
      <c r="G897" s="651"/>
      <c r="H897" s="55"/>
      <c r="I897" s="651"/>
      <c r="K897" s="652"/>
      <c r="M897" s="276"/>
    </row>
    <row r="898">
      <c r="A898" s="459"/>
      <c r="C898" s="276"/>
      <c r="D898" s="276"/>
      <c r="E898" s="651"/>
      <c r="F898" s="55"/>
      <c r="G898" s="651"/>
      <c r="H898" s="55"/>
      <c r="I898" s="651"/>
      <c r="K898" s="652"/>
      <c r="M898" s="276"/>
    </row>
    <row r="899">
      <c r="A899" s="459"/>
      <c r="C899" s="276"/>
      <c r="D899" s="276"/>
      <c r="E899" s="651"/>
      <c r="F899" s="55"/>
      <c r="G899" s="651"/>
      <c r="H899" s="55"/>
      <c r="I899" s="651"/>
      <c r="K899" s="652"/>
      <c r="M899" s="276"/>
    </row>
    <row r="900">
      <c r="A900" s="459"/>
      <c r="C900" s="276"/>
      <c r="D900" s="276"/>
      <c r="E900" s="651"/>
      <c r="F900" s="55"/>
      <c r="G900" s="651"/>
      <c r="H900" s="55"/>
      <c r="I900" s="651"/>
      <c r="K900" s="652"/>
      <c r="M900" s="276"/>
    </row>
    <row r="901">
      <c r="A901" s="459"/>
      <c r="C901" s="276"/>
      <c r="D901" s="276"/>
      <c r="E901" s="651"/>
      <c r="F901" s="55"/>
      <c r="G901" s="651"/>
      <c r="H901" s="55"/>
      <c r="I901" s="651"/>
      <c r="K901" s="652"/>
      <c r="M901" s="276"/>
    </row>
    <row r="902">
      <c r="A902" s="459"/>
      <c r="C902" s="276"/>
      <c r="D902" s="276"/>
      <c r="E902" s="651"/>
      <c r="F902" s="55"/>
      <c r="G902" s="651"/>
      <c r="H902" s="55"/>
      <c r="I902" s="651"/>
      <c r="K902" s="652"/>
      <c r="M902" s="276"/>
    </row>
    <row r="903">
      <c r="A903" s="459"/>
      <c r="C903" s="276"/>
      <c r="D903" s="276"/>
      <c r="E903" s="651"/>
      <c r="F903" s="55"/>
      <c r="G903" s="651"/>
      <c r="H903" s="55"/>
      <c r="I903" s="651"/>
      <c r="K903" s="652"/>
      <c r="M903" s="276"/>
    </row>
    <row r="904">
      <c r="A904" s="459"/>
      <c r="C904" s="276"/>
      <c r="D904" s="276"/>
      <c r="E904" s="651"/>
      <c r="F904" s="55"/>
      <c r="G904" s="651"/>
      <c r="H904" s="55"/>
      <c r="I904" s="651"/>
      <c r="K904" s="652"/>
      <c r="M904" s="276"/>
    </row>
    <row r="905">
      <c r="A905" s="459"/>
      <c r="C905" s="276"/>
      <c r="D905" s="276"/>
      <c r="E905" s="651"/>
      <c r="F905" s="55"/>
      <c r="G905" s="651"/>
      <c r="H905" s="55"/>
      <c r="I905" s="651"/>
      <c r="K905" s="652"/>
      <c r="M905" s="276"/>
    </row>
    <row r="906">
      <c r="A906" s="459"/>
      <c r="C906" s="276"/>
      <c r="D906" s="276"/>
      <c r="E906" s="651"/>
      <c r="F906" s="55"/>
      <c r="G906" s="651"/>
      <c r="H906" s="55"/>
      <c r="I906" s="651"/>
      <c r="K906" s="652"/>
      <c r="M906" s="276"/>
    </row>
    <row r="907">
      <c r="A907" s="459"/>
      <c r="C907" s="276"/>
      <c r="D907" s="276"/>
      <c r="E907" s="651"/>
      <c r="F907" s="55"/>
      <c r="G907" s="651"/>
      <c r="H907" s="55"/>
      <c r="I907" s="651"/>
      <c r="K907" s="652"/>
      <c r="M907" s="276"/>
    </row>
    <row r="908">
      <c r="A908" s="459"/>
      <c r="C908" s="276"/>
      <c r="D908" s="276"/>
      <c r="E908" s="651"/>
      <c r="F908" s="55"/>
      <c r="G908" s="651"/>
      <c r="H908" s="55"/>
      <c r="I908" s="651"/>
      <c r="K908" s="652"/>
      <c r="M908" s="276"/>
    </row>
    <row r="909">
      <c r="A909" s="459"/>
      <c r="C909" s="276"/>
      <c r="D909" s="276"/>
      <c r="E909" s="651"/>
      <c r="F909" s="55"/>
      <c r="G909" s="651"/>
      <c r="H909" s="55"/>
      <c r="I909" s="651"/>
      <c r="K909" s="652"/>
      <c r="M909" s="276"/>
    </row>
    <row r="910">
      <c r="A910" s="459"/>
      <c r="C910" s="276"/>
      <c r="D910" s="276"/>
      <c r="E910" s="651"/>
      <c r="F910" s="55"/>
      <c r="G910" s="651"/>
      <c r="H910" s="55"/>
      <c r="I910" s="651"/>
      <c r="K910" s="652"/>
      <c r="M910" s="276"/>
    </row>
    <row r="911">
      <c r="A911" s="459"/>
      <c r="C911" s="276"/>
      <c r="D911" s="276"/>
      <c r="E911" s="651"/>
      <c r="F911" s="55"/>
      <c r="G911" s="651"/>
      <c r="H911" s="55"/>
      <c r="I911" s="651"/>
      <c r="K911" s="652"/>
      <c r="M911" s="276"/>
    </row>
    <row r="912">
      <c r="A912" s="459"/>
      <c r="C912" s="276"/>
      <c r="D912" s="276"/>
      <c r="E912" s="651"/>
      <c r="F912" s="55"/>
      <c r="G912" s="651"/>
      <c r="H912" s="55"/>
      <c r="I912" s="651"/>
      <c r="K912" s="652"/>
      <c r="M912" s="276"/>
    </row>
    <row r="913">
      <c r="A913" s="459"/>
      <c r="C913" s="276"/>
      <c r="D913" s="276"/>
      <c r="E913" s="651"/>
      <c r="F913" s="55"/>
      <c r="G913" s="651"/>
      <c r="H913" s="55"/>
      <c r="I913" s="651"/>
      <c r="K913" s="652"/>
      <c r="M913" s="276"/>
    </row>
    <row r="914">
      <c r="A914" s="459"/>
      <c r="C914" s="276"/>
      <c r="D914" s="276"/>
      <c r="E914" s="651"/>
      <c r="F914" s="55"/>
      <c r="G914" s="651"/>
      <c r="H914" s="55"/>
      <c r="I914" s="651"/>
      <c r="K914" s="652"/>
      <c r="M914" s="276"/>
    </row>
    <row r="915">
      <c r="A915" s="459"/>
      <c r="C915" s="276"/>
      <c r="D915" s="276"/>
      <c r="E915" s="651"/>
      <c r="F915" s="55"/>
      <c r="G915" s="651"/>
      <c r="H915" s="55"/>
      <c r="I915" s="651"/>
      <c r="K915" s="652"/>
      <c r="M915" s="276"/>
    </row>
    <row r="916">
      <c r="A916" s="459"/>
      <c r="C916" s="276"/>
      <c r="D916" s="276"/>
      <c r="E916" s="651"/>
      <c r="F916" s="55"/>
      <c r="G916" s="651"/>
      <c r="H916" s="55"/>
      <c r="I916" s="651"/>
      <c r="K916" s="652"/>
      <c r="M916" s="276"/>
    </row>
    <row r="917">
      <c r="A917" s="459"/>
      <c r="C917" s="276"/>
      <c r="D917" s="276"/>
      <c r="E917" s="651"/>
      <c r="F917" s="55"/>
      <c r="G917" s="651"/>
      <c r="H917" s="55"/>
      <c r="I917" s="651"/>
      <c r="K917" s="652"/>
      <c r="M917" s="276"/>
    </row>
    <row r="918">
      <c r="A918" s="459"/>
      <c r="C918" s="276"/>
      <c r="D918" s="276"/>
      <c r="E918" s="651"/>
      <c r="F918" s="55"/>
      <c r="G918" s="651"/>
      <c r="H918" s="55"/>
      <c r="I918" s="651"/>
      <c r="K918" s="652"/>
      <c r="M918" s="276"/>
    </row>
    <row r="919">
      <c r="A919" s="459"/>
      <c r="C919" s="276"/>
      <c r="D919" s="276"/>
      <c r="E919" s="651"/>
      <c r="F919" s="55"/>
      <c r="G919" s="651"/>
      <c r="H919" s="55"/>
      <c r="I919" s="651"/>
      <c r="K919" s="652"/>
      <c r="M919" s="276"/>
    </row>
    <row r="920">
      <c r="A920" s="459"/>
      <c r="C920" s="276"/>
      <c r="D920" s="276"/>
      <c r="E920" s="651"/>
      <c r="F920" s="55"/>
      <c r="G920" s="651"/>
      <c r="H920" s="55"/>
      <c r="I920" s="651"/>
      <c r="K920" s="652"/>
      <c r="M920" s="276"/>
    </row>
    <row r="921">
      <c r="A921" s="459"/>
      <c r="C921" s="276"/>
      <c r="D921" s="276"/>
      <c r="E921" s="651"/>
      <c r="F921" s="55"/>
      <c r="G921" s="651"/>
      <c r="H921" s="55"/>
      <c r="I921" s="651"/>
      <c r="K921" s="652"/>
      <c r="M921" s="276"/>
    </row>
    <row r="922">
      <c r="A922" s="459"/>
      <c r="C922" s="276"/>
      <c r="D922" s="276"/>
      <c r="E922" s="651"/>
      <c r="F922" s="55"/>
      <c r="G922" s="651"/>
      <c r="H922" s="55"/>
      <c r="I922" s="651"/>
      <c r="K922" s="652"/>
      <c r="M922" s="276"/>
    </row>
    <row r="923">
      <c r="A923" s="459"/>
      <c r="C923" s="276"/>
      <c r="D923" s="276"/>
      <c r="E923" s="651"/>
      <c r="F923" s="55"/>
      <c r="G923" s="651"/>
      <c r="H923" s="55"/>
      <c r="I923" s="651"/>
      <c r="K923" s="652"/>
      <c r="M923" s="276"/>
    </row>
    <row r="924">
      <c r="A924" s="459"/>
      <c r="C924" s="276"/>
      <c r="D924" s="276"/>
      <c r="E924" s="651"/>
      <c r="F924" s="55"/>
      <c r="G924" s="651"/>
      <c r="H924" s="55"/>
      <c r="I924" s="651"/>
      <c r="K924" s="652"/>
      <c r="M924" s="276"/>
    </row>
    <row r="925">
      <c r="A925" s="459"/>
      <c r="C925" s="276"/>
      <c r="D925" s="276"/>
      <c r="E925" s="651"/>
      <c r="F925" s="55"/>
      <c r="G925" s="651"/>
      <c r="H925" s="55"/>
      <c r="I925" s="651"/>
      <c r="K925" s="652"/>
      <c r="M925" s="276"/>
    </row>
    <row r="926">
      <c r="A926" s="459"/>
      <c r="C926" s="276"/>
      <c r="D926" s="276"/>
      <c r="E926" s="651"/>
      <c r="F926" s="55"/>
      <c r="G926" s="651"/>
      <c r="H926" s="55"/>
      <c r="I926" s="651"/>
      <c r="K926" s="652"/>
      <c r="M926" s="276"/>
    </row>
    <row r="927">
      <c r="A927" s="459"/>
      <c r="C927" s="276"/>
      <c r="D927" s="276"/>
      <c r="E927" s="651"/>
      <c r="F927" s="55"/>
      <c r="G927" s="651"/>
      <c r="H927" s="55"/>
      <c r="I927" s="651"/>
      <c r="K927" s="652"/>
      <c r="M927" s="276"/>
    </row>
    <row r="928">
      <c r="A928" s="459"/>
      <c r="C928" s="276"/>
      <c r="D928" s="276"/>
      <c r="E928" s="651"/>
      <c r="F928" s="55"/>
      <c r="G928" s="651"/>
      <c r="H928" s="55"/>
      <c r="I928" s="651"/>
      <c r="K928" s="652"/>
      <c r="M928" s="276"/>
    </row>
    <row r="929">
      <c r="A929" s="459"/>
      <c r="C929" s="276"/>
      <c r="D929" s="276"/>
      <c r="E929" s="651"/>
      <c r="F929" s="55"/>
      <c r="G929" s="651"/>
      <c r="H929" s="55"/>
      <c r="I929" s="651"/>
      <c r="K929" s="652"/>
      <c r="M929" s="276"/>
    </row>
    <row r="930">
      <c r="A930" s="459"/>
      <c r="C930" s="276"/>
      <c r="D930" s="276"/>
      <c r="E930" s="651"/>
      <c r="F930" s="55"/>
      <c r="G930" s="651"/>
      <c r="H930" s="55"/>
      <c r="I930" s="651"/>
      <c r="K930" s="652"/>
      <c r="M930" s="276"/>
    </row>
    <row r="931">
      <c r="A931" s="459"/>
      <c r="C931" s="276"/>
      <c r="D931" s="276"/>
      <c r="E931" s="651"/>
      <c r="F931" s="55"/>
      <c r="G931" s="651"/>
      <c r="H931" s="55"/>
      <c r="I931" s="651"/>
      <c r="K931" s="652"/>
      <c r="M931" s="276"/>
    </row>
    <row r="932">
      <c r="A932" s="459"/>
      <c r="C932" s="276"/>
      <c r="D932" s="276"/>
      <c r="E932" s="651"/>
      <c r="F932" s="55"/>
      <c r="G932" s="651"/>
      <c r="H932" s="55"/>
      <c r="I932" s="651"/>
      <c r="K932" s="652"/>
      <c r="M932" s="276"/>
    </row>
    <row r="933">
      <c r="A933" s="459"/>
      <c r="C933" s="276"/>
      <c r="D933" s="276"/>
      <c r="E933" s="651"/>
      <c r="F933" s="55"/>
      <c r="G933" s="651"/>
      <c r="H933" s="55"/>
      <c r="I933" s="651"/>
      <c r="K933" s="652"/>
      <c r="M933" s="276"/>
    </row>
    <row r="934">
      <c r="A934" s="459"/>
      <c r="C934" s="276"/>
      <c r="D934" s="276"/>
      <c r="E934" s="651"/>
      <c r="F934" s="55"/>
      <c r="G934" s="651"/>
      <c r="H934" s="55"/>
      <c r="I934" s="651"/>
      <c r="K934" s="652"/>
      <c r="M934" s="276"/>
    </row>
    <row r="935">
      <c r="A935" s="459"/>
      <c r="C935" s="276"/>
      <c r="D935" s="276"/>
      <c r="E935" s="651"/>
      <c r="F935" s="55"/>
      <c r="G935" s="651"/>
      <c r="H935" s="55"/>
      <c r="I935" s="651"/>
      <c r="K935" s="652"/>
      <c r="M935" s="276"/>
    </row>
    <row r="936">
      <c r="A936" s="459"/>
      <c r="C936" s="276"/>
      <c r="D936" s="276"/>
      <c r="E936" s="651"/>
      <c r="F936" s="55"/>
      <c r="G936" s="651"/>
      <c r="H936" s="55"/>
      <c r="I936" s="651"/>
      <c r="K936" s="652"/>
      <c r="M936" s="276"/>
    </row>
    <row r="937">
      <c r="A937" s="459"/>
      <c r="C937" s="276"/>
      <c r="D937" s="276"/>
      <c r="E937" s="651"/>
      <c r="F937" s="55"/>
      <c r="G937" s="651"/>
      <c r="H937" s="55"/>
      <c r="I937" s="651"/>
      <c r="K937" s="652"/>
      <c r="M937" s="276"/>
    </row>
    <row r="938">
      <c r="A938" s="459"/>
      <c r="C938" s="276"/>
      <c r="D938" s="276"/>
      <c r="E938" s="651"/>
      <c r="F938" s="55"/>
      <c r="G938" s="651"/>
      <c r="H938" s="55"/>
      <c r="I938" s="651"/>
      <c r="K938" s="652"/>
      <c r="M938" s="276"/>
    </row>
    <row r="939">
      <c r="A939" s="459"/>
      <c r="C939" s="276"/>
      <c r="D939" s="276"/>
      <c r="E939" s="651"/>
      <c r="F939" s="55"/>
      <c r="G939" s="651"/>
      <c r="H939" s="55"/>
      <c r="I939" s="651"/>
      <c r="K939" s="652"/>
      <c r="M939" s="276"/>
    </row>
    <row r="940">
      <c r="A940" s="459"/>
      <c r="C940" s="276"/>
      <c r="D940" s="276"/>
      <c r="E940" s="651"/>
      <c r="F940" s="55"/>
      <c r="G940" s="651"/>
      <c r="H940" s="55"/>
      <c r="I940" s="651"/>
      <c r="K940" s="652"/>
      <c r="M940" s="276"/>
    </row>
    <row r="941">
      <c r="A941" s="459"/>
      <c r="C941" s="276"/>
      <c r="D941" s="276"/>
      <c r="E941" s="651"/>
      <c r="F941" s="55"/>
      <c r="G941" s="651"/>
      <c r="H941" s="55"/>
      <c r="I941" s="651"/>
      <c r="K941" s="652"/>
      <c r="M941" s="276"/>
    </row>
    <row r="942">
      <c r="A942" s="459"/>
      <c r="C942" s="276"/>
      <c r="D942" s="276"/>
      <c r="E942" s="651"/>
      <c r="F942" s="55"/>
      <c r="G942" s="651"/>
      <c r="H942" s="55"/>
      <c r="I942" s="651"/>
      <c r="K942" s="652"/>
      <c r="M942" s="276"/>
    </row>
    <row r="943">
      <c r="A943" s="459"/>
      <c r="C943" s="276"/>
      <c r="D943" s="276"/>
      <c r="E943" s="651"/>
      <c r="F943" s="55"/>
      <c r="G943" s="651"/>
      <c r="H943" s="55"/>
      <c r="I943" s="651"/>
      <c r="K943" s="652"/>
      <c r="M943" s="276"/>
    </row>
    <row r="944">
      <c r="A944" s="459"/>
      <c r="C944" s="276"/>
      <c r="D944" s="276"/>
      <c r="E944" s="651"/>
      <c r="F944" s="55"/>
      <c r="G944" s="651"/>
      <c r="H944" s="55"/>
      <c r="I944" s="651"/>
      <c r="K944" s="652"/>
      <c r="M944" s="276"/>
    </row>
    <row r="945">
      <c r="A945" s="459"/>
      <c r="C945" s="276"/>
      <c r="D945" s="276"/>
      <c r="E945" s="651"/>
      <c r="F945" s="55"/>
      <c r="G945" s="651"/>
      <c r="H945" s="55"/>
      <c r="I945" s="651"/>
      <c r="K945" s="652"/>
      <c r="M945" s="276"/>
    </row>
    <row r="946">
      <c r="A946" s="459"/>
      <c r="C946" s="276"/>
      <c r="D946" s="276"/>
      <c r="E946" s="651"/>
      <c r="F946" s="55"/>
      <c r="G946" s="651"/>
      <c r="H946" s="55"/>
      <c r="I946" s="651"/>
      <c r="K946" s="652"/>
      <c r="M946" s="276"/>
    </row>
    <row r="947">
      <c r="A947" s="459"/>
      <c r="C947" s="276"/>
      <c r="D947" s="276"/>
      <c r="E947" s="651"/>
      <c r="F947" s="55"/>
      <c r="G947" s="651"/>
      <c r="H947" s="55"/>
      <c r="I947" s="651"/>
      <c r="K947" s="652"/>
      <c r="M947" s="276"/>
    </row>
    <row r="948">
      <c r="A948" s="459"/>
      <c r="C948" s="276"/>
      <c r="D948" s="276"/>
      <c r="E948" s="651"/>
      <c r="F948" s="55"/>
      <c r="G948" s="651"/>
      <c r="H948" s="55"/>
      <c r="I948" s="651"/>
      <c r="K948" s="652"/>
      <c r="M948" s="276"/>
    </row>
    <row r="949">
      <c r="A949" s="459"/>
      <c r="C949" s="276"/>
      <c r="D949" s="276"/>
      <c r="E949" s="651"/>
      <c r="F949" s="55"/>
      <c r="G949" s="651"/>
      <c r="H949" s="55"/>
      <c r="I949" s="651"/>
      <c r="K949" s="652"/>
      <c r="M949" s="276"/>
    </row>
    <row r="950">
      <c r="A950" s="459"/>
      <c r="C950" s="276"/>
      <c r="D950" s="276"/>
      <c r="E950" s="651"/>
      <c r="F950" s="55"/>
      <c r="G950" s="651"/>
      <c r="H950" s="55"/>
      <c r="I950" s="651"/>
      <c r="K950" s="652"/>
      <c r="M950" s="276"/>
    </row>
    <row r="951">
      <c r="A951" s="459"/>
      <c r="C951" s="276"/>
      <c r="D951" s="276"/>
      <c r="E951" s="651"/>
      <c r="F951" s="55"/>
      <c r="G951" s="651"/>
      <c r="H951" s="55"/>
      <c r="I951" s="651"/>
      <c r="K951" s="652"/>
      <c r="M951" s="276"/>
    </row>
    <row r="952">
      <c r="A952" s="459"/>
      <c r="C952" s="276"/>
      <c r="D952" s="276"/>
      <c r="E952" s="651"/>
      <c r="F952" s="55"/>
      <c r="G952" s="651"/>
      <c r="H952" s="55"/>
      <c r="I952" s="651"/>
      <c r="K952" s="652"/>
      <c r="M952" s="276"/>
    </row>
    <row r="953">
      <c r="A953" s="459"/>
      <c r="C953" s="276"/>
      <c r="D953" s="276"/>
      <c r="E953" s="651"/>
      <c r="F953" s="55"/>
      <c r="G953" s="651"/>
      <c r="H953" s="55"/>
      <c r="I953" s="651"/>
      <c r="K953" s="652"/>
      <c r="M953" s="276"/>
    </row>
    <row r="954">
      <c r="A954" s="459"/>
      <c r="C954" s="276"/>
      <c r="D954" s="276"/>
      <c r="E954" s="651"/>
      <c r="F954" s="55"/>
      <c r="G954" s="651"/>
      <c r="H954" s="55"/>
      <c r="I954" s="651"/>
      <c r="K954" s="652"/>
      <c r="M954" s="276"/>
    </row>
    <row r="955">
      <c r="A955" s="459"/>
      <c r="C955" s="276"/>
      <c r="D955" s="276"/>
      <c r="E955" s="651"/>
      <c r="F955" s="55"/>
      <c r="G955" s="651"/>
      <c r="H955" s="55"/>
      <c r="I955" s="651"/>
      <c r="K955" s="652"/>
      <c r="M955" s="276"/>
    </row>
    <row r="956">
      <c r="A956" s="459"/>
      <c r="C956" s="276"/>
      <c r="D956" s="276"/>
      <c r="E956" s="651"/>
      <c r="F956" s="55"/>
      <c r="G956" s="651"/>
      <c r="H956" s="55"/>
      <c r="I956" s="651"/>
      <c r="K956" s="652"/>
      <c r="M956" s="276"/>
    </row>
    <row r="957">
      <c r="A957" s="459"/>
      <c r="C957" s="276"/>
      <c r="D957" s="276"/>
      <c r="E957" s="651"/>
      <c r="F957" s="55"/>
      <c r="G957" s="651"/>
      <c r="H957" s="55"/>
      <c r="I957" s="651"/>
      <c r="K957" s="652"/>
      <c r="M957" s="276"/>
    </row>
    <row r="958">
      <c r="A958" s="459"/>
      <c r="C958" s="276"/>
      <c r="D958" s="276"/>
      <c r="E958" s="651"/>
      <c r="F958" s="55"/>
      <c r="G958" s="651"/>
      <c r="H958" s="55"/>
      <c r="I958" s="651"/>
      <c r="K958" s="652"/>
      <c r="M958" s="276"/>
    </row>
    <row r="959">
      <c r="A959" s="459"/>
      <c r="C959" s="276"/>
      <c r="D959" s="276"/>
      <c r="E959" s="651"/>
      <c r="F959" s="55"/>
      <c r="G959" s="651"/>
      <c r="H959" s="55"/>
      <c r="I959" s="651"/>
      <c r="K959" s="652"/>
      <c r="M959" s="276"/>
    </row>
    <row r="960">
      <c r="A960" s="459"/>
      <c r="C960" s="276"/>
      <c r="D960" s="276"/>
      <c r="E960" s="651"/>
      <c r="F960" s="55"/>
      <c r="G960" s="651"/>
      <c r="H960" s="55"/>
      <c r="I960" s="651"/>
      <c r="K960" s="652"/>
      <c r="M960" s="276"/>
    </row>
    <row r="961">
      <c r="A961" s="459"/>
      <c r="C961" s="276"/>
      <c r="D961" s="276"/>
      <c r="E961" s="651"/>
      <c r="F961" s="55"/>
      <c r="G961" s="651"/>
      <c r="H961" s="55"/>
      <c r="I961" s="651"/>
      <c r="K961" s="652"/>
      <c r="M961" s="276"/>
    </row>
    <row r="962">
      <c r="A962" s="459"/>
      <c r="C962" s="276"/>
      <c r="D962" s="276"/>
      <c r="E962" s="651"/>
      <c r="F962" s="55"/>
      <c r="G962" s="651"/>
      <c r="H962" s="55"/>
      <c r="I962" s="651"/>
      <c r="K962" s="652"/>
      <c r="M962" s="276"/>
    </row>
    <row r="963">
      <c r="A963" s="459"/>
      <c r="C963" s="276"/>
      <c r="D963" s="276"/>
      <c r="E963" s="651"/>
      <c r="F963" s="55"/>
      <c r="G963" s="651"/>
      <c r="H963" s="55"/>
      <c r="I963" s="651"/>
      <c r="K963" s="652"/>
      <c r="M963" s="276"/>
    </row>
    <row r="964">
      <c r="A964" s="459"/>
      <c r="C964" s="276"/>
      <c r="D964" s="276"/>
      <c r="E964" s="651"/>
      <c r="F964" s="55"/>
      <c r="G964" s="651"/>
      <c r="H964" s="55"/>
      <c r="I964" s="651"/>
      <c r="K964" s="652"/>
      <c r="M964" s="276"/>
    </row>
    <row r="965">
      <c r="A965" s="459"/>
      <c r="C965" s="276"/>
      <c r="D965" s="276"/>
      <c r="E965" s="651"/>
      <c r="F965" s="55"/>
      <c r="G965" s="651"/>
      <c r="H965" s="55"/>
      <c r="I965" s="651"/>
      <c r="K965" s="652"/>
      <c r="M965" s="276"/>
    </row>
    <row r="966">
      <c r="A966" s="459"/>
      <c r="C966" s="276"/>
      <c r="D966" s="276"/>
      <c r="E966" s="651"/>
      <c r="F966" s="55"/>
      <c r="G966" s="651"/>
      <c r="H966" s="55"/>
      <c r="I966" s="651"/>
      <c r="K966" s="652"/>
      <c r="M966" s="276"/>
    </row>
    <row r="967">
      <c r="A967" s="459"/>
      <c r="C967" s="276"/>
      <c r="D967" s="276"/>
      <c r="E967" s="651"/>
      <c r="F967" s="55"/>
      <c r="G967" s="651"/>
      <c r="H967" s="55"/>
      <c r="I967" s="651"/>
      <c r="K967" s="652"/>
      <c r="M967" s="276"/>
    </row>
    <row r="968">
      <c r="A968" s="459"/>
      <c r="C968" s="276"/>
      <c r="D968" s="276"/>
      <c r="E968" s="651"/>
      <c r="F968" s="55"/>
      <c r="G968" s="651"/>
      <c r="H968" s="55"/>
      <c r="I968" s="651"/>
      <c r="K968" s="652"/>
      <c r="M968" s="276"/>
    </row>
    <row r="969">
      <c r="A969" s="459"/>
      <c r="C969" s="276"/>
      <c r="D969" s="276"/>
      <c r="E969" s="651"/>
      <c r="F969" s="55"/>
      <c r="G969" s="651"/>
      <c r="H969" s="55"/>
      <c r="I969" s="651"/>
      <c r="K969" s="652"/>
      <c r="M969" s="276"/>
    </row>
    <row r="970">
      <c r="A970" s="459"/>
      <c r="C970" s="276"/>
      <c r="D970" s="276"/>
      <c r="E970" s="651"/>
      <c r="F970" s="55"/>
      <c r="G970" s="651"/>
      <c r="H970" s="55"/>
      <c r="I970" s="651"/>
      <c r="K970" s="652"/>
      <c r="M970" s="276"/>
    </row>
    <row r="971">
      <c r="A971" s="459"/>
      <c r="C971" s="276"/>
      <c r="D971" s="276"/>
      <c r="E971" s="651"/>
      <c r="F971" s="55"/>
      <c r="G971" s="651"/>
      <c r="H971" s="55"/>
      <c r="I971" s="651"/>
      <c r="K971" s="652"/>
      <c r="M971" s="276"/>
    </row>
    <row r="972">
      <c r="A972" s="459"/>
      <c r="C972" s="276"/>
      <c r="D972" s="276"/>
      <c r="E972" s="651"/>
      <c r="F972" s="55"/>
      <c r="G972" s="651"/>
      <c r="H972" s="55"/>
      <c r="I972" s="651"/>
      <c r="K972" s="652"/>
      <c r="M972" s="276"/>
    </row>
    <row r="973">
      <c r="A973" s="459"/>
      <c r="C973" s="276"/>
      <c r="D973" s="276"/>
      <c r="E973" s="651"/>
      <c r="F973" s="55"/>
      <c r="G973" s="651"/>
      <c r="H973" s="55"/>
      <c r="I973" s="651"/>
      <c r="K973" s="652"/>
      <c r="M973" s="276"/>
    </row>
    <row r="974">
      <c r="A974" s="459"/>
      <c r="C974" s="276"/>
      <c r="D974" s="276"/>
      <c r="E974" s="651"/>
      <c r="F974" s="55"/>
      <c r="G974" s="651"/>
      <c r="H974" s="55"/>
      <c r="I974" s="651"/>
      <c r="K974" s="652"/>
      <c r="M974" s="276"/>
    </row>
    <row r="975">
      <c r="A975" s="459"/>
      <c r="C975" s="276"/>
      <c r="D975" s="276"/>
      <c r="E975" s="651"/>
      <c r="F975" s="55"/>
      <c r="G975" s="651"/>
      <c r="H975" s="55"/>
      <c r="I975" s="651"/>
      <c r="K975" s="652"/>
      <c r="M975" s="276"/>
    </row>
    <row r="976">
      <c r="A976" s="459"/>
      <c r="C976" s="276"/>
      <c r="D976" s="276"/>
      <c r="E976" s="651"/>
      <c r="F976" s="55"/>
      <c r="G976" s="651"/>
      <c r="H976" s="55"/>
      <c r="I976" s="651"/>
      <c r="K976" s="652"/>
      <c r="M976" s="276"/>
    </row>
    <row r="977">
      <c r="A977" s="459"/>
      <c r="C977" s="276"/>
      <c r="D977" s="276"/>
      <c r="E977" s="651"/>
      <c r="F977" s="55"/>
      <c r="G977" s="651"/>
      <c r="H977" s="55"/>
      <c r="I977" s="651"/>
      <c r="K977" s="652"/>
      <c r="M977" s="276"/>
    </row>
    <row r="978">
      <c r="A978" s="459"/>
      <c r="C978" s="276"/>
      <c r="D978" s="276"/>
      <c r="E978" s="651"/>
      <c r="F978" s="55"/>
      <c r="G978" s="651"/>
      <c r="H978" s="55"/>
      <c r="I978" s="651"/>
      <c r="K978" s="652"/>
      <c r="M978" s="276"/>
    </row>
    <row r="979">
      <c r="A979" s="459"/>
      <c r="C979" s="276"/>
      <c r="D979" s="276"/>
      <c r="E979" s="651"/>
      <c r="F979" s="55"/>
      <c r="G979" s="651"/>
      <c r="H979" s="55"/>
      <c r="I979" s="651"/>
      <c r="K979" s="652"/>
      <c r="M979" s="276"/>
    </row>
    <row r="980">
      <c r="A980" s="459"/>
      <c r="C980" s="276"/>
      <c r="D980" s="276"/>
      <c r="E980" s="651"/>
      <c r="F980" s="55"/>
      <c r="G980" s="651"/>
      <c r="H980" s="55"/>
      <c r="I980" s="651"/>
      <c r="K980" s="652"/>
      <c r="M980" s="276"/>
    </row>
    <row r="981">
      <c r="A981" s="459"/>
      <c r="C981" s="276"/>
      <c r="D981" s="276"/>
      <c r="E981" s="651"/>
      <c r="F981" s="55"/>
      <c r="G981" s="651"/>
      <c r="H981" s="55"/>
      <c r="I981" s="651"/>
      <c r="K981" s="652"/>
      <c r="M981" s="276"/>
    </row>
    <row r="982">
      <c r="A982" s="459"/>
      <c r="C982" s="276"/>
      <c r="D982" s="276"/>
      <c r="E982" s="651"/>
      <c r="F982" s="55"/>
      <c r="G982" s="651"/>
      <c r="H982" s="55"/>
      <c r="I982" s="651"/>
      <c r="K982" s="652"/>
      <c r="M982" s="276"/>
    </row>
    <row r="983">
      <c r="A983" s="459"/>
      <c r="C983" s="276"/>
      <c r="D983" s="276"/>
      <c r="E983" s="651"/>
      <c r="F983" s="55"/>
      <c r="G983" s="651"/>
      <c r="H983" s="55"/>
      <c r="I983" s="651"/>
      <c r="K983" s="652"/>
      <c r="M983" s="276"/>
    </row>
    <row r="984">
      <c r="A984" s="459"/>
      <c r="C984" s="276"/>
      <c r="D984" s="276"/>
      <c r="E984" s="651"/>
      <c r="F984" s="55"/>
      <c r="G984" s="651"/>
      <c r="H984" s="55"/>
      <c r="I984" s="651"/>
      <c r="K984" s="652"/>
      <c r="M984" s="276"/>
    </row>
    <row r="985">
      <c r="A985" s="459"/>
      <c r="C985" s="276"/>
      <c r="D985" s="276"/>
      <c r="E985" s="651"/>
      <c r="F985" s="55"/>
      <c r="G985" s="651"/>
      <c r="H985" s="55"/>
      <c r="I985" s="651"/>
      <c r="K985" s="652"/>
      <c r="M985" s="276"/>
    </row>
    <row r="986">
      <c r="A986" s="459"/>
      <c r="C986" s="276"/>
      <c r="D986" s="276"/>
      <c r="E986" s="651"/>
      <c r="F986" s="55"/>
      <c r="G986" s="651"/>
      <c r="H986" s="55"/>
      <c r="I986" s="651"/>
      <c r="K986" s="652"/>
      <c r="M986" s="276"/>
    </row>
    <row r="987">
      <c r="A987" s="459"/>
      <c r="C987" s="276"/>
      <c r="D987" s="276"/>
      <c r="E987" s="651"/>
      <c r="F987" s="55"/>
      <c r="G987" s="651"/>
      <c r="H987" s="55"/>
      <c r="I987" s="651"/>
      <c r="K987" s="652"/>
      <c r="M987" s="276"/>
    </row>
    <row r="988">
      <c r="A988" s="459"/>
      <c r="C988" s="276"/>
      <c r="D988" s="276"/>
      <c r="E988" s="651"/>
      <c r="F988" s="55"/>
      <c r="G988" s="651"/>
      <c r="H988" s="55"/>
      <c r="I988" s="651"/>
      <c r="K988" s="652"/>
      <c r="M988" s="276"/>
    </row>
    <row r="989">
      <c r="A989" s="459"/>
      <c r="C989" s="276"/>
      <c r="D989" s="276"/>
      <c r="E989" s="651"/>
      <c r="F989" s="55"/>
      <c r="G989" s="651"/>
      <c r="H989" s="55"/>
      <c r="I989" s="651"/>
      <c r="K989" s="652"/>
      <c r="M989" s="276"/>
    </row>
    <row r="990">
      <c r="A990" s="459"/>
      <c r="C990" s="276"/>
      <c r="D990" s="276"/>
      <c r="E990" s="651"/>
      <c r="F990" s="55"/>
      <c r="G990" s="651"/>
      <c r="H990" s="55"/>
      <c r="I990" s="651"/>
      <c r="K990" s="652"/>
      <c r="M990" s="276"/>
    </row>
    <row r="991">
      <c r="A991" s="459"/>
      <c r="C991" s="276"/>
      <c r="D991" s="276"/>
      <c r="E991" s="651"/>
      <c r="F991" s="55"/>
      <c r="G991" s="651"/>
      <c r="H991" s="55"/>
      <c r="I991" s="651"/>
      <c r="K991" s="652"/>
      <c r="M991" s="27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3" width="15.75"/>
    <col customWidth="1" min="4" max="4" width="15.13"/>
    <col customWidth="1" min="5" max="5" width="14.5"/>
    <col customWidth="1" min="6" max="6" width="22.63"/>
    <col customWidth="1" min="7" max="7" width="62.63"/>
    <col customWidth="1" min="8" max="8" width="8.88"/>
  </cols>
  <sheetData>
    <row r="1">
      <c r="B1" s="679"/>
      <c r="C1" s="680"/>
      <c r="D1" s="48"/>
      <c r="E1" s="680"/>
      <c r="F1" s="681"/>
      <c r="G1" s="682"/>
      <c r="H1" s="48"/>
      <c r="I1" s="48"/>
      <c r="J1" s="48"/>
      <c r="K1" s="48"/>
      <c r="L1" s="48"/>
      <c r="M1" s="48"/>
      <c r="N1" s="48"/>
      <c r="O1" s="48"/>
      <c r="P1" s="48"/>
      <c r="Q1" s="48"/>
      <c r="R1" s="48"/>
      <c r="S1" s="48"/>
      <c r="T1" s="48"/>
      <c r="U1" s="48"/>
      <c r="V1" s="48"/>
      <c r="W1" s="48"/>
      <c r="X1" s="48"/>
      <c r="Y1" s="48"/>
      <c r="Z1" s="48"/>
      <c r="AA1" s="48"/>
      <c r="AB1" s="48"/>
      <c r="AC1" s="48"/>
      <c r="AD1" s="48"/>
    </row>
    <row r="2">
      <c r="B2" s="679" t="s">
        <v>2125</v>
      </c>
      <c r="C2" s="680"/>
      <c r="D2" s="48"/>
      <c r="E2" s="680"/>
      <c r="F2" s="681"/>
      <c r="G2" s="682" t="s">
        <v>2126</v>
      </c>
      <c r="H2" s="48"/>
      <c r="I2" s="48"/>
      <c r="J2" s="48"/>
      <c r="K2" s="48"/>
      <c r="L2" s="48"/>
      <c r="M2" s="48"/>
      <c r="N2" s="48"/>
      <c r="O2" s="48"/>
      <c r="P2" s="48"/>
      <c r="Q2" s="48"/>
      <c r="R2" s="48"/>
      <c r="S2" s="48"/>
      <c r="T2" s="48"/>
      <c r="U2" s="48"/>
      <c r="V2" s="48"/>
      <c r="W2" s="48"/>
      <c r="X2" s="48"/>
      <c r="Y2" s="48"/>
      <c r="Z2" s="48"/>
      <c r="AA2" s="48"/>
      <c r="AB2" s="48"/>
      <c r="AC2" s="48"/>
      <c r="AD2" s="48"/>
    </row>
    <row r="3">
      <c r="A3" s="48"/>
      <c r="B3" s="683" t="s">
        <v>2127</v>
      </c>
      <c r="C3" s="48"/>
      <c r="D3" s="47"/>
      <c r="E3" s="48"/>
      <c r="F3" s="684"/>
      <c r="G3" s="682"/>
      <c r="H3" s="48"/>
      <c r="I3" s="48"/>
      <c r="J3" s="48"/>
      <c r="K3" s="48"/>
      <c r="L3" s="48"/>
      <c r="M3" s="48"/>
      <c r="N3" s="48"/>
      <c r="O3" s="48"/>
      <c r="P3" s="48"/>
      <c r="Q3" s="48"/>
      <c r="R3" s="48"/>
      <c r="S3" s="48"/>
      <c r="T3" s="48"/>
      <c r="U3" s="48"/>
      <c r="V3" s="48"/>
      <c r="W3" s="48"/>
      <c r="X3" s="48"/>
      <c r="Y3" s="48"/>
      <c r="Z3" s="48"/>
      <c r="AA3" s="48"/>
      <c r="AB3" s="48"/>
      <c r="AC3" s="48"/>
      <c r="AD3" s="48"/>
    </row>
    <row r="4">
      <c r="A4" s="48"/>
      <c r="B4" s="685" t="s">
        <v>2128</v>
      </c>
      <c r="C4" s="48"/>
      <c r="D4" s="47"/>
      <c r="E4" s="48"/>
      <c r="F4" s="684"/>
      <c r="G4" s="684"/>
      <c r="H4" s="48"/>
      <c r="I4" s="48"/>
      <c r="J4" s="48"/>
      <c r="K4" s="48"/>
      <c r="L4" s="48"/>
      <c r="M4" s="48"/>
      <c r="N4" s="48"/>
      <c r="O4" s="48"/>
      <c r="P4" s="48"/>
      <c r="Q4" s="48"/>
      <c r="R4" s="48"/>
      <c r="S4" s="48"/>
      <c r="T4" s="48"/>
      <c r="U4" s="48"/>
      <c r="V4" s="48"/>
      <c r="W4" s="48"/>
      <c r="X4" s="48"/>
      <c r="Y4" s="48"/>
      <c r="Z4" s="48"/>
      <c r="AA4" s="48"/>
      <c r="AB4" s="48"/>
      <c r="AC4" s="48"/>
      <c r="AD4" s="48"/>
    </row>
    <row r="5">
      <c r="A5" s="48"/>
      <c r="B5" s="47"/>
      <c r="C5" s="48"/>
      <c r="D5" s="47"/>
      <c r="E5" s="48"/>
      <c r="F5" s="684"/>
      <c r="G5" s="684"/>
      <c r="H5" s="48"/>
      <c r="I5" s="48"/>
      <c r="J5" s="48"/>
      <c r="K5" s="48"/>
      <c r="L5" s="48"/>
      <c r="M5" s="48"/>
      <c r="N5" s="48"/>
      <c r="O5" s="48"/>
      <c r="P5" s="48"/>
      <c r="Q5" s="48"/>
      <c r="R5" s="48"/>
      <c r="S5" s="48"/>
      <c r="T5" s="48"/>
      <c r="U5" s="48"/>
      <c r="V5" s="48"/>
      <c r="W5" s="48"/>
      <c r="X5" s="48"/>
      <c r="Y5" s="48"/>
      <c r="Z5" s="48"/>
      <c r="AA5" s="48"/>
      <c r="AB5" s="48"/>
      <c r="AC5" s="48"/>
      <c r="AD5" s="48"/>
    </row>
    <row r="6">
      <c r="A6" s="48"/>
      <c r="B6" s="683" t="s">
        <v>2129</v>
      </c>
      <c r="C6" s="48"/>
      <c r="D6" s="47"/>
      <c r="E6" s="48"/>
      <c r="F6" s="684"/>
      <c r="G6" s="684"/>
      <c r="H6" s="48"/>
      <c r="I6" s="48"/>
      <c r="J6" s="48"/>
      <c r="K6" s="48"/>
      <c r="L6" s="48"/>
      <c r="M6" s="48"/>
      <c r="N6" s="48"/>
      <c r="O6" s="48"/>
      <c r="P6" s="48"/>
      <c r="Q6" s="48"/>
      <c r="R6" s="48"/>
      <c r="S6" s="48"/>
      <c r="T6" s="48"/>
      <c r="U6" s="48"/>
      <c r="V6" s="48"/>
      <c r="W6" s="48"/>
      <c r="X6" s="48"/>
      <c r="Y6" s="48"/>
      <c r="Z6" s="48"/>
      <c r="AA6" s="48"/>
      <c r="AB6" s="48"/>
      <c r="AC6" s="48"/>
      <c r="AD6" s="48"/>
    </row>
    <row r="7">
      <c r="A7" s="48"/>
      <c r="B7" s="683" t="s">
        <v>2130</v>
      </c>
      <c r="C7" s="48"/>
      <c r="D7" s="47"/>
      <c r="E7" s="48"/>
      <c r="F7" s="684"/>
      <c r="G7" s="684"/>
      <c r="H7" s="48"/>
      <c r="I7" s="48"/>
      <c r="J7" s="48"/>
      <c r="K7" s="48"/>
      <c r="L7" s="48"/>
      <c r="M7" s="48"/>
      <c r="N7" s="48"/>
      <c r="O7" s="48"/>
      <c r="P7" s="48"/>
      <c r="Q7" s="48"/>
      <c r="R7" s="48"/>
      <c r="S7" s="48"/>
      <c r="T7" s="48"/>
      <c r="U7" s="48"/>
      <c r="V7" s="48"/>
      <c r="W7" s="48"/>
      <c r="X7" s="48"/>
      <c r="Y7" s="48"/>
      <c r="Z7" s="48"/>
      <c r="AA7" s="48"/>
      <c r="AB7" s="48"/>
      <c r="AC7" s="48"/>
      <c r="AD7" s="48"/>
    </row>
    <row r="8">
      <c r="A8" s="680"/>
      <c r="B8" s="48"/>
      <c r="C8" s="680"/>
      <c r="D8" s="48"/>
      <c r="E8" s="680"/>
      <c r="F8" s="681"/>
      <c r="G8" s="422"/>
      <c r="H8" s="48"/>
      <c r="I8" s="48"/>
      <c r="J8" s="48"/>
      <c r="K8" s="48"/>
      <c r="L8" s="48"/>
      <c r="M8" s="48"/>
      <c r="N8" s="48"/>
      <c r="O8" s="48"/>
      <c r="P8" s="48"/>
      <c r="Q8" s="48"/>
      <c r="R8" s="48"/>
      <c r="S8" s="48"/>
      <c r="T8" s="48"/>
      <c r="U8" s="48"/>
      <c r="V8" s="48"/>
      <c r="W8" s="48"/>
      <c r="X8" s="48"/>
      <c r="Y8" s="48"/>
      <c r="Z8" s="48"/>
      <c r="AA8" s="48"/>
      <c r="AB8" s="48"/>
      <c r="AC8" s="48"/>
      <c r="AD8" s="48"/>
    </row>
    <row r="9">
      <c r="A9" s="686"/>
      <c r="B9" s="687" t="s">
        <v>2131</v>
      </c>
      <c r="C9" s="688"/>
      <c r="D9" s="98"/>
      <c r="E9" s="688"/>
      <c r="F9" s="684"/>
      <c r="G9" s="422"/>
      <c r="H9" s="48"/>
      <c r="I9" s="48"/>
      <c r="J9" s="48"/>
      <c r="K9" s="48"/>
      <c r="L9" s="48"/>
      <c r="M9" s="48"/>
      <c r="N9" s="48"/>
      <c r="O9" s="48"/>
      <c r="P9" s="48"/>
      <c r="Q9" s="48"/>
      <c r="R9" s="48"/>
      <c r="S9" s="48"/>
      <c r="T9" s="48"/>
      <c r="U9" s="48"/>
      <c r="V9" s="48"/>
      <c r="W9" s="48"/>
      <c r="X9" s="48"/>
      <c r="Y9" s="48"/>
      <c r="Z9" s="48"/>
      <c r="AA9" s="48"/>
      <c r="AB9" s="48"/>
      <c r="AC9" s="48"/>
      <c r="AD9" s="48"/>
    </row>
    <row r="10">
      <c r="A10" s="689"/>
      <c r="B10" s="687" t="s">
        <v>2132</v>
      </c>
      <c r="C10" s="688"/>
      <c r="D10" s="98"/>
      <c r="E10" s="688"/>
      <c r="F10" s="684"/>
      <c r="G10" s="422"/>
      <c r="H10" s="48"/>
      <c r="I10" s="48"/>
      <c r="J10" s="48"/>
      <c r="K10" s="48"/>
      <c r="L10" s="48"/>
      <c r="M10" s="48"/>
      <c r="N10" s="48"/>
      <c r="O10" s="48"/>
      <c r="P10" s="48"/>
      <c r="Q10" s="48"/>
      <c r="R10" s="48"/>
      <c r="S10" s="48"/>
      <c r="T10" s="48"/>
      <c r="U10" s="48"/>
      <c r="V10" s="48"/>
      <c r="W10" s="48"/>
      <c r="X10" s="48"/>
      <c r="Y10" s="48"/>
      <c r="Z10" s="48"/>
      <c r="AA10" s="48"/>
      <c r="AB10" s="48"/>
      <c r="AC10" s="48"/>
      <c r="AD10" s="48"/>
    </row>
    <row r="11">
      <c r="A11" s="47"/>
      <c r="B11" s="690" t="s">
        <v>2133</v>
      </c>
      <c r="C11" s="688"/>
      <c r="D11" s="98"/>
      <c r="E11" s="688"/>
      <c r="F11" s="684"/>
      <c r="G11" s="422"/>
      <c r="H11" s="48"/>
      <c r="I11" s="48"/>
      <c r="J11" s="48"/>
      <c r="K11" s="48"/>
      <c r="L11" s="48"/>
      <c r="M11" s="48"/>
      <c r="N11" s="48"/>
      <c r="O11" s="48"/>
      <c r="P11" s="48"/>
      <c r="Q11" s="48"/>
      <c r="R11" s="48"/>
      <c r="S11" s="48"/>
      <c r="T11" s="48"/>
      <c r="U11" s="48"/>
      <c r="V11" s="48"/>
      <c r="W11" s="48"/>
      <c r="X11" s="48"/>
      <c r="Y11" s="48"/>
      <c r="Z11" s="48"/>
      <c r="AA11" s="48"/>
      <c r="AB11" s="48"/>
      <c r="AC11" s="48"/>
      <c r="AD11" s="48"/>
    </row>
    <row r="12">
      <c r="A12" s="680"/>
      <c r="B12" s="48"/>
      <c r="C12" s="680"/>
      <c r="D12" s="48"/>
      <c r="E12" s="680"/>
      <c r="F12" s="681"/>
      <c r="G12" s="422"/>
      <c r="H12" s="48"/>
      <c r="I12" s="48"/>
      <c r="J12" s="48"/>
      <c r="K12" s="48"/>
      <c r="L12" s="48"/>
      <c r="M12" s="48"/>
      <c r="N12" s="48"/>
      <c r="O12" s="48"/>
      <c r="P12" s="48"/>
      <c r="Q12" s="48"/>
      <c r="R12" s="48"/>
      <c r="S12" s="48"/>
      <c r="T12" s="48"/>
      <c r="U12" s="48"/>
      <c r="V12" s="48"/>
      <c r="W12" s="48"/>
      <c r="X12" s="48"/>
      <c r="Y12" s="48"/>
      <c r="Z12" s="48"/>
      <c r="AA12" s="48"/>
      <c r="AB12" s="48"/>
      <c r="AC12" s="48"/>
      <c r="AD12" s="48"/>
    </row>
    <row r="13">
      <c r="A13" s="680"/>
      <c r="C13" s="39" t="s">
        <v>48</v>
      </c>
      <c r="D13" s="40" t="s">
        <v>49</v>
      </c>
      <c r="E13" s="680"/>
      <c r="F13" s="681"/>
      <c r="G13" s="422"/>
      <c r="H13" s="48"/>
      <c r="I13" s="48"/>
      <c r="J13" s="48"/>
      <c r="K13" s="48"/>
      <c r="L13" s="48"/>
      <c r="M13" s="48"/>
      <c r="N13" s="48"/>
      <c r="O13" s="48"/>
      <c r="P13" s="48"/>
      <c r="Q13" s="48"/>
      <c r="R13" s="48"/>
      <c r="S13" s="48"/>
      <c r="T13" s="48"/>
      <c r="U13" s="48"/>
      <c r="V13" s="48"/>
      <c r="W13" s="48"/>
      <c r="X13" s="48"/>
      <c r="Y13" s="48"/>
      <c r="Z13" s="48"/>
      <c r="AA13" s="48"/>
      <c r="AB13" s="48"/>
      <c r="AC13" s="48"/>
      <c r="AD13" s="48"/>
    </row>
    <row r="14">
      <c r="A14" s="680"/>
      <c r="B14" s="48"/>
      <c r="C14" s="691" t="s">
        <v>2134</v>
      </c>
      <c r="D14" s="692" t="s">
        <v>2135</v>
      </c>
      <c r="E14" s="680"/>
      <c r="F14" s="681"/>
      <c r="G14" s="422"/>
      <c r="H14" s="48"/>
      <c r="I14" s="48"/>
      <c r="J14" s="48"/>
      <c r="K14" s="48"/>
      <c r="L14" s="48"/>
      <c r="M14" s="48"/>
      <c r="N14" s="48"/>
      <c r="O14" s="48"/>
      <c r="P14" s="48"/>
      <c r="Q14" s="48"/>
      <c r="R14" s="48"/>
      <c r="S14" s="48"/>
      <c r="T14" s="48"/>
      <c r="U14" s="48"/>
      <c r="V14" s="48"/>
      <c r="W14" s="48"/>
      <c r="X14" s="48"/>
      <c r="Y14" s="48"/>
      <c r="Z14" s="48"/>
      <c r="AA14" s="48"/>
      <c r="AB14" s="48"/>
      <c r="AC14" s="48"/>
      <c r="AD14" s="48"/>
    </row>
    <row r="15">
      <c r="A15" s="693"/>
      <c r="B15" s="694"/>
      <c r="C15" s="694"/>
      <c r="D15" s="695"/>
      <c r="E15" s="694"/>
      <c r="F15" s="695"/>
      <c r="G15" s="695"/>
      <c r="H15" s="545"/>
      <c r="I15" s="446"/>
      <c r="J15" s="446"/>
      <c r="K15" s="446"/>
      <c r="L15" s="446"/>
      <c r="M15" s="446"/>
      <c r="N15" s="446"/>
      <c r="O15" s="446"/>
      <c r="P15" s="446"/>
      <c r="Q15" s="446"/>
      <c r="R15" s="446"/>
      <c r="S15" s="446"/>
      <c r="T15" s="446"/>
      <c r="U15" s="446"/>
      <c r="V15" s="446"/>
      <c r="W15" s="446"/>
      <c r="X15" s="446"/>
      <c r="Y15" s="446"/>
      <c r="Z15" s="446"/>
      <c r="AA15" s="446"/>
      <c r="AB15" s="446"/>
      <c r="AC15" s="446"/>
      <c r="AD15" s="446"/>
    </row>
    <row r="16">
      <c r="A16" s="696" t="s">
        <v>2136</v>
      </c>
      <c r="B16" s="697" t="s">
        <v>2137</v>
      </c>
      <c r="C16" s="697" t="s">
        <v>2138</v>
      </c>
      <c r="D16" s="698" t="s">
        <v>2139</v>
      </c>
      <c r="E16" s="697" t="s">
        <v>2140</v>
      </c>
      <c r="F16" s="698" t="s">
        <v>2141</v>
      </c>
      <c r="G16" s="698" t="s">
        <v>2142</v>
      </c>
      <c r="H16" s="699" t="s">
        <v>2143</v>
      </c>
      <c r="I16" s="700"/>
      <c r="J16" s="700"/>
      <c r="K16" s="700"/>
      <c r="L16" s="700"/>
      <c r="M16" s="700"/>
      <c r="N16" s="700"/>
      <c r="O16" s="700"/>
      <c r="P16" s="700"/>
      <c r="Q16" s="700"/>
      <c r="R16" s="700"/>
      <c r="S16" s="700"/>
      <c r="T16" s="700"/>
      <c r="U16" s="700"/>
      <c r="V16" s="700"/>
      <c r="W16" s="700"/>
      <c r="X16" s="700"/>
      <c r="Y16" s="700"/>
      <c r="Z16" s="700"/>
      <c r="AA16" s="700"/>
      <c r="AB16" s="700"/>
      <c r="AC16" s="700"/>
      <c r="AD16" s="700"/>
    </row>
    <row r="17">
      <c r="A17" s="701">
        <v>80.0</v>
      </c>
      <c r="B17" s="702" t="s">
        <v>262</v>
      </c>
      <c r="C17" s="133"/>
      <c r="D17" s="461" t="s">
        <v>2144</v>
      </c>
      <c r="E17" s="133"/>
      <c r="F17" s="473"/>
      <c r="G17" s="455" t="s">
        <v>2145</v>
      </c>
      <c r="H17" s="703">
        <f t="shared" ref="H17:H34" si="1">SUM(A$17:A17)</f>
        <v>80</v>
      </c>
      <c r="I17" s="448"/>
      <c r="J17" s="448"/>
      <c r="K17" s="448"/>
      <c r="L17" s="448"/>
      <c r="M17" s="448"/>
      <c r="N17" s="448"/>
      <c r="O17" s="448"/>
      <c r="P17" s="448"/>
      <c r="Q17" s="448"/>
      <c r="R17" s="448"/>
      <c r="S17" s="448"/>
      <c r="T17" s="448"/>
      <c r="U17" s="448"/>
      <c r="V17" s="448"/>
      <c r="W17" s="448"/>
      <c r="X17" s="448"/>
      <c r="Y17" s="448"/>
      <c r="Z17" s="448"/>
      <c r="AA17" s="448"/>
      <c r="AB17" s="448"/>
      <c r="AC17" s="448"/>
      <c r="AD17" s="448"/>
    </row>
    <row r="18">
      <c r="A18" s="701">
        <v>80.0</v>
      </c>
      <c r="B18" s="702" t="s">
        <v>263</v>
      </c>
      <c r="C18" s="133"/>
      <c r="D18" s="704" t="s">
        <v>1576</v>
      </c>
      <c r="E18" s="133"/>
      <c r="F18" s="473"/>
      <c r="G18" s="455" t="s">
        <v>2146</v>
      </c>
      <c r="H18" s="703">
        <f t="shared" si="1"/>
        <v>160</v>
      </c>
      <c r="I18" s="448"/>
      <c r="J18" s="448"/>
      <c r="K18" s="448"/>
      <c r="L18" s="448"/>
      <c r="M18" s="448"/>
      <c r="N18" s="448"/>
      <c r="O18" s="448"/>
      <c r="P18" s="448"/>
      <c r="Q18" s="448"/>
      <c r="R18" s="448"/>
      <c r="S18" s="448"/>
      <c r="T18" s="448"/>
      <c r="U18" s="448"/>
      <c r="V18" s="448"/>
      <c r="W18" s="448"/>
      <c r="X18" s="448"/>
      <c r="Y18" s="448"/>
      <c r="Z18" s="448"/>
      <c r="AA18" s="448"/>
      <c r="AB18" s="448"/>
      <c r="AC18" s="448"/>
      <c r="AD18" s="448"/>
    </row>
    <row r="19">
      <c r="A19" s="701">
        <v>80.0</v>
      </c>
      <c r="B19" s="702" t="s">
        <v>258</v>
      </c>
      <c r="C19" s="133" t="s">
        <v>688</v>
      </c>
      <c r="D19" s="448"/>
      <c r="E19" s="133"/>
      <c r="F19" s="473"/>
      <c r="G19" s="455" t="s">
        <v>2147</v>
      </c>
      <c r="H19" s="703">
        <f t="shared" si="1"/>
        <v>240</v>
      </c>
      <c r="I19" s="448"/>
      <c r="J19" s="448"/>
      <c r="K19" s="448"/>
      <c r="L19" s="448"/>
      <c r="M19" s="448"/>
      <c r="N19" s="448"/>
      <c r="O19" s="448"/>
      <c r="P19" s="448"/>
      <c r="Q19" s="448"/>
      <c r="R19" s="448"/>
      <c r="S19" s="448"/>
      <c r="T19" s="448"/>
      <c r="U19" s="448"/>
      <c r="V19" s="448"/>
      <c r="W19" s="448"/>
      <c r="X19" s="448"/>
      <c r="Y19" s="448"/>
      <c r="Z19" s="448"/>
      <c r="AA19" s="448"/>
      <c r="AB19" s="448"/>
      <c r="AC19" s="448"/>
      <c r="AD19" s="448"/>
    </row>
    <row r="20">
      <c r="A20" s="705">
        <v>120.0</v>
      </c>
      <c r="B20" s="702" t="s">
        <v>269</v>
      </c>
      <c r="C20" s="133"/>
      <c r="D20" s="706" t="s">
        <v>1640</v>
      </c>
      <c r="E20" s="133"/>
      <c r="F20" s="473"/>
      <c r="G20" s="455" t="s">
        <v>2148</v>
      </c>
      <c r="H20" s="703">
        <f t="shared" si="1"/>
        <v>360</v>
      </c>
      <c r="I20" s="448"/>
      <c r="J20" s="448"/>
      <c r="K20" s="448"/>
      <c r="L20" s="448"/>
      <c r="M20" s="448"/>
      <c r="N20" s="448"/>
      <c r="O20" s="448"/>
      <c r="P20" s="448"/>
      <c r="Q20" s="448"/>
      <c r="R20" s="448"/>
      <c r="S20" s="448"/>
      <c r="T20" s="448"/>
      <c r="U20" s="448"/>
      <c r="V20" s="448"/>
      <c r="W20" s="448"/>
      <c r="X20" s="448"/>
      <c r="Y20" s="448"/>
      <c r="Z20" s="448"/>
      <c r="AA20" s="448"/>
      <c r="AB20" s="448"/>
      <c r="AC20" s="448"/>
      <c r="AD20" s="448"/>
    </row>
    <row r="21">
      <c r="A21" s="705">
        <v>120.0</v>
      </c>
      <c r="B21" s="702" t="s">
        <v>267</v>
      </c>
      <c r="C21" s="133"/>
      <c r="D21" s="448"/>
      <c r="E21" s="702" t="s">
        <v>447</v>
      </c>
      <c r="F21" s="455" t="s">
        <v>2149</v>
      </c>
      <c r="G21" s="455" t="s">
        <v>2150</v>
      </c>
      <c r="H21" s="703">
        <f t="shared" si="1"/>
        <v>480</v>
      </c>
      <c r="I21" s="448"/>
      <c r="J21" s="448"/>
      <c r="K21" s="448"/>
      <c r="L21" s="448"/>
      <c r="M21" s="448"/>
      <c r="N21" s="448"/>
      <c r="O21" s="448"/>
      <c r="P21" s="448"/>
      <c r="Q21" s="448"/>
      <c r="R21" s="448"/>
      <c r="S21" s="448"/>
      <c r="T21" s="448"/>
      <c r="U21" s="448"/>
      <c r="V21" s="448"/>
      <c r="W21" s="448"/>
      <c r="X21" s="448"/>
      <c r="Y21" s="448"/>
      <c r="Z21" s="448"/>
      <c r="AA21" s="448"/>
      <c r="AB21" s="448"/>
      <c r="AC21" s="448"/>
      <c r="AD21" s="448"/>
    </row>
    <row r="22">
      <c r="A22" s="707">
        <v>400.0</v>
      </c>
      <c r="B22" s="702" t="s">
        <v>1944</v>
      </c>
      <c r="C22" s="448"/>
      <c r="D22" s="708" t="s">
        <v>1739</v>
      </c>
      <c r="E22" s="448"/>
      <c r="F22" s="146" t="s">
        <v>2151</v>
      </c>
      <c r="G22" s="455" t="s">
        <v>2152</v>
      </c>
      <c r="H22" s="703">
        <f t="shared" si="1"/>
        <v>880</v>
      </c>
      <c r="I22" s="448"/>
      <c r="J22" s="448"/>
      <c r="K22" s="448"/>
      <c r="L22" s="448"/>
      <c r="M22" s="448"/>
      <c r="N22" s="448"/>
      <c r="O22" s="448"/>
      <c r="P22" s="448"/>
      <c r="Q22" s="448"/>
      <c r="R22" s="448"/>
      <c r="S22" s="448"/>
      <c r="T22" s="448"/>
      <c r="U22" s="448"/>
      <c r="V22" s="448"/>
      <c r="W22" s="448"/>
      <c r="X22" s="448"/>
      <c r="Y22" s="448"/>
      <c r="Z22" s="448"/>
      <c r="AA22" s="448"/>
      <c r="AB22" s="448"/>
      <c r="AC22" s="448"/>
      <c r="AD22" s="448"/>
    </row>
    <row r="23">
      <c r="A23" s="705">
        <v>120.0</v>
      </c>
      <c r="B23" s="702" t="s">
        <v>268</v>
      </c>
      <c r="C23" s="133"/>
      <c r="D23" s="448"/>
      <c r="E23" s="133"/>
      <c r="F23" s="709" t="s">
        <v>2153</v>
      </c>
      <c r="G23" s="105" t="s">
        <v>2154</v>
      </c>
      <c r="H23" s="703">
        <f t="shared" si="1"/>
        <v>1000</v>
      </c>
      <c r="I23" s="448"/>
      <c r="J23" s="448"/>
      <c r="K23" s="448"/>
      <c r="L23" s="448"/>
      <c r="M23" s="448"/>
      <c r="N23" s="448"/>
      <c r="O23" s="448"/>
      <c r="P23" s="448"/>
      <c r="Q23" s="448"/>
      <c r="R23" s="448"/>
      <c r="S23" s="448"/>
      <c r="T23" s="448"/>
      <c r="U23" s="448"/>
      <c r="V23" s="448"/>
      <c r="W23" s="448"/>
      <c r="X23" s="448"/>
      <c r="Y23" s="448"/>
      <c r="Z23" s="448"/>
      <c r="AA23" s="448"/>
      <c r="AB23" s="448"/>
      <c r="AC23" s="448"/>
      <c r="AD23" s="448"/>
    </row>
    <row r="24">
      <c r="A24" s="710">
        <v>200.0</v>
      </c>
      <c r="B24" s="702" t="s">
        <v>1943</v>
      </c>
      <c r="C24" s="133" t="s">
        <v>2155</v>
      </c>
      <c r="D24" s="448"/>
      <c r="E24" s="133"/>
      <c r="F24" s="146" t="s">
        <v>2156</v>
      </c>
      <c r="G24" s="455" t="s">
        <v>2157</v>
      </c>
      <c r="H24" s="703">
        <f t="shared" si="1"/>
        <v>1200</v>
      </c>
      <c r="I24" s="448"/>
      <c r="J24" s="448"/>
      <c r="K24" s="448"/>
      <c r="L24" s="448"/>
      <c r="M24" s="448"/>
      <c r="N24" s="448"/>
      <c r="O24" s="448"/>
      <c r="P24" s="448"/>
      <c r="Q24" s="448"/>
      <c r="R24" s="448"/>
      <c r="S24" s="448"/>
      <c r="T24" s="448"/>
      <c r="U24" s="448"/>
      <c r="V24" s="448"/>
      <c r="W24" s="448"/>
      <c r="X24" s="448"/>
      <c r="Y24" s="448"/>
      <c r="Z24" s="448"/>
      <c r="AA24" s="448"/>
      <c r="AB24" s="448"/>
      <c r="AC24" s="448"/>
      <c r="AD24" s="448"/>
    </row>
    <row r="25">
      <c r="A25" s="701">
        <v>80.0</v>
      </c>
      <c r="B25" s="702" t="s">
        <v>257</v>
      </c>
      <c r="C25" s="461" t="s">
        <v>2158</v>
      </c>
      <c r="D25" s="711" t="s">
        <v>1584</v>
      </c>
      <c r="E25" s="133"/>
      <c r="F25" s="473"/>
      <c r="G25" s="455" t="s">
        <v>2159</v>
      </c>
      <c r="H25" s="703">
        <f t="shared" si="1"/>
        <v>1280</v>
      </c>
      <c r="I25" s="448"/>
      <c r="J25" s="448"/>
      <c r="K25" s="448"/>
      <c r="L25" s="448"/>
      <c r="M25" s="448"/>
      <c r="N25" s="448"/>
      <c r="O25" s="448"/>
      <c r="P25" s="448"/>
      <c r="Q25" s="448"/>
      <c r="R25" s="448"/>
      <c r="S25" s="448"/>
      <c r="T25" s="448"/>
      <c r="U25" s="448"/>
      <c r="V25" s="448"/>
      <c r="W25" s="448"/>
      <c r="X25" s="448"/>
      <c r="Y25" s="448"/>
      <c r="Z25" s="448"/>
      <c r="AA25" s="448"/>
      <c r="AB25" s="448"/>
      <c r="AC25" s="448"/>
      <c r="AD25" s="448"/>
    </row>
    <row r="26">
      <c r="A26" s="705">
        <v>120.0</v>
      </c>
      <c r="B26" s="702" t="s">
        <v>264</v>
      </c>
      <c r="C26" s="133"/>
      <c r="D26" s="712" t="s">
        <v>1632</v>
      </c>
      <c r="E26" s="133"/>
      <c r="F26" s="473"/>
      <c r="G26" s="455" t="s">
        <v>2160</v>
      </c>
      <c r="H26" s="703">
        <f t="shared" si="1"/>
        <v>1400</v>
      </c>
      <c r="I26" s="448"/>
      <c r="J26" s="448"/>
      <c r="K26" s="448"/>
      <c r="L26" s="448"/>
      <c r="M26" s="448"/>
      <c r="N26" s="448"/>
      <c r="O26" s="448"/>
      <c r="P26" s="448"/>
      <c r="Q26" s="448"/>
      <c r="R26" s="448"/>
      <c r="S26" s="448"/>
      <c r="T26" s="448"/>
      <c r="U26" s="448"/>
      <c r="V26" s="448"/>
      <c r="W26" s="448"/>
      <c r="X26" s="448"/>
      <c r="Y26" s="448"/>
      <c r="Z26" s="448"/>
      <c r="AA26" s="448"/>
      <c r="AB26" s="448"/>
      <c r="AC26" s="448"/>
      <c r="AD26" s="448"/>
    </row>
    <row r="27">
      <c r="A27" s="701">
        <v>80.0</v>
      </c>
      <c r="B27" s="702" t="s">
        <v>261</v>
      </c>
      <c r="C27" s="133"/>
      <c r="D27" s="711" t="s">
        <v>1557</v>
      </c>
      <c r="E27" s="15" t="s">
        <v>2161</v>
      </c>
      <c r="F27" s="473"/>
      <c r="G27" s="455" t="s">
        <v>2162</v>
      </c>
      <c r="H27" s="703">
        <f t="shared" si="1"/>
        <v>1480</v>
      </c>
      <c r="I27" s="448"/>
      <c r="J27" s="448"/>
      <c r="K27" s="448"/>
      <c r="L27" s="448"/>
      <c r="M27" s="448"/>
      <c r="N27" s="448"/>
      <c r="O27" s="448"/>
      <c r="P27" s="448"/>
      <c r="Q27" s="448"/>
      <c r="R27" s="448"/>
      <c r="S27" s="448"/>
      <c r="T27" s="448"/>
      <c r="U27" s="448"/>
      <c r="V27" s="448"/>
      <c r="W27" s="448"/>
      <c r="X27" s="448"/>
      <c r="Y27" s="448"/>
      <c r="Z27" s="448"/>
      <c r="AA27" s="448"/>
      <c r="AB27" s="448"/>
      <c r="AC27" s="448"/>
      <c r="AD27" s="448"/>
    </row>
    <row r="28">
      <c r="A28" s="705">
        <v>120.0</v>
      </c>
      <c r="B28" s="702" t="s">
        <v>259</v>
      </c>
      <c r="C28" s="133"/>
      <c r="D28" s="711" t="s">
        <v>1587</v>
      </c>
      <c r="E28" s="133"/>
      <c r="F28" s="473"/>
      <c r="G28" s="455" t="s">
        <v>2163</v>
      </c>
      <c r="H28" s="703">
        <f t="shared" si="1"/>
        <v>1600</v>
      </c>
      <c r="I28" s="448"/>
      <c r="J28" s="448"/>
      <c r="K28" s="448"/>
      <c r="L28" s="448"/>
      <c r="M28" s="448"/>
      <c r="N28" s="448"/>
      <c r="O28" s="448"/>
      <c r="P28" s="448"/>
      <c r="Q28" s="448"/>
      <c r="R28" s="448"/>
      <c r="S28" s="448"/>
      <c r="T28" s="448"/>
      <c r="U28" s="448"/>
      <c r="V28" s="448"/>
      <c r="W28" s="448"/>
      <c r="X28" s="448"/>
      <c r="Y28" s="448"/>
      <c r="Z28" s="448"/>
      <c r="AA28" s="448"/>
      <c r="AB28" s="448"/>
      <c r="AC28" s="448"/>
      <c r="AD28" s="448"/>
    </row>
    <row r="29">
      <c r="A29" s="710">
        <v>200.0</v>
      </c>
      <c r="B29" s="702" t="s">
        <v>2062</v>
      </c>
      <c r="C29" s="133" t="s">
        <v>2164</v>
      </c>
      <c r="D29" s="448"/>
      <c r="E29" s="702" t="s">
        <v>449</v>
      </c>
      <c r="F29" s="473"/>
      <c r="G29" s="455" t="s">
        <v>2165</v>
      </c>
      <c r="H29" s="703">
        <f t="shared" si="1"/>
        <v>1800</v>
      </c>
      <c r="I29" s="448"/>
      <c r="J29" s="448"/>
      <c r="K29" s="448"/>
      <c r="L29" s="448"/>
      <c r="M29" s="448"/>
      <c r="N29" s="448"/>
      <c r="O29" s="448"/>
      <c r="P29" s="448"/>
      <c r="Q29" s="448"/>
      <c r="R29" s="448"/>
      <c r="S29" s="448"/>
      <c r="T29" s="448"/>
      <c r="U29" s="448"/>
      <c r="V29" s="448"/>
      <c r="W29" s="448"/>
      <c r="X29" s="448"/>
      <c r="Y29" s="448"/>
      <c r="Z29" s="448"/>
      <c r="AA29" s="448"/>
      <c r="AB29" s="448"/>
      <c r="AC29" s="448"/>
      <c r="AD29" s="448"/>
    </row>
    <row r="30">
      <c r="A30" s="705">
        <v>120.0</v>
      </c>
      <c r="B30" s="702" t="s">
        <v>266</v>
      </c>
      <c r="C30" s="133"/>
      <c r="D30" s="133"/>
      <c r="E30" s="713" t="s">
        <v>2166</v>
      </c>
      <c r="F30" s="455" t="s">
        <v>2167</v>
      </c>
      <c r="G30" s="455" t="s">
        <v>2168</v>
      </c>
      <c r="H30" s="703">
        <f t="shared" si="1"/>
        <v>1920</v>
      </c>
      <c r="I30" s="448"/>
      <c r="J30" s="448"/>
      <c r="K30" s="448"/>
      <c r="L30" s="448"/>
      <c r="M30" s="448"/>
      <c r="N30" s="448"/>
      <c r="O30" s="448"/>
      <c r="P30" s="448"/>
      <c r="Q30" s="448"/>
      <c r="R30" s="448"/>
      <c r="S30" s="448"/>
      <c r="T30" s="448"/>
      <c r="U30" s="448"/>
      <c r="V30" s="448"/>
      <c r="W30" s="448"/>
      <c r="X30" s="448"/>
      <c r="Y30" s="448"/>
      <c r="Z30" s="448"/>
      <c r="AA30" s="448"/>
      <c r="AB30" s="448"/>
      <c r="AC30" s="448"/>
      <c r="AD30" s="448"/>
    </row>
    <row r="31">
      <c r="A31" s="710">
        <v>200.0</v>
      </c>
      <c r="B31" s="702" t="s">
        <v>1942</v>
      </c>
      <c r="C31" s="133"/>
      <c r="D31" s="133"/>
      <c r="E31" s="133"/>
      <c r="F31" s="455" t="s">
        <v>2169</v>
      </c>
      <c r="G31" s="455" t="s">
        <v>2170</v>
      </c>
      <c r="H31" s="703">
        <f t="shared" si="1"/>
        <v>2120</v>
      </c>
      <c r="I31" s="448"/>
      <c r="J31" s="448"/>
      <c r="K31" s="448"/>
      <c r="L31" s="448"/>
      <c r="M31" s="448"/>
      <c r="N31" s="448"/>
      <c r="O31" s="448"/>
      <c r="P31" s="448"/>
      <c r="Q31" s="448"/>
      <c r="R31" s="448"/>
      <c r="S31" s="448"/>
      <c r="T31" s="448"/>
      <c r="U31" s="448"/>
      <c r="V31" s="448"/>
      <c r="W31" s="448"/>
      <c r="X31" s="448"/>
      <c r="Y31" s="448"/>
      <c r="Z31" s="448"/>
      <c r="AA31" s="448"/>
      <c r="AB31" s="448"/>
      <c r="AC31" s="448"/>
      <c r="AD31" s="448"/>
    </row>
    <row r="32">
      <c r="A32" s="710">
        <v>200.0</v>
      </c>
      <c r="B32" s="702" t="s">
        <v>2060</v>
      </c>
      <c r="C32" s="133" t="s">
        <v>2171</v>
      </c>
      <c r="D32" s="448"/>
      <c r="E32" s="448"/>
      <c r="F32" s="714"/>
      <c r="G32" s="455" t="s">
        <v>2172</v>
      </c>
      <c r="H32" s="703">
        <f t="shared" si="1"/>
        <v>2320</v>
      </c>
      <c r="I32" s="448"/>
      <c r="J32" s="448"/>
      <c r="K32" s="448"/>
      <c r="L32" s="448"/>
      <c r="M32" s="448"/>
      <c r="N32" s="448"/>
      <c r="O32" s="448"/>
      <c r="P32" s="448"/>
      <c r="Q32" s="448"/>
      <c r="R32" s="448"/>
      <c r="S32" s="448"/>
      <c r="T32" s="448"/>
      <c r="U32" s="448"/>
      <c r="V32" s="448"/>
      <c r="W32" s="448"/>
      <c r="X32" s="448"/>
      <c r="Y32" s="448"/>
      <c r="Z32" s="448"/>
      <c r="AA32" s="448"/>
      <c r="AB32" s="448"/>
      <c r="AC32" s="448"/>
      <c r="AD32" s="448"/>
    </row>
    <row r="33">
      <c r="A33" s="707">
        <v>400.0</v>
      </c>
      <c r="B33" s="702" t="s">
        <v>1969</v>
      </c>
      <c r="C33" s="448"/>
      <c r="D33" s="713" t="s">
        <v>1627</v>
      </c>
      <c r="E33" s="448"/>
      <c r="F33" s="715" t="s">
        <v>2173</v>
      </c>
      <c r="G33" s="455" t="s">
        <v>2174</v>
      </c>
      <c r="H33" s="703">
        <f t="shared" si="1"/>
        <v>2720</v>
      </c>
      <c r="I33" s="448"/>
      <c r="J33" s="448"/>
      <c r="K33" s="448"/>
      <c r="L33" s="448"/>
      <c r="M33" s="448"/>
      <c r="N33" s="448"/>
      <c r="O33" s="448"/>
      <c r="P33" s="448"/>
      <c r="Q33" s="448"/>
      <c r="R33" s="448"/>
      <c r="S33" s="448"/>
      <c r="T33" s="448"/>
      <c r="U33" s="448"/>
      <c r="V33" s="448"/>
      <c r="W33" s="448"/>
      <c r="X33" s="448"/>
      <c r="Y33" s="448"/>
      <c r="Z33" s="448"/>
      <c r="AA33" s="448"/>
      <c r="AB33" s="448"/>
      <c r="AC33" s="448"/>
      <c r="AD33" s="448"/>
    </row>
    <row r="34">
      <c r="A34" s="716">
        <v>600.0</v>
      </c>
      <c r="B34" s="702" t="s">
        <v>2081</v>
      </c>
      <c r="C34" s="448"/>
      <c r="D34" s="708" t="s">
        <v>1621</v>
      </c>
      <c r="E34" s="448"/>
      <c r="F34" s="455" t="s">
        <v>2175</v>
      </c>
      <c r="G34" s="455" t="s">
        <v>2176</v>
      </c>
      <c r="H34" s="703">
        <f t="shared" si="1"/>
        <v>3320</v>
      </c>
      <c r="I34" s="448"/>
      <c r="J34" s="448"/>
      <c r="K34" s="448"/>
      <c r="L34" s="448"/>
      <c r="M34" s="448"/>
      <c r="N34" s="448"/>
      <c r="O34" s="448"/>
      <c r="P34" s="448"/>
      <c r="Q34" s="448"/>
      <c r="R34" s="448"/>
      <c r="S34" s="448"/>
      <c r="T34" s="448"/>
      <c r="U34" s="448"/>
      <c r="V34" s="448"/>
      <c r="W34" s="448"/>
      <c r="X34" s="448"/>
      <c r="Y34" s="448"/>
      <c r="Z34" s="448"/>
      <c r="AA34" s="448"/>
      <c r="AB34" s="448"/>
      <c r="AC34" s="448"/>
      <c r="AD34" s="448"/>
    </row>
    <row r="35">
      <c r="A35" s="448"/>
      <c r="B35" s="448"/>
      <c r="C35" s="448"/>
      <c r="D35" s="448"/>
      <c r="E35" s="448"/>
      <c r="F35" s="714"/>
      <c r="G35" s="714"/>
      <c r="H35" s="703"/>
      <c r="I35" s="448"/>
      <c r="J35" s="448"/>
      <c r="K35" s="448"/>
      <c r="L35" s="448"/>
      <c r="M35" s="448"/>
      <c r="N35" s="448"/>
      <c r="O35" s="448"/>
      <c r="P35" s="448"/>
      <c r="Q35" s="448"/>
      <c r="R35" s="448"/>
      <c r="S35" s="448"/>
      <c r="T35" s="448"/>
      <c r="U35" s="448"/>
      <c r="V35" s="448"/>
      <c r="W35" s="448"/>
      <c r="X35" s="448"/>
      <c r="Y35" s="448"/>
      <c r="Z35" s="448"/>
      <c r="AA35" s="448"/>
      <c r="AB35" s="448"/>
      <c r="AC35" s="448"/>
      <c r="AD35" s="448"/>
    </row>
    <row r="36">
      <c r="A36" s="717"/>
      <c r="B36" s="569" t="s">
        <v>2177</v>
      </c>
      <c r="C36" s="717"/>
      <c r="D36" s="717"/>
      <c r="E36" s="717"/>
      <c r="F36" s="718"/>
      <c r="G36" s="718"/>
      <c r="H36" s="719"/>
      <c r="I36" s="717"/>
      <c r="J36" s="717"/>
      <c r="K36" s="717"/>
      <c r="L36" s="717"/>
      <c r="M36" s="717"/>
      <c r="N36" s="717"/>
      <c r="O36" s="717"/>
      <c r="P36" s="717"/>
      <c r="Q36" s="717"/>
      <c r="R36" s="717"/>
      <c r="S36" s="717"/>
      <c r="T36" s="717"/>
      <c r="U36" s="717"/>
      <c r="V36" s="717"/>
      <c r="W36" s="717"/>
      <c r="X36" s="717"/>
      <c r="Y36" s="717"/>
      <c r="Z36" s="717"/>
      <c r="AA36" s="717"/>
      <c r="AB36" s="717"/>
      <c r="AC36" s="717"/>
      <c r="AD36" s="717"/>
    </row>
    <row r="37">
      <c r="A37" s="717"/>
      <c r="B37" s="720" t="s">
        <v>2178</v>
      </c>
      <c r="C37" s="717"/>
      <c r="D37" s="717"/>
      <c r="E37" s="717"/>
      <c r="F37" s="718"/>
      <c r="G37" s="718"/>
      <c r="H37" s="719"/>
      <c r="I37" s="717"/>
      <c r="J37" s="717"/>
      <c r="K37" s="717"/>
      <c r="L37" s="717"/>
      <c r="M37" s="717"/>
      <c r="N37" s="717"/>
      <c r="O37" s="717"/>
      <c r="P37" s="717"/>
      <c r="Q37" s="717"/>
      <c r="R37" s="717"/>
      <c r="S37" s="717"/>
      <c r="T37" s="717"/>
      <c r="U37" s="717"/>
      <c r="V37" s="717"/>
      <c r="W37" s="717"/>
      <c r="X37" s="717"/>
      <c r="Y37" s="717"/>
      <c r="Z37" s="717"/>
      <c r="AA37" s="717"/>
      <c r="AB37" s="717"/>
      <c r="AC37" s="717"/>
      <c r="AD37" s="717"/>
    </row>
    <row r="38">
      <c r="A38" s="717"/>
      <c r="B38" s="720" t="s">
        <v>2179</v>
      </c>
      <c r="C38" s="717"/>
      <c r="D38" s="717"/>
      <c r="E38" s="717"/>
      <c r="F38" s="718"/>
      <c r="G38" s="718"/>
      <c r="H38" s="719"/>
      <c r="I38" s="717"/>
      <c r="J38" s="717"/>
      <c r="K38" s="717"/>
      <c r="L38" s="717"/>
      <c r="M38" s="717"/>
      <c r="N38" s="717"/>
      <c r="O38" s="717"/>
      <c r="P38" s="717"/>
      <c r="Q38" s="717"/>
      <c r="R38" s="717"/>
      <c r="S38" s="717"/>
      <c r="T38" s="717"/>
      <c r="U38" s="717"/>
      <c r="V38" s="717"/>
      <c r="W38" s="717"/>
      <c r="X38" s="717"/>
      <c r="Y38" s="717"/>
      <c r="Z38" s="717"/>
      <c r="AA38" s="717"/>
      <c r="AB38" s="717"/>
      <c r="AC38" s="717"/>
      <c r="AD38" s="717"/>
    </row>
    <row r="39">
      <c r="A39" s="448"/>
      <c r="B39" s="448"/>
      <c r="C39" s="448"/>
      <c r="D39" s="448"/>
      <c r="E39" s="448"/>
      <c r="F39" s="714"/>
      <c r="G39" s="714"/>
      <c r="H39" s="703"/>
      <c r="I39" s="448"/>
      <c r="J39" s="448"/>
      <c r="K39" s="448"/>
      <c r="L39" s="448"/>
      <c r="M39" s="448"/>
      <c r="N39" s="448"/>
      <c r="O39" s="448"/>
      <c r="P39" s="448"/>
      <c r="Q39" s="448"/>
      <c r="R39" s="448"/>
      <c r="S39" s="448"/>
      <c r="T39" s="448"/>
      <c r="U39" s="448"/>
      <c r="V39" s="448"/>
      <c r="W39" s="448"/>
      <c r="X39" s="448"/>
      <c r="Y39" s="448"/>
      <c r="Z39" s="448"/>
      <c r="AA39" s="448"/>
      <c r="AB39" s="448"/>
      <c r="AC39" s="448"/>
      <c r="AD39" s="448"/>
    </row>
    <row r="40">
      <c r="A40" s="448"/>
      <c r="B40" s="461" t="s">
        <v>2180</v>
      </c>
      <c r="C40" s="448"/>
      <c r="D40" s="448"/>
      <c r="E40" s="448"/>
      <c r="F40" s="714"/>
      <c r="G40" s="714"/>
      <c r="H40" s="703"/>
      <c r="I40" s="448"/>
      <c r="J40" s="448"/>
      <c r="K40" s="448"/>
      <c r="L40" s="448"/>
      <c r="M40" s="448"/>
      <c r="N40" s="448"/>
      <c r="O40" s="448"/>
      <c r="P40" s="448"/>
      <c r="Q40" s="448"/>
      <c r="R40" s="448"/>
      <c r="S40" s="448"/>
      <c r="T40" s="448"/>
      <c r="U40" s="448"/>
      <c r="V40" s="448"/>
      <c r="W40" s="448"/>
      <c r="X40" s="448"/>
      <c r="Y40" s="448"/>
      <c r="Z40" s="448"/>
      <c r="AA40" s="448"/>
      <c r="AB40" s="448"/>
      <c r="AC40" s="448"/>
      <c r="AD40" s="448"/>
    </row>
    <row r="41">
      <c r="A41" s="707">
        <v>400.0</v>
      </c>
      <c r="B41" s="702" t="s">
        <v>2079</v>
      </c>
      <c r="C41" s="133" t="s">
        <v>2181</v>
      </c>
      <c r="D41" s="448"/>
      <c r="E41" s="133"/>
      <c r="F41" s="473"/>
      <c r="G41" s="455" t="s">
        <v>2182</v>
      </c>
      <c r="H41" s="703">
        <f t="shared" ref="H41:H45" si="2">SUM(A$17:A41)</f>
        <v>3720</v>
      </c>
      <c r="I41" s="448"/>
      <c r="J41" s="448"/>
      <c r="K41" s="448"/>
      <c r="L41" s="448"/>
      <c r="M41" s="448"/>
      <c r="N41" s="448"/>
      <c r="O41" s="448"/>
      <c r="P41" s="448"/>
      <c r="Q41" s="448"/>
      <c r="R41" s="448"/>
      <c r="S41" s="448"/>
      <c r="T41" s="448"/>
      <c r="U41" s="448"/>
      <c r="V41" s="448"/>
      <c r="W41" s="448"/>
      <c r="X41" s="448"/>
      <c r="Y41" s="448"/>
      <c r="Z41" s="448"/>
      <c r="AA41" s="448"/>
      <c r="AB41" s="448"/>
      <c r="AC41" s="448"/>
      <c r="AD41" s="448"/>
    </row>
    <row r="42">
      <c r="A42" s="716">
        <v>600.0</v>
      </c>
      <c r="B42" s="702" t="s">
        <v>2090</v>
      </c>
      <c r="C42" s="133" t="s">
        <v>2183</v>
      </c>
      <c r="D42" s="721" t="s">
        <v>2184</v>
      </c>
      <c r="E42" s="448"/>
      <c r="F42" s="714"/>
      <c r="G42" s="455" t="s">
        <v>2185</v>
      </c>
      <c r="H42" s="703">
        <f t="shared" si="2"/>
        <v>4320</v>
      </c>
      <c r="I42" s="448"/>
      <c r="J42" s="448"/>
      <c r="K42" s="448"/>
      <c r="L42" s="448"/>
      <c r="M42" s="448"/>
      <c r="N42" s="448"/>
      <c r="O42" s="448"/>
      <c r="P42" s="448"/>
      <c r="Q42" s="448"/>
      <c r="R42" s="448"/>
      <c r="S42" s="448"/>
      <c r="T42" s="448"/>
      <c r="U42" s="448"/>
      <c r="V42" s="448"/>
      <c r="W42" s="448"/>
      <c r="X42" s="448"/>
      <c r="Y42" s="448"/>
      <c r="Z42" s="448"/>
      <c r="AA42" s="448"/>
      <c r="AB42" s="448"/>
      <c r="AC42" s="448"/>
      <c r="AD42" s="448"/>
    </row>
    <row r="43">
      <c r="A43" s="707">
        <v>400.0</v>
      </c>
      <c r="B43" s="702" t="s">
        <v>2072</v>
      </c>
      <c r="C43" s="133"/>
      <c r="D43" s="448"/>
      <c r="E43" s="722" t="s">
        <v>445</v>
      </c>
      <c r="F43" s="473"/>
      <c r="G43" s="455" t="s">
        <v>2186</v>
      </c>
      <c r="H43" s="703">
        <f t="shared" si="2"/>
        <v>4720</v>
      </c>
      <c r="I43" s="448"/>
      <c r="J43" s="448"/>
      <c r="K43" s="448"/>
      <c r="L43" s="448"/>
      <c r="M43" s="448"/>
      <c r="N43" s="448"/>
      <c r="O43" s="448"/>
      <c r="P43" s="448"/>
      <c r="Q43" s="448"/>
      <c r="R43" s="448"/>
      <c r="S43" s="448"/>
      <c r="T43" s="448"/>
      <c r="U43" s="448"/>
      <c r="V43" s="448"/>
      <c r="W43" s="448"/>
      <c r="X43" s="448"/>
      <c r="Y43" s="448"/>
      <c r="Z43" s="448"/>
      <c r="AA43" s="448"/>
      <c r="AB43" s="448"/>
      <c r="AC43" s="448"/>
      <c r="AD43" s="448"/>
    </row>
    <row r="44">
      <c r="A44" s="716">
        <v>600.0</v>
      </c>
      <c r="B44" s="702" t="s">
        <v>1971</v>
      </c>
      <c r="C44" s="448"/>
      <c r="D44" s="723" t="s">
        <v>1647</v>
      </c>
      <c r="E44" s="448"/>
      <c r="F44" s="473" t="s">
        <v>2187</v>
      </c>
      <c r="G44" s="455" t="s">
        <v>2188</v>
      </c>
      <c r="H44" s="703">
        <f t="shared" si="2"/>
        <v>5320</v>
      </c>
      <c r="I44" s="448"/>
      <c r="J44" s="448"/>
      <c r="K44" s="448"/>
      <c r="L44" s="448"/>
      <c r="M44" s="448"/>
      <c r="N44" s="448"/>
      <c r="O44" s="448"/>
      <c r="P44" s="448"/>
      <c r="Q44" s="448"/>
      <c r="R44" s="448"/>
      <c r="S44" s="448"/>
      <c r="T44" s="448"/>
      <c r="U44" s="448"/>
      <c r="V44" s="448"/>
      <c r="W44" s="448"/>
      <c r="X44" s="448"/>
      <c r="Y44" s="448"/>
      <c r="Z44" s="448"/>
      <c r="AA44" s="448"/>
      <c r="AB44" s="448"/>
      <c r="AC44" s="448"/>
      <c r="AD44" s="448"/>
    </row>
    <row r="45">
      <c r="A45" s="716">
        <v>1000.0</v>
      </c>
      <c r="B45" s="702" t="s">
        <v>2100</v>
      </c>
      <c r="C45" s="133" t="s">
        <v>2189</v>
      </c>
      <c r="D45" s="448"/>
      <c r="E45" s="448"/>
      <c r="F45" s="714"/>
      <c r="G45" s="455" t="s">
        <v>2190</v>
      </c>
      <c r="H45" s="703">
        <f t="shared" si="2"/>
        <v>6320</v>
      </c>
      <c r="I45" s="448"/>
      <c r="J45" s="448"/>
      <c r="K45" s="448"/>
      <c r="L45" s="448"/>
      <c r="M45" s="448"/>
      <c r="N45" s="448"/>
      <c r="O45" s="448"/>
      <c r="P45" s="448"/>
      <c r="Q45" s="448"/>
      <c r="R45" s="448"/>
      <c r="S45" s="448"/>
      <c r="T45" s="448"/>
      <c r="U45" s="448"/>
      <c r="V45" s="448"/>
      <c r="W45" s="448"/>
      <c r="X45" s="448"/>
      <c r="Y45" s="448"/>
      <c r="Z45" s="448"/>
      <c r="AA45" s="448"/>
      <c r="AB45" s="448"/>
      <c r="AC45" s="448"/>
      <c r="AD45" s="448"/>
    </row>
    <row r="46">
      <c r="A46" s="448"/>
      <c r="B46" s="461"/>
      <c r="C46" s="448"/>
      <c r="D46" s="448"/>
      <c r="E46" s="448"/>
      <c r="F46" s="714"/>
      <c r="G46" s="714"/>
      <c r="H46" s="703"/>
      <c r="I46" s="448"/>
      <c r="J46" s="448"/>
      <c r="K46" s="448"/>
      <c r="L46" s="448"/>
      <c r="M46" s="448"/>
      <c r="N46" s="448"/>
      <c r="O46" s="448"/>
      <c r="P46" s="448"/>
      <c r="Q46" s="448"/>
      <c r="R46" s="448"/>
      <c r="S46" s="448"/>
      <c r="T46" s="448"/>
      <c r="U46" s="448"/>
      <c r="V46" s="448"/>
      <c r="W46" s="448"/>
      <c r="X46" s="448"/>
      <c r="Y46" s="448"/>
      <c r="Z46" s="448"/>
      <c r="AA46" s="448"/>
      <c r="AB46" s="448"/>
      <c r="AC46" s="448"/>
      <c r="AD46" s="448"/>
    </row>
    <row r="47">
      <c r="A47" s="448"/>
      <c r="B47" s="461" t="s">
        <v>2191</v>
      </c>
      <c r="C47" s="448"/>
      <c r="D47" s="448"/>
      <c r="E47" s="448"/>
      <c r="F47" s="714"/>
      <c r="G47" s="714"/>
      <c r="H47" s="703"/>
      <c r="I47" s="448"/>
      <c r="J47" s="448"/>
      <c r="K47" s="448"/>
      <c r="L47" s="448"/>
      <c r="M47" s="448"/>
      <c r="N47" s="448"/>
      <c r="O47" s="448"/>
      <c r="P47" s="448"/>
      <c r="Q47" s="448"/>
      <c r="R47" s="448"/>
      <c r="S47" s="448"/>
      <c r="T47" s="448"/>
      <c r="U47" s="448"/>
      <c r="V47" s="448"/>
      <c r="W47" s="448"/>
      <c r="X47" s="448"/>
      <c r="Y47" s="448"/>
      <c r="Z47" s="448"/>
      <c r="AA47" s="448"/>
      <c r="AB47" s="448"/>
      <c r="AC47" s="448"/>
      <c r="AD47" s="448"/>
    </row>
    <row r="48">
      <c r="A48" s="705">
        <v>120.0</v>
      </c>
      <c r="B48" s="702" t="s">
        <v>270</v>
      </c>
      <c r="C48" s="448"/>
      <c r="D48" s="724" t="s">
        <v>1607</v>
      </c>
      <c r="E48" s="712" t="s">
        <v>2192</v>
      </c>
      <c r="F48" s="473"/>
      <c r="G48" s="455" t="s">
        <v>2193</v>
      </c>
      <c r="H48" s="703">
        <f t="shared" ref="H48:H52" si="3">SUM(A$17:A48)</f>
        <v>6440</v>
      </c>
      <c r="I48" s="448"/>
      <c r="J48" s="448"/>
      <c r="K48" s="448"/>
      <c r="L48" s="448"/>
      <c r="M48" s="448"/>
      <c r="N48" s="448"/>
      <c r="O48" s="448"/>
      <c r="P48" s="448"/>
      <c r="Q48" s="448"/>
      <c r="R48" s="448"/>
      <c r="S48" s="448"/>
      <c r="T48" s="448"/>
      <c r="U48" s="448"/>
      <c r="V48" s="448"/>
      <c r="W48" s="448"/>
      <c r="X48" s="448"/>
      <c r="Y48" s="448"/>
      <c r="Z48" s="448"/>
      <c r="AA48" s="448"/>
      <c r="AB48" s="448"/>
      <c r="AC48" s="448"/>
      <c r="AD48" s="448"/>
    </row>
    <row r="49">
      <c r="A49" s="710">
        <v>200.0</v>
      </c>
      <c r="B49" s="702" t="s">
        <v>1798</v>
      </c>
      <c r="C49" s="448"/>
      <c r="D49" s="725" t="s">
        <v>1579</v>
      </c>
      <c r="E49" s="448"/>
      <c r="F49" s="473"/>
      <c r="G49" s="455" t="s">
        <v>2194</v>
      </c>
      <c r="H49" s="703">
        <f t="shared" si="3"/>
        <v>6640</v>
      </c>
      <c r="I49" s="448"/>
      <c r="J49" s="448"/>
      <c r="K49" s="448"/>
      <c r="L49" s="448"/>
      <c r="M49" s="448"/>
      <c r="N49" s="448"/>
      <c r="O49" s="448"/>
      <c r="P49" s="448"/>
      <c r="Q49" s="448"/>
      <c r="R49" s="448"/>
      <c r="S49" s="448"/>
      <c r="T49" s="448"/>
      <c r="U49" s="448"/>
      <c r="V49" s="448"/>
      <c r="W49" s="448"/>
      <c r="X49" s="448"/>
      <c r="Y49" s="448"/>
      <c r="Z49" s="448"/>
      <c r="AA49" s="448"/>
      <c r="AB49" s="448"/>
      <c r="AC49" s="448"/>
      <c r="AD49" s="448"/>
    </row>
    <row r="50">
      <c r="A50" s="707">
        <v>400.0</v>
      </c>
      <c r="B50" s="702" t="s">
        <v>2076</v>
      </c>
      <c r="C50" s="133" t="s">
        <v>2195</v>
      </c>
      <c r="D50" s="712" t="s">
        <v>1636</v>
      </c>
      <c r="E50" s="133"/>
      <c r="F50" s="473"/>
      <c r="G50" s="455" t="s">
        <v>2196</v>
      </c>
      <c r="H50" s="703">
        <f t="shared" si="3"/>
        <v>7040</v>
      </c>
      <c r="I50" s="448"/>
      <c r="J50" s="448"/>
      <c r="K50" s="448"/>
      <c r="L50" s="448"/>
      <c r="M50" s="448"/>
      <c r="N50" s="448"/>
      <c r="O50" s="448"/>
      <c r="P50" s="448"/>
      <c r="Q50" s="448"/>
      <c r="R50" s="448"/>
      <c r="S50" s="448"/>
      <c r="T50" s="448"/>
      <c r="U50" s="448"/>
      <c r="V50" s="448"/>
      <c r="W50" s="448"/>
      <c r="X50" s="448"/>
      <c r="Y50" s="448"/>
      <c r="Z50" s="448"/>
      <c r="AA50" s="448"/>
      <c r="AB50" s="448"/>
      <c r="AC50" s="448"/>
      <c r="AD50" s="448"/>
    </row>
    <row r="51">
      <c r="A51" s="716">
        <v>600.0</v>
      </c>
      <c r="B51" s="702" t="s">
        <v>2083</v>
      </c>
      <c r="C51" s="133" t="s">
        <v>2197</v>
      </c>
      <c r="D51" s="448"/>
      <c r="E51" s="448"/>
      <c r="F51" s="714"/>
      <c r="G51" s="455" t="s">
        <v>2198</v>
      </c>
      <c r="H51" s="703">
        <f t="shared" si="3"/>
        <v>7640</v>
      </c>
      <c r="I51" s="448"/>
      <c r="J51" s="448"/>
      <c r="K51" s="448"/>
      <c r="L51" s="448"/>
      <c r="M51" s="448"/>
      <c r="N51" s="448"/>
      <c r="O51" s="448"/>
      <c r="P51" s="448"/>
      <c r="Q51" s="448"/>
      <c r="R51" s="448"/>
      <c r="S51" s="448"/>
      <c r="T51" s="448"/>
      <c r="U51" s="448"/>
      <c r="V51" s="448"/>
      <c r="W51" s="448"/>
      <c r="X51" s="448"/>
      <c r="Y51" s="448"/>
      <c r="Z51" s="448"/>
      <c r="AA51" s="448"/>
      <c r="AB51" s="448"/>
      <c r="AC51" s="448"/>
      <c r="AD51" s="448"/>
    </row>
    <row r="52">
      <c r="A52" s="716">
        <v>1000.0</v>
      </c>
      <c r="B52" s="702" t="s">
        <v>2199</v>
      </c>
      <c r="C52" s="448"/>
      <c r="D52" s="448"/>
      <c r="E52" s="726" t="s">
        <v>2200</v>
      </c>
      <c r="F52" s="473" t="s">
        <v>2201</v>
      </c>
      <c r="G52" s="455" t="s">
        <v>2202</v>
      </c>
      <c r="H52" s="703">
        <f t="shared" si="3"/>
        <v>8640</v>
      </c>
      <c r="I52" s="448"/>
      <c r="J52" s="448"/>
      <c r="K52" s="448"/>
      <c r="L52" s="448"/>
      <c r="M52" s="448"/>
      <c r="N52" s="448"/>
      <c r="O52" s="448"/>
      <c r="P52" s="448"/>
      <c r="Q52" s="448"/>
      <c r="R52" s="448"/>
      <c r="S52" s="448"/>
      <c r="T52" s="448"/>
      <c r="U52" s="448"/>
      <c r="V52" s="448"/>
      <c r="W52" s="448"/>
      <c r="X52" s="448"/>
      <c r="Y52" s="448"/>
      <c r="Z52" s="448"/>
      <c r="AA52" s="448"/>
      <c r="AB52" s="448"/>
      <c r="AC52" s="448"/>
      <c r="AD52" s="448"/>
    </row>
    <row r="53">
      <c r="A53" s="448"/>
      <c r="B53" s="461"/>
      <c r="C53" s="448"/>
      <c r="D53" s="448"/>
      <c r="E53" s="448"/>
      <c r="F53" s="714"/>
      <c r="G53" s="714"/>
      <c r="H53" s="703"/>
      <c r="I53" s="448"/>
      <c r="J53" s="448"/>
      <c r="K53" s="448"/>
      <c r="L53" s="448"/>
      <c r="M53" s="448"/>
      <c r="N53" s="448"/>
      <c r="O53" s="448"/>
      <c r="P53" s="448"/>
      <c r="Q53" s="448"/>
      <c r="R53" s="448"/>
      <c r="S53" s="448"/>
      <c r="T53" s="448"/>
      <c r="U53" s="448"/>
      <c r="V53" s="448"/>
      <c r="W53" s="448"/>
      <c r="X53" s="448"/>
      <c r="Y53" s="448"/>
      <c r="Z53" s="448"/>
      <c r="AA53" s="448"/>
      <c r="AB53" s="448"/>
      <c r="AC53" s="448"/>
      <c r="AD53" s="448"/>
    </row>
    <row r="54">
      <c r="A54" s="448"/>
      <c r="B54" s="461" t="s">
        <v>2203</v>
      </c>
      <c r="C54" s="448"/>
      <c r="D54" s="448"/>
      <c r="E54" s="448"/>
      <c r="F54" s="714"/>
      <c r="G54" s="714"/>
      <c r="H54" s="703"/>
      <c r="I54" s="448"/>
      <c r="J54" s="448"/>
      <c r="K54" s="448"/>
      <c r="L54" s="448"/>
      <c r="M54" s="448"/>
      <c r="N54" s="448"/>
      <c r="O54" s="448"/>
      <c r="P54" s="448"/>
      <c r="Q54" s="448"/>
      <c r="R54" s="448"/>
      <c r="S54" s="448"/>
      <c r="T54" s="448"/>
      <c r="U54" s="448"/>
      <c r="V54" s="448"/>
      <c r="W54" s="448"/>
      <c r="X54" s="448"/>
      <c r="Y54" s="448"/>
      <c r="Z54" s="448"/>
      <c r="AA54" s="448"/>
      <c r="AB54" s="448"/>
      <c r="AC54" s="448"/>
      <c r="AD54" s="448"/>
    </row>
    <row r="55">
      <c r="A55" s="710">
        <v>200.0</v>
      </c>
      <c r="B55" s="702" t="s">
        <v>1796</v>
      </c>
      <c r="C55" s="133"/>
      <c r="D55" s="448"/>
      <c r="E55" s="708" t="s">
        <v>2204</v>
      </c>
      <c r="F55" s="473" t="s">
        <v>2205</v>
      </c>
      <c r="G55" s="473" t="s">
        <v>2206</v>
      </c>
      <c r="H55" s="703">
        <f t="shared" ref="H55:H58" si="4">SUM(A$17:A55)</f>
        <v>8840</v>
      </c>
      <c r="I55" s="448"/>
      <c r="J55" s="448"/>
      <c r="K55" s="448"/>
      <c r="L55" s="448"/>
      <c r="M55" s="448"/>
      <c r="N55" s="448"/>
      <c r="O55" s="448"/>
      <c r="P55" s="448"/>
      <c r="Q55" s="448"/>
      <c r="R55" s="448"/>
      <c r="S55" s="448"/>
      <c r="T55" s="448"/>
      <c r="U55" s="448"/>
      <c r="V55" s="448"/>
      <c r="W55" s="448"/>
      <c r="X55" s="448"/>
      <c r="Y55" s="448"/>
      <c r="Z55" s="448"/>
      <c r="AA55" s="448"/>
      <c r="AB55" s="448"/>
      <c r="AC55" s="448"/>
      <c r="AD55" s="448"/>
    </row>
    <row r="56">
      <c r="A56" s="727">
        <v>600.0</v>
      </c>
      <c r="B56" s="702" t="s">
        <v>2092</v>
      </c>
      <c r="C56" s="133" t="s">
        <v>2207</v>
      </c>
      <c r="D56" s="728" t="s">
        <v>1564</v>
      </c>
      <c r="E56" s="448"/>
      <c r="F56" s="479" t="s">
        <v>2208</v>
      </c>
      <c r="G56" s="455" t="s">
        <v>2209</v>
      </c>
      <c r="H56" s="703">
        <f t="shared" si="4"/>
        <v>9440</v>
      </c>
      <c r="I56" s="448"/>
      <c r="J56" s="448"/>
      <c r="K56" s="448"/>
      <c r="L56" s="448"/>
      <c r="M56" s="448"/>
      <c r="N56" s="448"/>
      <c r="O56" s="448"/>
      <c r="P56" s="448"/>
      <c r="Q56" s="448"/>
      <c r="R56" s="448"/>
      <c r="S56" s="448"/>
      <c r="T56" s="448"/>
      <c r="U56" s="448"/>
      <c r="V56" s="448"/>
      <c r="W56" s="448"/>
      <c r="X56" s="448"/>
      <c r="Y56" s="448"/>
      <c r="Z56" s="448"/>
      <c r="AA56" s="448"/>
      <c r="AB56" s="448"/>
      <c r="AC56" s="448"/>
      <c r="AD56" s="448"/>
    </row>
    <row r="57">
      <c r="A57" s="716">
        <v>600.0</v>
      </c>
      <c r="B57" s="702" t="s">
        <v>1970</v>
      </c>
      <c r="C57" s="448"/>
      <c r="D57" s="729" t="s">
        <v>1743</v>
      </c>
      <c r="E57" s="448"/>
      <c r="F57" s="473" t="s">
        <v>2210</v>
      </c>
      <c r="G57" s="455" t="s">
        <v>2211</v>
      </c>
      <c r="H57" s="703">
        <f t="shared" si="4"/>
        <v>10040</v>
      </c>
      <c r="I57" s="448"/>
      <c r="J57" s="448"/>
      <c r="K57" s="448"/>
      <c r="L57" s="448"/>
      <c r="M57" s="448"/>
      <c r="N57" s="448"/>
      <c r="O57" s="448"/>
      <c r="P57" s="448"/>
      <c r="Q57" s="448"/>
      <c r="R57" s="448"/>
      <c r="S57" s="448"/>
      <c r="T57" s="448"/>
      <c r="U57" s="448"/>
      <c r="V57" s="448"/>
      <c r="W57" s="448"/>
      <c r="X57" s="448"/>
      <c r="Y57" s="448"/>
      <c r="Z57" s="448"/>
      <c r="AA57" s="448"/>
      <c r="AB57" s="448"/>
      <c r="AC57" s="448"/>
      <c r="AD57" s="448"/>
    </row>
    <row r="58">
      <c r="A58" s="716">
        <v>400.0</v>
      </c>
      <c r="B58" s="702" t="s">
        <v>2074</v>
      </c>
      <c r="C58" s="461" t="s">
        <v>2212</v>
      </c>
      <c r="D58" s="461" t="s">
        <v>1590</v>
      </c>
      <c r="E58" s="448"/>
      <c r="F58" s="714"/>
      <c r="G58" s="455" t="s">
        <v>2213</v>
      </c>
      <c r="H58" s="703">
        <f t="shared" si="4"/>
        <v>10440</v>
      </c>
      <c r="I58" s="448"/>
      <c r="J58" s="448"/>
      <c r="K58" s="448"/>
      <c r="L58" s="448"/>
      <c r="M58" s="448"/>
      <c r="N58" s="448"/>
      <c r="O58" s="448"/>
      <c r="P58" s="448"/>
      <c r="Q58" s="448"/>
      <c r="R58" s="448"/>
      <c r="S58" s="448"/>
      <c r="T58" s="448"/>
      <c r="U58" s="448"/>
      <c r="V58" s="448"/>
      <c r="W58" s="448"/>
      <c r="X58" s="448"/>
      <c r="Y58" s="448"/>
      <c r="Z58" s="448"/>
      <c r="AA58" s="448"/>
      <c r="AB58" s="448"/>
      <c r="AC58" s="448"/>
      <c r="AD58" s="448"/>
    </row>
    <row r="59">
      <c r="A59" s="448"/>
      <c r="B59" s="461"/>
      <c r="C59" s="448"/>
      <c r="D59" s="448"/>
      <c r="E59" s="448"/>
      <c r="F59" s="714"/>
      <c r="G59" s="714"/>
      <c r="H59" s="703"/>
      <c r="I59" s="448"/>
      <c r="J59" s="448"/>
      <c r="K59" s="448"/>
      <c r="L59" s="448"/>
      <c r="M59" s="448"/>
      <c r="N59" s="448"/>
      <c r="O59" s="448"/>
      <c r="P59" s="448"/>
      <c r="Q59" s="448"/>
      <c r="R59" s="448"/>
      <c r="S59" s="448"/>
      <c r="T59" s="448"/>
      <c r="U59" s="448"/>
      <c r="V59" s="448"/>
      <c r="W59" s="448"/>
      <c r="X59" s="448"/>
      <c r="Y59" s="448"/>
      <c r="Z59" s="448"/>
      <c r="AA59" s="448"/>
      <c r="AB59" s="448"/>
      <c r="AC59" s="448"/>
      <c r="AD59" s="448"/>
    </row>
    <row r="60">
      <c r="A60" s="448"/>
      <c r="B60" s="461" t="s">
        <v>2214</v>
      </c>
      <c r="C60" s="448"/>
      <c r="D60" s="448"/>
      <c r="E60" s="448"/>
      <c r="F60" s="714"/>
      <c r="G60" s="714"/>
      <c r="H60" s="703"/>
      <c r="I60" s="448"/>
      <c r="J60" s="448"/>
      <c r="K60" s="448"/>
      <c r="L60" s="448"/>
      <c r="M60" s="448"/>
      <c r="N60" s="448"/>
      <c r="O60" s="448"/>
      <c r="P60" s="448"/>
      <c r="Q60" s="448"/>
      <c r="R60" s="448"/>
      <c r="S60" s="448"/>
      <c r="T60" s="448"/>
      <c r="U60" s="448"/>
      <c r="V60" s="448"/>
      <c r="W60" s="448"/>
      <c r="X60" s="448"/>
      <c r="Y60" s="448"/>
      <c r="Z60" s="448"/>
      <c r="AA60" s="448"/>
      <c r="AB60" s="448"/>
      <c r="AC60" s="448"/>
      <c r="AD60" s="448"/>
    </row>
    <row r="61">
      <c r="A61" s="448"/>
      <c r="B61" s="448"/>
      <c r="C61" s="448"/>
      <c r="D61" s="448"/>
      <c r="E61" s="448"/>
      <c r="F61" s="714"/>
      <c r="G61" s="714"/>
      <c r="H61" s="703"/>
      <c r="I61" s="448"/>
      <c r="J61" s="448"/>
      <c r="K61" s="448"/>
      <c r="L61" s="448"/>
      <c r="M61" s="448"/>
      <c r="N61" s="448"/>
      <c r="O61" s="448"/>
      <c r="P61" s="448"/>
      <c r="Q61" s="448"/>
      <c r="R61" s="448"/>
      <c r="S61" s="448"/>
      <c r="T61" s="448"/>
      <c r="U61" s="448"/>
      <c r="V61" s="448"/>
      <c r="W61" s="448"/>
      <c r="X61" s="448"/>
      <c r="Y61" s="448"/>
      <c r="Z61" s="448"/>
      <c r="AA61" s="448"/>
      <c r="AB61" s="448"/>
      <c r="AC61" s="448"/>
      <c r="AD61" s="448"/>
    </row>
    <row r="62">
      <c r="A62" s="730">
        <f>SUM(A63)</f>
        <v>1500</v>
      </c>
      <c r="B62" s="731" t="s">
        <v>2215</v>
      </c>
      <c r="C62" s="732" t="s">
        <v>2216</v>
      </c>
      <c r="D62" s="733"/>
      <c r="E62" s="733"/>
      <c r="F62" s="734"/>
      <c r="G62" s="734"/>
      <c r="H62" s="735"/>
      <c r="I62" s="733"/>
      <c r="J62" s="733"/>
      <c r="K62" s="733"/>
      <c r="L62" s="733"/>
      <c r="M62" s="733"/>
      <c r="N62" s="733"/>
      <c r="O62" s="733"/>
      <c r="P62" s="733"/>
      <c r="Q62" s="733"/>
      <c r="R62" s="733"/>
      <c r="S62" s="733"/>
      <c r="T62" s="733"/>
      <c r="U62" s="733"/>
      <c r="V62" s="733"/>
      <c r="W62" s="733"/>
      <c r="X62" s="733"/>
      <c r="Y62" s="733"/>
      <c r="Z62" s="733"/>
      <c r="AA62" s="733"/>
      <c r="AB62" s="733"/>
      <c r="AC62" s="733"/>
      <c r="AD62" s="733"/>
    </row>
    <row r="63">
      <c r="A63" s="716">
        <v>1500.0</v>
      </c>
      <c r="B63" s="133" t="s">
        <v>2109</v>
      </c>
      <c r="C63" s="133" t="s">
        <v>2215</v>
      </c>
      <c r="D63" s="448"/>
      <c r="E63" s="448"/>
      <c r="F63" s="714"/>
      <c r="G63" s="714"/>
      <c r="H63" s="703"/>
      <c r="I63" s="448"/>
      <c r="J63" s="448"/>
      <c r="K63" s="448"/>
      <c r="L63" s="448"/>
      <c r="M63" s="448"/>
      <c r="N63" s="448"/>
      <c r="O63" s="448"/>
      <c r="P63" s="448"/>
      <c r="Q63" s="448"/>
      <c r="R63" s="448"/>
      <c r="S63" s="448"/>
      <c r="T63" s="448"/>
      <c r="U63" s="448"/>
      <c r="V63" s="448"/>
      <c r="W63" s="448"/>
      <c r="X63" s="448"/>
      <c r="Y63" s="448"/>
      <c r="Z63" s="448"/>
      <c r="AA63" s="448"/>
      <c r="AB63" s="448"/>
      <c r="AC63" s="448"/>
      <c r="AD63" s="448"/>
    </row>
    <row r="64">
      <c r="A64" s="448"/>
      <c r="B64" s="702"/>
      <c r="C64" s="133"/>
      <c r="D64" s="448"/>
      <c r="E64" s="448"/>
      <c r="F64" s="714"/>
      <c r="G64" s="455"/>
      <c r="H64" s="703"/>
      <c r="I64" s="448"/>
      <c r="J64" s="448"/>
      <c r="K64" s="448"/>
      <c r="L64" s="448"/>
      <c r="M64" s="448"/>
      <c r="N64" s="448"/>
      <c r="O64" s="448"/>
      <c r="P64" s="448"/>
      <c r="Q64" s="448"/>
      <c r="R64" s="448"/>
      <c r="S64" s="448"/>
      <c r="T64" s="448"/>
      <c r="U64" s="448"/>
      <c r="V64" s="448"/>
      <c r="W64" s="448"/>
      <c r="X64" s="448"/>
      <c r="Y64" s="448"/>
      <c r="Z64" s="448"/>
      <c r="AA64" s="448"/>
      <c r="AB64" s="448"/>
      <c r="AC64" s="448"/>
      <c r="AD64" s="448"/>
    </row>
    <row r="65">
      <c r="A65" s="730">
        <f>SUM(A66)</f>
        <v>1500</v>
      </c>
      <c r="B65" s="731" t="s">
        <v>2217</v>
      </c>
      <c r="C65" s="732" t="s">
        <v>2218</v>
      </c>
      <c r="D65" s="733"/>
      <c r="E65" s="733"/>
      <c r="F65" s="734"/>
      <c r="G65" s="734"/>
      <c r="H65" s="735"/>
      <c r="I65" s="733"/>
      <c r="J65" s="733"/>
      <c r="K65" s="733"/>
      <c r="L65" s="733"/>
      <c r="M65" s="733"/>
      <c r="N65" s="733"/>
      <c r="O65" s="733"/>
      <c r="P65" s="733"/>
      <c r="Q65" s="733"/>
      <c r="R65" s="733"/>
      <c r="S65" s="733"/>
      <c r="T65" s="733"/>
      <c r="U65" s="733"/>
      <c r="V65" s="733"/>
      <c r="W65" s="733"/>
      <c r="X65" s="733"/>
      <c r="Y65" s="733"/>
      <c r="Z65" s="733"/>
      <c r="AA65" s="733"/>
      <c r="AB65" s="733"/>
      <c r="AC65" s="733"/>
      <c r="AD65" s="733"/>
    </row>
    <row r="66">
      <c r="A66" s="716">
        <v>1500.0</v>
      </c>
      <c r="B66" s="133" t="s">
        <v>2111</v>
      </c>
      <c r="C66" s="133" t="s">
        <v>2217</v>
      </c>
      <c r="D66" s="448"/>
      <c r="E66" s="448"/>
      <c r="F66" s="714"/>
      <c r="G66" s="714"/>
      <c r="H66" s="703"/>
      <c r="I66" s="448"/>
      <c r="J66" s="448"/>
      <c r="K66" s="448"/>
      <c r="L66" s="448"/>
      <c r="M66" s="448"/>
      <c r="N66" s="448"/>
      <c r="O66" s="448"/>
      <c r="P66" s="448"/>
      <c r="Q66" s="448"/>
      <c r="R66" s="448"/>
      <c r="S66" s="448"/>
      <c r="T66" s="448"/>
      <c r="U66" s="448"/>
      <c r="V66" s="448"/>
      <c r="W66" s="448"/>
      <c r="X66" s="448"/>
      <c r="Y66" s="448"/>
      <c r="Z66" s="448"/>
      <c r="AA66" s="448"/>
      <c r="AB66" s="448"/>
      <c r="AC66" s="448"/>
      <c r="AD66" s="448"/>
    </row>
    <row r="67">
      <c r="A67" s="448"/>
      <c r="B67" s="448"/>
      <c r="C67" s="448"/>
      <c r="D67" s="448"/>
      <c r="E67" s="448"/>
      <c r="F67" s="714"/>
      <c r="G67" s="714"/>
      <c r="H67" s="703"/>
      <c r="I67" s="448"/>
      <c r="J67" s="448"/>
      <c r="K67" s="448"/>
      <c r="L67" s="448"/>
      <c r="M67" s="448"/>
      <c r="N67" s="448"/>
      <c r="O67" s="448"/>
      <c r="P67" s="448"/>
      <c r="Q67" s="448"/>
      <c r="R67" s="448"/>
      <c r="S67" s="448"/>
      <c r="T67" s="448"/>
      <c r="U67" s="448"/>
      <c r="V67" s="448"/>
      <c r="W67" s="448"/>
      <c r="X67" s="448"/>
      <c r="Y67" s="448"/>
      <c r="Z67" s="448"/>
      <c r="AA67" s="448"/>
      <c r="AB67" s="448"/>
      <c r="AC67" s="448"/>
      <c r="AD67" s="448"/>
    </row>
    <row r="68">
      <c r="A68" s="730">
        <f>SUM(A69:A70)</f>
        <v>1600</v>
      </c>
      <c r="B68" s="731" t="s">
        <v>2219</v>
      </c>
      <c r="C68" s="736" t="s">
        <v>2220</v>
      </c>
      <c r="D68" s="733"/>
      <c r="E68" s="733"/>
      <c r="F68" s="734"/>
      <c r="G68" s="734"/>
      <c r="H68" s="735"/>
      <c r="I68" s="733"/>
      <c r="J68" s="733"/>
      <c r="K68" s="733"/>
      <c r="L68" s="733"/>
      <c r="M68" s="733"/>
      <c r="N68" s="733"/>
      <c r="O68" s="733"/>
      <c r="P68" s="733"/>
      <c r="Q68" s="733"/>
      <c r="R68" s="733"/>
      <c r="S68" s="733"/>
      <c r="T68" s="733"/>
      <c r="U68" s="733"/>
      <c r="V68" s="733"/>
      <c r="W68" s="733"/>
      <c r="X68" s="733"/>
      <c r="Y68" s="733"/>
      <c r="Z68" s="733"/>
      <c r="AA68" s="733"/>
      <c r="AB68" s="733"/>
      <c r="AC68" s="733"/>
      <c r="AD68" s="733"/>
    </row>
    <row r="69">
      <c r="A69" s="716">
        <v>600.0</v>
      </c>
      <c r="B69" s="133" t="s">
        <v>1997</v>
      </c>
      <c r="C69" s="133" t="s">
        <v>2221</v>
      </c>
      <c r="D69" s="448"/>
      <c r="E69" s="448"/>
      <c r="F69" s="473" t="s">
        <v>2222</v>
      </c>
      <c r="G69" s="473" t="s">
        <v>2223</v>
      </c>
      <c r="H69" s="703"/>
      <c r="I69" s="448"/>
      <c r="J69" s="448"/>
      <c r="K69" s="448"/>
      <c r="L69" s="448"/>
      <c r="M69" s="448"/>
      <c r="N69" s="448"/>
      <c r="O69" s="448"/>
      <c r="P69" s="448"/>
      <c r="Q69" s="448"/>
      <c r="R69" s="448"/>
      <c r="S69" s="448"/>
      <c r="T69" s="448"/>
      <c r="U69" s="448"/>
      <c r="V69" s="448"/>
      <c r="W69" s="448"/>
      <c r="X69" s="448"/>
      <c r="Y69" s="448"/>
      <c r="Z69" s="448"/>
      <c r="AA69" s="448"/>
      <c r="AB69" s="448"/>
      <c r="AC69" s="448"/>
      <c r="AD69" s="448"/>
    </row>
    <row r="70">
      <c r="A70" s="716">
        <v>1000.0</v>
      </c>
      <c r="B70" s="133" t="s">
        <v>2098</v>
      </c>
      <c r="C70" s="133" t="s">
        <v>2219</v>
      </c>
      <c r="D70" s="448"/>
      <c r="E70" s="448"/>
      <c r="F70" s="714"/>
      <c r="G70" s="714"/>
      <c r="H70" s="703"/>
      <c r="I70" s="448"/>
      <c r="J70" s="448"/>
      <c r="K70" s="448"/>
      <c r="L70" s="448"/>
      <c r="M70" s="448"/>
      <c r="N70" s="448"/>
      <c r="O70" s="448"/>
      <c r="P70" s="448"/>
      <c r="Q70" s="448"/>
      <c r="R70" s="448"/>
      <c r="S70" s="448"/>
      <c r="T70" s="448"/>
      <c r="U70" s="448"/>
      <c r="V70" s="448"/>
      <c r="W70" s="448"/>
      <c r="X70" s="448"/>
      <c r="Y70" s="448"/>
      <c r="Z70" s="448"/>
      <c r="AA70" s="448"/>
      <c r="AB70" s="448"/>
      <c r="AC70" s="448"/>
      <c r="AD70" s="448"/>
    </row>
    <row r="71">
      <c r="A71" s="448"/>
      <c r="B71" s="448"/>
      <c r="C71" s="448"/>
      <c r="D71" s="448"/>
      <c r="E71" s="448"/>
      <c r="F71" s="714"/>
      <c r="G71" s="714"/>
      <c r="H71" s="703"/>
      <c r="I71" s="448"/>
      <c r="J71" s="448"/>
      <c r="K71" s="448"/>
      <c r="L71" s="448"/>
      <c r="M71" s="448"/>
      <c r="N71" s="448"/>
      <c r="O71" s="448"/>
      <c r="P71" s="448"/>
      <c r="Q71" s="448"/>
      <c r="R71" s="448"/>
      <c r="S71" s="448"/>
      <c r="T71" s="448"/>
      <c r="U71" s="448"/>
      <c r="V71" s="448"/>
      <c r="W71" s="448"/>
      <c r="X71" s="448"/>
      <c r="Y71" s="448"/>
      <c r="Z71" s="448"/>
      <c r="AA71" s="448"/>
      <c r="AB71" s="448"/>
      <c r="AC71" s="448"/>
      <c r="AD71" s="448"/>
    </row>
    <row r="72">
      <c r="A72" s="730">
        <f>SUM(A73:A75)</f>
        <v>2300</v>
      </c>
      <c r="B72" s="731" t="s">
        <v>2224</v>
      </c>
      <c r="C72" s="736" t="s">
        <v>2225</v>
      </c>
      <c r="D72" s="733"/>
      <c r="E72" s="733"/>
      <c r="F72" s="734"/>
      <c r="G72" s="734"/>
      <c r="H72" s="735"/>
      <c r="I72" s="733"/>
      <c r="J72" s="733"/>
      <c r="K72" s="733"/>
      <c r="L72" s="733"/>
      <c r="M72" s="733"/>
      <c r="N72" s="733"/>
      <c r="O72" s="733"/>
      <c r="P72" s="733"/>
      <c r="Q72" s="733"/>
      <c r="R72" s="733"/>
      <c r="S72" s="733"/>
      <c r="T72" s="733"/>
      <c r="U72" s="733"/>
      <c r="V72" s="733"/>
      <c r="W72" s="733"/>
      <c r="X72" s="733"/>
      <c r="Y72" s="733"/>
      <c r="Z72" s="733"/>
      <c r="AA72" s="733"/>
      <c r="AB72" s="733"/>
      <c r="AC72" s="733"/>
      <c r="AD72" s="733"/>
    </row>
    <row r="73">
      <c r="A73" s="737">
        <v>200.0</v>
      </c>
      <c r="B73" s="461" t="s">
        <v>2065</v>
      </c>
      <c r="C73" s="461" t="s">
        <v>2226</v>
      </c>
      <c r="D73" s="448"/>
      <c r="E73" s="448"/>
      <c r="F73" s="714"/>
      <c r="G73" s="455"/>
      <c r="H73" s="703"/>
      <c r="I73" s="448"/>
      <c r="J73" s="448"/>
      <c r="K73" s="448"/>
      <c r="L73" s="448"/>
      <c r="M73" s="448"/>
      <c r="N73" s="448"/>
      <c r="O73" s="448"/>
      <c r="P73" s="448"/>
      <c r="Q73" s="448"/>
      <c r="R73" s="448"/>
      <c r="S73" s="448"/>
      <c r="T73" s="448"/>
      <c r="U73" s="448"/>
      <c r="V73" s="448"/>
      <c r="W73" s="448"/>
      <c r="X73" s="448"/>
      <c r="Y73" s="448"/>
      <c r="Z73" s="448"/>
      <c r="AA73" s="448"/>
      <c r="AB73" s="448"/>
      <c r="AC73" s="448"/>
      <c r="AD73" s="448"/>
    </row>
    <row r="74">
      <c r="A74" s="737">
        <v>600.0</v>
      </c>
      <c r="B74" s="461" t="s">
        <v>2087</v>
      </c>
      <c r="C74" s="461" t="s">
        <v>2227</v>
      </c>
      <c r="D74" s="448"/>
      <c r="E74" s="448"/>
      <c r="F74" s="714"/>
      <c r="G74" s="455"/>
      <c r="H74" s="703"/>
      <c r="I74" s="448"/>
      <c r="J74" s="448"/>
      <c r="K74" s="448"/>
      <c r="L74" s="448"/>
      <c r="M74" s="448"/>
      <c r="N74" s="448"/>
      <c r="O74" s="448"/>
      <c r="P74" s="448"/>
      <c r="Q74" s="448"/>
      <c r="R74" s="448"/>
      <c r="S74" s="448"/>
      <c r="T74" s="448"/>
      <c r="U74" s="448"/>
      <c r="V74" s="448"/>
      <c r="W74" s="448"/>
      <c r="X74" s="448"/>
      <c r="Y74" s="448"/>
      <c r="Z74" s="448"/>
      <c r="AA74" s="448"/>
      <c r="AB74" s="448"/>
      <c r="AC74" s="448"/>
      <c r="AD74" s="448"/>
    </row>
    <row r="75">
      <c r="A75" s="716">
        <v>1500.0</v>
      </c>
      <c r="B75" s="133" t="s">
        <v>2107</v>
      </c>
      <c r="C75" s="133" t="s">
        <v>2224</v>
      </c>
      <c r="D75" s="448"/>
      <c r="E75" s="448"/>
      <c r="F75" s="714"/>
      <c r="G75" s="714"/>
      <c r="H75" s="703"/>
      <c r="I75" s="448"/>
      <c r="J75" s="448"/>
      <c r="K75" s="448"/>
      <c r="L75" s="448"/>
      <c r="M75" s="448"/>
      <c r="N75" s="448"/>
      <c r="O75" s="448"/>
      <c r="P75" s="448"/>
      <c r="Q75" s="448"/>
      <c r="R75" s="448"/>
      <c r="S75" s="448"/>
      <c r="T75" s="448"/>
      <c r="U75" s="448"/>
      <c r="V75" s="448"/>
      <c r="W75" s="448"/>
      <c r="X75" s="448"/>
      <c r="Y75" s="448"/>
      <c r="Z75" s="448"/>
      <c r="AA75" s="448"/>
      <c r="AB75" s="448"/>
      <c r="AC75" s="448"/>
      <c r="AD75" s="448"/>
    </row>
    <row r="76">
      <c r="A76" s="448"/>
      <c r="B76" s="448"/>
      <c r="C76" s="448"/>
      <c r="D76" s="448"/>
      <c r="E76" s="448"/>
      <c r="F76" s="714"/>
      <c r="G76" s="714"/>
      <c r="H76" s="703"/>
      <c r="I76" s="448"/>
      <c r="J76" s="448"/>
      <c r="K76" s="448"/>
      <c r="L76" s="448"/>
      <c r="M76" s="448"/>
      <c r="N76" s="448"/>
      <c r="O76" s="448"/>
      <c r="P76" s="448"/>
      <c r="Q76" s="448"/>
      <c r="R76" s="448"/>
      <c r="S76" s="448"/>
      <c r="T76" s="448"/>
      <c r="U76" s="448"/>
      <c r="V76" s="448"/>
      <c r="W76" s="448"/>
      <c r="X76" s="448"/>
      <c r="Y76" s="448"/>
      <c r="Z76" s="448"/>
      <c r="AA76" s="448"/>
      <c r="AB76" s="448"/>
      <c r="AC76" s="448"/>
      <c r="AD76" s="448"/>
    </row>
    <row r="77">
      <c r="A77" s="730">
        <f>SUM(A79:A81)</f>
        <v>2300</v>
      </c>
      <c r="B77" s="731" t="s">
        <v>2228</v>
      </c>
      <c r="C77" s="736" t="s">
        <v>2229</v>
      </c>
      <c r="D77" s="733"/>
      <c r="E77" s="733"/>
      <c r="F77" s="734"/>
      <c r="G77" s="734"/>
      <c r="H77" s="735"/>
      <c r="I77" s="733"/>
      <c r="J77" s="733"/>
      <c r="K77" s="733"/>
      <c r="L77" s="733"/>
      <c r="M77" s="733"/>
      <c r="N77" s="733"/>
      <c r="O77" s="733"/>
      <c r="P77" s="733"/>
      <c r="Q77" s="733"/>
      <c r="R77" s="733"/>
      <c r="S77" s="733"/>
      <c r="T77" s="733"/>
      <c r="U77" s="733"/>
      <c r="V77" s="733"/>
      <c r="W77" s="733"/>
      <c r="X77" s="733"/>
      <c r="Y77" s="733"/>
      <c r="Z77" s="733"/>
      <c r="AA77" s="733"/>
      <c r="AB77" s="733"/>
      <c r="AC77" s="733"/>
      <c r="AD77" s="733"/>
    </row>
    <row r="78">
      <c r="A78" s="716">
        <v>600.0</v>
      </c>
      <c r="B78" s="133" t="s">
        <v>1997</v>
      </c>
      <c r="C78" s="133" t="s">
        <v>2221</v>
      </c>
      <c r="D78" s="448"/>
      <c r="E78" s="448"/>
      <c r="F78" s="473" t="s">
        <v>2222</v>
      </c>
      <c r="G78" s="473" t="s">
        <v>2223</v>
      </c>
      <c r="H78" s="703"/>
      <c r="I78" s="448"/>
      <c r="J78" s="448"/>
      <c r="K78" s="448"/>
      <c r="L78" s="448"/>
      <c r="M78" s="448"/>
      <c r="N78" s="448"/>
      <c r="O78" s="448"/>
      <c r="P78" s="448"/>
      <c r="Q78" s="448"/>
      <c r="R78" s="448"/>
      <c r="S78" s="448"/>
      <c r="T78" s="448"/>
      <c r="U78" s="448"/>
      <c r="V78" s="448"/>
      <c r="W78" s="448"/>
      <c r="X78" s="448"/>
      <c r="Y78" s="448"/>
      <c r="Z78" s="448"/>
      <c r="AA78" s="448"/>
      <c r="AB78" s="448"/>
      <c r="AC78" s="448"/>
      <c r="AD78" s="448"/>
    </row>
    <row r="79">
      <c r="A79" s="737">
        <v>200.0</v>
      </c>
      <c r="B79" s="461" t="s">
        <v>2065</v>
      </c>
      <c r="C79" s="461" t="s">
        <v>2226</v>
      </c>
      <c r="D79" s="448"/>
      <c r="E79" s="448"/>
      <c r="F79" s="714"/>
      <c r="G79" s="455"/>
      <c r="H79" s="703"/>
      <c r="I79" s="448"/>
      <c r="J79" s="448"/>
      <c r="K79" s="448"/>
      <c r="L79" s="448"/>
      <c r="M79" s="448"/>
      <c r="N79" s="448"/>
      <c r="O79" s="448"/>
      <c r="P79" s="448"/>
      <c r="Q79" s="448"/>
      <c r="R79" s="448"/>
      <c r="S79" s="448"/>
      <c r="T79" s="448"/>
      <c r="U79" s="448"/>
      <c r="V79" s="448"/>
      <c r="W79" s="448"/>
      <c r="X79" s="448"/>
      <c r="Y79" s="448"/>
      <c r="Z79" s="448"/>
      <c r="AA79" s="448"/>
      <c r="AB79" s="448"/>
      <c r="AC79" s="448"/>
      <c r="AD79" s="448"/>
    </row>
    <row r="80">
      <c r="A80" s="737">
        <v>600.0</v>
      </c>
      <c r="B80" s="461" t="s">
        <v>2087</v>
      </c>
      <c r="C80" s="461" t="s">
        <v>2227</v>
      </c>
      <c r="D80" s="448"/>
      <c r="E80" s="448"/>
      <c r="F80" s="714"/>
      <c r="G80" s="455" t="s">
        <v>2230</v>
      </c>
      <c r="H80" s="703"/>
      <c r="I80" s="448"/>
      <c r="J80" s="448"/>
      <c r="K80" s="448"/>
      <c r="L80" s="448"/>
      <c r="M80" s="448"/>
      <c r="N80" s="448"/>
      <c r="O80" s="448"/>
      <c r="P80" s="448"/>
      <c r="Q80" s="448"/>
      <c r="R80" s="448"/>
      <c r="S80" s="448"/>
      <c r="T80" s="448"/>
      <c r="U80" s="448"/>
      <c r="V80" s="448"/>
      <c r="W80" s="448"/>
      <c r="X80" s="448"/>
      <c r="Y80" s="448"/>
      <c r="Z80" s="448"/>
      <c r="AA80" s="448"/>
      <c r="AB80" s="448"/>
      <c r="AC80" s="448"/>
      <c r="AD80" s="448"/>
    </row>
    <row r="81">
      <c r="A81" s="716">
        <v>1500.0</v>
      </c>
      <c r="B81" s="133" t="s">
        <v>2105</v>
      </c>
      <c r="C81" s="133" t="s">
        <v>2228</v>
      </c>
      <c r="D81" s="448"/>
      <c r="E81" s="448"/>
      <c r="F81" s="714"/>
      <c r="G81" s="714"/>
      <c r="H81" s="703"/>
      <c r="I81" s="448"/>
      <c r="J81" s="448"/>
      <c r="K81" s="448"/>
      <c r="L81" s="448"/>
      <c r="M81" s="448"/>
      <c r="N81" s="448"/>
      <c r="O81" s="448"/>
      <c r="P81" s="448"/>
      <c r="Q81" s="448"/>
      <c r="R81" s="448"/>
      <c r="S81" s="448"/>
      <c r="T81" s="448"/>
      <c r="U81" s="448"/>
      <c r="V81" s="448"/>
      <c r="W81" s="448"/>
      <c r="X81" s="448"/>
      <c r="Y81" s="448"/>
      <c r="Z81" s="448"/>
      <c r="AA81" s="448"/>
      <c r="AB81" s="448"/>
      <c r="AC81" s="448"/>
      <c r="AD81" s="448"/>
    </row>
    <row r="82">
      <c r="A82" s="448"/>
      <c r="B82" s="448"/>
      <c r="C82" s="448"/>
      <c r="D82" s="448"/>
      <c r="E82" s="448"/>
      <c r="F82" s="714"/>
      <c r="G82" s="714"/>
      <c r="H82" s="703"/>
      <c r="I82" s="448"/>
      <c r="J82" s="448"/>
      <c r="K82" s="448"/>
      <c r="L82" s="448"/>
      <c r="M82" s="448"/>
      <c r="N82" s="448"/>
      <c r="O82" s="448"/>
      <c r="P82" s="448"/>
      <c r="Q82" s="448"/>
      <c r="R82" s="448"/>
      <c r="S82" s="448"/>
      <c r="T82" s="448"/>
      <c r="U82" s="448"/>
      <c r="V82" s="448"/>
      <c r="W82" s="448"/>
      <c r="X82" s="448"/>
      <c r="Y82" s="448"/>
      <c r="Z82" s="448"/>
      <c r="AA82" s="448"/>
      <c r="AB82" s="448"/>
      <c r="AC82" s="448"/>
      <c r="AD82" s="448"/>
    </row>
    <row r="83">
      <c r="A83" s="730">
        <f>SUM(A84:A86)</f>
        <v>2300</v>
      </c>
      <c r="B83" s="731" t="s">
        <v>2231</v>
      </c>
      <c r="C83" s="736" t="s">
        <v>2232</v>
      </c>
      <c r="D83" s="733"/>
      <c r="E83" s="733"/>
      <c r="F83" s="734"/>
      <c r="G83" s="734"/>
      <c r="H83" s="735"/>
      <c r="I83" s="733"/>
      <c r="J83" s="733"/>
      <c r="K83" s="733"/>
      <c r="L83" s="733"/>
      <c r="M83" s="733"/>
      <c r="N83" s="733"/>
      <c r="O83" s="733"/>
      <c r="P83" s="733"/>
      <c r="Q83" s="733"/>
      <c r="R83" s="733"/>
      <c r="S83" s="733"/>
      <c r="T83" s="733"/>
      <c r="U83" s="733"/>
      <c r="V83" s="733"/>
      <c r="W83" s="733"/>
      <c r="X83" s="733"/>
      <c r="Y83" s="733"/>
      <c r="Z83" s="733"/>
      <c r="AA83" s="733"/>
      <c r="AB83" s="733"/>
      <c r="AC83" s="733"/>
      <c r="AD83" s="733"/>
    </row>
    <row r="84">
      <c r="A84" s="737">
        <v>200.0</v>
      </c>
      <c r="B84" s="461" t="s">
        <v>2065</v>
      </c>
      <c r="C84" s="461" t="s">
        <v>2226</v>
      </c>
      <c r="D84" s="448"/>
      <c r="E84" s="448"/>
      <c r="F84" s="714"/>
      <c r="G84" s="455"/>
      <c r="H84" s="703"/>
      <c r="I84" s="448"/>
      <c r="J84" s="448"/>
      <c r="K84" s="448"/>
      <c r="L84" s="448"/>
      <c r="M84" s="448"/>
      <c r="N84" s="448"/>
      <c r="O84" s="448"/>
      <c r="P84" s="448"/>
      <c r="Q84" s="448"/>
      <c r="R84" s="448"/>
      <c r="S84" s="448"/>
      <c r="T84" s="448"/>
      <c r="U84" s="448"/>
      <c r="V84" s="448"/>
      <c r="W84" s="448"/>
      <c r="X84" s="448"/>
      <c r="Y84" s="448"/>
      <c r="Z84" s="448"/>
      <c r="AA84" s="448"/>
      <c r="AB84" s="448"/>
      <c r="AC84" s="448"/>
      <c r="AD84" s="448"/>
    </row>
    <row r="85">
      <c r="A85" s="737">
        <v>600.0</v>
      </c>
      <c r="B85" s="461" t="s">
        <v>2087</v>
      </c>
      <c r="C85" s="461" t="s">
        <v>2227</v>
      </c>
      <c r="D85" s="448"/>
      <c r="E85" s="448"/>
      <c r="F85" s="714"/>
      <c r="G85" s="455"/>
      <c r="H85" s="703"/>
      <c r="I85" s="448"/>
      <c r="J85" s="448"/>
      <c r="K85" s="448"/>
      <c r="L85" s="448"/>
      <c r="M85" s="448"/>
      <c r="N85" s="448"/>
      <c r="O85" s="448"/>
      <c r="P85" s="448"/>
      <c r="Q85" s="448"/>
      <c r="R85" s="448"/>
      <c r="S85" s="448"/>
      <c r="T85" s="448"/>
      <c r="U85" s="448"/>
      <c r="V85" s="448"/>
      <c r="W85" s="448"/>
      <c r="X85" s="448"/>
      <c r="Y85" s="448"/>
      <c r="Z85" s="448"/>
      <c r="AA85" s="448"/>
      <c r="AB85" s="448"/>
      <c r="AC85" s="448"/>
      <c r="AD85" s="448"/>
    </row>
    <row r="86">
      <c r="A86" s="716">
        <v>1500.0</v>
      </c>
      <c r="B86" s="133" t="s">
        <v>2103</v>
      </c>
      <c r="C86" s="133" t="s">
        <v>2231</v>
      </c>
      <c r="D86" s="448"/>
      <c r="E86" s="448"/>
      <c r="F86" s="714"/>
      <c r="G86" s="714"/>
      <c r="H86" s="703"/>
      <c r="I86" s="448"/>
      <c r="J86" s="448"/>
      <c r="K86" s="448"/>
      <c r="L86" s="448"/>
      <c r="M86" s="448"/>
      <c r="N86" s="448"/>
      <c r="O86" s="448"/>
      <c r="P86" s="448"/>
      <c r="Q86" s="448"/>
      <c r="R86" s="448"/>
      <c r="S86" s="448"/>
      <c r="T86" s="448"/>
      <c r="U86" s="448"/>
      <c r="V86" s="448"/>
      <c r="W86" s="448"/>
      <c r="X86" s="448"/>
      <c r="Y86" s="448"/>
      <c r="Z86" s="448"/>
      <c r="AA86" s="448"/>
      <c r="AB86" s="448"/>
      <c r="AC86" s="448"/>
      <c r="AD86" s="448"/>
    </row>
    <row r="87">
      <c r="A87" s="448"/>
      <c r="B87" s="448"/>
      <c r="C87" s="448"/>
      <c r="D87" s="448"/>
      <c r="E87" s="448"/>
      <c r="F87" s="714"/>
      <c r="G87" s="714"/>
      <c r="H87" s="703"/>
      <c r="I87" s="448"/>
      <c r="J87" s="448"/>
      <c r="K87" s="448"/>
      <c r="L87" s="448"/>
      <c r="M87" s="448"/>
      <c r="N87" s="448"/>
      <c r="O87" s="448"/>
      <c r="P87" s="448"/>
      <c r="Q87" s="448"/>
      <c r="R87" s="448"/>
      <c r="S87" s="448"/>
      <c r="T87" s="448"/>
      <c r="U87" s="448"/>
      <c r="V87" s="448"/>
      <c r="W87" s="448"/>
      <c r="X87" s="448"/>
      <c r="Y87" s="448"/>
      <c r="Z87" s="448"/>
      <c r="AA87" s="448"/>
      <c r="AB87" s="448"/>
      <c r="AC87" s="448"/>
      <c r="AD87" s="448"/>
    </row>
    <row r="88">
      <c r="A88" s="717"/>
      <c r="B88" s="738" t="s">
        <v>2233</v>
      </c>
      <c r="C88" s="717"/>
      <c r="D88" s="717"/>
      <c r="E88" s="717"/>
      <c r="F88" s="718"/>
      <c r="G88" s="718"/>
      <c r="H88" s="719"/>
      <c r="I88" s="717"/>
      <c r="J88" s="717"/>
      <c r="K88" s="717"/>
      <c r="L88" s="717"/>
      <c r="M88" s="717"/>
      <c r="N88" s="717"/>
      <c r="O88" s="717"/>
      <c r="P88" s="717"/>
      <c r="Q88" s="717"/>
      <c r="R88" s="717"/>
      <c r="S88" s="717"/>
      <c r="T88" s="717"/>
      <c r="U88" s="717"/>
      <c r="V88" s="717"/>
      <c r="W88" s="717"/>
      <c r="X88" s="717"/>
      <c r="Y88" s="717"/>
      <c r="Z88" s="717"/>
      <c r="AA88" s="717"/>
      <c r="AB88" s="717"/>
      <c r="AC88" s="717"/>
      <c r="AD88" s="717"/>
    </row>
    <row r="89">
      <c r="A89" s="716">
        <v>400.0</v>
      </c>
      <c r="B89" s="133" t="s">
        <v>2069</v>
      </c>
      <c r="C89" s="448"/>
      <c r="D89" s="728" t="s">
        <v>1602</v>
      </c>
      <c r="E89" s="448"/>
      <c r="F89" s="473" t="s">
        <v>2234</v>
      </c>
      <c r="G89" s="455" t="s">
        <v>2235</v>
      </c>
      <c r="H89" s="703"/>
      <c r="I89" s="448"/>
      <c r="J89" s="448"/>
      <c r="K89" s="448"/>
      <c r="L89" s="448"/>
      <c r="M89" s="448"/>
      <c r="N89" s="448"/>
      <c r="O89" s="448"/>
      <c r="P89" s="448"/>
      <c r="Q89" s="448"/>
      <c r="R89" s="448"/>
      <c r="S89" s="448"/>
      <c r="T89" s="448"/>
      <c r="U89" s="448"/>
      <c r="V89" s="448"/>
      <c r="W89" s="448"/>
      <c r="X89" s="448"/>
      <c r="Y89" s="448"/>
      <c r="Z89" s="448"/>
      <c r="AA89" s="448"/>
      <c r="AB89" s="448"/>
      <c r="AC89" s="448"/>
      <c r="AD89" s="448"/>
    </row>
    <row r="90">
      <c r="A90" s="716">
        <v>1000.0</v>
      </c>
      <c r="B90" s="133" t="s">
        <v>2028</v>
      </c>
      <c r="C90" s="133" t="s">
        <v>2236</v>
      </c>
      <c r="D90" s="448"/>
      <c r="E90" s="448"/>
      <c r="F90" s="473" t="s">
        <v>2237</v>
      </c>
      <c r="G90" s="455" t="s">
        <v>2238</v>
      </c>
      <c r="H90" s="703"/>
      <c r="I90" s="448"/>
      <c r="J90" s="448"/>
      <c r="K90" s="448"/>
      <c r="L90" s="448"/>
      <c r="M90" s="448"/>
      <c r="N90" s="448"/>
      <c r="O90" s="448"/>
      <c r="P90" s="448"/>
      <c r="Q90" s="448"/>
      <c r="R90" s="448"/>
      <c r="S90" s="448"/>
      <c r="T90" s="448"/>
      <c r="U90" s="448"/>
      <c r="V90" s="448"/>
      <c r="W90" s="448"/>
      <c r="X90" s="448"/>
      <c r="Y90" s="448"/>
      <c r="Z90" s="448"/>
      <c r="AA90" s="448"/>
      <c r="AB90" s="448"/>
      <c r="AC90" s="448"/>
      <c r="AD90" s="448"/>
    </row>
    <row r="91">
      <c r="A91" s="716">
        <v>1000.0</v>
      </c>
      <c r="B91" s="133" t="s">
        <v>2027</v>
      </c>
      <c r="C91" s="448"/>
      <c r="D91" s="448"/>
      <c r="E91" s="448"/>
      <c r="F91" s="473" t="s">
        <v>2239</v>
      </c>
      <c r="G91" s="473" t="s">
        <v>2240</v>
      </c>
      <c r="H91" s="703"/>
      <c r="I91" s="448"/>
      <c r="J91" s="448"/>
      <c r="K91" s="448"/>
      <c r="L91" s="448"/>
      <c r="M91" s="448"/>
      <c r="N91" s="448"/>
      <c r="O91" s="448"/>
      <c r="P91" s="448"/>
      <c r="Q91" s="448"/>
      <c r="R91" s="448"/>
      <c r="S91" s="448"/>
      <c r="T91" s="448"/>
      <c r="U91" s="448"/>
      <c r="V91" s="448"/>
      <c r="W91" s="448"/>
      <c r="X91" s="448"/>
      <c r="Y91" s="448"/>
      <c r="Z91" s="448"/>
      <c r="AA91" s="448"/>
      <c r="AB91" s="448"/>
      <c r="AC91" s="448"/>
      <c r="AD91" s="448"/>
    </row>
    <row r="92">
      <c r="A92" s="716">
        <v>1000.0</v>
      </c>
      <c r="B92" s="133" t="s">
        <v>1998</v>
      </c>
      <c r="C92" s="448"/>
      <c r="D92" s="133" t="s">
        <v>1747</v>
      </c>
      <c r="E92" s="448"/>
      <c r="F92" s="473" t="s">
        <v>2241</v>
      </c>
      <c r="G92" s="473" t="s">
        <v>2242</v>
      </c>
      <c r="H92" s="703"/>
      <c r="I92" s="448"/>
      <c r="J92" s="448"/>
      <c r="K92" s="448"/>
      <c r="L92" s="448"/>
      <c r="M92" s="448"/>
      <c r="N92" s="448"/>
      <c r="O92" s="448"/>
      <c r="P92" s="448"/>
      <c r="Q92" s="448"/>
      <c r="R92" s="448"/>
      <c r="S92" s="448"/>
      <c r="T92" s="448"/>
      <c r="U92" s="448"/>
      <c r="V92" s="448"/>
      <c r="W92" s="448"/>
      <c r="X92" s="448"/>
      <c r="Y92" s="448"/>
      <c r="Z92" s="448"/>
      <c r="AA92" s="448"/>
      <c r="AB92" s="448"/>
      <c r="AC92" s="448"/>
      <c r="AD92" s="448"/>
    </row>
    <row r="93">
      <c r="A93" s="716">
        <v>1500.0</v>
      </c>
      <c r="B93" s="133" t="s">
        <v>2029</v>
      </c>
      <c r="C93" s="448"/>
      <c r="D93" s="448"/>
      <c r="E93" s="448"/>
      <c r="F93" s="455" t="s">
        <v>2243</v>
      </c>
      <c r="G93" s="714"/>
      <c r="H93" s="703"/>
      <c r="I93" s="448"/>
      <c r="J93" s="448"/>
      <c r="K93" s="448"/>
      <c r="L93" s="448"/>
      <c r="M93" s="448"/>
      <c r="N93" s="448"/>
      <c r="O93" s="448"/>
      <c r="P93" s="448"/>
      <c r="Q93" s="448"/>
      <c r="R93" s="448"/>
      <c r="S93" s="448"/>
      <c r="T93" s="448"/>
      <c r="U93" s="448"/>
      <c r="V93" s="448"/>
      <c r="W93" s="448"/>
      <c r="X93" s="448"/>
      <c r="Y93" s="448"/>
      <c r="Z93" s="448"/>
      <c r="AA93" s="448"/>
      <c r="AB93" s="448"/>
      <c r="AC93" s="448"/>
      <c r="AD93" s="448"/>
    </row>
    <row r="94">
      <c r="A94" s="448"/>
      <c r="B94" s="448"/>
      <c r="C94" s="448"/>
      <c r="D94" s="448"/>
      <c r="E94" s="448"/>
      <c r="F94" s="714"/>
      <c r="G94" s="714"/>
      <c r="H94" s="703"/>
      <c r="I94" s="448"/>
      <c r="J94" s="448"/>
      <c r="K94" s="448"/>
      <c r="L94" s="448"/>
      <c r="M94" s="448"/>
      <c r="N94" s="448"/>
      <c r="O94" s="448"/>
      <c r="P94" s="448"/>
      <c r="Q94" s="448"/>
      <c r="R94" s="448"/>
      <c r="S94" s="448"/>
      <c r="T94" s="448"/>
      <c r="U94" s="448"/>
      <c r="V94" s="448"/>
      <c r="W94" s="448"/>
      <c r="X94" s="448"/>
      <c r="Y94" s="448"/>
      <c r="Z94" s="448"/>
      <c r="AA94" s="448"/>
      <c r="AB94" s="448"/>
      <c r="AC94" s="448"/>
      <c r="AD94" s="448"/>
    </row>
    <row r="95">
      <c r="A95" s="717"/>
      <c r="B95" s="738" t="s">
        <v>2244</v>
      </c>
      <c r="C95" s="717"/>
      <c r="D95" s="717"/>
      <c r="E95" s="717"/>
      <c r="F95" s="718"/>
      <c r="G95" s="718"/>
      <c r="H95" s="719"/>
      <c r="I95" s="717"/>
      <c r="J95" s="717"/>
      <c r="K95" s="717"/>
      <c r="L95" s="717"/>
      <c r="M95" s="717"/>
      <c r="N95" s="717"/>
      <c r="O95" s="717"/>
      <c r="P95" s="717"/>
      <c r="Q95" s="717"/>
      <c r="R95" s="717"/>
      <c r="S95" s="717"/>
      <c r="T95" s="717"/>
      <c r="U95" s="717"/>
      <c r="V95" s="717"/>
      <c r="W95" s="717"/>
      <c r="X95" s="717"/>
      <c r="Y95" s="717"/>
      <c r="Z95" s="717"/>
      <c r="AA95" s="717"/>
      <c r="AB95" s="717"/>
      <c r="AC95" s="717"/>
      <c r="AD95" s="717"/>
    </row>
    <row r="96">
      <c r="A96" s="448"/>
      <c r="B96" s="21" t="s">
        <v>2245</v>
      </c>
      <c r="C96" s="133" t="s">
        <v>2246</v>
      </c>
      <c r="D96" s="448"/>
      <c r="E96" s="448"/>
      <c r="F96" s="714"/>
      <c r="G96" s="714"/>
      <c r="H96" s="703"/>
      <c r="I96" s="448"/>
      <c r="J96" s="448"/>
      <c r="K96" s="448"/>
      <c r="L96" s="448"/>
      <c r="M96" s="448"/>
      <c r="N96" s="448"/>
      <c r="O96" s="448"/>
      <c r="P96" s="448"/>
      <c r="Q96" s="448"/>
      <c r="R96" s="448"/>
      <c r="S96" s="448"/>
      <c r="T96" s="448"/>
      <c r="U96" s="448"/>
      <c r="V96" s="448"/>
      <c r="W96" s="448"/>
      <c r="X96" s="448"/>
      <c r="Y96" s="448"/>
      <c r="Z96" s="448"/>
      <c r="AA96" s="448"/>
      <c r="AB96" s="448"/>
      <c r="AC96" s="448"/>
      <c r="AD96" s="448"/>
    </row>
    <row r="97">
      <c r="A97" s="448"/>
      <c r="B97" s="17" t="s">
        <v>2247</v>
      </c>
      <c r="C97" s="133" t="s">
        <v>2248</v>
      </c>
      <c r="D97" s="448"/>
      <c r="E97" s="448"/>
      <c r="F97" s="714"/>
      <c r="G97" s="714"/>
      <c r="H97" s="703"/>
      <c r="I97" s="448"/>
      <c r="J97" s="448"/>
      <c r="K97" s="448"/>
      <c r="L97" s="448"/>
      <c r="M97" s="448"/>
      <c r="N97" s="448"/>
      <c r="O97" s="448"/>
      <c r="P97" s="448"/>
      <c r="Q97" s="448"/>
      <c r="R97" s="448"/>
      <c r="S97" s="448"/>
      <c r="T97" s="448"/>
      <c r="U97" s="448"/>
      <c r="V97" s="448"/>
      <c r="W97" s="448"/>
      <c r="X97" s="448"/>
      <c r="Y97" s="448"/>
      <c r="Z97" s="448"/>
      <c r="AA97" s="448"/>
      <c r="AB97" s="448"/>
      <c r="AC97" s="448"/>
      <c r="AD97" s="448"/>
    </row>
    <row r="98">
      <c r="A98" s="448"/>
      <c r="B98" s="17" t="s">
        <v>2249</v>
      </c>
      <c r="C98" s="739" t="s">
        <v>2250</v>
      </c>
      <c r="D98" s="448"/>
      <c r="E98" s="448"/>
      <c r="F98" s="714"/>
      <c r="G98" s="714"/>
      <c r="H98" s="703"/>
      <c r="I98" s="448"/>
      <c r="J98" s="448"/>
      <c r="K98" s="448"/>
      <c r="L98" s="448"/>
      <c r="M98" s="448"/>
      <c r="N98" s="448"/>
      <c r="O98" s="448"/>
      <c r="P98" s="448"/>
      <c r="Q98" s="448"/>
      <c r="R98" s="448"/>
      <c r="S98" s="448"/>
      <c r="T98" s="448"/>
      <c r="U98" s="448"/>
      <c r="V98" s="448"/>
      <c r="W98" s="448"/>
      <c r="X98" s="448"/>
      <c r="Y98" s="448"/>
      <c r="Z98" s="448"/>
      <c r="AA98" s="448"/>
      <c r="AB98" s="448"/>
      <c r="AC98" s="448"/>
      <c r="AD98" s="448"/>
    </row>
    <row r="99">
      <c r="A99" s="448"/>
      <c r="B99" s="740" t="s">
        <v>2251</v>
      </c>
      <c r="C99" s="739" t="s">
        <v>2252</v>
      </c>
      <c r="D99" s="448"/>
      <c r="E99" s="448"/>
      <c r="F99" s="714"/>
      <c r="G99" s="714"/>
      <c r="H99" s="703"/>
      <c r="I99" s="448"/>
      <c r="J99" s="448"/>
      <c r="K99" s="448"/>
      <c r="L99" s="448"/>
      <c r="M99" s="448"/>
      <c r="N99" s="448"/>
      <c r="O99" s="448"/>
      <c r="P99" s="448"/>
      <c r="Q99" s="448"/>
      <c r="R99" s="448"/>
      <c r="S99" s="448"/>
      <c r="T99" s="448"/>
      <c r="U99" s="448"/>
      <c r="V99" s="448"/>
      <c r="W99" s="448"/>
      <c r="X99" s="448"/>
      <c r="Y99" s="448"/>
      <c r="Z99" s="448"/>
      <c r="AA99" s="448"/>
      <c r="AB99" s="448"/>
      <c r="AC99" s="448"/>
      <c r="AD99" s="448"/>
    </row>
    <row r="100">
      <c r="A100" s="448"/>
      <c r="B100" s="10" t="s">
        <v>2253</v>
      </c>
      <c r="C100" s="739" t="s">
        <v>2254</v>
      </c>
      <c r="D100" s="448"/>
      <c r="E100" s="448"/>
      <c r="F100" s="714"/>
      <c r="G100" s="714"/>
      <c r="H100" s="703"/>
      <c r="I100" s="448"/>
      <c r="J100" s="448"/>
      <c r="K100" s="448"/>
      <c r="L100" s="448"/>
      <c r="M100" s="448"/>
      <c r="N100" s="448"/>
      <c r="O100" s="448"/>
      <c r="P100" s="448"/>
      <c r="Q100" s="448"/>
      <c r="R100" s="448"/>
      <c r="S100" s="448"/>
      <c r="T100" s="448"/>
      <c r="U100" s="448"/>
      <c r="V100" s="448"/>
      <c r="W100" s="448"/>
      <c r="X100" s="448"/>
      <c r="Y100" s="448"/>
      <c r="Z100" s="448"/>
      <c r="AA100" s="448"/>
      <c r="AB100" s="448"/>
      <c r="AC100" s="448"/>
      <c r="AD100" s="448"/>
    </row>
    <row r="101">
      <c r="A101" s="448"/>
      <c r="B101" s="712" t="s">
        <v>2255</v>
      </c>
      <c r="C101" s="741" t="s">
        <v>2256</v>
      </c>
      <c r="D101" s="448"/>
      <c r="E101" s="448"/>
      <c r="F101" s="714"/>
      <c r="G101" s="714"/>
      <c r="H101" s="703"/>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row>
    <row r="102">
      <c r="A102" s="448"/>
      <c r="B102" s="133" t="s">
        <v>579</v>
      </c>
      <c r="C102" s="739" t="s">
        <v>2257</v>
      </c>
      <c r="D102" s="448"/>
      <c r="E102" s="448"/>
      <c r="F102" s="714"/>
      <c r="G102" s="714"/>
      <c r="H102" s="703"/>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row>
    <row r="103">
      <c r="A103" s="448"/>
      <c r="B103" s="742" t="s">
        <v>2258</v>
      </c>
      <c r="C103" s="461" t="s">
        <v>2259</v>
      </c>
      <c r="D103" s="448"/>
      <c r="E103" s="448"/>
      <c r="F103" s="714"/>
      <c r="G103" s="714"/>
      <c r="H103" s="703"/>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row>
    <row r="104">
      <c r="A104" s="48"/>
      <c r="B104" s="48"/>
      <c r="C104" s="48"/>
      <c r="D104" s="48"/>
      <c r="E104" s="48"/>
      <c r="F104" s="422"/>
      <c r="G104" s="422"/>
      <c r="H104" s="743"/>
      <c r="I104" s="48"/>
      <c r="J104" s="48"/>
      <c r="K104" s="48"/>
      <c r="L104" s="48"/>
      <c r="M104" s="48"/>
      <c r="N104" s="48"/>
      <c r="O104" s="48"/>
      <c r="P104" s="48"/>
      <c r="Q104" s="48"/>
      <c r="R104" s="48"/>
      <c r="S104" s="48"/>
      <c r="T104" s="48"/>
      <c r="U104" s="48"/>
      <c r="V104" s="48"/>
      <c r="W104" s="48"/>
      <c r="X104" s="48"/>
      <c r="Y104" s="48"/>
      <c r="Z104" s="48"/>
      <c r="AA104" s="48"/>
      <c r="AB104" s="48"/>
      <c r="AC104" s="48"/>
      <c r="AD104" s="48"/>
    </row>
    <row r="105">
      <c r="A105" s="48"/>
      <c r="B105" s="48"/>
      <c r="C105" s="48"/>
      <c r="D105" s="48"/>
      <c r="E105" s="48"/>
      <c r="F105" s="422"/>
      <c r="G105" s="422"/>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row>
    <row r="106">
      <c r="A106" s="48"/>
      <c r="B106" s="48"/>
      <c r="C106" s="48"/>
      <c r="D106" s="48"/>
      <c r="E106" s="48"/>
      <c r="F106" s="422"/>
      <c r="G106" s="422"/>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row>
    <row r="107">
      <c r="A107" s="48"/>
      <c r="B107" s="48"/>
      <c r="C107" s="48"/>
      <c r="D107" s="48"/>
      <c r="E107" s="48"/>
      <c r="F107" s="422"/>
      <c r="G107" s="422"/>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row>
    <row r="108">
      <c r="A108" s="48"/>
      <c r="B108" s="48"/>
      <c r="C108" s="48"/>
      <c r="D108" s="48"/>
      <c r="E108" s="48"/>
      <c r="F108" s="422"/>
      <c r="G108" s="422"/>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row>
    <row r="109">
      <c r="A109" s="48"/>
      <c r="B109" s="48"/>
      <c r="C109" s="48"/>
      <c r="D109" s="48"/>
      <c r="E109" s="48"/>
      <c r="F109" s="422"/>
      <c r="G109" s="422"/>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row>
    <row r="110">
      <c r="A110" s="48"/>
      <c r="B110" s="48"/>
      <c r="C110" s="48"/>
      <c r="D110" s="48"/>
      <c r="E110" s="48"/>
      <c r="F110" s="422"/>
      <c r="G110" s="422"/>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row>
    <row r="111">
      <c r="A111" s="48"/>
      <c r="B111" s="48"/>
      <c r="C111" s="48"/>
      <c r="D111" s="48"/>
      <c r="E111" s="48"/>
      <c r="F111" s="422"/>
      <c r="G111" s="422"/>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row>
    <row r="112">
      <c r="A112" s="48"/>
      <c r="B112" s="48"/>
      <c r="C112" s="48"/>
      <c r="D112" s="48"/>
      <c r="E112" s="48"/>
      <c r="F112" s="422"/>
      <c r="G112" s="422"/>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row>
    <row r="113">
      <c r="A113" s="48"/>
      <c r="B113" s="48"/>
      <c r="C113" s="48"/>
      <c r="D113" s="48"/>
      <c r="E113" s="48"/>
      <c r="F113" s="422"/>
      <c r="G113" s="422"/>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row>
    <row r="114">
      <c r="A114" s="48"/>
      <c r="B114" s="48"/>
      <c r="C114" s="48"/>
      <c r="D114" s="48"/>
      <c r="E114" s="48"/>
      <c r="F114" s="422"/>
      <c r="G114" s="422"/>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row>
    <row r="115">
      <c r="A115" s="48"/>
      <c r="B115" s="48"/>
      <c r="C115" s="48"/>
      <c r="D115" s="48"/>
      <c r="E115" s="48"/>
      <c r="F115" s="422"/>
      <c r="G115" s="422"/>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row>
    <row r="116">
      <c r="A116" s="48"/>
      <c r="B116" s="48"/>
      <c r="C116" s="48"/>
      <c r="D116" s="48"/>
      <c r="E116" s="48"/>
      <c r="F116" s="422"/>
      <c r="G116" s="422"/>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row>
    <row r="117">
      <c r="A117" s="48"/>
      <c r="B117" s="48"/>
      <c r="C117" s="48"/>
      <c r="D117" s="48"/>
      <c r="E117" s="48"/>
      <c r="F117" s="422"/>
      <c r="G117" s="422"/>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row>
    <row r="118">
      <c r="A118" s="48"/>
      <c r="B118" s="48"/>
      <c r="C118" s="48"/>
      <c r="D118" s="48"/>
      <c r="E118" s="48"/>
      <c r="F118" s="422"/>
      <c r="G118" s="422"/>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row>
    <row r="119">
      <c r="A119" s="48"/>
      <c r="B119" s="48"/>
      <c r="C119" s="48"/>
      <c r="D119" s="48"/>
      <c r="E119" s="48"/>
      <c r="F119" s="422"/>
      <c r="G119" s="422"/>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row>
    <row r="120">
      <c r="A120" s="48"/>
      <c r="B120" s="48"/>
      <c r="C120" s="48"/>
      <c r="D120" s="48"/>
      <c r="E120" s="48"/>
      <c r="F120" s="422"/>
      <c r="G120" s="422"/>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row>
    <row r="121">
      <c r="A121" s="48"/>
      <c r="B121" s="48"/>
      <c r="C121" s="48"/>
      <c r="D121" s="48"/>
      <c r="E121" s="48"/>
      <c r="F121" s="422"/>
      <c r="G121" s="422"/>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row>
    <row r="122">
      <c r="A122" s="48"/>
      <c r="B122" s="48"/>
      <c r="C122" s="48"/>
      <c r="D122" s="48"/>
      <c r="E122" s="48"/>
      <c r="F122" s="422"/>
      <c r="G122" s="422"/>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row>
    <row r="123">
      <c r="A123" s="48"/>
      <c r="B123" s="48"/>
      <c r="C123" s="48"/>
      <c r="D123" s="48"/>
      <c r="E123" s="48"/>
      <c r="F123" s="422"/>
      <c r="G123" s="422"/>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row>
    <row r="124">
      <c r="A124" s="48"/>
      <c r="B124" s="48"/>
      <c r="C124" s="48"/>
      <c r="D124" s="48"/>
      <c r="E124" s="48"/>
      <c r="F124" s="422"/>
      <c r="G124" s="422"/>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row>
    <row r="125">
      <c r="A125" s="48"/>
      <c r="B125" s="48"/>
      <c r="C125" s="48"/>
      <c r="D125" s="48"/>
      <c r="E125" s="48"/>
      <c r="F125" s="422"/>
      <c r="G125" s="422"/>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row>
    <row r="126">
      <c r="A126" s="48"/>
      <c r="B126" s="48"/>
      <c r="C126" s="48"/>
      <c r="D126" s="48"/>
      <c r="E126" s="48"/>
      <c r="F126" s="422"/>
      <c r="G126" s="422"/>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row>
    <row r="127">
      <c r="A127" s="48"/>
      <c r="B127" s="48"/>
      <c r="C127" s="48"/>
      <c r="D127" s="48"/>
      <c r="E127" s="48"/>
      <c r="F127" s="422"/>
      <c r="G127" s="422"/>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row>
    <row r="128">
      <c r="A128" s="48"/>
      <c r="B128" s="48"/>
      <c r="C128" s="48"/>
      <c r="D128" s="48"/>
      <c r="E128" s="48"/>
      <c r="F128" s="422"/>
      <c r="G128" s="422"/>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row>
    <row r="129">
      <c r="A129" s="48"/>
      <c r="B129" s="48"/>
      <c r="C129" s="48"/>
      <c r="D129" s="48"/>
      <c r="E129" s="48"/>
      <c r="F129" s="422"/>
      <c r="G129" s="422"/>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row>
    <row r="130">
      <c r="A130" s="48"/>
      <c r="B130" s="48"/>
      <c r="C130" s="48"/>
      <c r="D130" s="48"/>
      <c r="E130" s="48"/>
      <c r="F130" s="422"/>
      <c r="G130" s="422"/>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row>
    <row r="131">
      <c r="A131" s="48"/>
      <c r="B131" s="48"/>
      <c r="C131" s="48"/>
      <c r="D131" s="48"/>
      <c r="E131" s="48"/>
      <c r="F131" s="422"/>
      <c r="G131" s="422"/>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row>
    <row r="132">
      <c r="A132" s="48"/>
      <c r="B132" s="48"/>
      <c r="C132" s="48"/>
      <c r="D132" s="48"/>
      <c r="E132" s="48"/>
      <c r="F132" s="422"/>
      <c r="G132" s="422"/>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row>
    <row r="133">
      <c r="A133" s="48"/>
      <c r="B133" s="48"/>
      <c r="C133" s="48"/>
      <c r="D133" s="48"/>
      <c r="E133" s="48"/>
      <c r="F133" s="422"/>
      <c r="G133" s="422"/>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row>
    <row r="134">
      <c r="A134" s="48"/>
      <c r="B134" s="48"/>
      <c r="C134" s="48"/>
      <c r="D134" s="48"/>
      <c r="E134" s="48"/>
      <c r="F134" s="422"/>
      <c r="G134" s="422"/>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row>
    <row r="135">
      <c r="A135" s="48"/>
      <c r="B135" s="48"/>
      <c r="C135" s="48"/>
      <c r="D135" s="48"/>
      <c r="E135" s="48"/>
      <c r="F135" s="422"/>
      <c r="G135" s="422"/>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row>
    <row r="136">
      <c r="A136" s="48"/>
      <c r="B136" s="48"/>
      <c r="C136" s="48"/>
      <c r="D136" s="48"/>
      <c r="E136" s="48"/>
      <c r="F136" s="422"/>
      <c r="G136" s="422"/>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row>
    <row r="137">
      <c r="A137" s="48"/>
      <c r="B137" s="48"/>
      <c r="C137" s="48"/>
      <c r="D137" s="48"/>
      <c r="E137" s="48"/>
      <c r="F137" s="422"/>
      <c r="G137" s="422"/>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row>
    <row r="138">
      <c r="A138" s="48"/>
      <c r="B138" s="48"/>
      <c r="C138" s="48"/>
      <c r="D138" s="48"/>
      <c r="E138" s="48"/>
      <c r="F138" s="422"/>
      <c r="G138" s="422"/>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row>
    <row r="139">
      <c r="A139" s="48"/>
      <c r="B139" s="48"/>
      <c r="C139" s="48"/>
      <c r="D139" s="48"/>
      <c r="E139" s="48"/>
      <c r="F139" s="422"/>
      <c r="G139" s="422"/>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row>
    <row r="140">
      <c r="A140" s="48"/>
      <c r="B140" s="48"/>
      <c r="C140" s="48"/>
      <c r="D140" s="48"/>
      <c r="E140" s="48"/>
      <c r="F140" s="422"/>
      <c r="G140" s="422"/>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row>
    <row r="141">
      <c r="A141" s="48"/>
      <c r="B141" s="48"/>
      <c r="C141" s="48"/>
      <c r="D141" s="48"/>
      <c r="E141" s="48"/>
      <c r="F141" s="422"/>
      <c r="G141" s="422"/>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row>
    <row r="142">
      <c r="A142" s="48"/>
      <c r="B142" s="48"/>
      <c r="C142" s="48"/>
      <c r="D142" s="48"/>
      <c r="E142" s="48"/>
      <c r="F142" s="422"/>
      <c r="G142" s="422"/>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row>
    <row r="143">
      <c r="A143" s="48"/>
      <c r="B143" s="48"/>
      <c r="C143" s="48"/>
      <c r="D143" s="48"/>
      <c r="E143" s="48"/>
      <c r="F143" s="422"/>
      <c r="G143" s="422"/>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row>
    <row r="144">
      <c r="A144" s="48"/>
      <c r="B144" s="48"/>
      <c r="C144" s="48"/>
      <c r="D144" s="48"/>
      <c r="E144" s="48"/>
      <c r="F144" s="422"/>
      <c r="G144" s="422"/>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row>
    <row r="145">
      <c r="A145" s="48"/>
      <c r="B145" s="48"/>
      <c r="C145" s="48"/>
      <c r="D145" s="48"/>
      <c r="E145" s="48"/>
      <c r="F145" s="422"/>
      <c r="G145" s="422"/>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row>
    <row r="146">
      <c r="A146" s="48"/>
      <c r="B146" s="48"/>
      <c r="C146" s="48"/>
      <c r="D146" s="48"/>
      <c r="E146" s="48"/>
      <c r="F146" s="422"/>
      <c r="G146" s="422"/>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row>
    <row r="147">
      <c r="A147" s="48"/>
      <c r="B147" s="48"/>
      <c r="C147" s="48"/>
      <c r="D147" s="48"/>
      <c r="E147" s="48"/>
      <c r="F147" s="422"/>
      <c r="G147" s="422"/>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row>
    <row r="148">
      <c r="A148" s="48"/>
      <c r="B148" s="48"/>
      <c r="C148" s="48"/>
      <c r="D148" s="48"/>
      <c r="E148" s="48"/>
      <c r="F148" s="422"/>
      <c r="G148" s="422"/>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row>
    <row r="149">
      <c r="A149" s="48"/>
      <c r="B149" s="48"/>
      <c r="C149" s="48"/>
      <c r="D149" s="48"/>
      <c r="E149" s="48"/>
      <c r="F149" s="422"/>
      <c r="G149" s="422"/>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row>
    <row r="150">
      <c r="A150" s="48"/>
      <c r="B150" s="48"/>
      <c r="C150" s="48"/>
      <c r="D150" s="48"/>
      <c r="E150" s="48"/>
      <c r="F150" s="422"/>
      <c r="G150" s="422"/>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row>
    <row r="151">
      <c r="A151" s="48"/>
      <c r="B151" s="48"/>
      <c r="C151" s="48"/>
      <c r="D151" s="48"/>
      <c r="E151" s="48"/>
      <c r="F151" s="422"/>
      <c r="G151" s="422"/>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row>
    <row r="152">
      <c r="A152" s="48"/>
      <c r="B152" s="48"/>
      <c r="C152" s="48"/>
      <c r="D152" s="48"/>
      <c r="E152" s="48"/>
      <c r="F152" s="422"/>
      <c r="G152" s="422"/>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row>
    <row r="153">
      <c r="A153" s="48"/>
      <c r="B153" s="48"/>
      <c r="C153" s="48"/>
      <c r="D153" s="48"/>
      <c r="E153" s="48"/>
      <c r="F153" s="422"/>
      <c r="G153" s="422"/>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row>
    <row r="154">
      <c r="A154" s="48"/>
      <c r="B154" s="48"/>
      <c r="C154" s="48"/>
      <c r="D154" s="48"/>
      <c r="E154" s="48"/>
      <c r="F154" s="422"/>
      <c r="G154" s="422"/>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row>
    <row r="155">
      <c r="A155" s="48"/>
      <c r="B155" s="48"/>
      <c r="C155" s="48"/>
      <c r="D155" s="48"/>
      <c r="E155" s="48"/>
      <c r="F155" s="422"/>
      <c r="G155" s="422"/>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row>
    <row r="156">
      <c r="A156" s="48"/>
      <c r="B156" s="48"/>
      <c r="C156" s="48"/>
      <c r="D156" s="48"/>
      <c r="E156" s="48"/>
      <c r="F156" s="422"/>
      <c r="G156" s="422"/>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row>
    <row r="157">
      <c r="A157" s="48"/>
      <c r="B157" s="48"/>
      <c r="C157" s="48"/>
      <c r="D157" s="48"/>
      <c r="E157" s="48"/>
      <c r="F157" s="422"/>
      <c r="G157" s="422"/>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row>
    <row r="158">
      <c r="A158" s="48"/>
      <c r="B158" s="48"/>
      <c r="C158" s="48"/>
      <c r="D158" s="48"/>
      <c r="E158" s="48"/>
      <c r="F158" s="422"/>
      <c r="G158" s="422"/>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row>
    <row r="159">
      <c r="A159" s="48"/>
      <c r="B159" s="48"/>
      <c r="C159" s="48"/>
      <c r="D159" s="48"/>
      <c r="E159" s="48"/>
      <c r="F159" s="422"/>
      <c r="G159" s="422"/>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row>
    <row r="160">
      <c r="A160" s="48"/>
      <c r="B160" s="48"/>
      <c r="C160" s="48"/>
      <c r="D160" s="48"/>
      <c r="E160" s="48"/>
      <c r="F160" s="422"/>
      <c r="G160" s="422"/>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row>
    <row r="161">
      <c r="A161" s="48"/>
      <c r="B161" s="48"/>
      <c r="C161" s="48"/>
      <c r="D161" s="48"/>
      <c r="E161" s="48"/>
      <c r="F161" s="422"/>
      <c r="G161" s="422"/>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row>
    <row r="162">
      <c r="A162" s="48"/>
      <c r="B162" s="48"/>
      <c r="C162" s="48"/>
      <c r="D162" s="48"/>
      <c r="E162" s="48"/>
      <c r="F162" s="422"/>
      <c r="G162" s="422"/>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row>
    <row r="163">
      <c r="A163" s="48"/>
      <c r="B163" s="48"/>
      <c r="C163" s="48"/>
      <c r="D163" s="48"/>
      <c r="E163" s="48"/>
      <c r="F163" s="422"/>
      <c r="G163" s="422"/>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row>
    <row r="164">
      <c r="A164" s="48"/>
      <c r="B164" s="48"/>
      <c r="C164" s="48"/>
      <c r="D164" s="48"/>
      <c r="E164" s="48"/>
      <c r="F164" s="422"/>
      <c r="G164" s="422"/>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row>
    <row r="165">
      <c r="A165" s="48"/>
      <c r="B165" s="48"/>
      <c r="C165" s="48"/>
      <c r="D165" s="48"/>
      <c r="E165" s="48"/>
      <c r="F165" s="422"/>
      <c r="G165" s="422"/>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row>
    <row r="166">
      <c r="A166" s="48"/>
      <c r="B166" s="48"/>
      <c r="C166" s="48"/>
      <c r="D166" s="48"/>
      <c r="E166" s="48"/>
      <c r="F166" s="422"/>
      <c r="G166" s="422"/>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row>
    <row r="167">
      <c r="A167" s="48"/>
      <c r="B167" s="48"/>
      <c r="C167" s="48"/>
      <c r="D167" s="48"/>
      <c r="E167" s="48"/>
      <c r="F167" s="422"/>
      <c r="G167" s="422"/>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row>
    <row r="168">
      <c r="A168" s="48"/>
      <c r="B168" s="48"/>
      <c r="C168" s="48"/>
      <c r="D168" s="48"/>
      <c r="E168" s="48"/>
      <c r="F168" s="422"/>
      <c r="G168" s="422"/>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row>
    <row r="169">
      <c r="A169" s="48"/>
      <c r="B169" s="48"/>
      <c r="C169" s="48"/>
      <c r="D169" s="48"/>
      <c r="E169" s="48"/>
      <c r="F169" s="422"/>
      <c r="G169" s="422"/>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row>
    <row r="170">
      <c r="A170" s="48"/>
      <c r="B170" s="48"/>
      <c r="C170" s="48"/>
      <c r="D170" s="48"/>
      <c r="E170" s="48"/>
      <c r="F170" s="422"/>
      <c r="G170" s="422"/>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row>
    <row r="171">
      <c r="A171" s="48"/>
      <c r="B171" s="48"/>
      <c r="C171" s="48"/>
      <c r="D171" s="48"/>
      <c r="E171" s="48"/>
      <c r="F171" s="422"/>
      <c r="G171" s="422"/>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row>
    <row r="172">
      <c r="A172" s="48"/>
      <c r="B172" s="48"/>
      <c r="C172" s="48"/>
      <c r="D172" s="48"/>
      <c r="E172" s="48"/>
      <c r="F172" s="422"/>
      <c r="G172" s="422"/>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row>
    <row r="173">
      <c r="A173" s="48"/>
      <c r="B173" s="48"/>
      <c r="C173" s="48"/>
      <c r="D173" s="48"/>
      <c r="E173" s="48"/>
      <c r="F173" s="422"/>
      <c r="G173" s="422"/>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row>
    <row r="174">
      <c r="A174" s="48"/>
      <c r="B174" s="48"/>
      <c r="C174" s="48"/>
      <c r="D174" s="48"/>
      <c r="E174" s="48"/>
      <c r="F174" s="422"/>
      <c r="G174" s="422"/>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row>
    <row r="175">
      <c r="A175" s="48"/>
      <c r="B175" s="48"/>
      <c r="C175" s="48"/>
      <c r="D175" s="48"/>
      <c r="E175" s="48"/>
      <c r="F175" s="422"/>
      <c r="G175" s="422"/>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row>
    <row r="176">
      <c r="A176" s="48"/>
      <c r="B176" s="48"/>
      <c r="C176" s="48"/>
      <c r="D176" s="48"/>
      <c r="E176" s="48"/>
      <c r="F176" s="422"/>
      <c r="G176" s="422"/>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row>
    <row r="177">
      <c r="A177" s="48"/>
      <c r="B177" s="48"/>
      <c r="C177" s="48"/>
      <c r="D177" s="48"/>
      <c r="E177" s="48"/>
      <c r="F177" s="422"/>
      <c r="G177" s="422"/>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row>
    <row r="178">
      <c r="A178" s="48"/>
      <c r="B178" s="48"/>
      <c r="C178" s="48"/>
      <c r="D178" s="48"/>
      <c r="E178" s="48"/>
      <c r="F178" s="422"/>
      <c r="G178" s="422"/>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row>
    <row r="179">
      <c r="A179" s="48"/>
      <c r="B179" s="48"/>
      <c r="C179" s="48"/>
      <c r="D179" s="48"/>
      <c r="E179" s="48"/>
      <c r="F179" s="422"/>
      <c r="G179" s="422"/>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row>
    <row r="180">
      <c r="A180" s="48"/>
      <c r="B180" s="48"/>
      <c r="C180" s="48"/>
      <c r="D180" s="48"/>
      <c r="E180" s="48"/>
      <c r="F180" s="422"/>
      <c r="G180" s="422"/>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row>
    <row r="181">
      <c r="A181" s="48"/>
      <c r="B181" s="48"/>
      <c r="C181" s="48"/>
      <c r="D181" s="48"/>
      <c r="E181" s="48"/>
      <c r="F181" s="422"/>
      <c r="G181" s="422"/>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row>
    <row r="182">
      <c r="A182" s="48"/>
      <c r="B182" s="48"/>
      <c r="C182" s="48"/>
      <c r="D182" s="48"/>
      <c r="E182" s="48"/>
      <c r="F182" s="422"/>
      <c r="G182" s="422"/>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row>
    <row r="183">
      <c r="A183" s="48"/>
      <c r="B183" s="48"/>
      <c r="C183" s="48"/>
      <c r="D183" s="48"/>
      <c r="E183" s="48"/>
      <c r="F183" s="422"/>
      <c r="G183" s="422"/>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row>
    <row r="184">
      <c r="A184" s="48"/>
      <c r="B184" s="48"/>
      <c r="C184" s="48"/>
      <c r="D184" s="48"/>
      <c r="E184" s="48"/>
      <c r="F184" s="422"/>
      <c r="G184" s="422"/>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row>
    <row r="185">
      <c r="A185" s="48"/>
      <c r="B185" s="48"/>
      <c r="C185" s="48"/>
      <c r="D185" s="48"/>
      <c r="E185" s="48"/>
      <c r="F185" s="422"/>
      <c r="G185" s="422"/>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row>
    <row r="186">
      <c r="A186" s="48"/>
      <c r="B186" s="48"/>
      <c r="C186" s="48"/>
      <c r="D186" s="48"/>
      <c r="E186" s="48"/>
      <c r="F186" s="422"/>
      <c r="G186" s="422"/>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row>
    <row r="187">
      <c r="A187" s="48"/>
      <c r="B187" s="48"/>
      <c r="C187" s="48"/>
      <c r="D187" s="48"/>
      <c r="E187" s="48"/>
      <c r="F187" s="422"/>
      <c r="G187" s="422"/>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row>
    <row r="188">
      <c r="A188" s="48"/>
      <c r="B188" s="48"/>
      <c r="C188" s="48"/>
      <c r="D188" s="48"/>
      <c r="E188" s="48"/>
      <c r="F188" s="422"/>
      <c r="G188" s="422"/>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row>
    <row r="189">
      <c r="A189" s="48"/>
      <c r="B189" s="48"/>
      <c r="C189" s="48"/>
      <c r="D189" s="48"/>
      <c r="E189" s="48"/>
      <c r="F189" s="422"/>
      <c r="G189" s="422"/>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row>
    <row r="190">
      <c r="A190" s="48"/>
      <c r="B190" s="48"/>
      <c r="C190" s="48"/>
      <c r="D190" s="48"/>
      <c r="E190" s="48"/>
      <c r="F190" s="422"/>
      <c r="G190" s="422"/>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row>
    <row r="191">
      <c r="A191" s="48"/>
      <c r="B191" s="48"/>
      <c r="C191" s="48"/>
      <c r="D191" s="48"/>
      <c r="E191" s="48"/>
      <c r="F191" s="422"/>
      <c r="G191" s="422"/>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row>
    <row r="192">
      <c r="A192" s="48"/>
      <c r="B192" s="48"/>
      <c r="C192" s="48"/>
      <c r="D192" s="48"/>
      <c r="E192" s="48"/>
      <c r="F192" s="422"/>
      <c r="G192" s="422"/>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row>
    <row r="193">
      <c r="A193" s="48"/>
      <c r="B193" s="48"/>
      <c r="C193" s="48"/>
      <c r="D193" s="48"/>
      <c r="E193" s="48"/>
      <c r="F193" s="422"/>
      <c r="G193" s="422"/>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row>
    <row r="194">
      <c r="A194" s="48"/>
      <c r="B194" s="48"/>
      <c r="C194" s="48"/>
      <c r="D194" s="48"/>
      <c r="E194" s="48"/>
      <c r="F194" s="422"/>
      <c r="G194" s="422"/>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row>
    <row r="195">
      <c r="A195" s="48"/>
      <c r="B195" s="48"/>
      <c r="C195" s="48"/>
      <c r="D195" s="48"/>
      <c r="E195" s="48"/>
      <c r="F195" s="422"/>
      <c r="G195" s="422"/>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row>
    <row r="196">
      <c r="A196" s="48"/>
      <c r="B196" s="48"/>
      <c r="C196" s="48"/>
      <c r="D196" s="48"/>
      <c r="E196" s="48"/>
      <c r="F196" s="422"/>
      <c r="G196" s="422"/>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row>
    <row r="197">
      <c r="A197" s="48"/>
      <c r="B197" s="48"/>
      <c r="C197" s="48"/>
      <c r="D197" s="48"/>
      <c r="E197" s="48"/>
      <c r="F197" s="422"/>
      <c r="G197" s="422"/>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row>
    <row r="198">
      <c r="A198" s="48"/>
      <c r="B198" s="48"/>
      <c r="C198" s="48"/>
      <c r="D198" s="48"/>
      <c r="E198" s="48"/>
      <c r="F198" s="422"/>
      <c r="G198" s="422"/>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row>
    <row r="199">
      <c r="A199" s="48"/>
      <c r="B199" s="48"/>
      <c r="C199" s="48"/>
      <c r="D199" s="48"/>
      <c r="E199" s="48"/>
      <c r="F199" s="422"/>
      <c r="G199" s="422"/>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row>
    <row r="200">
      <c r="A200" s="48"/>
      <c r="B200" s="48"/>
      <c r="C200" s="48"/>
      <c r="D200" s="48"/>
      <c r="E200" s="48"/>
      <c r="F200" s="422"/>
      <c r="G200" s="422"/>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row>
    <row r="201">
      <c r="A201" s="48"/>
      <c r="B201" s="48"/>
      <c r="C201" s="48"/>
      <c r="D201" s="48"/>
      <c r="E201" s="48"/>
      <c r="F201" s="422"/>
      <c r="G201" s="422"/>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row>
    <row r="202">
      <c r="A202" s="48"/>
      <c r="B202" s="48"/>
      <c r="C202" s="48"/>
      <c r="D202" s="48"/>
      <c r="E202" s="48"/>
      <c r="F202" s="422"/>
      <c r="G202" s="422"/>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row>
    <row r="203">
      <c r="A203" s="48"/>
      <c r="B203" s="48"/>
      <c r="C203" s="48"/>
      <c r="D203" s="48"/>
      <c r="E203" s="48"/>
      <c r="F203" s="422"/>
      <c r="G203" s="422"/>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row>
    <row r="204">
      <c r="A204" s="48"/>
      <c r="B204" s="48"/>
      <c r="C204" s="48"/>
      <c r="D204" s="48"/>
      <c r="E204" s="48"/>
      <c r="F204" s="422"/>
      <c r="G204" s="422"/>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row>
    <row r="205">
      <c r="A205" s="48"/>
      <c r="B205" s="48"/>
      <c r="C205" s="48"/>
      <c r="D205" s="48"/>
      <c r="E205" s="48"/>
      <c r="F205" s="422"/>
      <c r="G205" s="422"/>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row>
    <row r="206">
      <c r="A206" s="48"/>
      <c r="B206" s="48"/>
      <c r="C206" s="48"/>
      <c r="D206" s="48"/>
      <c r="E206" s="48"/>
      <c r="F206" s="422"/>
      <c r="G206" s="422"/>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row>
    <row r="207">
      <c r="A207" s="48"/>
      <c r="B207" s="48"/>
      <c r="C207" s="48"/>
      <c r="D207" s="48"/>
      <c r="E207" s="48"/>
      <c r="F207" s="422"/>
      <c r="G207" s="422"/>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row>
    <row r="208">
      <c r="A208" s="48"/>
      <c r="B208" s="48"/>
      <c r="C208" s="48"/>
      <c r="D208" s="48"/>
      <c r="E208" s="48"/>
      <c r="F208" s="422"/>
      <c r="G208" s="422"/>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row>
    <row r="209">
      <c r="A209" s="48"/>
      <c r="B209" s="48"/>
      <c r="C209" s="48"/>
      <c r="D209" s="48"/>
      <c r="E209" s="48"/>
      <c r="F209" s="422"/>
      <c r="G209" s="422"/>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row>
    <row r="210">
      <c r="A210" s="48"/>
      <c r="B210" s="48"/>
      <c r="C210" s="48"/>
      <c r="D210" s="48"/>
      <c r="E210" s="48"/>
      <c r="F210" s="422"/>
      <c r="G210" s="422"/>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row>
    <row r="211">
      <c r="A211" s="48"/>
      <c r="B211" s="48"/>
      <c r="C211" s="48"/>
      <c r="D211" s="48"/>
      <c r="E211" s="48"/>
      <c r="F211" s="422"/>
      <c r="G211" s="422"/>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row>
    <row r="212">
      <c r="A212" s="48"/>
      <c r="B212" s="48"/>
      <c r="C212" s="48"/>
      <c r="D212" s="48"/>
      <c r="E212" s="48"/>
      <c r="F212" s="422"/>
      <c r="G212" s="422"/>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row>
    <row r="213">
      <c r="A213" s="48"/>
      <c r="B213" s="48"/>
      <c r="C213" s="48"/>
      <c r="D213" s="48"/>
      <c r="E213" s="48"/>
      <c r="F213" s="422"/>
      <c r="G213" s="422"/>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row>
    <row r="214">
      <c r="A214" s="48"/>
      <c r="B214" s="48"/>
      <c r="C214" s="48"/>
      <c r="D214" s="48"/>
      <c r="E214" s="48"/>
      <c r="F214" s="422"/>
      <c r="G214" s="422"/>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row>
    <row r="215">
      <c r="A215" s="48"/>
      <c r="B215" s="48"/>
      <c r="C215" s="48"/>
      <c r="D215" s="48"/>
      <c r="E215" s="48"/>
      <c r="F215" s="422"/>
      <c r="G215" s="422"/>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row>
    <row r="216">
      <c r="A216" s="48"/>
      <c r="B216" s="48"/>
      <c r="C216" s="48"/>
      <c r="D216" s="48"/>
      <c r="E216" s="48"/>
      <c r="F216" s="422"/>
      <c r="G216" s="422"/>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row>
    <row r="217">
      <c r="A217" s="48"/>
      <c r="B217" s="48"/>
      <c r="C217" s="48"/>
      <c r="D217" s="48"/>
      <c r="E217" s="48"/>
      <c r="F217" s="422"/>
      <c r="G217" s="422"/>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row>
    <row r="218">
      <c r="A218" s="48"/>
      <c r="B218" s="48"/>
      <c r="C218" s="48"/>
      <c r="D218" s="48"/>
      <c r="E218" s="48"/>
      <c r="F218" s="422"/>
      <c r="G218" s="422"/>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row>
    <row r="219">
      <c r="A219" s="48"/>
      <c r="B219" s="48"/>
      <c r="C219" s="48"/>
      <c r="D219" s="48"/>
      <c r="E219" s="48"/>
      <c r="F219" s="422"/>
      <c r="G219" s="422"/>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row>
    <row r="220">
      <c r="A220" s="48"/>
      <c r="B220" s="48"/>
      <c r="C220" s="48"/>
      <c r="D220" s="48"/>
      <c r="E220" s="48"/>
      <c r="F220" s="422"/>
      <c r="G220" s="422"/>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row>
    <row r="221">
      <c r="A221" s="48"/>
      <c r="B221" s="48"/>
      <c r="C221" s="48"/>
      <c r="D221" s="48"/>
      <c r="E221" s="48"/>
      <c r="F221" s="422"/>
      <c r="G221" s="422"/>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row>
    <row r="222">
      <c r="A222" s="48"/>
      <c r="B222" s="48"/>
      <c r="C222" s="48"/>
      <c r="D222" s="48"/>
      <c r="E222" s="48"/>
      <c r="F222" s="422"/>
      <c r="G222" s="422"/>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row>
    <row r="223">
      <c r="A223" s="48"/>
      <c r="B223" s="48"/>
      <c r="C223" s="48"/>
      <c r="D223" s="48"/>
      <c r="E223" s="48"/>
      <c r="F223" s="422"/>
      <c r="G223" s="422"/>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row>
    <row r="224">
      <c r="A224" s="48"/>
      <c r="B224" s="48"/>
      <c r="C224" s="48"/>
      <c r="D224" s="48"/>
      <c r="E224" s="48"/>
      <c r="F224" s="422"/>
      <c r="G224" s="422"/>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row>
    <row r="225">
      <c r="A225" s="48"/>
      <c r="B225" s="48"/>
      <c r="C225" s="48"/>
      <c r="D225" s="48"/>
      <c r="E225" s="48"/>
      <c r="F225" s="422"/>
      <c r="G225" s="422"/>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row>
    <row r="226">
      <c r="A226" s="48"/>
      <c r="B226" s="48"/>
      <c r="C226" s="48"/>
      <c r="D226" s="48"/>
      <c r="E226" s="48"/>
      <c r="F226" s="422"/>
      <c r="G226" s="422"/>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row>
    <row r="227">
      <c r="A227" s="48"/>
      <c r="B227" s="48"/>
      <c r="C227" s="48"/>
      <c r="D227" s="48"/>
      <c r="E227" s="48"/>
      <c r="F227" s="422"/>
      <c r="G227" s="422"/>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row>
    <row r="228">
      <c r="A228" s="48"/>
      <c r="B228" s="48"/>
      <c r="C228" s="48"/>
      <c r="D228" s="48"/>
      <c r="E228" s="48"/>
      <c r="F228" s="422"/>
      <c r="G228" s="422"/>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row>
    <row r="229">
      <c r="A229" s="48"/>
      <c r="B229" s="48"/>
      <c r="C229" s="48"/>
      <c r="D229" s="48"/>
      <c r="E229" s="48"/>
      <c r="F229" s="422"/>
      <c r="G229" s="422"/>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row>
    <row r="230">
      <c r="A230" s="48"/>
      <c r="B230" s="48"/>
      <c r="C230" s="48"/>
      <c r="D230" s="48"/>
      <c r="E230" s="48"/>
      <c r="F230" s="422"/>
      <c r="G230" s="422"/>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row>
    <row r="231">
      <c r="A231" s="48"/>
      <c r="B231" s="48"/>
      <c r="C231" s="48"/>
      <c r="D231" s="48"/>
      <c r="E231" s="48"/>
      <c r="F231" s="422"/>
      <c r="G231" s="422"/>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row>
    <row r="232">
      <c r="A232" s="48"/>
      <c r="B232" s="48"/>
      <c r="C232" s="48"/>
      <c r="D232" s="48"/>
      <c r="E232" s="48"/>
      <c r="F232" s="422"/>
      <c r="G232" s="422"/>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row>
    <row r="233">
      <c r="A233" s="48"/>
      <c r="B233" s="48"/>
      <c r="C233" s="48"/>
      <c r="D233" s="48"/>
      <c r="E233" s="48"/>
      <c r="F233" s="422"/>
      <c r="G233" s="422"/>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row>
    <row r="234">
      <c r="A234" s="48"/>
      <c r="B234" s="48"/>
      <c r="C234" s="48"/>
      <c r="D234" s="48"/>
      <c r="E234" s="48"/>
      <c r="F234" s="422"/>
      <c r="G234" s="422"/>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row>
    <row r="235">
      <c r="A235" s="48"/>
      <c r="B235" s="48"/>
      <c r="C235" s="48"/>
      <c r="D235" s="48"/>
      <c r="E235" s="48"/>
      <c r="F235" s="422"/>
      <c r="G235" s="422"/>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row>
    <row r="236">
      <c r="A236" s="48"/>
      <c r="B236" s="48"/>
      <c r="C236" s="48"/>
      <c r="D236" s="48"/>
      <c r="E236" s="48"/>
      <c r="F236" s="422"/>
      <c r="G236" s="422"/>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row>
    <row r="237">
      <c r="A237" s="48"/>
      <c r="B237" s="48"/>
      <c r="C237" s="48"/>
      <c r="D237" s="48"/>
      <c r="E237" s="48"/>
      <c r="F237" s="422"/>
      <c r="G237" s="422"/>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row>
    <row r="238">
      <c r="A238" s="48"/>
      <c r="B238" s="48"/>
      <c r="C238" s="48"/>
      <c r="D238" s="48"/>
      <c r="E238" s="48"/>
      <c r="F238" s="422"/>
      <c r="G238" s="422"/>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row>
    <row r="239">
      <c r="A239" s="48"/>
      <c r="B239" s="48"/>
      <c r="C239" s="48"/>
      <c r="D239" s="48"/>
      <c r="E239" s="48"/>
      <c r="F239" s="422"/>
      <c r="G239" s="422"/>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row>
    <row r="240">
      <c r="A240" s="48"/>
      <c r="B240" s="48"/>
      <c r="C240" s="48"/>
      <c r="D240" s="48"/>
      <c r="E240" s="48"/>
      <c r="F240" s="422"/>
      <c r="G240" s="422"/>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row>
    <row r="241">
      <c r="A241" s="48"/>
      <c r="B241" s="48"/>
      <c r="C241" s="48"/>
      <c r="D241" s="48"/>
      <c r="E241" s="48"/>
      <c r="F241" s="422"/>
      <c r="G241" s="422"/>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row>
    <row r="242">
      <c r="A242" s="48"/>
      <c r="B242" s="48"/>
      <c r="C242" s="48"/>
      <c r="D242" s="48"/>
      <c r="E242" s="48"/>
      <c r="F242" s="422"/>
      <c r="G242" s="422"/>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row>
    <row r="243">
      <c r="A243" s="48"/>
      <c r="B243" s="48"/>
      <c r="C243" s="48"/>
      <c r="D243" s="48"/>
      <c r="E243" s="48"/>
      <c r="F243" s="422"/>
      <c r="G243" s="422"/>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row>
    <row r="244">
      <c r="A244" s="48"/>
      <c r="B244" s="48"/>
      <c r="C244" s="48"/>
      <c r="D244" s="48"/>
      <c r="E244" s="48"/>
      <c r="F244" s="422"/>
      <c r="G244" s="422"/>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row>
    <row r="245">
      <c r="A245" s="48"/>
      <c r="B245" s="48"/>
      <c r="C245" s="48"/>
      <c r="D245" s="48"/>
      <c r="E245" s="48"/>
      <c r="F245" s="422"/>
      <c r="G245" s="422"/>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row>
    <row r="246">
      <c r="A246" s="48"/>
      <c r="B246" s="48"/>
      <c r="C246" s="48"/>
      <c r="D246" s="48"/>
      <c r="E246" s="48"/>
      <c r="F246" s="422"/>
      <c r="G246" s="422"/>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row>
    <row r="247">
      <c r="A247" s="48"/>
      <c r="B247" s="48"/>
      <c r="C247" s="48"/>
      <c r="D247" s="48"/>
      <c r="E247" s="48"/>
      <c r="F247" s="422"/>
      <c r="G247" s="422"/>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row>
    <row r="248">
      <c r="A248" s="48"/>
      <c r="B248" s="48"/>
      <c r="C248" s="48"/>
      <c r="D248" s="48"/>
      <c r="E248" s="48"/>
      <c r="F248" s="422"/>
      <c r="G248" s="422"/>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row>
    <row r="249">
      <c r="A249" s="48"/>
      <c r="B249" s="48"/>
      <c r="C249" s="48"/>
      <c r="D249" s="48"/>
      <c r="E249" s="48"/>
      <c r="F249" s="422"/>
      <c r="G249" s="422"/>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row>
    <row r="250">
      <c r="A250" s="48"/>
      <c r="B250" s="48"/>
      <c r="C250" s="48"/>
      <c r="D250" s="48"/>
      <c r="E250" s="48"/>
      <c r="F250" s="422"/>
      <c r="G250" s="422"/>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row>
    <row r="251">
      <c r="A251" s="48"/>
      <c r="B251" s="48"/>
      <c r="C251" s="48"/>
      <c r="D251" s="48"/>
      <c r="E251" s="48"/>
      <c r="F251" s="422"/>
      <c r="G251" s="422"/>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row>
    <row r="252">
      <c r="A252" s="48"/>
      <c r="B252" s="48"/>
      <c r="C252" s="48"/>
      <c r="D252" s="48"/>
      <c r="E252" s="48"/>
      <c r="F252" s="422"/>
      <c r="G252" s="422"/>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row>
    <row r="253">
      <c r="A253" s="48"/>
      <c r="B253" s="48"/>
      <c r="C253" s="48"/>
      <c r="D253" s="48"/>
      <c r="E253" s="48"/>
      <c r="F253" s="422"/>
      <c r="G253" s="422"/>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row>
    <row r="254">
      <c r="A254" s="48"/>
      <c r="B254" s="48"/>
      <c r="C254" s="48"/>
      <c r="D254" s="48"/>
      <c r="E254" s="48"/>
      <c r="F254" s="422"/>
      <c r="G254" s="422"/>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row>
    <row r="255">
      <c r="A255" s="48"/>
      <c r="B255" s="48"/>
      <c r="C255" s="48"/>
      <c r="D255" s="48"/>
      <c r="E255" s="48"/>
      <c r="F255" s="422"/>
      <c r="G255" s="422"/>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row>
    <row r="256">
      <c r="A256" s="48"/>
      <c r="B256" s="48"/>
      <c r="C256" s="48"/>
      <c r="D256" s="48"/>
      <c r="E256" s="48"/>
      <c r="F256" s="422"/>
      <c r="G256" s="422"/>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row>
    <row r="257">
      <c r="A257" s="48"/>
      <c r="B257" s="48"/>
      <c r="C257" s="48"/>
      <c r="D257" s="48"/>
      <c r="E257" s="48"/>
      <c r="F257" s="422"/>
      <c r="G257" s="422"/>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row>
    <row r="258">
      <c r="A258" s="48"/>
      <c r="B258" s="48"/>
      <c r="C258" s="48"/>
      <c r="D258" s="48"/>
      <c r="E258" s="48"/>
      <c r="F258" s="422"/>
      <c r="G258" s="422"/>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row>
    <row r="259">
      <c r="A259" s="48"/>
      <c r="B259" s="48"/>
      <c r="C259" s="48"/>
      <c r="D259" s="48"/>
      <c r="E259" s="48"/>
      <c r="F259" s="422"/>
      <c r="G259" s="422"/>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row>
    <row r="260">
      <c r="A260" s="48"/>
      <c r="B260" s="48"/>
      <c r="C260" s="48"/>
      <c r="D260" s="48"/>
      <c r="E260" s="48"/>
      <c r="F260" s="422"/>
      <c r="G260" s="422"/>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row>
    <row r="261">
      <c r="A261" s="48"/>
      <c r="B261" s="48"/>
      <c r="C261" s="48"/>
      <c r="D261" s="48"/>
      <c r="E261" s="48"/>
      <c r="F261" s="422"/>
      <c r="G261" s="422"/>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row>
    <row r="262">
      <c r="A262" s="48"/>
      <c r="B262" s="48"/>
      <c r="C262" s="48"/>
      <c r="D262" s="48"/>
      <c r="E262" s="48"/>
      <c r="F262" s="422"/>
      <c r="G262" s="422"/>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row>
    <row r="263">
      <c r="A263" s="48"/>
      <c r="B263" s="48"/>
      <c r="C263" s="48"/>
      <c r="D263" s="48"/>
      <c r="E263" s="48"/>
      <c r="F263" s="422"/>
      <c r="G263" s="422"/>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row>
    <row r="264">
      <c r="A264" s="48"/>
      <c r="B264" s="48"/>
      <c r="C264" s="48"/>
      <c r="D264" s="48"/>
      <c r="E264" s="48"/>
      <c r="F264" s="422"/>
      <c r="G264" s="422"/>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row>
    <row r="265">
      <c r="A265" s="48"/>
      <c r="B265" s="48"/>
      <c r="C265" s="48"/>
      <c r="D265" s="48"/>
      <c r="E265" s="48"/>
      <c r="F265" s="422"/>
      <c r="G265" s="422"/>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row>
    <row r="266">
      <c r="A266" s="48"/>
      <c r="B266" s="48"/>
      <c r="C266" s="48"/>
      <c r="D266" s="48"/>
      <c r="E266" s="48"/>
      <c r="F266" s="422"/>
      <c r="G266" s="422"/>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row>
    <row r="267">
      <c r="A267" s="48"/>
      <c r="B267" s="48"/>
      <c r="C267" s="48"/>
      <c r="D267" s="48"/>
      <c r="E267" s="48"/>
      <c r="F267" s="422"/>
      <c r="G267" s="422"/>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row>
    <row r="268">
      <c r="A268" s="48"/>
      <c r="B268" s="48"/>
      <c r="C268" s="48"/>
      <c r="D268" s="48"/>
      <c r="E268" s="48"/>
      <c r="F268" s="422"/>
      <c r="G268" s="422"/>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row>
    <row r="269">
      <c r="A269" s="48"/>
      <c r="B269" s="48"/>
      <c r="C269" s="48"/>
      <c r="D269" s="48"/>
      <c r="E269" s="48"/>
      <c r="F269" s="422"/>
      <c r="G269" s="422"/>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row>
    <row r="270">
      <c r="A270" s="48"/>
      <c r="B270" s="48"/>
      <c r="C270" s="48"/>
      <c r="D270" s="48"/>
      <c r="E270" s="48"/>
      <c r="F270" s="422"/>
      <c r="G270" s="422"/>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row>
    <row r="271">
      <c r="A271" s="48"/>
      <c r="B271" s="48"/>
      <c r="C271" s="48"/>
      <c r="D271" s="48"/>
      <c r="E271" s="48"/>
      <c r="F271" s="422"/>
      <c r="G271" s="422"/>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row>
    <row r="272">
      <c r="A272" s="48"/>
      <c r="B272" s="48"/>
      <c r="C272" s="48"/>
      <c r="D272" s="48"/>
      <c r="E272" s="48"/>
      <c r="F272" s="422"/>
      <c r="G272" s="422"/>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row>
    <row r="273">
      <c r="A273" s="48"/>
      <c r="B273" s="48"/>
      <c r="C273" s="48"/>
      <c r="D273" s="48"/>
      <c r="E273" s="48"/>
      <c r="F273" s="422"/>
      <c r="G273" s="422"/>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row>
    <row r="274">
      <c r="A274" s="48"/>
      <c r="B274" s="48"/>
      <c r="C274" s="48"/>
      <c r="D274" s="48"/>
      <c r="E274" s="48"/>
      <c r="F274" s="422"/>
      <c r="G274" s="422"/>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row>
    <row r="275">
      <c r="A275" s="48"/>
      <c r="B275" s="48"/>
      <c r="C275" s="48"/>
      <c r="D275" s="48"/>
      <c r="E275" s="48"/>
      <c r="F275" s="422"/>
      <c r="G275" s="422"/>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row>
    <row r="276">
      <c r="A276" s="48"/>
      <c r="B276" s="48"/>
      <c r="C276" s="48"/>
      <c r="D276" s="48"/>
      <c r="E276" s="48"/>
      <c r="F276" s="422"/>
      <c r="G276" s="422"/>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row>
    <row r="277">
      <c r="A277" s="48"/>
      <c r="B277" s="48"/>
      <c r="C277" s="48"/>
      <c r="D277" s="48"/>
      <c r="E277" s="48"/>
      <c r="F277" s="422"/>
      <c r="G277" s="422"/>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row>
    <row r="278">
      <c r="A278" s="48"/>
      <c r="B278" s="48"/>
      <c r="C278" s="48"/>
      <c r="D278" s="48"/>
      <c r="E278" s="48"/>
      <c r="F278" s="422"/>
      <c r="G278" s="422"/>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row>
    <row r="279">
      <c r="A279" s="48"/>
      <c r="B279" s="48"/>
      <c r="C279" s="48"/>
      <c r="D279" s="48"/>
      <c r="E279" s="48"/>
      <c r="F279" s="422"/>
      <c r="G279" s="422"/>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row>
    <row r="280">
      <c r="A280" s="48"/>
      <c r="B280" s="48"/>
      <c r="C280" s="48"/>
      <c r="D280" s="48"/>
      <c r="E280" s="48"/>
      <c r="F280" s="422"/>
      <c r="G280" s="422"/>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row>
    <row r="281">
      <c r="A281" s="48"/>
      <c r="B281" s="48"/>
      <c r="C281" s="48"/>
      <c r="D281" s="48"/>
      <c r="E281" s="48"/>
      <c r="F281" s="422"/>
      <c r="G281" s="422"/>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row>
    <row r="282">
      <c r="A282" s="48"/>
      <c r="B282" s="48"/>
      <c r="C282" s="48"/>
      <c r="D282" s="48"/>
      <c r="E282" s="48"/>
      <c r="F282" s="422"/>
      <c r="G282" s="422"/>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row>
    <row r="283">
      <c r="A283" s="48"/>
      <c r="B283" s="48"/>
      <c r="C283" s="48"/>
      <c r="D283" s="48"/>
      <c r="E283" s="48"/>
      <c r="F283" s="422"/>
      <c r="G283" s="422"/>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row>
    <row r="284">
      <c r="A284" s="48"/>
      <c r="B284" s="48"/>
      <c r="C284" s="48"/>
      <c r="D284" s="48"/>
      <c r="E284" s="48"/>
      <c r="F284" s="422"/>
      <c r="G284" s="422"/>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row>
    <row r="285">
      <c r="A285" s="48"/>
      <c r="B285" s="48"/>
      <c r="C285" s="48"/>
      <c r="D285" s="48"/>
      <c r="E285" s="48"/>
      <c r="F285" s="422"/>
      <c r="G285" s="422"/>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row>
    <row r="286">
      <c r="A286" s="48"/>
      <c r="B286" s="48"/>
      <c r="C286" s="48"/>
      <c r="D286" s="48"/>
      <c r="E286" s="48"/>
      <c r="F286" s="422"/>
      <c r="G286" s="422"/>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row>
    <row r="287">
      <c r="A287" s="48"/>
      <c r="B287" s="48"/>
      <c r="C287" s="48"/>
      <c r="D287" s="48"/>
      <c r="E287" s="48"/>
      <c r="F287" s="422"/>
      <c r="G287" s="422"/>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row>
    <row r="288">
      <c r="A288" s="48"/>
      <c r="B288" s="48"/>
      <c r="C288" s="48"/>
      <c r="D288" s="48"/>
      <c r="E288" s="48"/>
      <c r="F288" s="422"/>
      <c r="G288" s="422"/>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row>
    <row r="289">
      <c r="A289" s="48"/>
      <c r="B289" s="48"/>
      <c r="C289" s="48"/>
      <c r="D289" s="48"/>
      <c r="E289" s="48"/>
      <c r="F289" s="422"/>
      <c r="G289" s="422"/>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row>
    <row r="290">
      <c r="A290" s="48"/>
      <c r="B290" s="48"/>
      <c r="C290" s="48"/>
      <c r="D290" s="48"/>
      <c r="E290" s="48"/>
      <c r="F290" s="422"/>
      <c r="G290" s="422"/>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row>
    <row r="291">
      <c r="A291" s="48"/>
      <c r="B291" s="48"/>
      <c r="C291" s="48"/>
      <c r="D291" s="48"/>
      <c r="E291" s="48"/>
      <c r="F291" s="422"/>
      <c r="G291" s="422"/>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row>
    <row r="292">
      <c r="A292" s="48"/>
      <c r="B292" s="48"/>
      <c r="C292" s="48"/>
      <c r="D292" s="48"/>
      <c r="E292" s="48"/>
      <c r="F292" s="422"/>
      <c r="G292" s="422"/>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row>
    <row r="293">
      <c r="A293" s="48"/>
      <c r="B293" s="48"/>
      <c r="C293" s="48"/>
      <c r="D293" s="48"/>
      <c r="E293" s="48"/>
      <c r="F293" s="422"/>
      <c r="G293" s="422"/>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row>
    <row r="294">
      <c r="A294" s="48"/>
      <c r="B294" s="48"/>
      <c r="C294" s="48"/>
      <c r="D294" s="48"/>
      <c r="E294" s="48"/>
      <c r="F294" s="422"/>
      <c r="G294" s="422"/>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row>
    <row r="295">
      <c r="A295" s="48"/>
      <c r="B295" s="48"/>
      <c r="C295" s="48"/>
      <c r="D295" s="48"/>
      <c r="E295" s="48"/>
      <c r="F295" s="422"/>
      <c r="G295" s="422"/>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row>
    <row r="296">
      <c r="A296" s="48"/>
      <c r="B296" s="48"/>
      <c r="C296" s="48"/>
      <c r="D296" s="48"/>
      <c r="E296" s="48"/>
      <c r="F296" s="422"/>
      <c r="G296" s="422"/>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row>
    <row r="297">
      <c r="A297" s="48"/>
      <c r="B297" s="48"/>
      <c r="C297" s="48"/>
      <c r="D297" s="48"/>
      <c r="E297" s="48"/>
      <c r="F297" s="422"/>
      <c r="G297" s="422"/>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row>
    <row r="298">
      <c r="A298" s="48"/>
      <c r="B298" s="48"/>
      <c r="C298" s="48"/>
      <c r="D298" s="48"/>
      <c r="E298" s="48"/>
      <c r="F298" s="422"/>
      <c r="G298" s="422"/>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row>
    <row r="299">
      <c r="A299" s="48"/>
      <c r="B299" s="48"/>
      <c r="C299" s="48"/>
      <c r="D299" s="48"/>
      <c r="E299" s="48"/>
      <c r="F299" s="422"/>
      <c r="G299" s="422"/>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row>
    <row r="300">
      <c r="A300" s="48"/>
      <c r="B300" s="48"/>
      <c r="C300" s="48"/>
      <c r="D300" s="48"/>
      <c r="E300" s="48"/>
      <c r="F300" s="422"/>
      <c r="G300" s="422"/>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row>
    <row r="301">
      <c r="A301" s="48"/>
      <c r="B301" s="48"/>
      <c r="C301" s="48"/>
      <c r="D301" s="48"/>
      <c r="E301" s="48"/>
      <c r="F301" s="422"/>
      <c r="G301" s="422"/>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row>
    <row r="302">
      <c r="A302" s="48"/>
      <c r="B302" s="48"/>
      <c r="C302" s="48"/>
      <c r="D302" s="48"/>
      <c r="E302" s="48"/>
      <c r="F302" s="422"/>
      <c r="G302" s="422"/>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row>
    <row r="303">
      <c r="A303" s="48"/>
      <c r="B303" s="48"/>
      <c r="C303" s="48"/>
      <c r="D303" s="48"/>
      <c r="E303" s="48"/>
      <c r="F303" s="422"/>
      <c r="G303" s="422"/>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row>
    <row r="304">
      <c r="A304" s="48"/>
      <c r="B304" s="48"/>
      <c r="C304" s="48"/>
      <c r="D304" s="48"/>
      <c r="E304" s="48"/>
      <c r="F304" s="422"/>
      <c r="G304" s="422"/>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row>
    <row r="305">
      <c r="A305" s="48"/>
      <c r="B305" s="48"/>
      <c r="C305" s="48"/>
      <c r="D305" s="48"/>
      <c r="E305" s="48"/>
      <c r="F305" s="422"/>
      <c r="G305" s="422"/>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row>
    <row r="306">
      <c r="A306" s="48"/>
      <c r="B306" s="48"/>
      <c r="C306" s="48"/>
      <c r="D306" s="48"/>
      <c r="E306" s="48"/>
      <c r="F306" s="422"/>
      <c r="G306" s="422"/>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row>
    <row r="307">
      <c r="A307" s="48"/>
      <c r="B307" s="48"/>
      <c r="C307" s="48"/>
      <c r="D307" s="48"/>
      <c r="E307" s="48"/>
      <c r="F307" s="422"/>
      <c r="G307" s="422"/>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row>
    <row r="308">
      <c r="A308" s="48"/>
      <c r="B308" s="48"/>
      <c r="C308" s="48"/>
      <c r="D308" s="48"/>
      <c r="E308" s="48"/>
      <c r="F308" s="422"/>
      <c r="G308" s="422"/>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row>
    <row r="309">
      <c r="A309" s="48"/>
      <c r="B309" s="48"/>
      <c r="C309" s="48"/>
      <c r="D309" s="48"/>
      <c r="E309" s="48"/>
      <c r="F309" s="422"/>
      <c r="G309" s="422"/>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row>
    <row r="310">
      <c r="A310" s="48"/>
      <c r="B310" s="48"/>
      <c r="C310" s="48"/>
      <c r="D310" s="48"/>
      <c r="E310" s="48"/>
      <c r="F310" s="422"/>
      <c r="G310" s="422"/>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row>
    <row r="311">
      <c r="A311" s="48"/>
      <c r="B311" s="48"/>
      <c r="C311" s="48"/>
      <c r="D311" s="48"/>
      <c r="E311" s="48"/>
      <c r="F311" s="422"/>
      <c r="G311" s="422"/>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row>
    <row r="312">
      <c r="A312" s="48"/>
      <c r="B312" s="48"/>
      <c r="C312" s="48"/>
      <c r="D312" s="48"/>
      <c r="E312" s="48"/>
      <c r="F312" s="422"/>
      <c r="G312" s="422"/>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row>
    <row r="313">
      <c r="A313" s="48"/>
      <c r="B313" s="48"/>
      <c r="C313" s="48"/>
      <c r="D313" s="48"/>
      <c r="E313" s="48"/>
      <c r="F313" s="422"/>
      <c r="G313" s="422"/>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row>
    <row r="314">
      <c r="A314" s="48"/>
      <c r="B314" s="48"/>
      <c r="C314" s="48"/>
      <c r="D314" s="48"/>
      <c r="E314" s="48"/>
      <c r="F314" s="422"/>
      <c r="G314" s="422"/>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row>
    <row r="315">
      <c r="A315" s="48"/>
      <c r="B315" s="48"/>
      <c r="C315" s="48"/>
      <c r="D315" s="48"/>
      <c r="E315" s="48"/>
      <c r="F315" s="422"/>
      <c r="G315" s="422"/>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row>
    <row r="316">
      <c r="A316" s="48"/>
      <c r="B316" s="48"/>
      <c r="C316" s="48"/>
      <c r="D316" s="48"/>
      <c r="E316" s="48"/>
      <c r="F316" s="422"/>
      <c r="G316" s="422"/>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row>
    <row r="317">
      <c r="A317" s="48"/>
      <c r="B317" s="48"/>
      <c r="C317" s="48"/>
      <c r="D317" s="48"/>
      <c r="E317" s="48"/>
      <c r="F317" s="422"/>
      <c r="G317" s="422"/>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row>
    <row r="318">
      <c r="A318" s="48"/>
      <c r="B318" s="48"/>
      <c r="C318" s="48"/>
      <c r="D318" s="48"/>
      <c r="E318" s="48"/>
      <c r="F318" s="422"/>
      <c r="G318" s="422"/>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row>
    <row r="319">
      <c r="A319" s="48"/>
      <c r="B319" s="48"/>
      <c r="C319" s="48"/>
      <c r="D319" s="48"/>
      <c r="E319" s="48"/>
      <c r="F319" s="422"/>
      <c r="G319" s="422"/>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row>
    <row r="320">
      <c r="A320" s="48"/>
      <c r="B320" s="48"/>
      <c r="C320" s="48"/>
      <c r="D320" s="48"/>
      <c r="E320" s="48"/>
      <c r="F320" s="422"/>
      <c r="G320" s="422"/>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row>
    <row r="321">
      <c r="A321" s="48"/>
      <c r="B321" s="48"/>
      <c r="C321" s="48"/>
      <c r="D321" s="48"/>
      <c r="E321" s="48"/>
      <c r="F321" s="422"/>
      <c r="G321" s="422"/>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row>
    <row r="322">
      <c r="A322" s="48"/>
      <c r="B322" s="48"/>
      <c r="C322" s="48"/>
      <c r="D322" s="48"/>
      <c r="E322" s="48"/>
      <c r="F322" s="422"/>
      <c r="G322" s="422"/>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row>
    <row r="323">
      <c r="A323" s="48"/>
      <c r="B323" s="48"/>
      <c r="C323" s="48"/>
      <c r="D323" s="48"/>
      <c r="E323" s="48"/>
      <c r="F323" s="422"/>
      <c r="G323" s="422"/>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row>
    <row r="324">
      <c r="A324" s="48"/>
      <c r="B324" s="48"/>
      <c r="C324" s="48"/>
      <c r="D324" s="48"/>
      <c r="E324" s="48"/>
      <c r="F324" s="422"/>
      <c r="G324" s="422"/>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row>
    <row r="325">
      <c r="A325" s="48"/>
      <c r="B325" s="48"/>
      <c r="C325" s="48"/>
      <c r="D325" s="48"/>
      <c r="E325" s="48"/>
      <c r="F325" s="422"/>
      <c r="G325" s="422"/>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row>
    <row r="326">
      <c r="A326" s="48"/>
      <c r="B326" s="48"/>
      <c r="C326" s="48"/>
      <c r="D326" s="48"/>
      <c r="E326" s="48"/>
      <c r="F326" s="422"/>
      <c r="G326" s="422"/>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row>
    <row r="327">
      <c r="A327" s="48"/>
      <c r="B327" s="48"/>
      <c r="C327" s="48"/>
      <c r="D327" s="48"/>
      <c r="E327" s="48"/>
      <c r="F327" s="422"/>
      <c r="G327" s="422"/>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row>
    <row r="328">
      <c r="A328" s="48"/>
      <c r="B328" s="48"/>
      <c r="C328" s="48"/>
      <c r="D328" s="48"/>
      <c r="E328" s="48"/>
      <c r="F328" s="422"/>
      <c r="G328" s="422"/>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row>
    <row r="329">
      <c r="A329" s="48"/>
      <c r="B329" s="48"/>
      <c r="C329" s="48"/>
      <c r="D329" s="48"/>
      <c r="E329" s="48"/>
      <c r="F329" s="422"/>
      <c r="G329" s="422"/>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row>
    <row r="330">
      <c r="A330" s="48"/>
      <c r="B330" s="48"/>
      <c r="C330" s="48"/>
      <c r="D330" s="48"/>
      <c r="E330" s="48"/>
      <c r="F330" s="422"/>
      <c r="G330" s="422"/>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row>
    <row r="331">
      <c r="A331" s="48"/>
      <c r="B331" s="48"/>
      <c r="C331" s="48"/>
      <c r="D331" s="48"/>
      <c r="E331" s="48"/>
      <c r="F331" s="422"/>
      <c r="G331" s="422"/>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row>
    <row r="332">
      <c r="A332" s="48"/>
      <c r="B332" s="48"/>
      <c r="C332" s="48"/>
      <c r="D332" s="48"/>
      <c r="E332" s="48"/>
      <c r="F332" s="422"/>
      <c r="G332" s="422"/>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row>
    <row r="333">
      <c r="A333" s="48"/>
      <c r="B333" s="48"/>
      <c r="C333" s="48"/>
      <c r="D333" s="48"/>
      <c r="E333" s="48"/>
      <c r="F333" s="422"/>
      <c r="G333" s="422"/>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row>
    <row r="334">
      <c r="A334" s="48"/>
      <c r="B334" s="48"/>
      <c r="C334" s="48"/>
      <c r="D334" s="48"/>
      <c r="E334" s="48"/>
      <c r="F334" s="422"/>
      <c r="G334" s="422"/>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row>
    <row r="335">
      <c r="A335" s="48"/>
      <c r="B335" s="48"/>
      <c r="C335" s="48"/>
      <c r="D335" s="48"/>
      <c r="E335" s="48"/>
      <c r="F335" s="422"/>
      <c r="G335" s="422"/>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row>
    <row r="336">
      <c r="A336" s="48"/>
      <c r="B336" s="48"/>
      <c r="C336" s="48"/>
      <c r="D336" s="48"/>
      <c r="E336" s="48"/>
      <c r="F336" s="422"/>
      <c r="G336" s="422"/>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row>
    <row r="337">
      <c r="A337" s="48"/>
      <c r="B337" s="48"/>
      <c r="C337" s="48"/>
      <c r="D337" s="48"/>
      <c r="E337" s="48"/>
      <c r="F337" s="422"/>
      <c r="G337" s="422"/>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row>
    <row r="338">
      <c r="A338" s="48"/>
      <c r="B338" s="48"/>
      <c r="C338" s="48"/>
      <c r="D338" s="48"/>
      <c r="E338" s="48"/>
      <c r="F338" s="422"/>
      <c r="G338" s="422"/>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row>
    <row r="339">
      <c r="A339" s="48"/>
      <c r="B339" s="48"/>
      <c r="C339" s="48"/>
      <c r="D339" s="48"/>
      <c r="E339" s="48"/>
      <c r="F339" s="422"/>
      <c r="G339" s="422"/>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row>
    <row r="340">
      <c r="A340" s="48"/>
      <c r="B340" s="48"/>
      <c r="C340" s="48"/>
      <c r="D340" s="48"/>
      <c r="E340" s="48"/>
      <c r="F340" s="422"/>
      <c r="G340" s="422"/>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row>
    <row r="341">
      <c r="A341" s="48"/>
      <c r="B341" s="48"/>
      <c r="C341" s="48"/>
      <c r="D341" s="48"/>
      <c r="E341" s="48"/>
      <c r="F341" s="422"/>
      <c r="G341" s="422"/>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row>
    <row r="342">
      <c r="A342" s="48"/>
      <c r="B342" s="48"/>
      <c r="C342" s="48"/>
      <c r="D342" s="48"/>
      <c r="E342" s="48"/>
      <c r="F342" s="422"/>
      <c r="G342" s="422"/>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row>
    <row r="343">
      <c r="A343" s="48"/>
      <c r="B343" s="48"/>
      <c r="C343" s="48"/>
      <c r="D343" s="48"/>
      <c r="E343" s="48"/>
      <c r="F343" s="422"/>
      <c r="G343" s="422"/>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row>
    <row r="344">
      <c r="A344" s="48"/>
      <c r="B344" s="48"/>
      <c r="C344" s="48"/>
      <c r="D344" s="48"/>
      <c r="E344" s="48"/>
      <c r="F344" s="422"/>
      <c r="G344" s="422"/>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row>
    <row r="345">
      <c r="A345" s="48"/>
      <c r="B345" s="48"/>
      <c r="C345" s="48"/>
      <c r="D345" s="48"/>
      <c r="E345" s="48"/>
      <c r="F345" s="422"/>
      <c r="G345" s="422"/>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row>
    <row r="346">
      <c r="A346" s="48"/>
      <c r="B346" s="48"/>
      <c r="C346" s="48"/>
      <c r="D346" s="48"/>
      <c r="E346" s="48"/>
      <c r="F346" s="422"/>
      <c r="G346" s="422"/>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row>
    <row r="347">
      <c r="A347" s="48"/>
      <c r="B347" s="48"/>
      <c r="C347" s="48"/>
      <c r="D347" s="48"/>
      <c r="E347" s="48"/>
      <c r="F347" s="422"/>
      <c r="G347" s="422"/>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row>
    <row r="348">
      <c r="A348" s="48"/>
      <c r="B348" s="48"/>
      <c r="C348" s="48"/>
      <c r="D348" s="48"/>
      <c r="E348" s="48"/>
      <c r="F348" s="422"/>
      <c r="G348" s="422"/>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row>
    <row r="349">
      <c r="A349" s="48"/>
      <c r="B349" s="48"/>
      <c r="C349" s="48"/>
      <c r="D349" s="48"/>
      <c r="E349" s="48"/>
      <c r="F349" s="422"/>
      <c r="G349" s="422"/>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row>
    <row r="350">
      <c r="A350" s="48"/>
      <c r="B350" s="48"/>
      <c r="C350" s="48"/>
      <c r="D350" s="48"/>
      <c r="E350" s="48"/>
      <c r="F350" s="422"/>
      <c r="G350" s="422"/>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row>
    <row r="351">
      <c r="A351" s="48"/>
      <c r="B351" s="48"/>
      <c r="C351" s="48"/>
      <c r="D351" s="48"/>
      <c r="E351" s="48"/>
      <c r="F351" s="422"/>
      <c r="G351" s="422"/>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row>
    <row r="352">
      <c r="A352" s="48"/>
      <c r="B352" s="48"/>
      <c r="C352" s="48"/>
      <c r="D352" s="48"/>
      <c r="E352" s="48"/>
      <c r="F352" s="422"/>
      <c r="G352" s="422"/>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row>
    <row r="353">
      <c r="A353" s="48"/>
      <c r="B353" s="48"/>
      <c r="C353" s="48"/>
      <c r="D353" s="48"/>
      <c r="E353" s="48"/>
      <c r="F353" s="422"/>
      <c r="G353" s="422"/>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row>
    <row r="354">
      <c r="A354" s="48"/>
      <c r="B354" s="48"/>
      <c r="C354" s="48"/>
      <c r="D354" s="48"/>
      <c r="E354" s="48"/>
      <c r="F354" s="422"/>
      <c r="G354" s="422"/>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row>
    <row r="355">
      <c r="A355" s="48"/>
      <c r="B355" s="48"/>
      <c r="C355" s="48"/>
      <c r="D355" s="48"/>
      <c r="E355" s="48"/>
      <c r="F355" s="422"/>
      <c r="G355" s="422"/>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row>
    <row r="356">
      <c r="A356" s="48"/>
      <c r="B356" s="48"/>
      <c r="C356" s="48"/>
      <c r="D356" s="48"/>
      <c r="E356" s="48"/>
      <c r="F356" s="422"/>
      <c r="G356" s="422"/>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row>
    <row r="357">
      <c r="A357" s="48"/>
      <c r="B357" s="48"/>
      <c r="C357" s="48"/>
      <c r="D357" s="48"/>
      <c r="E357" s="48"/>
      <c r="F357" s="422"/>
      <c r="G357" s="422"/>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row>
    <row r="358">
      <c r="A358" s="48"/>
      <c r="B358" s="48"/>
      <c r="C358" s="48"/>
      <c r="D358" s="48"/>
      <c r="E358" s="48"/>
      <c r="F358" s="422"/>
      <c r="G358" s="422"/>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row>
    <row r="359">
      <c r="A359" s="48"/>
      <c r="B359" s="48"/>
      <c r="C359" s="48"/>
      <c r="D359" s="48"/>
      <c r="E359" s="48"/>
      <c r="F359" s="422"/>
      <c r="G359" s="422"/>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row>
    <row r="360">
      <c r="A360" s="48"/>
      <c r="B360" s="48"/>
      <c r="C360" s="48"/>
      <c r="D360" s="48"/>
      <c r="E360" s="48"/>
      <c r="F360" s="422"/>
      <c r="G360" s="422"/>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row>
    <row r="361">
      <c r="A361" s="48"/>
      <c r="B361" s="48"/>
      <c r="C361" s="48"/>
      <c r="D361" s="48"/>
      <c r="E361" s="48"/>
      <c r="F361" s="422"/>
      <c r="G361" s="422"/>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row>
    <row r="362">
      <c r="A362" s="48"/>
      <c r="B362" s="48"/>
      <c r="C362" s="48"/>
      <c r="D362" s="48"/>
      <c r="E362" s="48"/>
      <c r="F362" s="422"/>
      <c r="G362" s="422"/>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row>
    <row r="363">
      <c r="A363" s="48"/>
      <c r="B363" s="48"/>
      <c r="C363" s="48"/>
      <c r="D363" s="48"/>
      <c r="E363" s="48"/>
      <c r="F363" s="422"/>
      <c r="G363" s="422"/>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row>
    <row r="364">
      <c r="A364" s="48"/>
      <c r="B364" s="48"/>
      <c r="C364" s="48"/>
      <c r="D364" s="48"/>
      <c r="E364" s="48"/>
      <c r="F364" s="422"/>
      <c r="G364" s="422"/>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row>
    <row r="365">
      <c r="A365" s="48"/>
      <c r="B365" s="48"/>
      <c r="C365" s="48"/>
      <c r="D365" s="48"/>
      <c r="E365" s="48"/>
      <c r="F365" s="422"/>
      <c r="G365" s="422"/>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row>
    <row r="366">
      <c r="A366" s="48"/>
      <c r="B366" s="48"/>
      <c r="C366" s="48"/>
      <c r="D366" s="48"/>
      <c r="E366" s="48"/>
      <c r="F366" s="422"/>
      <c r="G366" s="422"/>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row>
    <row r="367">
      <c r="A367" s="48"/>
      <c r="B367" s="48"/>
      <c r="C367" s="48"/>
      <c r="D367" s="48"/>
      <c r="E367" s="48"/>
      <c r="F367" s="422"/>
      <c r="G367" s="422"/>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row>
    <row r="368">
      <c r="A368" s="48"/>
      <c r="B368" s="48"/>
      <c r="C368" s="48"/>
      <c r="D368" s="48"/>
      <c r="E368" s="48"/>
      <c r="F368" s="422"/>
      <c r="G368" s="422"/>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row>
    <row r="369">
      <c r="A369" s="48"/>
      <c r="B369" s="48"/>
      <c r="C369" s="48"/>
      <c r="D369" s="48"/>
      <c r="E369" s="48"/>
      <c r="F369" s="422"/>
      <c r="G369" s="422"/>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row>
    <row r="370">
      <c r="A370" s="48"/>
      <c r="B370" s="48"/>
      <c r="C370" s="48"/>
      <c r="D370" s="48"/>
      <c r="E370" s="48"/>
      <c r="F370" s="422"/>
      <c r="G370" s="422"/>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row>
    <row r="371">
      <c r="A371" s="48"/>
      <c r="B371" s="48"/>
      <c r="C371" s="48"/>
      <c r="D371" s="48"/>
      <c r="E371" s="48"/>
      <c r="F371" s="422"/>
      <c r="G371" s="422"/>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row>
    <row r="372">
      <c r="A372" s="48"/>
      <c r="B372" s="48"/>
      <c r="C372" s="48"/>
      <c r="D372" s="48"/>
      <c r="E372" s="48"/>
      <c r="F372" s="422"/>
      <c r="G372" s="422"/>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row>
    <row r="373">
      <c r="A373" s="48"/>
      <c r="B373" s="48"/>
      <c r="C373" s="48"/>
      <c r="D373" s="48"/>
      <c r="E373" s="48"/>
      <c r="F373" s="422"/>
      <c r="G373" s="422"/>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row>
    <row r="374">
      <c r="A374" s="48"/>
      <c r="B374" s="48"/>
      <c r="C374" s="48"/>
      <c r="D374" s="48"/>
      <c r="E374" s="48"/>
      <c r="F374" s="422"/>
      <c r="G374" s="422"/>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row>
    <row r="375">
      <c r="A375" s="48"/>
      <c r="B375" s="48"/>
      <c r="C375" s="48"/>
      <c r="D375" s="48"/>
      <c r="E375" s="48"/>
      <c r="F375" s="422"/>
      <c r="G375" s="422"/>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row>
    <row r="376">
      <c r="A376" s="48"/>
      <c r="B376" s="48"/>
      <c r="C376" s="48"/>
      <c r="D376" s="48"/>
      <c r="E376" s="48"/>
      <c r="F376" s="422"/>
      <c r="G376" s="422"/>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row>
    <row r="377">
      <c r="A377" s="48"/>
      <c r="B377" s="48"/>
      <c r="C377" s="48"/>
      <c r="D377" s="48"/>
      <c r="E377" s="48"/>
      <c r="F377" s="422"/>
      <c r="G377" s="422"/>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row>
    <row r="378">
      <c r="A378" s="48"/>
      <c r="B378" s="48"/>
      <c r="C378" s="48"/>
      <c r="D378" s="48"/>
      <c r="E378" s="48"/>
      <c r="F378" s="422"/>
      <c r="G378" s="422"/>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row>
    <row r="379">
      <c r="A379" s="48"/>
      <c r="B379" s="48"/>
      <c r="C379" s="48"/>
      <c r="D379" s="48"/>
      <c r="E379" s="48"/>
      <c r="F379" s="422"/>
      <c r="G379" s="422"/>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row>
    <row r="380">
      <c r="A380" s="48"/>
      <c r="B380" s="48"/>
      <c r="C380" s="48"/>
      <c r="D380" s="48"/>
      <c r="E380" s="48"/>
      <c r="F380" s="422"/>
      <c r="G380" s="422"/>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row>
    <row r="381">
      <c r="A381" s="48"/>
      <c r="B381" s="48"/>
      <c r="C381" s="48"/>
      <c r="D381" s="48"/>
      <c r="E381" s="48"/>
      <c r="F381" s="422"/>
      <c r="G381" s="422"/>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row>
    <row r="382">
      <c r="A382" s="48"/>
      <c r="B382" s="48"/>
      <c r="C382" s="48"/>
      <c r="D382" s="48"/>
      <c r="E382" s="48"/>
      <c r="F382" s="422"/>
      <c r="G382" s="422"/>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row>
    <row r="383">
      <c r="A383" s="48"/>
      <c r="B383" s="48"/>
      <c r="C383" s="48"/>
      <c r="D383" s="48"/>
      <c r="E383" s="48"/>
      <c r="F383" s="422"/>
      <c r="G383" s="422"/>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row>
    <row r="384">
      <c r="A384" s="48"/>
      <c r="B384" s="48"/>
      <c r="C384" s="48"/>
      <c r="D384" s="48"/>
      <c r="E384" s="48"/>
      <c r="F384" s="422"/>
      <c r="G384" s="422"/>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row>
    <row r="385">
      <c r="A385" s="48"/>
      <c r="B385" s="48"/>
      <c r="C385" s="48"/>
      <c r="D385" s="48"/>
      <c r="E385" s="48"/>
      <c r="F385" s="422"/>
      <c r="G385" s="422"/>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row>
    <row r="386">
      <c r="A386" s="48"/>
      <c r="B386" s="48"/>
      <c r="C386" s="48"/>
      <c r="D386" s="48"/>
      <c r="E386" s="48"/>
      <c r="F386" s="422"/>
      <c r="G386" s="422"/>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row>
    <row r="387">
      <c r="A387" s="48"/>
      <c r="B387" s="48"/>
      <c r="C387" s="48"/>
      <c r="D387" s="48"/>
      <c r="E387" s="48"/>
      <c r="F387" s="422"/>
      <c r="G387" s="422"/>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row>
    <row r="388">
      <c r="A388" s="48"/>
      <c r="B388" s="48"/>
      <c r="C388" s="48"/>
      <c r="D388" s="48"/>
      <c r="E388" s="48"/>
      <c r="F388" s="422"/>
      <c r="G388" s="422"/>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row>
    <row r="389">
      <c r="A389" s="48"/>
      <c r="B389" s="48"/>
      <c r="C389" s="48"/>
      <c r="D389" s="48"/>
      <c r="E389" s="48"/>
      <c r="F389" s="422"/>
      <c r="G389" s="422"/>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row>
    <row r="390">
      <c r="A390" s="48"/>
      <c r="B390" s="48"/>
      <c r="C390" s="48"/>
      <c r="D390" s="48"/>
      <c r="E390" s="48"/>
      <c r="F390" s="422"/>
      <c r="G390" s="422"/>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row>
    <row r="391">
      <c r="A391" s="48"/>
      <c r="B391" s="48"/>
      <c r="C391" s="48"/>
      <c r="D391" s="48"/>
      <c r="E391" s="48"/>
      <c r="F391" s="422"/>
      <c r="G391" s="422"/>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row>
    <row r="392">
      <c r="A392" s="48"/>
      <c r="B392" s="48"/>
      <c r="C392" s="48"/>
      <c r="D392" s="48"/>
      <c r="E392" s="48"/>
      <c r="F392" s="422"/>
      <c r="G392" s="422"/>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row>
    <row r="393">
      <c r="A393" s="48"/>
      <c r="B393" s="48"/>
      <c r="C393" s="48"/>
      <c r="D393" s="48"/>
      <c r="E393" s="48"/>
      <c r="F393" s="422"/>
      <c r="G393" s="422"/>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row>
    <row r="394">
      <c r="A394" s="48"/>
      <c r="B394" s="48"/>
      <c r="C394" s="48"/>
      <c r="D394" s="48"/>
      <c r="E394" s="48"/>
      <c r="F394" s="422"/>
      <c r="G394" s="422"/>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row>
    <row r="395">
      <c r="A395" s="48"/>
      <c r="B395" s="48"/>
      <c r="C395" s="48"/>
      <c r="D395" s="48"/>
      <c r="E395" s="48"/>
      <c r="F395" s="422"/>
      <c r="G395" s="422"/>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row>
    <row r="396">
      <c r="A396" s="48"/>
      <c r="B396" s="48"/>
      <c r="C396" s="48"/>
      <c r="D396" s="48"/>
      <c r="E396" s="48"/>
      <c r="F396" s="422"/>
      <c r="G396" s="422"/>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row>
    <row r="397">
      <c r="A397" s="48"/>
      <c r="B397" s="48"/>
      <c r="C397" s="48"/>
      <c r="D397" s="48"/>
      <c r="E397" s="48"/>
      <c r="F397" s="422"/>
      <c r="G397" s="422"/>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row>
    <row r="398">
      <c r="A398" s="48"/>
      <c r="B398" s="48"/>
      <c r="C398" s="48"/>
      <c r="D398" s="48"/>
      <c r="E398" s="48"/>
      <c r="F398" s="422"/>
      <c r="G398" s="422"/>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row>
    <row r="399">
      <c r="A399" s="48"/>
      <c r="B399" s="48"/>
      <c r="C399" s="48"/>
      <c r="D399" s="48"/>
      <c r="E399" s="48"/>
      <c r="F399" s="422"/>
      <c r="G399" s="422"/>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row>
    <row r="400">
      <c r="A400" s="48"/>
      <c r="B400" s="48"/>
      <c r="C400" s="48"/>
      <c r="D400" s="48"/>
      <c r="E400" s="48"/>
      <c r="F400" s="422"/>
      <c r="G400" s="422"/>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row>
    <row r="401">
      <c r="A401" s="48"/>
      <c r="B401" s="48"/>
      <c r="C401" s="48"/>
      <c r="D401" s="48"/>
      <c r="E401" s="48"/>
      <c r="F401" s="422"/>
      <c r="G401" s="422"/>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row>
    <row r="402">
      <c r="A402" s="48"/>
      <c r="B402" s="48"/>
      <c r="C402" s="48"/>
      <c r="D402" s="48"/>
      <c r="E402" s="48"/>
      <c r="F402" s="422"/>
      <c r="G402" s="422"/>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row>
    <row r="403">
      <c r="A403" s="48"/>
      <c r="B403" s="48"/>
      <c r="C403" s="48"/>
      <c r="D403" s="48"/>
      <c r="E403" s="48"/>
      <c r="F403" s="422"/>
      <c r="G403" s="422"/>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row>
    <row r="404">
      <c r="A404" s="48"/>
      <c r="B404" s="48"/>
      <c r="C404" s="48"/>
      <c r="D404" s="48"/>
      <c r="E404" s="48"/>
      <c r="F404" s="422"/>
      <c r="G404" s="422"/>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row>
    <row r="405">
      <c r="A405" s="48"/>
      <c r="B405" s="48"/>
      <c r="C405" s="48"/>
      <c r="D405" s="48"/>
      <c r="E405" s="48"/>
      <c r="F405" s="422"/>
      <c r="G405" s="422"/>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row>
    <row r="406">
      <c r="A406" s="48"/>
      <c r="B406" s="48"/>
      <c r="C406" s="48"/>
      <c r="D406" s="48"/>
      <c r="E406" s="48"/>
      <c r="F406" s="422"/>
      <c r="G406" s="422"/>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row>
    <row r="407">
      <c r="A407" s="48"/>
      <c r="B407" s="48"/>
      <c r="C407" s="48"/>
      <c r="D407" s="48"/>
      <c r="E407" s="48"/>
      <c r="F407" s="422"/>
      <c r="G407" s="422"/>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row>
    <row r="408">
      <c r="A408" s="48"/>
      <c r="B408" s="48"/>
      <c r="C408" s="48"/>
      <c r="D408" s="48"/>
      <c r="E408" s="48"/>
      <c r="F408" s="422"/>
      <c r="G408" s="422"/>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row>
    <row r="409">
      <c r="A409" s="48"/>
      <c r="B409" s="48"/>
      <c r="C409" s="48"/>
      <c r="D409" s="48"/>
      <c r="E409" s="48"/>
      <c r="F409" s="422"/>
      <c r="G409" s="422"/>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row>
    <row r="410">
      <c r="A410" s="48"/>
      <c r="B410" s="48"/>
      <c r="C410" s="48"/>
      <c r="D410" s="48"/>
      <c r="E410" s="48"/>
      <c r="F410" s="422"/>
      <c r="G410" s="422"/>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row>
    <row r="411">
      <c r="A411" s="48"/>
      <c r="B411" s="48"/>
      <c r="C411" s="48"/>
      <c r="D411" s="48"/>
      <c r="E411" s="48"/>
      <c r="F411" s="422"/>
      <c r="G411" s="422"/>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row>
    <row r="412">
      <c r="A412" s="48"/>
      <c r="B412" s="48"/>
      <c r="C412" s="48"/>
      <c r="D412" s="48"/>
      <c r="E412" s="48"/>
      <c r="F412" s="422"/>
      <c r="G412" s="422"/>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row>
    <row r="413">
      <c r="A413" s="48"/>
      <c r="B413" s="48"/>
      <c r="C413" s="48"/>
      <c r="D413" s="48"/>
      <c r="E413" s="48"/>
      <c r="F413" s="422"/>
      <c r="G413" s="422"/>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row>
    <row r="414">
      <c r="A414" s="48"/>
      <c r="B414" s="48"/>
      <c r="C414" s="48"/>
      <c r="D414" s="48"/>
      <c r="E414" s="48"/>
      <c r="F414" s="422"/>
      <c r="G414" s="422"/>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row>
    <row r="415">
      <c r="A415" s="48"/>
      <c r="B415" s="48"/>
      <c r="C415" s="48"/>
      <c r="D415" s="48"/>
      <c r="E415" s="48"/>
      <c r="F415" s="422"/>
      <c r="G415" s="422"/>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row>
    <row r="416">
      <c r="A416" s="48"/>
      <c r="B416" s="48"/>
      <c r="C416" s="48"/>
      <c r="D416" s="48"/>
      <c r="E416" s="48"/>
      <c r="F416" s="422"/>
      <c r="G416" s="422"/>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row>
    <row r="417">
      <c r="A417" s="48"/>
      <c r="B417" s="48"/>
      <c r="C417" s="48"/>
      <c r="D417" s="48"/>
      <c r="E417" s="48"/>
      <c r="F417" s="422"/>
      <c r="G417" s="422"/>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row>
    <row r="418">
      <c r="A418" s="48"/>
      <c r="B418" s="48"/>
      <c r="C418" s="48"/>
      <c r="D418" s="48"/>
      <c r="E418" s="48"/>
      <c r="F418" s="422"/>
      <c r="G418" s="422"/>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row>
    <row r="419">
      <c r="A419" s="48"/>
      <c r="B419" s="48"/>
      <c r="C419" s="48"/>
      <c r="D419" s="48"/>
      <c r="E419" s="48"/>
      <c r="F419" s="422"/>
      <c r="G419" s="422"/>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row>
    <row r="420">
      <c r="A420" s="48"/>
      <c r="B420" s="48"/>
      <c r="C420" s="48"/>
      <c r="D420" s="48"/>
      <c r="E420" s="48"/>
      <c r="F420" s="422"/>
      <c r="G420" s="422"/>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row>
    <row r="421">
      <c r="A421" s="48"/>
      <c r="B421" s="48"/>
      <c r="C421" s="48"/>
      <c r="D421" s="48"/>
      <c r="E421" s="48"/>
      <c r="F421" s="422"/>
      <c r="G421" s="422"/>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row>
    <row r="422">
      <c r="A422" s="48"/>
      <c r="B422" s="48"/>
      <c r="C422" s="48"/>
      <c r="D422" s="48"/>
      <c r="E422" s="48"/>
      <c r="F422" s="422"/>
      <c r="G422" s="422"/>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row>
    <row r="423">
      <c r="A423" s="48"/>
      <c r="B423" s="48"/>
      <c r="C423" s="48"/>
      <c r="D423" s="48"/>
      <c r="E423" s="48"/>
      <c r="F423" s="422"/>
      <c r="G423" s="422"/>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row>
    <row r="424">
      <c r="A424" s="48"/>
      <c r="B424" s="48"/>
      <c r="C424" s="48"/>
      <c r="D424" s="48"/>
      <c r="E424" s="48"/>
      <c r="F424" s="422"/>
      <c r="G424" s="422"/>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row>
    <row r="425">
      <c r="A425" s="48"/>
      <c r="B425" s="48"/>
      <c r="C425" s="48"/>
      <c r="D425" s="48"/>
      <c r="E425" s="48"/>
      <c r="F425" s="422"/>
      <c r="G425" s="422"/>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row>
    <row r="426">
      <c r="A426" s="48"/>
      <c r="B426" s="48"/>
      <c r="C426" s="48"/>
      <c r="D426" s="48"/>
      <c r="E426" s="48"/>
      <c r="F426" s="422"/>
      <c r="G426" s="422"/>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row>
    <row r="427">
      <c r="A427" s="48"/>
      <c r="B427" s="48"/>
      <c r="C427" s="48"/>
      <c r="D427" s="48"/>
      <c r="E427" s="48"/>
      <c r="F427" s="422"/>
      <c r="G427" s="422"/>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row>
    <row r="428">
      <c r="A428" s="48"/>
      <c r="B428" s="48"/>
      <c r="C428" s="48"/>
      <c r="D428" s="48"/>
      <c r="E428" s="48"/>
      <c r="F428" s="422"/>
      <c r="G428" s="422"/>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row>
    <row r="429">
      <c r="A429" s="48"/>
      <c r="B429" s="48"/>
      <c r="C429" s="48"/>
      <c r="D429" s="48"/>
      <c r="E429" s="48"/>
      <c r="F429" s="422"/>
      <c r="G429" s="422"/>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row>
    <row r="430">
      <c r="A430" s="48"/>
      <c r="B430" s="48"/>
      <c r="C430" s="48"/>
      <c r="D430" s="48"/>
      <c r="E430" s="48"/>
      <c r="F430" s="422"/>
      <c r="G430" s="422"/>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row>
    <row r="431">
      <c r="A431" s="48"/>
      <c r="B431" s="48"/>
      <c r="C431" s="48"/>
      <c r="D431" s="48"/>
      <c r="E431" s="48"/>
      <c r="F431" s="422"/>
      <c r="G431" s="422"/>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row>
    <row r="432">
      <c r="A432" s="48"/>
      <c r="B432" s="48"/>
      <c r="C432" s="48"/>
      <c r="D432" s="48"/>
      <c r="E432" s="48"/>
      <c r="F432" s="422"/>
      <c r="G432" s="422"/>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row>
    <row r="433">
      <c r="A433" s="48"/>
      <c r="B433" s="48"/>
      <c r="C433" s="48"/>
      <c r="D433" s="48"/>
      <c r="E433" s="48"/>
      <c r="F433" s="422"/>
      <c r="G433" s="422"/>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row>
    <row r="434">
      <c r="A434" s="48"/>
      <c r="B434" s="48"/>
      <c r="C434" s="48"/>
      <c r="D434" s="48"/>
      <c r="E434" s="48"/>
      <c r="F434" s="422"/>
      <c r="G434" s="422"/>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row>
    <row r="435">
      <c r="A435" s="48"/>
      <c r="B435" s="48"/>
      <c r="C435" s="48"/>
      <c r="D435" s="48"/>
      <c r="E435" s="48"/>
      <c r="F435" s="422"/>
      <c r="G435" s="422"/>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row>
    <row r="436">
      <c r="A436" s="48"/>
      <c r="B436" s="48"/>
      <c r="C436" s="48"/>
      <c r="D436" s="48"/>
      <c r="E436" s="48"/>
      <c r="F436" s="422"/>
      <c r="G436" s="422"/>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row>
    <row r="437">
      <c r="A437" s="48"/>
      <c r="B437" s="48"/>
      <c r="C437" s="48"/>
      <c r="D437" s="48"/>
      <c r="E437" s="48"/>
      <c r="F437" s="422"/>
      <c r="G437" s="422"/>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row>
    <row r="438">
      <c r="A438" s="48"/>
      <c r="B438" s="48"/>
      <c r="C438" s="48"/>
      <c r="D438" s="48"/>
      <c r="E438" s="48"/>
      <c r="F438" s="422"/>
      <c r="G438" s="422"/>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row>
    <row r="439">
      <c r="A439" s="48"/>
      <c r="B439" s="48"/>
      <c r="C439" s="48"/>
      <c r="D439" s="48"/>
      <c r="E439" s="48"/>
      <c r="F439" s="422"/>
      <c r="G439" s="422"/>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row>
    <row r="440">
      <c r="A440" s="48"/>
      <c r="B440" s="48"/>
      <c r="C440" s="48"/>
      <c r="D440" s="48"/>
      <c r="E440" s="48"/>
      <c r="F440" s="422"/>
      <c r="G440" s="422"/>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row>
    <row r="441">
      <c r="A441" s="48"/>
      <c r="B441" s="48"/>
      <c r="C441" s="48"/>
      <c r="D441" s="48"/>
      <c r="E441" s="48"/>
      <c r="F441" s="422"/>
      <c r="G441" s="422"/>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row>
    <row r="442">
      <c r="A442" s="48"/>
      <c r="B442" s="48"/>
      <c r="C442" s="48"/>
      <c r="D442" s="48"/>
      <c r="E442" s="48"/>
      <c r="F442" s="422"/>
      <c r="G442" s="422"/>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row>
    <row r="443">
      <c r="A443" s="48"/>
      <c r="B443" s="48"/>
      <c r="C443" s="48"/>
      <c r="D443" s="48"/>
      <c r="E443" s="48"/>
      <c r="F443" s="422"/>
      <c r="G443" s="422"/>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row>
    <row r="444">
      <c r="A444" s="48"/>
      <c r="B444" s="48"/>
      <c r="C444" s="48"/>
      <c r="D444" s="48"/>
      <c r="E444" s="48"/>
      <c r="F444" s="422"/>
      <c r="G444" s="422"/>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row>
    <row r="445">
      <c r="A445" s="48"/>
      <c r="B445" s="48"/>
      <c r="C445" s="48"/>
      <c r="D445" s="48"/>
      <c r="E445" s="48"/>
      <c r="F445" s="422"/>
      <c r="G445" s="422"/>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row>
    <row r="446">
      <c r="A446" s="48"/>
      <c r="B446" s="48"/>
      <c r="C446" s="48"/>
      <c r="D446" s="48"/>
      <c r="E446" s="48"/>
      <c r="F446" s="422"/>
      <c r="G446" s="422"/>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row>
    <row r="447">
      <c r="A447" s="48"/>
      <c r="B447" s="48"/>
      <c r="C447" s="48"/>
      <c r="D447" s="48"/>
      <c r="E447" s="48"/>
      <c r="F447" s="422"/>
      <c r="G447" s="422"/>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row>
    <row r="448">
      <c r="A448" s="48"/>
      <c r="B448" s="48"/>
      <c r="C448" s="48"/>
      <c r="D448" s="48"/>
      <c r="E448" s="48"/>
      <c r="F448" s="422"/>
      <c r="G448" s="422"/>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row>
    <row r="449">
      <c r="A449" s="48"/>
      <c r="B449" s="48"/>
      <c r="C449" s="48"/>
      <c r="D449" s="48"/>
      <c r="E449" s="48"/>
      <c r="F449" s="422"/>
      <c r="G449" s="422"/>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row>
    <row r="450">
      <c r="A450" s="48"/>
      <c r="B450" s="48"/>
      <c r="C450" s="48"/>
      <c r="D450" s="48"/>
      <c r="E450" s="48"/>
      <c r="F450" s="422"/>
      <c r="G450" s="422"/>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row>
    <row r="451">
      <c r="A451" s="48"/>
      <c r="B451" s="48"/>
      <c r="C451" s="48"/>
      <c r="D451" s="48"/>
      <c r="E451" s="48"/>
      <c r="F451" s="422"/>
      <c r="G451" s="422"/>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row>
    <row r="452">
      <c r="A452" s="48"/>
      <c r="B452" s="48"/>
      <c r="C452" s="48"/>
      <c r="D452" s="48"/>
      <c r="E452" s="48"/>
      <c r="F452" s="422"/>
      <c r="G452" s="422"/>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row>
    <row r="453">
      <c r="A453" s="48"/>
      <c r="B453" s="48"/>
      <c r="C453" s="48"/>
      <c r="D453" s="48"/>
      <c r="E453" s="48"/>
      <c r="F453" s="422"/>
      <c r="G453" s="422"/>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row>
    <row r="454">
      <c r="A454" s="48"/>
      <c r="B454" s="48"/>
      <c r="C454" s="48"/>
      <c r="D454" s="48"/>
      <c r="E454" s="48"/>
      <c r="F454" s="422"/>
      <c r="G454" s="422"/>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row>
    <row r="455">
      <c r="A455" s="48"/>
      <c r="B455" s="48"/>
      <c r="C455" s="48"/>
      <c r="D455" s="48"/>
      <c r="E455" s="48"/>
      <c r="F455" s="422"/>
      <c r="G455" s="422"/>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row>
    <row r="456">
      <c r="A456" s="48"/>
      <c r="B456" s="48"/>
      <c r="C456" s="48"/>
      <c r="D456" s="48"/>
      <c r="E456" s="48"/>
      <c r="F456" s="422"/>
      <c r="G456" s="422"/>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row>
    <row r="457">
      <c r="A457" s="48"/>
      <c r="B457" s="48"/>
      <c r="C457" s="48"/>
      <c r="D457" s="48"/>
      <c r="E457" s="48"/>
      <c r="F457" s="422"/>
      <c r="G457" s="422"/>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row>
    <row r="458">
      <c r="A458" s="48"/>
      <c r="B458" s="48"/>
      <c r="C458" s="48"/>
      <c r="D458" s="48"/>
      <c r="E458" s="48"/>
      <c r="F458" s="422"/>
      <c r="G458" s="422"/>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row>
    <row r="459">
      <c r="A459" s="48"/>
      <c r="B459" s="48"/>
      <c r="C459" s="48"/>
      <c r="D459" s="48"/>
      <c r="E459" s="48"/>
      <c r="F459" s="422"/>
      <c r="G459" s="422"/>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row>
    <row r="460">
      <c r="A460" s="48"/>
      <c r="B460" s="48"/>
      <c r="C460" s="48"/>
      <c r="D460" s="48"/>
      <c r="E460" s="48"/>
      <c r="F460" s="422"/>
      <c r="G460" s="422"/>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row>
    <row r="461">
      <c r="A461" s="48"/>
      <c r="B461" s="48"/>
      <c r="C461" s="48"/>
      <c r="D461" s="48"/>
      <c r="E461" s="48"/>
      <c r="F461" s="422"/>
      <c r="G461" s="422"/>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row>
    <row r="462">
      <c r="A462" s="48"/>
      <c r="B462" s="48"/>
      <c r="C462" s="48"/>
      <c r="D462" s="48"/>
      <c r="E462" s="48"/>
      <c r="F462" s="422"/>
      <c r="G462" s="422"/>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row>
    <row r="463">
      <c r="A463" s="48"/>
      <c r="B463" s="48"/>
      <c r="C463" s="48"/>
      <c r="D463" s="48"/>
      <c r="E463" s="48"/>
      <c r="F463" s="422"/>
      <c r="G463" s="422"/>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row>
    <row r="464">
      <c r="A464" s="48"/>
      <c r="B464" s="48"/>
      <c r="C464" s="48"/>
      <c r="D464" s="48"/>
      <c r="E464" s="48"/>
      <c r="F464" s="422"/>
      <c r="G464" s="422"/>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row>
    <row r="465">
      <c r="A465" s="48"/>
      <c r="B465" s="48"/>
      <c r="C465" s="48"/>
      <c r="D465" s="48"/>
      <c r="E465" s="48"/>
      <c r="F465" s="422"/>
      <c r="G465" s="422"/>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row>
    <row r="466">
      <c r="A466" s="48"/>
      <c r="B466" s="48"/>
      <c r="C466" s="48"/>
      <c r="D466" s="48"/>
      <c r="E466" s="48"/>
      <c r="F466" s="422"/>
      <c r="G466" s="422"/>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row>
    <row r="467">
      <c r="A467" s="48"/>
      <c r="B467" s="48"/>
      <c r="C467" s="48"/>
      <c r="D467" s="48"/>
      <c r="E467" s="48"/>
      <c r="F467" s="422"/>
      <c r="G467" s="422"/>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row>
    <row r="468">
      <c r="A468" s="48"/>
      <c r="B468" s="48"/>
      <c r="C468" s="48"/>
      <c r="D468" s="48"/>
      <c r="E468" s="48"/>
      <c r="F468" s="422"/>
      <c r="G468" s="422"/>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row>
    <row r="469">
      <c r="A469" s="48"/>
      <c r="B469" s="48"/>
      <c r="C469" s="48"/>
      <c r="D469" s="48"/>
      <c r="E469" s="48"/>
      <c r="F469" s="422"/>
      <c r="G469" s="422"/>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row>
    <row r="470">
      <c r="A470" s="48"/>
      <c r="B470" s="48"/>
      <c r="C470" s="48"/>
      <c r="D470" s="48"/>
      <c r="E470" s="48"/>
      <c r="F470" s="422"/>
      <c r="G470" s="422"/>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row>
    <row r="471">
      <c r="A471" s="48"/>
      <c r="B471" s="48"/>
      <c r="C471" s="48"/>
      <c r="D471" s="48"/>
      <c r="E471" s="48"/>
      <c r="F471" s="422"/>
      <c r="G471" s="422"/>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row>
    <row r="472">
      <c r="A472" s="48"/>
      <c r="B472" s="48"/>
      <c r="C472" s="48"/>
      <c r="D472" s="48"/>
      <c r="E472" s="48"/>
      <c r="F472" s="422"/>
      <c r="G472" s="422"/>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row>
    <row r="473">
      <c r="A473" s="48"/>
      <c r="B473" s="48"/>
      <c r="C473" s="48"/>
      <c r="D473" s="48"/>
      <c r="E473" s="48"/>
      <c r="F473" s="422"/>
      <c r="G473" s="422"/>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row>
    <row r="474">
      <c r="A474" s="48"/>
      <c r="B474" s="48"/>
      <c r="C474" s="48"/>
      <c r="D474" s="48"/>
      <c r="E474" s="48"/>
      <c r="F474" s="422"/>
      <c r="G474" s="422"/>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row>
    <row r="475">
      <c r="A475" s="48"/>
      <c r="B475" s="48"/>
      <c r="C475" s="48"/>
      <c r="D475" s="48"/>
      <c r="E475" s="48"/>
      <c r="F475" s="422"/>
      <c r="G475" s="422"/>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row>
    <row r="476">
      <c r="A476" s="48"/>
      <c r="B476" s="48"/>
      <c r="C476" s="48"/>
      <c r="D476" s="48"/>
      <c r="E476" s="48"/>
      <c r="F476" s="422"/>
      <c r="G476" s="422"/>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row>
    <row r="477">
      <c r="A477" s="48"/>
      <c r="B477" s="48"/>
      <c r="C477" s="48"/>
      <c r="D477" s="48"/>
      <c r="E477" s="48"/>
      <c r="F477" s="422"/>
      <c r="G477" s="422"/>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row>
    <row r="478">
      <c r="A478" s="48"/>
      <c r="B478" s="48"/>
      <c r="C478" s="48"/>
      <c r="D478" s="48"/>
      <c r="E478" s="48"/>
      <c r="F478" s="422"/>
      <c r="G478" s="422"/>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row>
    <row r="479">
      <c r="A479" s="48"/>
      <c r="B479" s="48"/>
      <c r="C479" s="48"/>
      <c r="D479" s="48"/>
      <c r="E479" s="48"/>
      <c r="F479" s="422"/>
      <c r="G479" s="422"/>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row>
    <row r="480">
      <c r="A480" s="48"/>
      <c r="B480" s="48"/>
      <c r="C480" s="48"/>
      <c r="D480" s="48"/>
      <c r="E480" s="48"/>
      <c r="F480" s="422"/>
      <c r="G480" s="422"/>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row>
    <row r="481">
      <c r="A481" s="48"/>
      <c r="B481" s="48"/>
      <c r="C481" s="48"/>
      <c r="D481" s="48"/>
      <c r="E481" s="48"/>
      <c r="F481" s="422"/>
      <c r="G481" s="422"/>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row>
    <row r="482">
      <c r="A482" s="48"/>
      <c r="B482" s="48"/>
      <c r="C482" s="48"/>
      <c r="D482" s="48"/>
      <c r="E482" s="48"/>
      <c r="F482" s="422"/>
      <c r="G482" s="422"/>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row>
    <row r="483">
      <c r="A483" s="48"/>
      <c r="B483" s="48"/>
      <c r="C483" s="48"/>
      <c r="D483" s="48"/>
      <c r="E483" s="48"/>
      <c r="F483" s="422"/>
      <c r="G483" s="422"/>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row>
    <row r="484">
      <c r="A484" s="48"/>
      <c r="B484" s="48"/>
      <c r="C484" s="48"/>
      <c r="D484" s="48"/>
      <c r="E484" s="48"/>
      <c r="F484" s="422"/>
      <c r="G484" s="422"/>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row>
    <row r="485">
      <c r="A485" s="48"/>
      <c r="B485" s="48"/>
      <c r="C485" s="48"/>
      <c r="D485" s="48"/>
      <c r="E485" s="48"/>
      <c r="F485" s="422"/>
      <c r="G485" s="422"/>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row>
    <row r="486">
      <c r="A486" s="48"/>
      <c r="B486" s="48"/>
      <c r="C486" s="48"/>
      <c r="D486" s="48"/>
      <c r="E486" s="48"/>
      <c r="F486" s="422"/>
      <c r="G486" s="422"/>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row>
    <row r="487">
      <c r="A487" s="48"/>
      <c r="B487" s="48"/>
      <c r="C487" s="48"/>
      <c r="D487" s="48"/>
      <c r="E487" s="48"/>
      <c r="F487" s="422"/>
      <c r="G487" s="422"/>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row>
    <row r="488">
      <c r="A488" s="48"/>
      <c r="B488" s="48"/>
      <c r="C488" s="48"/>
      <c r="D488" s="48"/>
      <c r="E488" s="48"/>
      <c r="F488" s="422"/>
      <c r="G488" s="422"/>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row>
    <row r="489">
      <c r="A489" s="48"/>
      <c r="B489" s="48"/>
      <c r="C489" s="48"/>
      <c r="D489" s="48"/>
      <c r="E489" s="48"/>
      <c r="F489" s="422"/>
      <c r="G489" s="422"/>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row>
    <row r="490">
      <c r="A490" s="48"/>
      <c r="B490" s="48"/>
      <c r="C490" s="48"/>
      <c r="D490" s="48"/>
      <c r="E490" s="48"/>
      <c r="F490" s="422"/>
      <c r="G490" s="422"/>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row>
    <row r="491">
      <c r="A491" s="48"/>
      <c r="B491" s="48"/>
      <c r="C491" s="48"/>
      <c r="D491" s="48"/>
      <c r="E491" s="48"/>
      <c r="F491" s="422"/>
      <c r="G491" s="422"/>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row>
    <row r="492">
      <c r="A492" s="48"/>
      <c r="B492" s="48"/>
      <c r="C492" s="48"/>
      <c r="D492" s="48"/>
      <c r="E492" s="48"/>
      <c r="F492" s="422"/>
      <c r="G492" s="422"/>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row>
    <row r="493">
      <c r="A493" s="48"/>
      <c r="B493" s="48"/>
      <c r="C493" s="48"/>
      <c r="D493" s="48"/>
      <c r="E493" s="48"/>
      <c r="F493" s="422"/>
      <c r="G493" s="422"/>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row>
    <row r="494">
      <c r="A494" s="48"/>
      <c r="B494" s="48"/>
      <c r="C494" s="48"/>
      <c r="D494" s="48"/>
      <c r="E494" s="48"/>
      <c r="F494" s="422"/>
      <c r="G494" s="422"/>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row>
    <row r="495">
      <c r="A495" s="48"/>
      <c r="B495" s="48"/>
      <c r="C495" s="48"/>
      <c r="D495" s="48"/>
      <c r="E495" s="48"/>
      <c r="F495" s="422"/>
      <c r="G495" s="422"/>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row>
    <row r="496">
      <c r="A496" s="48"/>
      <c r="B496" s="48"/>
      <c r="C496" s="48"/>
      <c r="D496" s="48"/>
      <c r="E496" s="48"/>
      <c r="F496" s="422"/>
      <c r="G496" s="422"/>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row>
    <row r="497">
      <c r="A497" s="48"/>
      <c r="B497" s="48"/>
      <c r="C497" s="48"/>
      <c r="D497" s="48"/>
      <c r="E497" s="48"/>
      <c r="F497" s="422"/>
      <c r="G497" s="422"/>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row>
    <row r="498">
      <c r="A498" s="48"/>
      <c r="B498" s="48"/>
      <c r="C498" s="48"/>
      <c r="D498" s="48"/>
      <c r="E498" s="48"/>
      <c r="F498" s="422"/>
      <c r="G498" s="422"/>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row>
    <row r="499">
      <c r="A499" s="48"/>
      <c r="B499" s="48"/>
      <c r="C499" s="48"/>
      <c r="D499" s="48"/>
      <c r="E499" s="48"/>
      <c r="F499" s="422"/>
      <c r="G499" s="422"/>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row>
    <row r="500">
      <c r="A500" s="48"/>
      <c r="B500" s="48"/>
      <c r="C500" s="48"/>
      <c r="D500" s="48"/>
      <c r="E500" s="48"/>
      <c r="F500" s="422"/>
      <c r="G500" s="422"/>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row>
    <row r="501">
      <c r="A501" s="48"/>
      <c r="B501" s="48"/>
      <c r="C501" s="48"/>
      <c r="D501" s="48"/>
      <c r="E501" s="48"/>
      <c r="F501" s="422"/>
      <c r="G501" s="422"/>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row>
    <row r="502">
      <c r="A502" s="48"/>
      <c r="B502" s="48"/>
      <c r="C502" s="48"/>
      <c r="D502" s="48"/>
      <c r="E502" s="48"/>
      <c r="F502" s="422"/>
      <c r="G502" s="422"/>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row>
    <row r="503">
      <c r="A503" s="48"/>
      <c r="B503" s="48"/>
      <c r="C503" s="48"/>
      <c r="D503" s="48"/>
      <c r="E503" s="48"/>
      <c r="F503" s="422"/>
      <c r="G503" s="422"/>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row>
    <row r="504">
      <c r="A504" s="48"/>
      <c r="B504" s="48"/>
      <c r="C504" s="48"/>
      <c r="D504" s="48"/>
      <c r="E504" s="48"/>
      <c r="F504" s="422"/>
      <c r="G504" s="422"/>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row>
    <row r="505">
      <c r="A505" s="48"/>
      <c r="B505" s="48"/>
      <c r="C505" s="48"/>
      <c r="D505" s="48"/>
      <c r="E505" s="48"/>
      <c r="F505" s="422"/>
      <c r="G505" s="422"/>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row>
    <row r="506">
      <c r="A506" s="48"/>
      <c r="B506" s="48"/>
      <c r="C506" s="48"/>
      <c r="D506" s="48"/>
      <c r="E506" s="48"/>
      <c r="F506" s="422"/>
      <c r="G506" s="422"/>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row>
    <row r="507">
      <c r="A507" s="48"/>
      <c r="B507" s="48"/>
      <c r="C507" s="48"/>
      <c r="D507" s="48"/>
      <c r="E507" s="48"/>
      <c r="F507" s="422"/>
      <c r="G507" s="422"/>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row>
    <row r="508">
      <c r="A508" s="48"/>
      <c r="B508" s="48"/>
      <c r="C508" s="48"/>
      <c r="D508" s="48"/>
      <c r="E508" s="48"/>
      <c r="F508" s="422"/>
      <c r="G508" s="422"/>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row>
    <row r="509">
      <c r="A509" s="48"/>
      <c r="B509" s="48"/>
      <c r="C509" s="48"/>
      <c r="D509" s="48"/>
      <c r="E509" s="48"/>
      <c r="F509" s="422"/>
      <c r="G509" s="422"/>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row>
    <row r="510">
      <c r="A510" s="48"/>
      <c r="B510" s="48"/>
      <c r="C510" s="48"/>
      <c r="D510" s="48"/>
      <c r="E510" s="48"/>
      <c r="F510" s="422"/>
      <c r="G510" s="422"/>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row>
    <row r="511">
      <c r="A511" s="48"/>
      <c r="B511" s="48"/>
      <c r="C511" s="48"/>
      <c r="D511" s="48"/>
      <c r="E511" s="48"/>
      <c r="F511" s="422"/>
      <c r="G511" s="422"/>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row>
    <row r="512">
      <c r="A512" s="48"/>
      <c r="B512" s="48"/>
      <c r="C512" s="48"/>
      <c r="D512" s="48"/>
      <c r="E512" s="48"/>
      <c r="F512" s="422"/>
      <c r="G512" s="422"/>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row>
    <row r="513">
      <c r="A513" s="48"/>
      <c r="B513" s="48"/>
      <c r="C513" s="48"/>
      <c r="D513" s="48"/>
      <c r="E513" s="48"/>
      <c r="F513" s="422"/>
      <c r="G513" s="422"/>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row>
    <row r="514">
      <c r="A514" s="48"/>
      <c r="B514" s="48"/>
      <c r="C514" s="48"/>
      <c r="D514" s="48"/>
      <c r="E514" s="48"/>
      <c r="F514" s="422"/>
      <c r="G514" s="422"/>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row>
    <row r="515">
      <c r="A515" s="48"/>
      <c r="B515" s="48"/>
      <c r="C515" s="48"/>
      <c r="D515" s="48"/>
      <c r="E515" s="48"/>
      <c r="F515" s="422"/>
      <c r="G515" s="422"/>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row>
    <row r="516">
      <c r="A516" s="48"/>
      <c r="B516" s="48"/>
      <c r="C516" s="48"/>
      <c r="D516" s="48"/>
      <c r="E516" s="48"/>
      <c r="F516" s="422"/>
      <c r="G516" s="422"/>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row>
    <row r="517">
      <c r="A517" s="48"/>
      <c r="B517" s="48"/>
      <c r="C517" s="48"/>
      <c r="D517" s="48"/>
      <c r="E517" s="48"/>
      <c r="F517" s="422"/>
      <c r="G517" s="422"/>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row>
    <row r="518">
      <c r="A518" s="48"/>
      <c r="B518" s="48"/>
      <c r="C518" s="48"/>
      <c r="D518" s="48"/>
      <c r="E518" s="48"/>
      <c r="F518" s="422"/>
      <c r="G518" s="422"/>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row>
    <row r="519">
      <c r="A519" s="48"/>
      <c r="B519" s="48"/>
      <c r="C519" s="48"/>
      <c r="D519" s="48"/>
      <c r="E519" s="48"/>
      <c r="F519" s="422"/>
      <c r="G519" s="422"/>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row>
    <row r="520">
      <c r="A520" s="48"/>
      <c r="B520" s="48"/>
      <c r="C520" s="48"/>
      <c r="D520" s="48"/>
      <c r="E520" s="48"/>
      <c r="F520" s="422"/>
      <c r="G520" s="422"/>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row>
    <row r="521">
      <c r="A521" s="48"/>
      <c r="B521" s="48"/>
      <c r="C521" s="48"/>
      <c r="D521" s="48"/>
      <c r="E521" s="48"/>
      <c r="F521" s="422"/>
      <c r="G521" s="422"/>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row>
    <row r="522">
      <c r="A522" s="48"/>
      <c r="B522" s="48"/>
      <c r="C522" s="48"/>
      <c r="D522" s="48"/>
      <c r="E522" s="48"/>
      <c r="F522" s="422"/>
      <c r="G522" s="422"/>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row>
    <row r="523">
      <c r="A523" s="48"/>
      <c r="B523" s="48"/>
      <c r="C523" s="48"/>
      <c r="D523" s="48"/>
      <c r="E523" s="48"/>
      <c r="F523" s="422"/>
      <c r="G523" s="422"/>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row>
    <row r="524">
      <c r="A524" s="48"/>
      <c r="B524" s="48"/>
      <c r="C524" s="48"/>
      <c r="D524" s="48"/>
      <c r="E524" s="48"/>
      <c r="F524" s="422"/>
      <c r="G524" s="422"/>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row>
    <row r="525">
      <c r="A525" s="48"/>
      <c r="B525" s="48"/>
      <c r="C525" s="48"/>
      <c r="D525" s="48"/>
      <c r="E525" s="48"/>
      <c r="F525" s="422"/>
      <c r="G525" s="422"/>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row>
    <row r="526">
      <c r="A526" s="48"/>
      <c r="B526" s="48"/>
      <c r="C526" s="48"/>
      <c r="D526" s="48"/>
      <c r="E526" s="48"/>
      <c r="F526" s="422"/>
      <c r="G526" s="422"/>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row>
    <row r="527">
      <c r="A527" s="48"/>
      <c r="B527" s="48"/>
      <c r="C527" s="48"/>
      <c r="D527" s="48"/>
      <c r="E527" s="48"/>
      <c r="F527" s="422"/>
      <c r="G527" s="422"/>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row>
    <row r="528">
      <c r="A528" s="48"/>
      <c r="B528" s="48"/>
      <c r="C528" s="48"/>
      <c r="D528" s="48"/>
      <c r="E528" s="48"/>
      <c r="F528" s="422"/>
      <c r="G528" s="422"/>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row>
    <row r="529">
      <c r="A529" s="48"/>
      <c r="B529" s="48"/>
      <c r="C529" s="48"/>
      <c r="D529" s="48"/>
      <c r="E529" s="48"/>
      <c r="F529" s="422"/>
      <c r="G529" s="422"/>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row>
    <row r="530">
      <c r="A530" s="48"/>
      <c r="B530" s="48"/>
      <c r="C530" s="48"/>
      <c r="D530" s="48"/>
      <c r="E530" s="48"/>
      <c r="F530" s="422"/>
      <c r="G530" s="422"/>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row>
    <row r="531">
      <c r="A531" s="48"/>
      <c r="B531" s="48"/>
      <c r="C531" s="48"/>
      <c r="D531" s="48"/>
      <c r="E531" s="48"/>
      <c r="F531" s="422"/>
      <c r="G531" s="422"/>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row>
    <row r="532">
      <c r="A532" s="48"/>
      <c r="B532" s="48"/>
      <c r="C532" s="48"/>
      <c r="D532" s="48"/>
      <c r="E532" s="48"/>
      <c r="F532" s="422"/>
      <c r="G532" s="422"/>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row>
    <row r="533">
      <c r="A533" s="48"/>
      <c r="B533" s="48"/>
      <c r="C533" s="48"/>
      <c r="D533" s="48"/>
      <c r="E533" s="48"/>
      <c r="F533" s="422"/>
      <c r="G533" s="422"/>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row>
    <row r="534">
      <c r="A534" s="48"/>
      <c r="B534" s="48"/>
      <c r="C534" s="48"/>
      <c r="D534" s="48"/>
      <c r="E534" s="48"/>
      <c r="F534" s="422"/>
      <c r="G534" s="422"/>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row>
    <row r="535">
      <c r="A535" s="48"/>
      <c r="B535" s="48"/>
      <c r="C535" s="48"/>
      <c r="D535" s="48"/>
      <c r="E535" s="48"/>
      <c r="F535" s="422"/>
      <c r="G535" s="422"/>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row>
    <row r="536">
      <c r="A536" s="48"/>
      <c r="B536" s="48"/>
      <c r="C536" s="48"/>
      <c r="D536" s="48"/>
      <c r="E536" s="48"/>
      <c r="F536" s="422"/>
      <c r="G536" s="422"/>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row>
    <row r="537">
      <c r="A537" s="48"/>
      <c r="B537" s="48"/>
      <c r="C537" s="48"/>
      <c r="D537" s="48"/>
      <c r="E537" s="48"/>
      <c r="F537" s="422"/>
      <c r="G537" s="422"/>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row>
    <row r="538">
      <c r="A538" s="48"/>
      <c r="B538" s="48"/>
      <c r="C538" s="48"/>
      <c r="D538" s="48"/>
      <c r="E538" s="48"/>
      <c r="F538" s="422"/>
      <c r="G538" s="422"/>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row>
    <row r="539">
      <c r="A539" s="48"/>
      <c r="B539" s="48"/>
      <c r="C539" s="48"/>
      <c r="D539" s="48"/>
      <c r="E539" s="48"/>
      <c r="F539" s="422"/>
      <c r="G539" s="422"/>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row>
    <row r="540">
      <c r="A540" s="48"/>
      <c r="B540" s="48"/>
      <c r="C540" s="48"/>
      <c r="D540" s="48"/>
      <c r="E540" s="48"/>
      <c r="F540" s="422"/>
      <c r="G540" s="422"/>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row>
    <row r="541">
      <c r="A541" s="48"/>
      <c r="B541" s="48"/>
      <c r="C541" s="48"/>
      <c r="D541" s="48"/>
      <c r="E541" s="48"/>
      <c r="F541" s="422"/>
      <c r="G541" s="422"/>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row>
    <row r="542">
      <c r="A542" s="48"/>
      <c r="B542" s="48"/>
      <c r="C542" s="48"/>
      <c r="D542" s="48"/>
      <c r="E542" s="48"/>
      <c r="F542" s="422"/>
      <c r="G542" s="422"/>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row>
    <row r="543">
      <c r="A543" s="48"/>
      <c r="B543" s="48"/>
      <c r="C543" s="48"/>
      <c r="D543" s="48"/>
      <c r="E543" s="48"/>
      <c r="F543" s="422"/>
      <c r="G543" s="422"/>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row>
    <row r="544">
      <c r="A544" s="48"/>
      <c r="B544" s="48"/>
      <c r="C544" s="48"/>
      <c r="D544" s="48"/>
      <c r="E544" s="48"/>
      <c r="F544" s="422"/>
      <c r="G544" s="422"/>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row>
    <row r="545">
      <c r="A545" s="48"/>
      <c r="B545" s="48"/>
      <c r="C545" s="48"/>
      <c r="D545" s="48"/>
      <c r="E545" s="48"/>
      <c r="F545" s="422"/>
      <c r="G545" s="422"/>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row>
    <row r="546">
      <c r="A546" s="48"/>
      <c r="B546" s="48"/>
      <c r="C546" s="48"/>
      <c r="D546" s="48"/>
      <c r="E546" s="48"/>
      <c r="F546" s="422"/>
      <c r="G546" s="422"/>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row>
    <row r="547">
      <c r="A547" s="48"/>
      <c r="B547" s="48"/>
      <c r="C547" s="48"/>
      <c r="D547" s="48"/>
      <c r="E547" s="48"/>
      <c r="F547" s="422"/>
      <c r="G547" s="422"/>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row>
    <row r="548">
      <c r="A548" s="48"/>
      <c r="B548" s="48"/>
      <c r="C548" s="48"/>
      <c r="D548" s="48"/>
      <c r="E548" s="48"/>
      <c r="F548" s="422"/>
      <c r="G548" s="422"/>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row>
    <row r="549">
      <c r="A549" s="48"/>
      <c r="B549" s="48"/>
      <c r="C549" s="48"/>
      <c r="D549" s="48"/>
      <c r="E549" s="48"/>
      <c r="F549" s="422"/>
      <c r="G549" s="422"/>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row>
    <row r="550">
      <c r="A550" s="48"/>
      <c r="B550" s="48"/>
      <c r="C550" s="48"/>
      <c r="D550" s="48"/>
      <c r="E550" s="48"/>
      <c r="F550" s="422"/>
      <c r="G550" s="422"/>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row>
    <row r="551">
      <c r="A551" s="48"/>
      <c r="B551" s="48"/>
      <c r="C551" s="48"/>
      <c r="D551" s="48"/>
      <c r="E551" s="48"/>
      <c r="F551" s="422"/>
      <c r="G551" s="422"/>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row>
    <row r="552">
      <c r="A552" s="48"/>
      <c r="B552" s="48"/>
      <c r="C552" s="48"/>
      <c r="D552" s="48"/>
      <c r="E552" s="48"/>
      <c r="F552" s="422"/>
      <c r="G552" s="422"/>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row>
    <row r="553">
      <c r="A553" s="48"/>
      <c r="B553" s="48"/>
      <c r="C553" s="48"/>
      <c r="D553" s="48"/>
      <c r="E553" s="48"/>
      <c r="F553" s="422"/>
      <c r="G553" s="422"/>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row>
    <row r="554">
      <c r="A554" s="48"/>
      <c r="B554" s="48"/>
      <c r="C554" s="48"/>
      <c r="D554" s="48"/>
      <c r="E554" s="48"/>
      <c r="F554" s="422"/>
      <c r="G554" s="422"/>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row>
    <row r="555">
      <c r="A555" s="48"/>
      <c r="B555" s="48"/>
      <c r="C555" s="48"/>
      <c r="D555" s="48"/>
      <c r="E555" s="48"/>
      <c r="F555" s="422"/>
      <c r="G555" s="422"/>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row>
    <row r="556">
      <c r="A556" s="48"/>
      <c r="B556" s="48"/>
      <c r="C556" s="48"/>
      <c r="D556" s="48"/>
      <c r="E556" s="48"/>
      <c r="F556" s="422"/>
      <c r="G556" s="422"/>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row>
    <row r="557">
      <c r="A557" s="48"/>
      <c r="B557" s="48"/>
      <c r="C557" s="48"/>
      <c r="D557" s="48"/>
      <c r="E557" s="48"/>
      <c r="F557" s="422"/>
      <c r="G557" s="422"/>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row>
    <row r="558">
      <c r="A558" s="48"/>
      <c r="B558" s="48"/>
      <c r="C558" s="48"/>
      <c r="D558" s="48"/>
      <c r="E558" s="48"/>
      <c r="F558" s="422"/>
      <c r="G558" s="422"/>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row>
    <row r="559">
      <c r="A559" s="48"/>
      <c r="B559" s="48"/>
      <c r="C559" s="48"/>
      <c r="D559" s="48"/>
      <c r="E559" s="48"/>
      <c r="F559" s="422"/>
      <c r="G559" s="422"/>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row>
    <row r="560">
      <c r="A560" s="48"/>
      <c r="B560" s="48"/>
      <c r="C560" s="48"/>
      <c r="D560" s="48"/>
      <c r="E560" s="48"/>
      <c r="F560" s="422"/>
      <c r="G560" s="422"/>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row>
    <row r="561">
      <c r="A561" s="48"/>
      <c r="B561" s="48"/>
      <c r="C561" s="48"/>
      <c r="D561" s="48"/>
      <c r="E561" s="48"/>
      <c r="F561" s="422"/>
      <c r="G561" s="422"/>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row>
    <row r="562">
      <c r="A562" s="48"/>
      <c r="B562" s="48"/>
      <c r="C562" s="48"/>
      <c r="D562" s="48"/>
      <c r="E562" s="48"/>
      <c r="F562" s="422"/>
      <c r="G562" s="422"/>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row>
    <row r="563">
      <c r="A563" s="48"/>
      <c r="B563" s="48"/>
      <c r="C563" s="48"/>
      <c r="D563" s="48"/>
      <c r="E563" s="48"/>
      <c r="F563" s="422"/>
      <c r="G563" s="422"/>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row>
    <row r="564">
      <c r="A564" s="48"/>
      <c r="B564" s="48"/>
      <c r="C564" s="48"/>
      <c r="D564" s="48"/>
      <c r="E564" s="48"/>
      <c r="F564" s="422"/>
      <c r="G564" s="422"/>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row>
    <row r="565">
      <c r="A565" s="48"/>
      <c r="B565" s="48"/>
      <c r="C565" s="48"/>
      <c r="D565" s="48"/>
      <c r="E565" s="48"/>
      <c r="F565" s="422"/>
      <c r="G565" s="422"/>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row>
    <row r="566">
      <c r="A566" s="48"/>
      <c r="B566" s="48"/>
      <c r="C566" s="48"/>
      <c r="D566" s="48"/>
      <c r="E566" s="48"/>
      <c r="F566" s="422"/>
      <c r="G566" s="422"/>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row>
    <row r="567">
      <c r="A567" s="48"/>
      <c r="B567" s="48"/>
      <c r="C567" s="48"/>
      <c r="D567" s="48"/>
      <c r="E567" s="48"/>
      <c r="F567" s="422"/>
      <c r="G567" s="422"/>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row>
    <row r="568">
      <c r="A568" s="48"/>
      <c r="B568" s="48"/>
      <c r="C568" s="48"/>
      <c r="D568" s="48"/>
      <c r="E568" s="48"/>
      <c r="F568" s="422"/>
      <c r="G568" s="422"/>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row>
    <row r="569">
      <c r="A569" s="48"/>
      <c r="B569" s="48"/>
      <c r="C569" s="48"/>
      <c r="D569" s="48"/>
      <c r="E569" s="48"/>
      <c r="F569" s="422"/>
      <c r="G569" s="422"/>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row>
    <row r="570">
      <c r="A570" s="48"/>
      <c r="B570" s="48"/>
      <c r="C570" s="48"/>
      <c r="D570" s="48"/>
      <c r="E570" s="48"/>
      <c r="F570" s="422"/>
      <c r="G570" s="422"/>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row>
    <row r="571">
      <c r="A571" s="48"/>
      <c r="B571" s="48"/>
      <c r="C571" s="48"/>
      <c r="D571" s="48"/>
      <c r="E571" s="48"/>
      <c r="F571" s="422"/>
      <c r="G571" s="422"/>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row>
    <row r="572">
      <c r="A572" s="48"/>
      <c r="B572" s="48"/>
      <c r="C572" s="48"/>
      <c r="D572" s="48"/>
      <c r="E572" s="48"/>
      <c r="F572" s="422"/>
      <c r="G572" s="422"/>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row>
    <row r="573">
      <c r="A573" s="48"/>
      <c r="B573" s="48"/>
      <c r="C573" s="48"/>
      <c r="D573" s="48"/>
      <c r="E573" s="48"/>
      <c r="F573" s="422"/>
      <c r="G573" s="422"/>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row>
    <row r="574">
      <c r="A574" s="48"/>
      <c r="B574" s="48"/>
      <c r="C574" s="48"/>
      <c r="D574" s="48"/>
      <c r="E574" s="48"/>
      <c r="F574" s="422"/>
      <c r="G574" s="422"/>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row>
    <row r="575">
      <c r="A575" s="48"/>
      <c r="B575" s="48"/>
      <c r="C575" s="48"/>
      <c r="D575" s="48"/>
      <c r="E575" s="48"/>
      <c r="F575" s="422"/>
      <c r="G575" s="422"/>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row>
    <row r="576">
      <c r="A576" s="48"/>
      <c r="B576" s="48"/>
      <c r="C576" s="48"/>
      <c r="D576" s="48"/>
      <c r="E576" s="48"/>
      <c r="F576" s="422"/>
      <c r="G576" s="422"/>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row>
    <row r="577">
      <c r="A577" s="48"/>
      <c r="B577" s="48"/>
      <c r="C577" s="48"/>
      <c r="D577" s="48"/>
      <c r="E577" s="48"/>
      <c r="F577" s="422"/>
      <c r="G577" s="422"/>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row>
    <row r="578">
      <c r="A578" s="48"/>
      <c r="B578" s="48"/>
      <c r="C578" s="48"/>
      <c r="D578" s="48"/>
      <c r="E578" s="48"/>
      <c r="F578" s="422"/>
      <c r="G578" s="422"/>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row>
    <row r="579">
      <c r="A579" s="48"/>
      <c r="B579" s="48"/>
      <c r="C579" s="48"/>
      <c r="D579" s="48"/>
      <c r="E579" s="48"/>
      <c r="F579" s="422"/>
      <c r="G579" s="422"/>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row>
    <row r="580">
      <c r="A580" s="48"/>
      <c r="B580" s="48"/>
      <c r="C580" s="48"/>
      <c r="D580" s="48"/>
      <c r="E580" s="48"/>
      <c r="F580" s="422"/>
      <c r="G580" s="422"/>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row>
    <row r="581">
      <c r="A581" s="48"/>
      <c r="B581" s="48"/>
      <c r="C581" s="48"/>
      <c r="D581" s="48"/>
      <c r="E581" s="48"/>
      <c r="F581" s="422"/>
      <c r="G581" s="422"/>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row>
    <row r="582">
      <c r="A582" s="48"/>
      <c r="B582" s="48"/>
      <c r="C582" s="48"/>
      <c r="D582" s="48"/>
      <c r="E582" s="48"/>
      <c r="F582" s="422"/>
      <c r="G582" s="422"/>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row>
    <row r="583">
      <c r="A583" s="48"/>
      <c r="B583" s="48"/>
      <c r="C583" s="48"/>
      <c r="D583" s="48"/>
      <c r="E583" s="48"/>
      <c r="F583" s="422"/>
      <c r="G583" s="422"/>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row>
    <row r="584">
      <c r="A584" s="48"/>
      <c r="B584" s="48"/>
      <c r="C584" s="48"/>
      <c r="D584" s="48"/>
      <c r="E584" s="48"/>
      <c r="F584" s="422"/>
      <c r="G584" s="422"/>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row>
    <row r="585">
      <c r="A585" s="48"/>
      <c r="B585" s="48"/>
      <c r="C585" s="48"/>
      <c r="D585" s="48"/>
      <c r="E585" s="48"/>
      <c r="F585" s="422"/>
      <c r="G585" s="422"/>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row>
    <row r="586">
      <c r="A586" s="48"/>
      <c r="B586" s="48"/>
      <c r="C586" s="48"/>
      <c r="D586" s="48"/>
      <c r="E586" s="48"/>
      <c r="F586" s="422"/>
      <c r="G586" s="422"/>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row>
    <row r="587">
      <c r="A587" s="48"/>
      <c r="B587" s="48"/>
      <c r="C587" s="48"/>
      <c r="D587" s="48"/>
      <c r="E587" s="48"/>
      <c r="F587" s="422"/>
      <c r="G587" s="422"/>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row>
    <row r="588">
      <c r="A588" s="48"/>
      <c r="B588" s="48"/>
      <c r="C588" s="48"/>
      <c r="D588" s="48"/>
      <c r="E588" s="48"/>
      <c r="F588" s="422"/>
      <c r="G588" s="422"/>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row>
    <row r="589">
      <c r="A589" s="48"/>
      <c r="B589" s="48"/>
      <c r="C589" s="48"/>
      <c r="D589" s="48"/>
      <c r="E589" s="48"/>
      <c r="F589" s="422"/>
      <c r="G589" s="422"/>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row>
    <row r="590">
      <c r="A590" s="48"/>
      <c r="B590" s="48"/>
      <c r="C590" s="48"/>
      <c r="D590" s="48"/>
      <c r="E590" s="48"/>
      <c r="F590" s="422"/>
      <c r="G590" s="422"/>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row>
    <row r="591">
      <c r="A591" s="48"/>
      <c r="B591" s="48"/>
      <c r="C591" s="48"/>
      <c r="D591" s="48"/>
      <c r="E591" s="48"/>
      <c r="F591" s="422"/>
      <c r="G591" s="422"/>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row>
    <row r="592">
      <c r="A592" s="48"/>
      <c r="B592" s="48"/>
      <c r="C592" s="48"/>
      <c r="D592" s="48"/>
      <c r="E592" s="48"/>
      <c r="F592" s="422"/>
      <c r="G592" s="422"/>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row>
    <row r="593">
      <c r="A593" s="48"/>
      <c r="B593" s="48"/>
      <c r="C593" s="48"/>
      <c r="D593" s="48"/>
      <c r="E593" s="48"/>
      <c r="F593" s="422"/>
      <c r="G593" s="422"/>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row>
    <row r="594">
      <c r="A594" s="48"/>
      <c r="B594" s="48"/>
      <c r="C594" s="48"/>
      <c r="D594" s="48"/>
      <c r="E594" s="48"/>
      <c r="F594" s="422"/>
      <c r="G594" s="422"/>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row>
    <row r="595">
      <c r="A595" s="48"/>
      <c r="B595" s="48"/>
      <c r="C595" s="48"/>
      <c r="D595" s="48"/>
      <c r="E595" s="48"/>
      <c r="F595" s="422"/>
      <c r="G595" s="422"/>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row>
    <row r="596">
      <c r="A596" s="48"/>
      <c r="B596" s="48"/>
      <c r="C596" s="48"/>
      <c r="D596" s="48"/>
      <c r="E596" s="48"/>
      <c r="F596" s="422"/>
      <c r="G596" s="422"/>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row>
    <row r="597">
      <c r="A597" s="48"/>
      <c r="B597" s="48"/>
      <c r="C597" s="48"/>
      <c r="D597" s="48"/>
      <c r="E597" s="48"/>
      <c r="F597" s="422"/>
      <c r="G597" s="422"/>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row>
    <row r="598">
      <c r="A598" s="48"/>
      <c r="B598" s="48"/>
      <c r="C598" s="48"/>
      <c r="D598" s="48"/>
      <c r="E598" s="48"/>
      <c r="F598" s="422"/>
      <c r="G598" s="422"/>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row>
    <row r="599">
      <c r="A599" s="48"/>
      <c r="B599" s="48"/>
      <c r="C599" s="48"/>
      <c r="D599" s="48"/>
      <c r="E599" s="48"/>
      <c r="F599" s="422"/>
      <c r="G599" s="422"/>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row>
    <row r="600">
      <c r="A600" s="48"/>
      <c r="B600" s="48"/>
      <c r="C600" s="48"/>
      <c r="D600" s="48"/>
      <c r="E600" s="48"/>
      <c r="F600" s="422"/>
      <c r="G600" s="422"/>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row>
    <row r="601">
      <c r="A601" s="48"/>
      <c r="B601" s="48"/>
      <c r="C601" s="48"/>
      <c r="D601" s="48"/>
      <c r="E601" s="48"/>
      <c r="F601" s="422"/>
      <c r="G601" s="422"/>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row>
    <row r="602">
      <c r="A602" s="48"/>
      <c r="B602" s="48"/>
      <c r="C602" s="48"/>
      <c r="D602" s="48"/>
      <c r="E602" s="48"/>
      <c r="F602" s="422"/>
      <c r="G602" s="422"/>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row>
    <row r="603">
      <c r="A603" s="48"/>
      <c r="B603" s="48"/>
      <c r="C603" s="48"/>
      <c r="D603" s="48"/>
      <c r="E603" s="48"/>
      <c r="F603" s="422"/>
      <c r="G603" s="422"/>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row>
    <row r="604">
      <c r="A604" s="48"/>
      <c r="B604" s="48"/>
      <c r="C604" s="48"/>
      <c r="D604" s="48"/>
      <c r="E604" s="48"/>
      <c r="F604" s="422"/>
      <c r="G604" s="422"/>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row>
    <row r="605">
      <c r="A605" s="48"/>
      <c r="B605" s="48"/>
      <c r="C605" s="48"/>
      <c r="D605" s="48"/>
      <c r="E605" s="48"/>
      <c r="F605" s="422"/>
      <c r="G605" s="422"/>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row>
    <row r="606">
      <c r="A606" s="48"/>
      <c r="B606" s="48"/>
      <c r="C606" s="48"/>
      <c r="D606" s="48"/>
      <c r="E606" s="48"/>
      <c r="F606" s="422"/>
      <c r="G606" s="422"/>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row>
    <row r="607">
      <c r="A607" s="48"/>
      <c r="B607" s="48"/>
      <c r="C607" s="48"/>
      <c r="D607" s="48"/>
      <c r="E607" s="48"/>
      <c r="F607" s="422"/>
      <c r="G607" s="422"/>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row>
    <row r="608">
      <c r="A608" s="48"/>
      <c r="B608" s="48"/>
      <c r="C608" s="48"/>
      <c r="D608" s="48"/>
      <c r="E608" s="48"/>
      <c r="F608" s="422"/>
      <c r="G608" s="422"/>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row>
    <row r="609">
      <c r="A609" s="48"/>
      <c r="B609" s="48"/>
      <c r="C609" s="48"/>
      <c r="D609" s="48"/>
      <c r="E609" s="48"/>
      <c r="F609" s="422"/>
      <c r="G609" s="422"/>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row>
    <row r="610">
      <c r="A610" s="48"/>
      <c r="B610" s="48"/>
      <c r="C610" s="48"/>
      <c r="D610" s="48"/>
      <c r="E610" s="48"/>
      <c r="F610" s="422"/>
      <c r="G610" s="422"/>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row>
    <row r="611">
      <c r="A611" s="48"/>
      <c r="B611" s="48"/>
      <c r="C611" s="48"/>
      <c r="D611" s="48"/>
      <c r="E611" s="48"/>
      <c r="F611" s="422"/>
      <c r="G611" s="422"/>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row>
    <row r="612">
      <c r="A612" s="48"/>
      <c r="B612" s="48"/>
      <c r="C612" s="48"/>
      <c r="D612" s="48"/>
      <c r="E612" s="48"/>
      <c r="F612" s="422"/>
      <c r="G612" s="422"/>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row>
    <row r="613">
      <c r="A613" s="48"/>
      <c r="B613" s="48"/>
      <c r="C613" s="48"/>
      <c r="D613" s="48"/>
      <c r="E613" s="48"/>
      <c r="F613" s="422"/>
      <c r="G613" s="422"/>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row>
    <row r="614">
      <c r="A614" s="48"/>
      <c r="B614" s="48"/>
      <c r="C614" s="48"/>
      <c r="D614" s="48"/>
      <c r="E614" s="48"/>
      <c r="F614" s="422"/>
      <c r="G614" s="422"/>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row>
    <row r="615">
      <c r="A615" s="48"/>
      <c r="B615" s="48"/>
      <c r="C615" s="48"/>
      <c r="D615" s="48"/>
      <c r="E615" s="48"/>
      <c r="F615" s="422"/>
      <c r="G615" s="422"/>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row>
    <row r="616">
      <c r="A616" s="48"/>
      <c r="B616" s="48"/>
      <c r="C616" s="48"/>
      <c r="D616" s="48"/>
      <c r="E616" s="48"/>
      <c r="F616" s="422"/>
      <c r="G616" s="422"/>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row>
    <row r="617">
      <c r="A617" s="48"/>
      <c r="B617" s="48"/>
      <c r="C617" s="48"/>
      <c r="D617" s="48"/>
      <c r="E617" s="48"/>
      <c r="F617" s="422"/>
      <c r="G617" s="422"/>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row>
    <row r="618">
      <c r="A618" s="48"/>
      <c r="B618" s="48"/>
      <c r="C618" s="48"/>
      <c r="D618" s="48"/>
      <c r="E618" s="48"/>
      <c r="F618" s="422"/>
      <c r="G618" s="422"/>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row>
    <row r="619">
      <c r="A619" s="48"/>
      <c r="B619" s="48"/>
      <c r="C619" s="48"/>
      <c r="D619" s="48"/>
      <c r="E619" s="48"/>
      <c r="F619" s="422"/>
      <c r="G619" s="422"/>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row>
    <row r="620">
      <c r="A620" s="48"/>
      <c r="B620" s="48"/>
      <c r="C620" s="48"/>
      <c r="D620" s="48"/>
      <c r="E620" s="48"/>
      <c r="F620" s="422"/>
      <c r="G620" s="422"/>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row>
    <row r="621">
      <c r="A621" s="48"/>
      <c r="B621" s="48"/>
      <c r="C621" s="48"/>
      <c r="D621" s="48"/>
      <c r="E621" s="48"/>
      <c r="F621" s="422"/>
      <c r="G621" s="422"/>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row>
    <row r="622">
      <c r="A622" s="48"/>
      <c r="B622" s="48"/>
      <c r="C622" s="48"/>
      <c r="D622" s="48"/>
      <c r="E622" s="48"/>
      <c r="F622" s="422"/>
      <c r="G622" s="422"/>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row>
    <row r="623">
      <c r="A623" s="48"/>
      <c r="B623" s="48"/>
      <c r="C623" s="48"/>
      <c r="D623" s="48"/>
      <c r="E623" s="48"/>
      <c r="F623" s="422"/>
      <c r="G623" s="422"/>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row>
    <row r="624">
      <c r="A624" s="48"/>
      <c r="B624" s="48"/>
      <c r="C624" s="48"/>
      <c r="D624" s="48"/>
      <c r="E624" s="48"/>
      <c r="F624" s="422"/>
      <c r="G624" s="422"/>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row>
    <row r="625">
      <c r="A625" s="48"/>
      <c r="B625" s="48"/>
      <c r="C625" s="48"/>
      <c r="D625" s="48"/>
      <c r="E625" s="48"/>
      <c r="F625" s="422"/>
      <c r="G625" s="422"/>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row>
    <row r="626">
      <c r="A626" s="48"/>
      <c r="B626" s="48"/>
      <c r="C626" s="48"/>
      <c r="D626" s="48"/>
      <c r="E626" s="48"/>
      <c r="F626" s="422"/>
      <c r="G626" s="422"/>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row>
    <row r="627">
      <c r="A627" s="48"/>
      <c r="B627" s="48"/>
      <c r="C627" s="48"/>
      <c r="D627" s="48"/>
      <c r="E627" s="48"/>
      <c r="F627" s="422"/>
      <c r="G627" s="422"/>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row>
    <row r="628">
      <c r="A628" s="48"/>
      <c r="B628" s="48"/>
      <c r="C628" s="48"/>
      <c r="D628" s="48"/>
      <c r="E628" s="48"/>
      <c r="F628" s="422"/>
      <c r="G628" s="422"/>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row>
    <row r="629">
      <c r="A629" s="48"/>
      <c r="B629" s="48"/>
      <c r="C629" s="48"/>
      <c r="D629" s="48"/>
      <c r="E629" s="48"/>
      <c r="F629" s="422"/>
      <c r="G629" s="422"/>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row>
    <row r="630">
      <c r="A630" s="48"/>
      <c r="B630" s="48"/>
      <c r="C630" s="48"/>
      <c r="D630" s="48"/>
      <c r="E630" s="48"/>
      <c r="F630" s="422"/>
      <c r="G630" s="422"/>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row>
    <row r="631">
      <c r="A631" s="48"/>
      <c r="B631" s="48"/>
      <c r="C631" s="48"/>
      <c r="D631" s="48"/>
      <c r="E631" s="48"/>
      <c r="F631" s="422"/>
      <c r="G631" s="422"/>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row>
    <row r="632">
      <c r="A632" s="48"/>
      <c r="B632" s="48"/>
      <c r="C632" s="48"/>
      <c r="D632" s="48"/>
      <c r="E632" s="48"/>
      <c r="F632" s="422"/>
      <c r="G632" s="422"/>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row>
    <row r="633">
      <c r="A633" s="48"/>
      <c r="B633" s="48"/>
      <c r="C633" s="48"/>
      <c r="D633" s="48"/>
      <c r="E633" s="48"/>
      <c r="F633" s="422"/>
      <c r="G633" s="422"/>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row>
    <row r="634">
      <c r="A634" s="48"/>
      <c r="B634" s="48"/>
      <c r="C634" s="48"/>
      <c r="D634" s="48"/>
      <c r="E634" s="48"/>
      <c r="F634" s="422"/>
      <c r="G634" s="422"/>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row>
    <row r="635">
      <c r="A635" s="48"/>
      <c r="B635" s="48"/>
      <c r="C635" s="48"/>
      <c r="D635" s="48"/>
      <c r="E635" s="48"/>
      <c r="F635" s="422"/>
      <c r="G635" s="422"/>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row>
    <row r="636">
      <c r="A636" s="48"/>
      <c r="B636" s="48"/>
      <c r="C636" s="48"/>
      <c r="D636" s="48"/>
      <c r="E636" s="48"/>
      <c r="F636" s="422"/>
      <c r="G636" s="422"/>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row>
    <row r="637">
      <c r="A637" s="48"/>
      <c r="B637" s="48"/>
      <c r="C637" s="48"/>
      <c r="D637" s="48"/>
      <c r="E637" s="48"/>
      <c r="F637" s="422"/>
      <c r="G637" s="422"/>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row>
    <row r="638">
      <c r="A638" s="48"/>
      <c r="B638" s="48"/>
      <c r="C638" s="48"/>
      <c r="D638" s="48"/>
      <c r="E638" s="48"/>
      <c r="F638" s="422"/>
      <c r="G638" s="422"/>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row>
    <row r="639">
      <c r="A639" s="48"/>
      <c r="B639" s="48"/>
      <c r="C639" s="48"/>
      <c r="D639" s="48"/>
      <c r="E639" s="48"/>
      <c r="F639" s="422"/>
      <c r="G639" s="422"/>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row>
    <row r="640">
      <c r="A640" s="48"/>
      <c r="B640" s="48"/>
      <c r="C640" s="48"/>
      <c r="D640" s="48"/>
      <c r="E640" s="48"/>
      <c r="F640" s="422"/>
      <c r="G640" s="422"/>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row>
    <row r="641">
      <c r="A641" s="48"/>
      <c r="B641" s="48"/>
      <c r="C641" s="48"/>
      <c r="D641" s="48"/>
      <c r="E641" s="48"/>
      <c r="F641" s="422"/>
      <c r="G641" s="422"/>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row>
    <row r="642">
      <c r="A642" s="48"/>
      <c r="B642" s="48"/>
      <c r="C642" s="48"/>
      <c r="D642" s="48"/>
      <c r="E642" s="48"/>
      <c r="F642" s="422"/>
      <c r="G642" s="422"/>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row>
    <row r="643">
      <c r="A643" s="48"/>
      <c r="B643" s="48"/>
      <c r="C643" s="48"/>
      <c r="D643" s="48"/>
      <c r="E643" s="48"/>
      <c r="F643" s="422"/>
      <c r="G643" s="422"/>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row>
    <row r="644">
      <c r="A644" s="48"/>
      <c r="B644" s="48"/>
      <c r="C644" s="48"/>
      <c r="D644" s="48"/>
      <c r="E644" s="48"/>
      <c r="F644" s="422"/>
      <c r="G644" s="422"/>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row>
    <row r="645">
      <c r="A645" s="48"/>
      <c r="B645" s="48"/>
      <c r="C645" s="48"/>
      <c r="D645" s="48"/>
      <c r="E645" s="48"/>
      <c r="F645" s="422"/>
      <c r="G645" s="422"/>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row>
    <row r="646">
      <c r="A646" s="48"/>
      <c r="B646" s="48"/>
      <c r="C646" s="48"/>
      <c r="D646" s="48"/>
      <c r="E646" s="48"/>
      <c r="F646" s="422"/>
      <c r="G646" s="422"/>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row>
    <row r="647">
      <c r="A647" s="48"/>
      <c r="B647" s="48"/>
      <c r="C647" s="48"/>
      <c r="D647" s="48"/>
      <c r="E647" s="48"/>
      <c r="F647" s="422"/>
      <c r="G647" s="422"/>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row>
    <row r="648">
      <c r="A648" s="48"/>
      <c r="B648" s="48"/>
      <c r="C648" s="48"/>
      <c r="D648" s="48"/>
      <c r="E648" s="48"/>
      <c r="F648" s="422"/>
      <c r="G648" s="422"/>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row>
    <row r="649">
      <c r="A649" s="48"/>
      <c r="B649" s="48"/>
      <c r="C649" s="48"/>
      <c r="D649" s="48"/>
      <c r="E649" s="48"/>
      <c r="F649" s="422"/>
      <c r="G649" s="422"/>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row>
    <row r="650">
      <c r="A650" s="48"/>
      <c r="B650" s="48"/>
      <c r="C650" s="48"/>
      <c r="D650" s="48"/>
      <c r="E650" s="48"/>
      <c r="F650" s="422"/>
      <c r="G650" s="422"/>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row>
    <row r="651">
      <c r="A651" s="48"/>
      <c r="B651" s="48"/>
      <c r="C651" s="48"/>
      <c r="D651" s="48"/>
      <c r="E651" s="48"/>
      <c r="F651" s="422"/>
      <c r="G651" s="422"/>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row>
    <row r="652">
      <c r="A652" s="48"/>
      <c r="B652" s="48"/>
      <c r="C652" s="48"/>
      <c r="D652" s="48"/>
      <c r="E652" s="48"/>
      <c r="F652" s="422"/>
      <c r="G652" s="422"/>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row>
    <row r="653">
      <c r="A653" s="48"/>
      <c r="B653" s="48"/>
      <c r="C653" s="48"/>
      <c r="D653" s="48"/>
      <c r="E653" s="48"/>
      <c r="F653" s="422"/>
      <c r="G653" s="422"/>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row>
    <row r="654">
      <c r="A654" s="48"/>
      <c r="B654" s="48"/>
      <c r="C654" s="48"/>
      <c r="D654" s="48"/>
      <c r="E654" s="48"/>
      <c r="F654" s="422"/>
      <c r="G654" s="422"/>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row>
    <row r="655">
      <c r="A655" s="48"/>
      <c r="B655" s="48"/>
      <c r="C655" s="48"/>
      <c r="D655" s="48"/>
      <c r="E655" s="48"/>
      <c r="F655" s="422"/>
      <c r="G655" s="422"/>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row>
    <row r="656">
      <c r="A656" s="48"/>
      <c r="B656" s="48"/>
      <c r="C656" s="48"/>
      <c r="D656" s="48"/>
      <c r="E656" s="48"/>
      <c r="F656" s="422"/>
      <c r="G656" s="422"/>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row>
    <row r="657">
      <c r="A657" s="48"/>
      <c r="B657" s="48"/>
      <c r="C657" s="48"/>
      <c r="D657" s="48"/>
      <c r="E657" s="48"/>
      <c r="F657" s="422"/>
      <c r="G657" s="422"/>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row>
    <row r="658">
      <c r="A658" s="48"/>
      <c r="B658" s="48"/>
      <c r="C658" s="48"/>
      <c r="D658" s="48"/>
      <c r="E658" s="48"/>
      <c r="F658" s="422"/>
      <c r="G658" s="422"/>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row>
    <row r="659">
      <c r="A659" s="48"/>
      <c r="B659" s="48"/>
      <c r="C659" s="48"/>
      <c r="D659" s="48"/>
      <c r="E659" s="48"/>
      <c r="F659" s="422"/>
      <c r="G659" s="422"/>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row>
    <row r="660">
      <c r="A660" s="48"/>
      <c r="B660" s="48"/>
      <c r="C660" s="48"/>
      <c r="D660" s="48"/>
      <c r="E660" s="48"/>
      <c r="F660" s="422"/>
      <c r="G660" s="422"/>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row>
    <row r="661">
      <c r="A661" s="48"/>
      <c r="B661" s="48"/>
      <c r="C661" s="48"/>
      <c r="D661" s="48"/>
      <c r="E661" s="48"/>
      <c r="F661" s="422"/>
      <c r="G661" s="422"/>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row>
    <row r="662">
      <c r="A662" s="48"/>
      <c r="B662" s="48"/>
      <c r="C662" s="48"/>
      <c r="D662" s="48"/>
      <c r="E662" s="48"/>
      <c r="F662" s="422"/>
      <c r="G662" s="422"/>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row>
    <row r="663">
      <c r="A663" s="48"/>
      <c r="B663" s="48"/>
      <c r="C663" s="48"/>
      <c r="D663" s="48"/>
      <c r="E663" s="48"/>
      <c r="F663" s="422"/>
      <c r="G663" s="422"/>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row>
    <row r="664">
      <c r="A664" s="48"/>
      <c r="B664" s="48"/>
      <c r="C664" s="48"/>
      <c r="D664" s="48"/>
      <c r="E664" s="48"/>
      <c r="F664" s="422"/>
      <c r="G664" s="422"/>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row>
    <row r="665">
      <c r="A665" s="48"/>
      <c r="B665" s="48"/>
      <c r="C665" s="48"/>
      <c r="D665" s="48"/>
      <c r="E665" s="48"/>
      <c r="F665" s="422"/>
      <c r="G665" s="422"/>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row>
    <row r="666">
      <c r="A666" s="48"/>
      <c r="B666" s="48"/>
      <c r="C666" s="48"/>
      <c r="D666" s="48"/>
      <c r="E666" s="48"/>
      <c r="F666" s="422"/>
      <c r="G666" s="422"/>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row>
    <row r="667">
      <c r="A667" s="48"/>
      <c r="B667" s="48"/>
      <c r="C667" s="48"/>
      <c r="D667" s="48"/>
      <c r="E667" s="48"/>
      <c r="F667" s="422"/>
      <c r="G667" s="422"/>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row>
    <row r="668">
      <c r="A668" s="48"/>
      <c r="B668" s="48"/>
      <c r="C668" s="48"/>
      <c r="D668" s="48"/>
      <c r="E668" s="48"/>
      <c r="F668" s="422"/>
      <c r="G668" s="422"/>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row>
    <row r="669">
      <c r="A669" s="48"/>
      <c r="B669" s="48"/>
      <c r="C669" s="48"/>
      <c r="D669" s="48"/>
      <c r="E669" s="48"/>
      <c r="F669" s="422"/>
      <c r="G669" s="422"/>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row>
    <row r="670">
      <c r="A670" s="48"/>
      <c r="B670" s="48"/>
      <c r="C670" s="48"/>
      <c r="D670" s="48"/>
      <c r="E670" s="48"/>
      <c r="F670" s="422"/>
      <c r="G670" s="422"/>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row>
    <row r="671">
      <c r="A671" s="48"/>
      <c r="B671" s="48"/>
      <c r="C671" s="48"/>
      <c r="D671" s="48"/>
      <c r="E671" s="48"/>
      <c r="F671" s="422"/>
      <c r="G671" s="422"/>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row>
    <row r="672">
      <c r="A672" s="48"/>
      <c r="B672" s="48"/>
      <c r="C672" s="48"/>
      <c r="D672" s="48"/>
      <c r="E672" s="48"/>
      <c r="F672" s="422"/>
      <c r="G672" s="422"/>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row>
    <row r="673">
      <c r="A673" s="48"/>
      <c r="B673" s="48"/>
      <c r="C673" s="48"/>
      <c r="D673" s="48"/>
      <c r="E673" s="48"/>
      <c r="F673" s="422"/>
      <c r="G673" s="422"/>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row>
    <row r="674">
      <c r="A674" s="48"/>
      <c r="B674" s="48"/>
      <c r="C674" s="48"/>
      <c r="D674" s="48"/>
      <c r="E674" s="48"/>
      <c r="F674" s="422"/>
      <c r="G674" s="422"/>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row>
    <row r="675">
      <c r="A675" s="48"/>
      <c r="B675" s="48"/>
      <c r="C675" s="48"/>
      <c r="D675" s="48"/>
      <c r="E675" s="48"/>
      <c r="F675" s="422"/>
      <c r="G675" s="422"/>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row>
    <row r="676">
      <c r="A676" s="48"/>
      <c r="B676" s="48"/>
      <c r="C676" s="48"/>
      <c r="D676" s="48"/>
      <c r="E676" s="48"/>
      <c r="F676" s="422"/>
      <c r="G676" s="422"/>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row>
    <row r="677">
      <c r="A677" s="48"/>
      <c r="B677" s="48"/>
      <c r="C677" s="48"/>
      <c r="D677" s="48"/>
      <c r="E677" s="48"/>
      <c r="F677" s="422"/>
      <c r="G677" s="422"/>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row>
    <row r="678">
      <c r="A678" s="48"/>
      <c r="B678" s="48"/>
      <c r="C678" s="48"/>
      <c r="D678" s="48"/>
      <c r="E678" s="48"/>
      <c r="F678" s="422"/>
      <c r="G678" s="422"/>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row>
    <row r="679">
      <c r="A679" s="48"/>
      <c r="B679" s="48"/>
      <c r="C679" s="48"/>
      <c r="D679" s="48"/>
      <c r="E679" s="48"/>
      <c r="F679" s="422"/>
      <c r="G679" s="422"/>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row>
    <row r="680">
      <c r="A680" s="48"/>
      <c r="B680" s="48"/>
      <c r="C680" s="48"/>
      <c r="D680" s="48"/>
      <c r="E680" s="48"/>
      <c r="F680" s="422"/>
      <c r="G680" s="422"/>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row>
    <row r="681">
      <c r="A681" s="48"/>
      <c r="B681" s="48"/>
      <c r="C681" s="48"/>
      <c r="D681" s="48"/>
      <c r="E681" s="48"/>
      <c r="F681" s="422"/>
      <c r="G681" s="422"/>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row>
    <row r="682">
      <c r="A682" s="48"/>
      <c r="B682" s="48"/>
      <c r="C682" s="48"/>
      <c r="D682" s="48"/>
      <c r="E682" s="48"/>
      <c r="F682" s="422"/>
      <c r="G682" s="422"/>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row>
    <row r="683">
      <c r="A683" s="48"/>
      <c r="B683" s="48"/>
      <c r="C683" s="48"/>
      <c r="D683" s="48"/>
      <c r="E683" s="48"/>
      <c r="F683" s="422"/>
      <c r="G683" s="422"/>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row>
    <row r="684">
      <c r="A684" s="48"/>
      <c r="B684" s="48"/>
      <c r="C684" s="48"/>
      <c r="D684" s="48"/>
      <c r="E684" s="48"/>
      <c r="F684" s="422"/>
      <c r="G684" s="422"/>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row>
    <row r="685">
      <c r="A685" s="48"/>
      <c r="B685" s="48"/>
      <c r="C685" s="48"/>
      <c r="D685" s="48"/>
      <c r="E685" s="48"/>
      <c r="F685" s="422"/>
      <c r="G685" s="422"/>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row>
    <row r="686">
      <c r="A686" s="48"/>
      <c r="B686" s="48"/>
      <c r="C686" s="48"/>
      <c r="D686" s="48"/>
      <c r="E686" s="48"/>
      <c r="F686" s="422"/>
      <c r="G686" s="422"/>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row>
    <row r="687">
      <c r="A687" s="48"/>
      <c r="B687" s="48"/>
      <c r="C687" s="48"/>
      <c r="D687" s="48"/>
      <c r="E687" s="48"/>
      <c r="F687" s="422"/>
      <c r="G687" s="422"/>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row>
    <row r="688">
      <c r="A688" s="48"/>
      <c r="B688" s="48"/>
      <c r="C688" s="48"/>
      <c r="D688" s="48"/>
      <c r="E688" s="48"/>
      <c r="F688" s="422"/>
      <c r="G688" s="422"/>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row>
    <row r="689">
      <c r="A689" s="48"/>
      <c r="B689" s="48"/>
      <c r="C689" s="48"/>
      <c r="D689" s="48"/>
      <c r="E689" s="48"/>
      <c r="F689" s="422"/>
      <c r="G689" s="422"/>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row>
    <row r="690">
      <c r="A690" s="48"/>
      <c r="B690" s="48"/>
      <c r="C690" s="48"/>
      <c r="D690" s="48"/>
      <c r="E690" s="48"/>
      <c r="F690" s="422"/>
      <c r="G690" s="422"/>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row>
    <row r="691">
      <c r="A691" s="48"/>
      <c r="B691" s="48"/>
      <c r="C691" s="48"/>
      <c r="D691" s="48"/>
      <c r="E691" s="48"/>
      <c r="F691" s="422"/>
      <c r="G691" s="422"/>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row>
    <row r="692">
      <c r="A692" s="48"/>
      <c r="B692" s="48"/>
      <c r="C692" s="48"/>
      <c r="D692" s="48"/>
      <c r="E692" s="48"/>
      <c r="F692" s="422"/>
      <c r="G692" s="422"/>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row>
    <row r="693">
      <c r="A693" s="48"/>
      <c r="B693" s="48"/>
      <c r="C693" s="48"/>
      <c r="D693" s="48"/>
      <c r="E693" s="48"/>
      <c r="F693" s="422"/>
      <c r="G693" s="422"/>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row>
    <row r="694">
      <c r="A694" s="48"/>
      <c r="B694" s="48"/>
      <c r="C694" s="48"/>
      <c r="D694" s="48"/>
      <c r="E694" s="48"/>
      <c r="F694" s="422"/>
      <c r="G694" s="422"/>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row>
    <row r="695">
      <c r="A695" s="48"/>
      <c r="B695" s="48"/>
      <c r="C695" s="48"/>
      <c r="D695" s="48"/>
      <c r="E695" s="48"/>
      <c r="F695" s="422"/>
      <c r="G695" s="422"/>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row>
    <row r="696">
      <c r="A696" s="48"/>
      <c r="B696" s="48"/>
      <c r="C696" s="48"/>
      <c r="D696" s="48"/>
      <c r="E696" s="48"/>
      <c r="F696" s="422"/>
      <c r="G696" s="422"/>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row>
    <row r="697">
      <c r="A697" s="48"/>
      <c r="B697" s="48"/>
      <c r="C697" s="48"/>
      <c r="D697" s="48"/>
      <c r="E697" s="48"/>
      <c r="F697" s="422"/>
      <c r="G697" s="422"/>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row>
    <row r="698">
      <c r="A698" s="48"/>
      <c r="B698" s="48"/>
      <c r="C698" s="48"/>
      <c r="D698" s="48"/>
      <c r="E698" s="48"/>
      <c r="F698" s="422"/>
      <c r="G698" s="422"/>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row>
    <row r="699">
      <c r="A699" s="48"/>
      <c r="B699" s="48"/>
      <c r="C699" s="48"/>
      <c r="D699" s="48"/>
      <c r="E699" s="48"/>
      <c r="F699" s="422"/>
      <c r="G699" s="422"/>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row>
    <row r="700">
      <c r="A700" s="48"/>
      <c r="B700" s="48"/>
      <c r="C700" s="48"/>
      <c r="D700" s="48"/>
      <c r="E700" s="48"/>
      <c r="F700" s="422"/>
      <c r="G700" s="422"/>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row>
    <row r="701">
      <c r="A701" s="48"/>
      <c r="B701" s="48"/>
      <c r="C701" s="48"/>
      <c r="D701" s="48"/>
      <c r="E701" s="48"/>
      <c r="F701" s="422"/>
      <c r="G701" s="422"/>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row>
    <row r="702">
      <c r="A702" s="48"/>
      <c r="B702" s="48"/>
      <c r="C702" s="48"/>
      <c r="D702" s="48"/>
      <c r="E702" s="48"/>
      <c r="F702" s="422"/>
      <c r="G702" s="422"/>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row>
    <row r="703">
      <c r="A703" s="48"/>
      <c r="B703" s="48"/>
      <c r="C703" s="48"/>
      <c r="D703" s="48"/>
      <c r="E703" s="48"/>
      <c r="F703" s="422"/>
      <c r="G703" s="422"/>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row>
    <row r="704">
      <c r="A704" s="48"/>
      <c r="B704" s="48"/>
      <c r="C704" s="48"/>
      <c r="D704" s="48"/>
      <c r="E704" s="48"/>
      <c r="F704" s="422"/>
      <c r="G704" s="422"/>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row>
    <row r="705">
      <c r="A705" s="48"/>
      <c r="B705" s="48"/>
      <c r="C705" s="48"/>
      <c r="D705" s="48"/>
      <c r="E705" s="48"/>
      <c r="F705" s="422"/>
      <c r="G705" s="422"/>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row>
    <row r="706">
      <c r="A706" s="48"/>
      <c r="B706" s="48"/>
      <c r="C706" s="48"/>
      <c r="D706" s="48"/>
      <c r="E706" s="48"/>
      <c r="F706" s="422"/>
      <c r="G706" s="422"/>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row>
    <row r="707">
      <c r="A707" s="48"/>
      <c r="B707" s="48"/>
      <c r="C707" s="48"/>
      <c r="D707" s="48"/>
      <c r="E707" s="48"/>
      <c r="F707" s="422"/>
      <c r="G707" s="422"/>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row>
    <row r="708">
      <c r="A708" s="48"/>
      <c r="B708" s="48"/>
      <c r="C708" s="48"/>
      <c r="D708" s="48"/>
      <c r="E708" s="48"/>
      <c r="F708" s="422"/>
      <c r="G708" s="422"/>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row>
    <row r="709">
      <c r="A709" s="48"/>
      <c r="B709" s="48"/>
      <c r="C709" s="48"/>
      <c r="D709" s="48"/>
      <c r="E709" s="48"/>
      <c r="F709" s="422"/>
      <c r="G709" s="422"/>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row>
    <row r="710">
      <c r="A710" s="48"/>
      <c r="B710" s="48"/>
      <c r="C710" s="48"/>
      <c r="D710" s="48"/>
      <c r="E710" s="48"/>
      <c r="F710" s="422"/>
      <c r="G710" s="422"/>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row>
    <row r="711">
      <c r="A711" s="48"/>
      <c r="B711" s="48"/>
      <c r="C711" s="48"/>
      <c r="D711" s="48"/>
      <c r="E711" s="48"/>
      <c r="F711" s="422"/>
      <c r="G711" s="422"/>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row>
    <row r="712">
      <c r="A712" s="48"/>
      <c r="B712" s="48"/>
      <c r="C712" s="48"/>
      <c r="D712" s="48"/>
      <c r="E712" s="48"/>
      <c r="F712" s="422"/>
      <c r="G712" s="422"/>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row>
    <row r="713">
      <c r="A713" s="48"/>
      <c r="B713" s="48"/>
      <c r="C713" s="48"/>
      <c r="D713" s="48"/>
      <c r="E713" s="48"/>
      <c r="F713" s="422"/>
      <c r="G713" s="422"/>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row>
    <row r="714">
      <c r="A714" s="48"/>
      <c r="B714" s="48"/>
      <c r="C714" s="48"/>
      <c r="D714" s="48"/>
      <c r="E714" s="48"/>
      <c r="F714" s="422"/>
      <c r="G714" s="422"/>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row>
    <row r="715">
      <c r="A715" s="48"/>
      <c r="B715" s="48"/>
      <c r="C715" s="48"/>
      <c r="D715" s="48"/>
      <c r="E715" s="48"/>
      <c r="F715" s="422"/>
      <c r="G715" s="422"/>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row>
    <row r="716">
      <c r="A716" s="48"/>
      <c r="B716" s="48"/>
      <c r="C716" s="48"/>
      <c r="D716" s="48"/>
      <c r="E716" s="48"/>
      <c r="F716" s="422"/>
      <c r="G716" s="422"/>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row>
    <row r="717">
      <c r="A717" s="48"/>
      <c r="B717" s="48"/>
      <c r="C717" s="48"/>
      <c r="D717" s="48"/>
      <c r="E717" s="48"/>
      <c r="F717" s="422"/>
      <c r="G717" s="422"/>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row>
    <row r="718">
      <c r="A718" s="48"/>
      <c r="B718" s="48"/>
      <c r="C718" s="48"/>
      <c r="D718" s="48"/>
      <c r="E718" s="48"/>
      <c r="F718" s="422"/>
      <c r="G718" s="422"/>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row>
    <row r="719">
      <c r="A719" s="48"/>
      <c r="B719" s="48"/>
      <c r="C719" s="48"/>
      <c r="D719" s="48"/>
      <c r="E719" s="48"/>
      <c r="F719" s="422"/>
      <c r="G719" s="422"/>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row>
    <row r="720">
      <c r="A720" s="48"/>
      <c r="B720" s="48"/>
      <c r="C720" s="48"/>
      <c r="D720" s="48"/>
      <c r="E720" s="48"/>
      <c r="F720" s="422"/>
      <c r="G720" s="422"/>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row>
    <row r="721">
      <c r="A721" s="48"/>
      <c r="B721" s="48"/>
      <c r="C721" s="48"/>
      <c r="D721" s="48"/>
      <c r="E721" s="48"/>
      <c r="F721" s="422"/>
      <c r="G721" s="422"/>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row>
    <row r="722">
      <c r="A722" s="48"/>
      <c r="B722" s="48"/>
      <c r="C722" s="48"/>
      <c r="D722" s="48"/>
      <c r="E722" s="48"/>
      <c r="F722" s="422"/>
      <c r="G722" s="422"/>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row>
    <row r="723">
      <c r="A723" s="48"/>
      <c r="B723" s="48"/>
      <c r="C723" s="48"/>
      <c r="D723" s="48"/>
      <c r="E723" s="48"/>
      <c r="F723" s="422"/>
      <c r="G723" s="422"/>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row>
    <row r="724">
      <c r="A724" s="48"/>
      <c r="B724" s="48"/>
      <c r="C724" s="48"/>
      <c r="D724" s="48"/>
      <c r="E724" s="48"/>
      <c r="F724" s="422"/>
      <c r="G724" s="422"/>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row>
    <row r="725">
      <c r="A725" s="48"/>
      <c r="B725" s="48"/>
      <c r="C725" s="48"/>
      <c r="D725" s="48"/>
      <c r="E725" s="48"/>
      <c r="F725" s="422"/>
      <c r="G725" s="422"/>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row>
    <row r="726">
      <c r="A726" s="48"/>
      <c r="B726" s="48"/>
      <c r="C726" s="48"/>
      <c r="D726" s="48"/>
      <c r="E726" s="48"/>
      <c r="F726" s="422"/>
      <c r="G726" s="422"/>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row>
    <row r="727">
      <c r="A727" s="48"/>
      <c r="B727" s="48"/>
      <c r="C727" s="48"/>
      <c r="D727" s="48"/>
      <c r="E727" s="48"/>
      <c r="F727" s="422"/>
      <c r="G727" s="422"/>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row>
    <row r="728">
      <c r="A728" s="48"/>
      <c r="B728" s="48"/>
      <c r="C728" s="48"/>
      <c r="D728" s="48"/>
      <c r="E728" s="48"/>
      <c r="F728" s="422"/>
      <c r="G728" s="422"/>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row>
    <row r="729">
      <c r="A729" s="48"/>
      <c r="B729" s="48"/>
      <c r="C729" s="48"/>
      <c r="D729" s="48"/>
      <c r="E729" s="48"/>
      <c r="F729" s="422"/>
      <c r="G729" s="422"/>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row>
    <row r="730">
      <c r="A730" s="48"/>
      <c r="B730" s="48"/>
      <c r="C730" s="48"/>
      <c r="D730" s="48"/>
      <c r="E730" s="48"/>
      <c r="F730" s="422"/>
      <c r="G730" s="422"/>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row>
    <row r="731">
      <c r="A731" s="48"/>
      <c r="B731" s="48"/>
      <c r="C731" s="48"/>
      <c r="D731" s="48"/>
      <c r="E731" s="48"/>
      <c r="F731" s="422"/>
      <c r="G731" s="422"/>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row>
    <row r="732">
      <c r="A732" s="48"/>
      <c r="B732" s="48"/>
      <c r="C732" s="48"/>
      <c r="D732" s="48"/>
      <c r="E732" s="48"/>
      <c r="F732" s="422"/>
      <c r="G732" s="422"/>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row>
    <row r="733">
      <c r="A733" s="48"/>
      <c r="B733" s="48"/>
      <c r="C733" s="48"/>
      <c r="D733" s="48"/>
      <c r="E733" s="48"/>
      <c r="F733" s="422"/>
      <c r="G733" s="422"/>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row>
    <row r="734">
      <c r="A734" s="48"/>
      <c r="B734" s="48"/>
      <c r="C734" s="48"/>
      <c r="D734" s="48"/>
      <c r="E734" s="48"/>
      <c r="F734" s="422"/>
      <c r="G734" s="422"/>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row>
    <row r="735">
      <c r="A735" s="48"/>
      <c r="B735" s="48"/>
      <c r="C735" s="48"/>
      <c r="D735" s="48"/>
      <c r="E735" s="48"/>
      <c r="F735" s="422"/>
      <c r="G735" s="422"/>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row>
    <row r="736">
      <c r="A736" s="48"/>
      <c r="B736" s="48"/>
      <c r="C736" s="48"/>
      <c r="D736" s="48"/>
      <c r="E736" s="48"/>
      <c r="F736" s="422"/>
      <c r="G736" s="422"/>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row>
    <row r="737">
      <c r="A737" s="48"/>
      <c r="B737" s="48"/>
      <c r="C737" s="48"/>
      <c r="D737" s="48"/>
      <c r="E737" s="48"/>
      <c r="F737" s="422"/>
      <c r="G737" s="422"/>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row>
    <row r="738">
      <c r="A738" s="48"/>
      <c r="B738" s="48"/>
      <c r="C738" s="48"/>
      <c r="D738" s="48"/>
      <c r="E738" s="48"/>
      <c r="F738" s="422"/>
      <c r="G738" s="422"/>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row>
    <row r="739">
      <c r="A739" s="48"/>
      <c r="B739" s="48"/>
      <c r="C739" s="48"/>
      <c r="D739" s="48"/>
      <c r="E739" s="48"/>
      <c r="F739" s="422"/>
      <c r="G739" s="422"/>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row>
    <row r="740">
      <c r="A740" s="48"/>
      <c r="B740" s="48"/>
      <c r="C740" s="48"/>
      <c r="D740" s="48"/>
      <c r="E740" s="48"/>
      <c r="F740" s="422"/>
      <c r="G740" s="422"/>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row>
    <row r="741">
      <c r="A741" s="48"/>
      <c r="B741" s="48"/>
      <c r="C741" s="48"/>
      <c r="D741" s="48"/>
      <c r="E741" s="48"/>
      <c r="F741" s="422"/>
      <c r="G741" s="422"/>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row>
    <row r="742">
      <c r="A742" s="48"/>
      <c r="B742" s="48"/>
      <c r="C742" s="48"/>
      <c r="D742" s="48"/>
      <c r="E742" s="48"/>
      <c r="F742" s="422"/>
      <c r="G742" s="422"/>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row>
    <row r="743">
      <c r="A743" s="48"/>
      <c r="B743" s="48"/>
      <c r="C743" s="48"/>
      <c r="D743" s="48"/>
      <c r="E743" s="48"/>
      <c r="F743" s="422"/>
      <c r="G743" s="422"/>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row>
    <row r="744">
      <c r="A744" s="48"/>
      <c r="B744" s="48"/>
      <c r="C744" s="48"/>
      <c r="D744" s="48"/>
      <c r="E744" s="48"/>
      <c r="F744" s="422"/>
      <c r="G744" s="422"/>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row>
    <row r="745">
      <c r="A745" s="48"/>
      <c r="B745" s="48"/>
      <c r="C745" s="48"/>
      <c r="D745" s="48"/>
      <c r="E745" s="48"/>
      <c r="F745" s="422"/>
      <c r="G745" s="422"/>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row>
    <row r="746">
      <c r="A746" s="48"/>
      <c r="B746" s="48"/>
      <c r="C746" s="48"/>
      <c r="D746" s="48"/>
      <c r="E746" s="48"/>
      <c r="F746" s="422"/>
      <c r="G746" s="422"/>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row>
    <row r="747">
      <c r="A747" s="48"/>
      <c r="B747" s="48"/>
      <c r="C747" s="48"/>
      <c r="D747" s="48"/>
      <c r="E747" s="48"/>
      <c r="F747" s="422"/>
      <c r="G747" s="422"/>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row>
    <row r="748">
      <c r="A748" s="48"/>
      <c r="B748" s="48"/>
      <c r="C748" s="48"/>
      <c r="D748" s="48"/>
      <c r="E748" s="48"/>
      <c r="F748" s="422"/>
      <c r="G748" s="422"/>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row>
    <row r="749">
      <c r="A749" s="48"/>
      <c r="B749" s="48"/>
      <c r="C749" s="48"/>
      <c r="D749" s="48"/>
      <c r="E749" s="48"/>
      <c r="F749" s="422"/>
      <c r="G749" s="422"/>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row>
    <row r="750">
      <c r="A750" s="48"/>
      <c r="B750" s="48"/>
      <c r="C750" s="48"/>
      <c r="D750" s="48"/>
      <c r="E750" s="48"/>
      <c r="F750" s="422"/>
      <c r="G750" s="422"/>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row>
    <row r="751">
      <c r="A751" s="48"/>
      <c r="B751" s="48"/>
      <c r="C751" s="48"/>
      <c r="D751" s="48"/>
      <c r="E751" s="48"/>
      <c r="F751" s="422"/>
      <c r="G751" s="422"/>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row>
    <row r="752">
      <c r="A752" s="48"/>
      <c r="B752" s="48"/>
      <c r="C752" s="48"/>
      <c r="D752" s="48"/>
      <c r="E752" s="48"/>
      <c r="F752" s="422"/>
      <c r="G752" s="422"/>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row>
    <row r="753">
      <c r="A753" s="48"/>
      <c r="B753" s="48"/>
      <c r="C753" s="48"/>
      <c r="D753" s="48"/>
      <c r="E753" s="48"/>
      <c r="F753" s="422"/>
      <c r="G753" s="422"/>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row>
    <row r="754">
      <c r="A754" s="48"/>
      <c r="B754" s="48"/>
      <c r="C754" s="48"/>
      <c r="D754" s="48"/>
      <c r="E754" s="48"/>
      <c r="F754" s="422"/>
      <c r="G754" s="422"/>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row>
    <row r="755">
      <c r="A755" s="48"/>
      <c r="B755" s="48"/>
      <c r="C755" s="48"/>
      <c r="D755" s="48"/>
      <c r="E755" s="48"/>
      <c r="F755" s="422"/>
      <c r="G755" s="422"/>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row>
    <row r="756">
      <c r="A756" s="48"/>
      <c r="B756" s="48"/>
      <c r="C756" s="48"/>
      <c r="D756" s="48"/>
      <c r="E756" s="48"/>
      <c r="F756" s="422"/>
      <c r="G756" s="422"/>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row>
    <row r="757">
      <c r="A757" s="48"/>
      <c r="B757" s="48"/>
      <c r="C757" s="48"/>
      <c r="D757" s="48"/>
      <c r="E757" s="48"/>
      <c r="F757" s="422"/>
      <c r="G757" s="422"/>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row>
    <row r="758">
      <c r="A758" s="48"/>
      <c r="B758" s="48"/>
      <c r="C758" s="48"/>
      <c r="D758" s="48"/>
      <c r="E758" s="48"/>
      <c r="F758" s="422"/>
      <c r="G758" s="422"/>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row>
    <row r="759">
      <c r="A759" s="48"/>
      <c r="B759" s="48"/>
      <c r="C759" s="48"/>
      <c r="D759" s="48"/>
      <c r="E759" s="48"/>
      <c r="F759" s="422"/>
      <c r="G759" s="422"/>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row>
    <row r="760">
      <c r="A760" s="48"/>
      <c r="B760" s="48"/>
      <c r="C760" s="48"/>
      <c r="D760" s="48"/>
      <c r="E760" s="48"/>
      <c r="F760" s="422"/>
      <c r="G760" s="422"/>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row>
    <row r="761">
      <c r="A761" s="48"/>
      <c r="B761" s="48"/>
      <c r="C761" s="48"/>
      <c r="D761" s="48"/>
      <c r="E761" s="48"/>
      <c r="F761" s="422"/>
      <c r="G761" s="422"/>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row>
    <row r="762">
      <c r="A762" s="48"/>
      <c r="B762" s="48"/>
      <c r="C762" s="48"/>
      <c r="D762" s="48"/>
      <c r="E762" s="48"/>
      <c r="F762" s="422"/>
      <c r="G762" s="422"/>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row>
    <row r="763">
      <c r="A763" s="48"/>
      <c r="B763" s="48"/>
      <c r="C763" s="48"/>
      <c r="D763" s="48"/>
      <c r="E763" s="48"/>
      <c r="F763" s="422"/>
      <c r="G763" s="422"/>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row>
    <row r="764">
      <c r="A764" s="48"/>
      <c r="B764" s="48"/>
      <c r="C764" s="48"/>
      <c r="D764" s="48"/>
      <c r="E764" s="48"/>
      <c r="F764" s="422"/>
      <c r="G764" s="422"/>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row>
    <row r="765">
      <c r="A765" s="48"/>
      <c r="B765" s="48"/>
      <c r="C765" s="48"/>
      <c r="D765" s="48"/>
      <c r="E765" s="48"/>
      <c r="F765" s="422"/>
      <c r="G765" s="422"/>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row>
    <row r="766">
      <c r="A766" s="48"/>
      <c r="B766" s="48"/>
      <c r="C766" s="48"/>
      <c r="D766" s="48"/>
      <c r="E766" s="48"/>
      <c r="F766" s="422"/>
      <c r="G766" s="422"/>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row>
    <row r="767">
      <c r="A767" s="48"/>
      <c r="B767" s="48"/>
      <c r="C767" s="48"/>
      <c r="D767" s="48"/>
      <c r="E767" s="48"/>
      <c r="F767" s="422"/>
      <c r="G767" s="422"/>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row>
    <row r="768">
      <c r="A768" s="48"/>
      <c r="B768" s="48"/>
      <c r="C768" s="48"/>
      <c r="D768" s="48"/>
      <c r="E768" s="48"/>
      <c r="F768" s="422"/>
      <c r="G768" s="422"/>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row>
    <row r="769">
      <c r="A769" s="48"/>
      <c r="B769" s="48"/>
      <c r="C769" s="48"/>
      <c r="D769" s="48"/>
      <c r="E769" s="48"/>
      <c r="F769" s="422"/>
      <c r="G769" s="422"/>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row>
    <row r="770">
      <c r="A770" s="48"/>
      <c r="B770" s="48"/>
      <c r="C770" s="48"/>
      <c r="D770" s="48"/>
      <c r="E770" s="48"/>
      <c r="F770" s="422"/>
      <c r="G770" s="422"/>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row>
    <row r="771">
      <c r="A771" s="48"/>
      <c r="B771" s="48"/>
      <c r="C771" s="48"/>
      <c r="D771" s="48"/>
      <c r="E771" s="48"/>
      <c r="F771" s="422"/>
      <c r="G771" s="422"/>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row>
    <row r="772">
      <c r="A772" s="48"/>
      <c r="B772" s="48"/>
      <c r="C772" s="48"/>
      <c r="D772" s="48"/>
      <c r="E772" s="48"/>
      <c r="F772" s="422"/>
      <c r="G772" s="422"/>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row>
    <row r="773">
      <c r="A773" s="48"/>
      <c r="B773" s="48"/>
      <c r="C773" s="48"/>
      <c r="D773" s="48"/>
      <c r="E773" s="48"/>
      <c r="F773" s="422"/>
      <c r="G773" s="422"/>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row>
    <row r="774">
      <c r="A774" s="48"/>
      <c r="B774" s="48"/>
      <c r="C774" s="48"/>
      <c r="D774" s="48"/>
      <c r="E774" s="48"/>
      <c r="F774" s="422"/>
      <c r="G774" s="422"/>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row>
    <row r="775">
      <c r="A775" s="48"/>
      <c r="B775" s="48"/>
      <c r="C775" s="48"/>
      <c r="D775" s="48"/>
      <c r="E775" s="48"/>
      <c r="F775" s="422"/>
      <c r="G775" s="422"/>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row>
    <row r="776">
      <c r="A776" s="48"/>
      <c r="B776" s="48"/>
      <c r="C776" s="48"/>
      <c r="D776" s="48"/>
      <c r="E776" s="48"/>
      <c r="F776" s="422"/>
      <c r="G776" s="422"/>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row>
    <row r="777">
      <c r="A777" s="48"/>
      <c r="B777" s="48"/>
      <c r="C777" s="48"/>
      <c r="D777" s="48"/>
      <c r="E777" s="48"/>
      <c r="F777" s="422"/>
      <c r="G777" s="422"/>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row>
    <row r="778">
      <c r="A778" s="48"/>
      <c r="B778" s="48"/>
      <c r="C778" s="48"/>
      <c r="D778" s="48"/>
      <c r="E778" s="48"/>
      <c r="F778" s="422"/>
      <c r="G778" s="422"/>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row>
    <row r="779">
      <c r="A779" s="48"/>
      <c r="B779" s="48"/>
      <c r="C779" s="48"/>
      <c r="D779" s="48"/>
      <c r="E779" s="48"/>
      <c r="F779" s="422"/>
      <c r="G779" s="422"/>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row>
    <row r="780">
      <c r="A780" s="48"/>
      <c r="B780" s="48"/>
      <c r="C780" s="48"/>
      <c r="D780" s="48"/>
      <c r="E780" s="48"/>
      <c r="F780" s="422"/>
      <c r="G780" s="422"/>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row>
    <row r="781">
      <c r="A781" s="48"/>
      <c r="B781" s="48"/>
      <c r="C781" s="48"/>
      <c r="D781" s="48"/>
      <c r="E781" s="48"/>
      <c r="F781" s="422"/>
      <c r="G781" s="422"/>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row>
    <row r="782">
      <c r="A782" s="48"/>
      <c r="B782" s="48"/>
      <c r="C782" s="48"/>
      <c r="D782" s="48"/>
      <c r="E782" s="48"/>
      <c r="F782" s="422"/>
      <c r="G782" s="422"/>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row>
    <row r="783">
      <c r="A783" s="48"/>
      <c r="B783" s="48"/>
      <c r="C783" s="48"/>
      <c r="D783" s="48"/>
      <c r="E783" s="48"/>
      <c r="F783" s="422"/>
      <c r="G783" s="422"/>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row>
    <row r="784">
      <c r="A784" s="48"/>
      <c r="B784" s="48"/>
      <c r="C784" s="48"/>
      <c r="D784" s="48"/>
      <c r="E784" s="48"/>
      <c r="F784" s="422"/>
      <c r="G784" s="422"/>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row>
    <row r="785">
      <c r="A785" s="48"/>
      <c r="B785" s="48"/>
      <c r="C785" s="48"/>
      <c r="D785" s="48"/>
      <c r="E785" s="48"/>
      <c r="F785" s="422"/>
      <c r="G785" s="422"/>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row>
    <row r="786">
      <c r="A786" s="48"/>
      <c r="B786" s="48"/>
      <c r="C786" s="48"/>
      <c r="D786" s="48"/>
      <c r="E786" s="48"/>
      <c r="F786" s="422"/>
      <c r="G786" s="422"/>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row>
    <row r="787">
      <c r="A787" s="48"/>
      <c r="B787" s="48"/>
      <c r="C787" s="48"/>
      <c r="D787" s="48"/>
      <c r="E787" s="48"/>
      <c r="F787" s="422"/>
      <c r="G787" s="422"/>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row>
    <row r="788">
      <c r="A788" s="48"/>
      <c r="B788" s="48"/>
      <c r="C788" s="48"/>
      <c r="D788" s="48"/>
      <c r="E788" s="48"/>
      <c r="F788" s="422"/>
      <c r="G788" s="422"/>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row>
    <row r="789">
      <c r="A789" s="48"/>
      <c r="B789" s="48"/>
      <c r="C789" s="48"/>
      <c r="D789" s="48"/>
      <c r="E789" s="48"/>
      <c r="F789" s="422"/>
      <c r="G789" s="422"/>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row>
    <row r="790">
      <c r="A790" s="48"/>
      <c r="B790" s="48"/>
      <c r="C790" s="48"/>
      <c r="D790" s="48"/>
      <c r="E790" s="48"/>
      <c r="F790" s="422"/>
      <c r="G790" s="422"/>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row>
    <row r="791">
      <c r="A791" s="48"/>
      <c r="B791" s="48"/>
      <c r="C791" s="48"/>
      <c r="D791" s="48"/>
      <c r="E791" s="48"/>
      <c r="F791" s="422"/>
      <c r="G791" s="422"/>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row>
    <row r="792">
      <c r="A792" s="48"/>
      <c r="B792" s="48"/>
      <c r="C792" s="48"/>
      <c r="D792" s="48"/>
      <c r="E792" s="48"/>
      <c r="F792" s="422"/>
      <c r="G792" s="422"/>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row>
    <row r="793">
      <c r="A793" s="48"/>
      <c r="B793" s="48"/>
      <c r="C793" s="48"/>
      <c r="D793" s="48"/>
      <c r="E793" s="48"/>
      <c r="F793" s="422"/>
      <c r="G793" s="422"/>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row>
    <row r="794">
      <c r="A794" s="48"/>
      <c r="B794" s="48"/>
      <c r="C794" s="48"/>
      <c r="D794" s="48"/>
      <c r="E794" s="48"/>
      <c r="F794" s="422"/>
      <c r="G794" s="422"/>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row>
    <row r="795">
      <c r="A795" s="48"/>
      <c r="B795" s="48"/>
      <c r="C795" s="48"/>
      <c r="D795" s="48"/>
      <c r="E795" s="48"/>
      <c r="F795" s="422"/>
      <c r="G795" s="422"/>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row>
    <row r="796">
      <c r="A796" s="48"/>
      <c r="B796" s="48"/>
      <c r="C796" s="48"/>
      <c r="D796" s="48"/>
      <c r="E796" s="48"/>
      <c r="F796" s="422"/>
      <c r="G796" s="422"/>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row>
    <row r="797">
      <c r="A797" s="48"/>
      <c r="B797" s="48"/>
      <c r="C797" s="48"/>
      <c r="D797" s="48"/>
      <c r="E797" s="48"/>
      <c r="F797" s="422"/>
      <c r="G797" s="422"/>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row>
    <row r="798">
      <c r="A798" s="48"/>
      <c r="B798" s="48"/>
      <c r="C798" s="48"/>
      <c r="D798" s="48"/>
      <c r="E798" s="48"/>
      <c r="F798" s="422"/>
      <c r="G798" s="422"/>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row>
    <row r="799">
      <c r="A799" s="48"/>
      <c r="B799" s="48"/>
      <c r="C799" s="48"/>
      <c r="D799" s="48"/>
      <c r="E799" s="48"/>
      <c r="F799" s="422"/>
      <c r="G799" s="422"/>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row>
    <row r="800">
      <c r="A800" s="48"/>
      <c r="B800" s="48"/>
      <c r="C800" s="48"/>
      <c r="D800" s="48"/>
      <c r="E800" s="48"/>
      <c r="F800" s="422"/>
      <c r="G800" s="422"/>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row>
    <row r="801">
      <c r="A801" s="48"/>
      <c r="B801" s="48"/>
      <c r="C801" s="48"/>
      <c r="D801" s="48"/>
      <c r="E801" s="48"/>
      <c r="F801" s="422"/>
      <c r="G801" s="422"/>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row>
    <row r="802">
      <c r="A802" s="48"/>
      <c r="B802" s="48"/>
      <c r="C802" s="48"/>
      <c r="D802" s="48"/>
      <c r="E802" s="48"/>
      <c r="F802" s="422"/>
      <c r="G802" s="422"/>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row>
    <row r="803">
      <c r="A803" s="48"/>
      <c r="B803" s="48"/>
      <c r="C803" s="48"/>
      <c r="D803" s="48"/>
      <c r="E803" s="48"/>
      <c r="F803" s="422"/>
      <c r="G803" s="422"/>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row>
    <row r="804">
      <c r="A804" s="48"/>
      <c r="B804" s="48"/>
      <c r="C804" s="48"/>
      <c r="D804" s="48"/>
      <c r="E804" s="48"/>
      <c r="F804" s="422"/>
      <c r="G804" s="422"/>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row>
    <row r="805">
      <c r="A805" s="48"/>
      <c r="B805" s="48"/>
      <c r="C805" s="48"/>
      <c r="D805" s="48"/>
      <c r="E805" s="48"/>
      <c r="F805" s="422"/>
      <c r="G805" s="422"/>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row>
    <row r="806">
      <c r="A806" s="48"/>
      <c r="B806" s="48"/>
      <c r="C806" s="48"/>
      <c r="D806" s="48"/>
      <c r="E806" s="48"/>
      <c r="F806" s="422"/>
      <c r="G806" s="422"/>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row>
    <row r="807">
      <c r="A807" s="48"/>
      <c r="B807" s="48"/>
      <c r="C807" s="48"/>
      <c r="D807" s="48"/>
      <c r="E807" s="48"/>
      <c r="F807" s="422"/>
      <c r="G807" s="422"/>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row>
    <row r="808">
      <c r="A808" s="48"/>
      <c r="B808" s="48"/>
      <c r="C808" s="48"/>
      <c r="D808" s="48"/>
      <c r="E808" s="48"/>
      <c r="F808" s="422"/>
      <c r="G808" s="422"/>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row>
    <row r="809">
      <c r="A809" s="48"/>
      <c r="B809" s="48"/>
      <c r="C809" s="48"/>
      <c r="D809" s="48"/>
      <c r="E809" s="48"/>
      <c r="F809" s="422"/>
      <c r="G809" s="422"/>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row>
    <row r="810">
      <c r="A810" s="48"/>
      <c r="B810" s="48"/>
      <c r="C810" s="48"/>
      <c r="D810" s="48"/>
      <c r="E810" s="48"/>
      <c r="F810" s="422"/>
      <c r="G810" s="422"/>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row>
    <row r="811">
      <c r="A811" s="48"/>
      <c r="B811" s="48"/>
      <c r="C811" s="48"/>
      <c r="D811" s="48"/>
      <c r="E811" s="48"/>
      <c r="F811" s="422"/>
      <c r="G811" s="422"/>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row>
    <row r="812">
      <c r="A812" s="48"/>
      <c r="B812" s="48"/>
      <c r="C812" s="48"/>
      <c r="D812" s="48"/>
      <c r="E812" s="48"/>
      <c r="F812" s="422"/>
      <c r="G812" s="422"/>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row>
    <row r="813">
      <c r="A813" s="48"/>
      <c r="B813" s="48"/>
      <c r="C813" s="48"/>
      <c r="D813" s="48"/>
      <c r="E813" s="48"/>
      <c r="F813" s="422"/>
      <c r="G813" s="422"/>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row>
    <row r="814">
      <c r="A814" s="48"/>
      <c r="B814" s="48"/>
      <c r="C814" s="48"/>
      <c r="D814" s="48"/>
      <c r="E814" s="48"/>
      <c r="F814" s="422"/>
      <c r="G814" s="422"/>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row>
    <row r="815">
      <c r="A815" s="48"/>
      <c r="B815" s="48"/>
      <c r="C815" s="48"/>
      <c r="D815" s="48"/>
      <c r="E815" s="48"/>
      <c r="F815" s="422"/>
      <c r="G815" s="422"/>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row>
    <row r="816">
      <c r="A816" s="48"/>
      <c r="B816" s="48"/>
      <c r="C816" s="48"/>
      <c r="D816" s="48"/>
      <c r="E816" s="48"/>
      <c r="F816" s="422"/>
      <c r="G816" s="422"/>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row>
    <row r="817">
      <c r="A817" s="48"/>
      <c r="B817" s="48"/>
      <c r="C817" s="48"/>
      <c r="D817" s="48"/>
      <c r="E817" s="48"/>
      <c r="F817" s="422"/>
      <c r="G817" s="422"/>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row>
    <row r="818">
      <c r="A818" s="48"/>
      <c r="B818" s="48"/>
      <c r="C818" s="48"/>
      <c r="D818" s="48"/>
      <c r="E818" s="48"/>
      <c r="F818" s="422"/>
      <c r="G818" s="422"/>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row>
    <row r="819">
      <c r="A819" s="48"/>
      <c r="B819" s="48"/>
      <c r="C819" s="48"/>
      <c r="D819" s="48"/>
      <c r="E819" s="48"/>
      <c r="F819" s="422"/>
      <c r="G819" s="422"/>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row>
    <row r="820">
      <c r="A820" s="48"/>
      <c r="B820" s="48"/>
      <c r="C820" s="48"/>
      <c r="D820" s="48"/>
      <c r="E820" s="48"/>
      <c r="F820" s="422"/>
      <c r="G820" s="422"/>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row>
    <row r="821">
      <c r="A821" s="48"/>
      <c r="B821" s="48"/>
      <c r="C821" s="48"/>
      <c r="D821" s="48"/>
      <c r="E821" s="48"/>
      <c r="F821" s="422"/>
      <c r="G821" s="422"/>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row>
    <row r="822">
      <c r="A822" s="48"/>
      <c r="B822" s="48"/>
      <c r="C822" s="48"/>
      <c r="D822" s="48"/>
      <c r="E822" s="48"/>
      <c r="F822" s="422"/>
      <c r="G822" s="422"/>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row>
    <row r="823">
      <c r="A823" s="48"/>
      <c r="B823" s="48"/>
      <c r="C823" s="48"/>
      <c r="D823" s="48"/>
      <c r="E823" s="48"/>
      <c r="F823" s="422"/>
      <c r="G823" s="422"/>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row>
    <row r="824">
      <c r="A824" s="48"/>
      <c r="B824" s="48"/>
      <c r="C824" s="48"/>
      <c r="D824" s="48"/>
      <c r="E824" s="48"/>
      <c r="F824" s="422"/>
      <c r="G824" s="422"/>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row>
    <row r="825">
      <c r="A825" s="48"/>
      <c r="B825" s="48"/>
      <c r="C825" s="48"/>
      <c r="D825" s="48"/>
      <c r="E825" s="48"/>
      <c r="F825" s="422"/>
      <c r="G825" s="422"/>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row>
    <row r="826">
      <c r="A826" s="48"/>
      <c r="B826" s="48"/>
      <c r="C826" s="48"/>
      <c r="D826" s="48"/>
      <c r="E826" s="48"/>
      <c r="F826" s="422"/>
      <c r="G826" s="422"/>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row>
    <row r="827">
      <c r="A827" s="48"/>
      <c r="B827" s="48"/>
      <c r="C827" s="48"/>
      <c r="D827" s="48"/>
      <c r="E827" s="48"/>
      <c r="F827" s="422"/>
      <c r="G827" s="422"/>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row>
    <row r="828">
      <c r="A828" s="48"/>
      <c r="B828" s="48"/>
      <c r="C828" s="48"/>
      <c r="D828" s="48"/>
      <c r="E828" s="48"/>
      <c r="F828" s="422"/>
      <c r="G828" s="422"/>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row>
    <row r="829">
      <c r="A829" s="48"/>
      <c r="B829" s="48"/>
      <c r="C829" s="48"/>
      <c r="D829" s="48"/>
      <c r="E829" s="48"/>
      <c r="F829" s="422"/>
      <c r="G829" s="422"/>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row>
    <row r="830">
      <c r="A830" s="48"/>
      <c r="B830" s="48"/>
      <c r="C830" s="48"/>
      <c r="D830" s="48"/>
      <c r="E830" s="48"/>
      <c r="F830" s="422"/>
      <c r="G830" s="422"/>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row>
    <row r="831">
      <c r="A831" s="48"/>
      <c r="B831" s="48"/>
      <c r="C831" s="48"/>
      <c r="D831" s="48"/>
      <c r="E831" s="48"/>
      <c r="F831" s="422"/>
      <c r="G831" s="422"/>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row>
    <row r="832">
      <c r="A832" s="48"/>
      <c r="B832" s="48"/>
      <c r="C832" s="48"/>
      <c r="D832" s="48"/>
      <c r="E832" s="48"/>
      <c r="F832" s="422"/>
      <c r="G832" s="422"/>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row>
    <row r="833">
      <c r="A833" s="48"/>
      <c r="B833" s="48"/>
      <c r="C833" s="48"/>
      <c r="D833" s="48"/>
      <c r="E833" s="48"/>
      <c r="F833" s="422"/>
      <c r="G833" s="422"/>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row>
    <row r="834">
      <c r="A834" s="48"/>
      <c r="B834" s="48"/>
      <c r="C834" s="48"/>
      <c r="D834" s="48"/>
      <c r="E834" s="48"/>
      <c r="F834" s="422"/>
      <c r="G834" s="422"/>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row>
    <row r="835">
      <c r="A835" s="48"/>
      <c r="B835" s="48"/>
      <c r="C835" s="48"/>
      <c r="D835" s="48"/>
      <c r="E835" s="48"/>
      <c r="F835" s="422"/>
      <c r="G835" s="422"/>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row>
    <row r="836">
      <c r="A836" s="48"/>
      <c r="B836" s="48"/>
      <c r="C836" s="48"/>
      <c r="D836" s="48"/>
      <c r="E836" s="48"/>
      <c r="F836" s="422"/>
      <c r="G836" s="422"/>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row>
    <row r="837">
      <c r="A837" s="48"/>
      <c r="B837" s="48"/>
      <c r="C837" s="48"/>
      <c r="D837" s="48"/>
      <c r="E837" s="48"/>
      <c r="F837" s="422"/>
      <c r="G837" s="422"/>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row>
    <row r="838">
      <c r="A838" s="48"/>
      <c r="B838" s="48"/>
      <c r="C838" s="48"/>
      <c r="D838" s="48"/>
      <c r="E838" s="48"/>
      <c r="F838" s="422"/>
      <c r="G838" s="422"/>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row>
    <row r="839">
      <c r="A839" s="48"/>
      <c r="B839" s="48"/>
      <c r="C839" s="48"/>
      <c r="D839" s="48"/>
      <c r="E839" s="48"/>
      <c r="F839" s="422"/>
      <c r="G839" s="422"/>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row>
    <row r="840">
      <c r="A840" s="48"/>
      <c r="B840" s="48"/>
      <c r="C840" s="48"/>
      <c r="D840" s="48"/>
      <c r="E840" s="48"/>
      <c r="F840" s="422"/>
      <c r="G840" s="422"/>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row>
    <row r="841">
      <c r="A841" s="48"/>
      <c r="B841" s="48"/>
      <c r="C841" s="48"/>
      <c r="D841" s="48"/>
      <c r="E841" s="48"/>
      <c r="F841" s="422"/>
      <c r="G841" s="422"/>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row>
    <row r="842">
      <c r="A842" s="48"/>
      <c r="B842" s="48"/>
      <c r="C842" s="48"/>
      <c r="D842" s="48"/>
      <c r="E842" s="48"/>
      <c r="F842" s="422"/>
      <c r="G842" s="422"/>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row>
    <row r="843">
      <c r="A843" s="48"/>
      <c r="B843" s="48"/>
      <c r="C843" s="48"/>
      <c r="D843" s="48"/>
      <c r="E843" s="48"/>
      <c r="F843" s="422"/>
      <c r="G843" s="422"/>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row>
    <row r="844">
      <c r="A844" s="48"/>
      <c r="B844" s="48"/>
      <c r="C844" s="48"/>
      <c r="D844" s="48"/>
      <c r="E844" s="48"/>
      <c r="F844" s="422"/>
      <c r="G844" s="422"/>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row>
    <row r="845">
      <c r="A845" s="48"/>
      <c r="B845" s="48"/>
      <c r="C845" s="48"/>
      <c r="D845" s="48"/>
      <c r="E845" s="48"/>
      <c r="F845" s="422"/>
      <c r="G845" s="422"/>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row>
    <row r="846">
      <c r="A846" s="48"/>
      <c r="B846" s="48"/>
      <c r="C846" s="48"/>
      <c r="D846" s="48"/>
      <c r="E846" s="48"/>
      <c r="F846" s="422"/>
      <c r="G846" s="422"/>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row>
    <row r="847">
      <c r="A847" s="48"/>
      <c r="B847" s="48"/>
      <c r="C847" s="48"/>
      <c r="D847" s="48"/>
      <c r="E847" s="48"/>
      <c r="F847" s="422"/>
      <c r="G847" s="422"/>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row>
    <row r="848">
      <c r="A848" s="48"/>
      <c r="B848" s="48"/>
      <c r="C848" s="48"/>
      <c r="D848" s="48"/>
      <c r="E848" s="48"/>
      <c r="F848" s="422"/>
      <c r="G848" s="422"/>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row>
    <row r="849">
      <c r="A849" s="48"/>
      <c r="B849" s="48"/>
      <c r="C849" s="48"/>
      <c r="D849" s="48"/>
      <c r="E849" s="48"/>
      <c r="F849" s="422"/>
      <c r="G849" s="422"/>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row>
    <row r="850">
      <c r="A850" s="48"/>
      <c r="B850" s="48"/>
      <c r="C850" s="48"/>
      <c r="D850" s="48"/>
      <c r="E850" s="48"/>
      <c r="F850" s="422"/>
      <c r="G850" s="422"/>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row>
    <row r="851">
      <c r="A851" s="48"/>
      <c r="B851" s="48"/>
      <c r="C851" s="48"/>
      <c r="D851" s="48"/>
      <c r="E851" s="48"/>
      <c r="F851" s="422"/>
      <c r="G851" s="422"/>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row>
    <row r="852">
      <c r="A852" s="48"/>
      <c r="B852" s="48"/>
      <c r="C852" s="48"/>
      <c r="D852" s="48"/>
      <c r="E852" s="48"/>
      <c r="F852" s="422"/>
      <c r="G852" s="422"/>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row>
    <row r="853">
      <c r="A853" s="48"/>
      <c r="B853" s="48"/>
      <c r="C853" s="48"/>
      <c r="D853" s="48"/>
      <c r="E853" s="48"/>
      <c r="F853" s="422"/>
      <c r="G853" s="422"/>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row>
    <row r="854">
      <c r="A854" s="48"/>
      <c r="B854" s="48"/>
      <c r="C854" s="48"/>
      <c r="D854" s="48"/>
      <c r="E854" s="48"/>
      <c r="F854" s="422"/>
      <c r="G854" s="422"/>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row>
    <row r="855">
      <c r="A855" s="48"/>
      <c r="B855" s="48"/>
      <c r="C855" s="48"/>
      <c r="D855" s="48"/>
      <c r="E855" s="48"/>
      <c r="F855" s="422"/>
      <c r="G855" s="422"/>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row>
    <row r="856">
      <c r="A856" s="48"/>
      <c r="B856" s="48"/>
      <c r="C856" s="48"/>
      <c r="D856" s="48"/>
      <c r="E856" s="48"/>
      <c r="F856" s="422"/>
      <c r="G856" s="422"/>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row>
    <row r="857">
      <c r="A857" s="48"/>
      <c r="B857" s="48"/>
      <c r="C857" s="48"/>
      <c r="D857" s="48"/>
      <c r="E857" s="48"/>
      <c r="F857" s="422"/>
      <c r="G857" s="422"/>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row>
    <row r="858">
      <c r="A858" s="48"/>
      <c r="B858" s="48"/>
      <c r="C858" s="48"/>
      <c r="D858" s="48"/>
      <c r="E858" s="48"/>
      <c r="F858" s="422"/>
      <c r="G858" s="422"/>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row>
    <row r="859">
      <c r="A859" s="48"/>
      <c r="B859" s="48"/>
      <c r="C859" s="48"/>
      <c r="D859" s="48"/>
      <c r="E859" s="48"/>
      <c r="F859" s="422"/>
      <c r="G859" s="422"/>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row>
    <row r="860">
      <c r="A860" s="48"/>
      <c r="B860" s="48"/>
      <c r="C860" s="48"/>
      <c r="D860" s="48"/>
      <c r="E860" s="48"/>
      <c r="F860" s="422"/>
      <c r="G860" s="422"/>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row>
    <row r="861">
      <c r="A861" s="48"/>
      <c r="B861" s="48"/>
      <c r="C861" s="48"/>
      <c r="D861" s="48"/>
      <c r="E861" s="48"/>
      <c r="F861" s="422"/>
      <c r="G861" s="422"/>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row>
    <row r="862">
      <c r="A862" s="48"/>
      <c r="B862" s="48"/>
      <c r="C862" s="48"/>
      <c r="D862" s="48"/>
      <c r="E862" s="48"/>
      <c r="F862" s="422"/>
      <c r="G862" s="422"/>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row>
    <row r="863">
      <c r="A863" s="48"/>
      <c r="B863" s="48"/>
      <c r="C863" s="48"/>
      <c r="D863" s="48"/>
      <c r="E863" s="48"/>
      <c r="F863" s="422"/>
      <c r="G863" s="422"/>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row>
    <row r="864">
      <c r="A864" s="48"/>
      <c r="B864" s="48"/>
      <c r="C864" s="48"/>
      <c r="D864" s="48"/>
      <c r="E864" s="48"/>
      <c r="F864" s="422"/>
      <c r="G864" s="422"/>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row>
    <row r="865">
      <c r="A865" s="48"/>
      <c r="B865" s="48"/>
      <c r="C865" s="48"/>
      <c r="D865" s="48"/>
      <c r="E865" s="48"/>
      <c r="F865" s="422"/>
      <c r="G865" s="422"/>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row>
    <row r="866">
      <c r="A866" s="48"/>
      <c r="B866" s="48"/>
      <c r="C866" s="48"/>
      <c r="D866" s="48"/>
      <c r="E866" s="48"/>
      <c r="F866" s="422"/>
      <c r="G866" s="422"/>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row>
    <row r="867">
      <c r="A867" s="48"/>
      <c r="B867" s="48"/>
      <c r="C867" s="48"/>
      <c r="D867" s="48"/>
      <c r="E867" s="48"/>
      <c r="F867" s="422"/>
      <c r="G867" s="422"/>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row>
    <row r="868">
      <c r="A868" s="48"/>
      <c r="B868" s="48"/>
      <c r="C868" s="48"/>
      <c r="D868" s="48"/>
      <c r="E868" s="48"/>
      <c r="F868" s="422"/>
      <c r="G868" s="422"/>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row>
    <row r="869">
      <c r="A869" s="48"/>
      <c r="B869" s="48"/>
      <c r="C869" s="48"/>
      <c r="D869" s="48"/>
      <c r="E869" s="48"/>
      <c r="F869" s="422"/>
      <c r="G869" s="422"/>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row>
    <row r="870">
      <c r="A870" s="48"/>
      <c r="B870" s="48"/>
      <c r="C870" s="48"/>
      <c r="D870" s="48"/>
      <c r="E870" s="48"/>
      <c r="F870" s="422"/>
      <c r="G870" s="422"/>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row>
    <row r="871">
      <c r="A871" s="48"/>
      <c r="B871" s="48"/>
      <c r="C871" s="48"/>
      <c r="D871" s="48"/>
      <c r="E871" s="48"/>
      <c r="F871" s="422"/>
      <c r="G871" s="422"/>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row>
    <row r="872">
      <c r="A872" s="48"/>
      <c r="B872" s="48"/>
      <c r="C872" s="48"/>
      <c r="D872" s="48"/>
      <c r="E872" s="48"/>
      <c r="F872" s="422"/>
      <c r="G872" s="422"/>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row>
    <row r="873">
      <c r="A873" s="48"/>
      <c r="B873" s="48"/>
      <c r="C873" s="48"/>
      <c r="D873" s="48"/>
      <c r="E873" s="48"/>
      <c r="F873" s="422"/>
      <c r="G873" s="422"/>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row>
    <row r="874">
      <c r="A874" s="48"/>
      <c r="B874" s="48"/>
      <c r="C874" s="48"/>
      <c r="D874" s="48"/>
      <c r="E874" s="48"/>
      <c r="F874" s="422"/>
      <c r="G874" s="422"/>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row>
    <row r="875">
      <c r="A875" s="48"/>
      <c r="B875" s="48"/>
      <c r="C875" s="48"/>
      <c r="D875" s="48"/>
      <c r="E875" s="48"/>
      <c r="F875" s="422"/>
      <c r="G875" s="422"/>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row>
    <row r="876">
      <c r="A876" s="48"/>
      <c r="B876" s="48"/>
      <c r="C876" s="48"/>
      <c r="D876" s="48"/>
      <c r="E876" s="48"/>
      <c r="F876" s="422"/>
      <c r="G876" s="422"/>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row>
    <row r="877">
      <c r="A877" s="48"/>
      <c r="B877" s="48"/>
      <c r="C877" s="48"/>
      <c r="D877" s="48"/>
      <c r="E877" s="48"/>
      <c r="F877" s="422"/>
      <c r="G877" s="422"/>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row>
    <row r="878">
      <c r="A878" s="48"/>
      <c r="B878" s="48"/>
      <c r="C878" s="48"/>
      <c r="D878" s="48"/>
      <c r="E878" s="48"/>
      <c r="F878" s="422"/>
      <c r="G878" s="422"/>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row>
    <row r="879">
      <c r="A879" s="48"/>
      <c r="B879" s="48"/>
      <c r="C879" s="48"/>
      <c r="D879" s="48"/>
      <c r="E879" s="48"/>
      <c r="F879" s="422"/>
      <c r="G879" s="422"/>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row>
    <row r="880">
      <c r="A880" s="48"/>
      <c r="B880" s="48"/>
      <c r="C880" s="48"/>
      <c r="D880" s="48"/>
      <c r="E880" s="48"/>
      <c r="F880" s="422"/>
      <c r="G880" s="422"/>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row>
    <row r="881">
      <c r="A881" s="48"/>
      <c r="B881" s="48"/>
      <c r="C881" s="48"/>
      <c r="D881" s="48"/>
      <c r="E881" s="48"/>
      <c r="F881" s="422"/>
      <c r="G881" s="422"/>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row>
    <row r="882">
      <c r="A882" s="48"/>
      <c r="B882" s="48"/>
      <c r="C882" s="48"/>
      <c r="D882" s="48"/>
      <c r="E882" s="48"/>
      <c r="F882" s="422"/>
      <c r="G882" s="422"/>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row>
    <row r="883">
      <c r="A883" s="48"/>
      <c r="B883" s="48"/>
      <c r="C883" s="48"/>
      <c r="D883" s="48"/>
      <c r="E883" s="48"/>
      <c r="F883" s="422"/>
      <c r="G883" s="422"/>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row>
    <row r="884">
      <c r="A884" s="48"/>
      <c r="B884" s="48"/>
      <c r="C884" s="48"/>
      <c r="D884" s="48"/>
      <c r="E884" s="48"/>
      <c r="F884" s="422"/>
      <c r="G884" s="422"/>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row>
    <row r="885">
      <c r="A885" s="48"/>
      <c r="B885" s="48"/>
      <c r="C885" s="48"/>
      <c r="D885" s="48"/>
      <c r="E885" s="48"/>
      <c r="F885" s="422"/>
      <c r="G885" s="422"/>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row>
    <row r="886">
      <c r="A886" s="48"/>
      <c r="B886" s="48"/>
      <c r="C886" s="48"/>
      <c r="D886" s="48"/>
      <c r="E886" s="48"/>
      <c r="F886" s="422"/>
      <c r="G886" s="422"/>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row>
    <row r="887">
      <c r="A887" s="48"/>
      <c r="B887" s="48"/>
      <c r="C887" s="48"/>
      <c r="D887" s="48"/>
      <c r="E887" s="48"/>
      <c r="F887" s="422"/>
      <c r="G887" s="422"/>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row>
    <row r="888">
      <c r="A888" s="48"/>
      <c r="B888" s="48"/>
      <c r="C888" s="48"/>
      <c r="D888" s="48"/>
      <c r="E888" s="48"/>
      <c r="F888" s="422"/>
      <c r="G888" s="422"/>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row>
    <row r="889">
      <c r="A889" s="48"/>
      <c r="B889" s="48"/>
      <c r="C889" s="48"/>
      <c r="D889" s="48"/>
      <c r="E889" s="48"/>
      <c r="F889" s="422"/>
      <c r="G889" s="422"/>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row>
    <row r="890">
      <c r="A890" s="48"/>
      <c r="B890" s="48"/>
      <c r="C890" s="48"/>
      <c r="D890" s="48"/>
      <c r="E890" s="48"/>
      <c r="F890" s="422"/>
      <c r="G890" s="422"/>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row>
    <row r="891">
      <c r="A891" s="48"/>
      <c r="B891" s="48"/>
      <c r="C891" s="48"/>
      <c r="D891" s="48"/>
      <c r="E891" s="48"/>
      <c r="F891" s="422"/>
      <c r="G891" s="422"/>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row>
    <row r="892">
      <c r="A892" s="48"/>
      <c r="B892" s="48"/>
      <c r="C892" s="48"/>
      <c r="D892" s="48"/>
      <c r="E892" s="48"/>
      <c r="F892" s="422"/>
      <c r="G892" s="422"/>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row>
    <row r="893">
      <c r="A893" s="48"/>
      <c r="B893" s="48"/>
      <c r="C893" s="48"/>
      <c r="D893" s="48"/>
      <c r="E893" s="48"/>
      <c r="F893" s="422"/>
      <c r="G893" s="422"/>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row>
    <row r="894">
      <c r="A894" s="48"/>
      <c r="B894" s="48"/>
      <c r="C894" s="48"/>
      <c r="D894" s="48"/>
      <c r="E894" s="48"/>
      <c r="F894" s="422"/>
      <c r="G894" s="422"/>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row>
    <row r="895">
      <c r="A895" s="48"/>
      <c r="B895" s="48"/>
      <c r="C895" s="48"/>
      <c r="D895" s="48"/>
      <c r="E895" s="48"/>
      <c r="F895" s="422"/>
      <c r="G895" s="422"/>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row>
    <row r="896">
      <c r="A896" s="48"/>
      <c r="B896" s="48"/>
      <c r="C896" s="48"/>
      <c r="D896" s="48"/>
      <c r="E896" s="48"/>
      <c r="F896" s="422"/>
      <c r="G896" s="422"/>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row>
    <row r="897">
      <c r="A897" s="48"/>
      <c r="B897" s="48"/>
      <c r="C897" s="48"/>
      <c r="D897" s="48"/>
      <c r="E897" s="48"/>
      <c r="F897" s="422"/>
      <c r="G897" s="422"/>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row>
    <row r="898">
      <c r="A898" s="48"/>
      <c r="B898" s="48"/>
      <c r="C898" s="48"/>
      <c r="D898" s="48"/>
      <c r="E898" s="48"/>
      <c r="F898" s="422"/>
      <c r="G898" s="422"/>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row>
    <row r="899">
      <c r="A899" s="48"/>
      <c r="B899" s="48"/>
      <c r="C899" s="48"/>
      <c r="D899" s="48"/>
      <c r="E899" s="48"/>
      <c r="F899" s="422"/>
      <c r="G899" s="422"/>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row>
    <row r="900">
      <c r="A900" s="48"/>
      <c r="B900" s="48"/>
      <c r="C900" s="48"/>
      <c r="D900" s="48"/>
      <c r="E900" s="48"/>
      <c r="F900" s="422"/>
      <c r="G900" s="422"/>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row>
    <row r="901">
      <c r="A901" s="48"/>
      <c r="B901" s="48"/>
      <c r="C901" s="48"/>
      <c r="D901" s="48"/>
      <c r="E901" s="48"/>
      <c r="F901" s="422"/>
      <c r="G901" s="422"/>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row>
    <row r="902">
      <c r="A902" s="48"/>
      <c r="B902" s="48"/>
      <c r="C902" s="48"/>
      <c r="D902" s="48"/>
      <c r="E902" s="48"/>
      <c r="F902" s="422"/>
      <c r="G902" s="422"/>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row>
    <row r="903">
      <c r="A903" s="48"/>
      <c r="B903" s="48"/>
      <c r="C903" s="48"/>
      <c r="D903" s="48"/>
      <c r="E903" s="48"/>
      <c r="F903" s="422"/>
      <c r="G903" s="422"/>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row>
    <row r="904">
      <c r="A904" s="48"/>
      <c r="B904" s="48"/>
      <c r="C904" s="48"/>
      <c r="D904" s="48"/>
      <c r="E904" s="48"/>
      <c r="F904" s="422"/>
      <c r="G904" s="422"/>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row>
    <row r="905">
      <c r="A905" s="48"/>
      <c r="B905" s="48"/>
      <c r="C905" s="48"/>
      <c r="D905" s="48"/>
      <c r="E905" s="48"/>
      <c r="F905" s="422"/>
      <c r="G905" s="422"/>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row>
    <row r="906">
      <c r="A906" s="48"/>
      <c r="B906" s="48"/>
      <c r="C906" s="48"/>
      <c r="D906" s="48"/>
      <c r="E906" s="48"/>
      <c r="F906" s="422"/>
      <c r="G906" s="422"/>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row>
    <row r="907">
      <c r="A907" s="48"/>
      <c r="B907" s="48"/>
      <c r="C907" s="48"/>
      <c r="D907" s="48"/>
      <c r="E907" s="48"/>
      <c r="F907" s="422"/>
      <c r="G907" s="422"/>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row>
    <row r="908">
      <c r="A908" s="48"/>
      <c r="B908" s="48"/>
      <c r="C908" s="48"/>
      <c r="D908" s="48"/>
      <c r="E908" s="48"/>
      <c r="F908" s="422"/>
      <c r="G908" s="422"/>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row>
    <row r="909">
      <c r="A909" s="48"/>
      <c r="B909" s="48"/>
      <c r="C909" s="48"/>
      <c r="D909" s="48"/>
      <c r="E909" s="48"/>
      <c r="F909" s="422"/>
      <c r="G909" s="422"/>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row>
    <row r="910">
      <c r="A910" s="48"/>
      <c r="B910" s="48"/>
      <c r="C910" s="48"/>
      <c r="D910" s="48"/>
      <c r="E910" s="48"/>
      <c r="F910" s="422"/>
      <c r="G910" s="422"/>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row>
    <row r="911">
      <c r="A911" s="48"/>
      <c r="B911" s="48"/>
      <c r="C911" s="48"/>
      <c r="D911" s="48"/>
      <c r="E911" s="48"/>
      <c r="F911" s="422"/>
      <c r="G911" s="422"/>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row>
    <row r="912">
      <c r="A912" s="48"/>
      <c r="B912" s="48"/>
      <c r="C912" s="48"/>
      <c r="D912" s="48"/>
      <c r="E912" s="48"/>
      <c r="F912" s="422"/>
      <c r="G912" s="422"/>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row>
    <row r="913">
      <c r="A913" s="48"/>
      <c r="B913" s="48"/>
      <c r="C913" s="48"/>
      <c r="D913" s="48"/>
      <c r="E913" s="48"/>
      <c r="F913" s="422"/>
      <c r="G913" s="422"/>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row>
    <row r="914">
      <c r="A914" s="48"/>
      <c r="B914" s="48"/>
      <c r="C914" s="48"/>
      <c r="D914" s="48"/>
      <c r="E914" s="48"/>
      <c r="F914" s="422"/>
      <c r="G914" s="422"/>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row>
    <row r="915">
      <c r="A915" s="48"/>
      <c r="B915" s="48"/>
      <c r="C915" s="48"/>
      <c r="D915" s="48"/>
      <c r="E915" s="48"/>
      <c r="F915" s="422"/>
      <c r="G915" s="422"/>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row>
    <row r="916">
      <c r="A916" s="48"/>
      <c r="B916" s="48"/>
      <c r="C916" s="48"/>
      <c r="D916" s="48"/>
      <c r="E916" s="48"/>
      <c r="F916" s="422"/>
      <c r="G916" s="422"/>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row>
    <row r="917">
      <c r="A917" s="48"/>
      <c r="B917" s="48"/>
      <c r="C917" s="48"/>
      <c r="D917" s="48"/>
      <c r="E917" s="48"/>
      <c r="F917" s="422"/>
      <c r="G917" s="422"/>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row>
    <row r="918">
      <c r="A918" s="48"/>
      <c r="B918" s="48"/>
      <c r="C918" s="48"/>
      <c r="D918" s="48"/>
      <c r="E918" s="48"/>
      <c r="F918" s="422"/>
      <c r="G918" s="422"/>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row>
    <row r="919">
      <c r="A919" s="48"/>
      <c r="B919" s="48"/>
      <c r="C919" s="48"/>
      <c r="D919" s="48"/>
      <c r="E919" s="48"/>
      <c r="F919" s="422"/>
      <c r="G919" s="422"/>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row>
    <row r="920">
      <c r="A920" s="48"/>
      <c r="B920" s="48"/>
      <c r="C920" s="48"/>
      <c r="D920" s="48"/>
      <c r="E920" s="48"/>
      <c r="F920" s="422"/>
      <c r="G920" s="422"/>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row>
    <row r="921">
      <c r="A921" s="48"/>
      <c r="B921" s="48"/>
      <c r="C921" s="48"/>
      <c r="D921" s="48"/>
      <c r="E921" s="48"/>
      <c r="F921" s="422"/>
      <c r="G921" s="422"/>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row>
    <row r="922">
      <c r="A922" s="48"/>
      <c r="B922" s="48"/>
      <c r="C922" s="48"/>
      <c r="D922" s="48"/>
      <c r="E922" s="48"/>
      <c r="F922" s="422"/>
      <c r="G922" s="422"/>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row>
    <row r="923">
      <c r="A923" s="48"/>
      <c r="B923" s="48"/>
      <c r="C923" s="48"/>
      <c r="D923" s="48"/>
      <c r="E923" s="48"/>
      <c r="F923" s="422"/>
      <c r="G923" s="422"/>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row>
    <row r="924">
      <c r="A924" s="48"/>
      <c r="B924" s="48"/>
      <c r="C924" s="48"/>
      <c r="D924" s="48"/>
      <c r="E924" s="48"/>
      <c r="F924" s="422"/>
      <c r="G924" s="422"/>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row>
    <row r="925">
      <c r="A925" s="48"/>
      <c r="B925" s="48"/>
      <c r="C925" s="48"/>
      <c r="D925" s="48"/>
      <c r="E925" s="48"/>
      <c r="F925" s="422"/>
      <c r="G925" s="422"/>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row>
    <row r="926">
      <c r="A926" s="48"/>
      <c r="B926" s="48"/>
      <c r="C926" s="48"/>
      <c r="D926" s="48"/>
      <c r="E926" s="48"/>
      <c r="F926" s="422"/>
      <c r="G926" s="422"/>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row>
    <row r="927">
      <c r="A927" s="48"/>
      <c r="B927" s="48"/>
      <c r="C927" s="48"/>
      <c r="D927" s="48"/>
      <c r="E927" s="48"/>
      <c r="F927" s="422"/>
      <c r="G927" s="422"/>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row>
    <row r="928">
      <c r="A928" s="48"/>
      <c r="B928" s="48"/>
      <c r="C928" s="48"/>
      <c r="D928" s="48"/>
      <c r="E928" s="48"/>
      <c r="F928" s="422"/>
      <c r="G928" s="422"/>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row>
    <row r="929">
      <c r="A929" s="48"/>
      <c r="B929" s="48"/>
      <c r="C929" s="48"/>
      <c r="D929" s="48"/>
      <c r="E929" s="48"/>
      <c r="F929" s="422"/>
      <c r="G929" s="422"/>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row>
    <row r="930">
      <c r="A930" s="48"/>
      <c r="B930" s="48"/>
      <c r="C930" s="48"/>
      <c r="D930" s="48"/>
      <c r="E930" s="48"/>
      <c r="F930" s="422"/>
      <c r="G930" s="422"/>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row>
    <row r="931">
      <c r="A931" s="48"/>
      <c r="B931" s="48"/>
      <c r="C931" s="48"/>
      <c r="D931" s="48"/>
      <c r="E931" s="48"/>
      <c r="F931" s="422"/>
      <c r="G931" s="422"/>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row>
    <row r="932">
      <c r="A932" s="48"/>
      <c r="B932" s="48"/>
      <c r="C932" s="48"/>
      <c r="D932" s="48"/>
      <c r="E932" s="48"/>
      <c r="F932" s="422"/>
      <c r="G932" s="422"/>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row>
    <row r="933">
      <c r="A933" s="48"/>
      <c r="B933" s="48"/>
      <c r="C933" s="48"/>
      <c r="D933" s="48"/>
      <c r="E933" s="48"/>
      <c r="F933" s="422"/>
      <c r="G933" s="422"/>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row>
    <row r="934">
      <c r="A934" s="48"/>
      <c r="B934" s="48"/>
      <c r="C934" s="48"/>
      <c r="D934" s="48"/>
      <c r="E934" s="48"/>
      <c r="F934" s="422"/>
      <c r="G934" s="422"/>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row>
    <row r="935">
      <c r="A935" s="48"/>
      <c r="B935" s="48"/>
      <c r="C935" s="48"/>
      <c r="D935" s="48"/>
      <c r="E935" s="48"/>
      <c r="F935" s="422"/>
      <c r="G935" s="422"/>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row>
    <row r="936">
      <c r="A936" s="48"/>
      <c r="B936" s="48"/>
      <c r="C936" s="48"/>
      <c r="D936" s="48"/>
      <c r="E936" s="48"/>
      <c r="F936" s="422"/>
      <c r="G936" s="422"/>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row>
    <row r="937">
      <c r="A937" s="48"/>
      <c r="B937" s="48"/>
      <c r="C937" s="48"/>
      <c r="D937" s="48"/>
      <c r="E937" s="48"/>
      <c r="F937" s="422"/>
      <c r="G937" s="422"/>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row>
    <row r="938">
      <c r="A938" s="48"/>
      <c r="B938" s="48"/>
      <c r="C938" s="48"/>
      <c r="D938" s="48"/>
      <c r="E938" s="48"/>
      <c r="F938" s="422"/>
      <c r="G938" s="422"/>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row>
    <row r="939">
      <c r="A939" s="48"/>
      <c r="B939" s="48"/>
      <c r="C939" s="48"/>
      <c r="D939" s="48"/>
      <c r="E939" s="48"/>
      <c r="F939" s="422"/>
      <c r="G939" s="422"/>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row>
    <row r="940">
      <c r="A940" s="48"/>
      <c r="B940" s="48"/>
      <c r="C940" s="48"/>
      <c r="D940" s="48"/>
      <c r="E940" s="48"/>
      <c r="F940" s="422"/>
      <c r="G940" s="422"/>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row>
    <row r="941">
      <c r="A941" s="48"/>
      <c r="B941" s="48"/>
      <c r="C941" s="48"/>
      <c r="D941" s="48"/>
      <c r="E941" s="48"/>
      <c r="F941" s="422"/>
      <c r="G941" s="422"/>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row>
    <row r="942">
      <c r="A942" s="48"/>
      <c r="B942" s="48"/>
      <c r="C942" s="48"/>
      <c r="D942" s="48"/>
      <c r="E942" s="48"/>
      <c r="F942" s="422"/>
      <c r="G942" s="422"/>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row>
    <row r="943">
      <c r="A943" s="48"/>
      <c r="B943" s="48"/>
      <c r="C943" s="48"/>
      <c r="D943" s="48"/>
      <c r="E943" s="48"/>
      <c r="F943" s="422"/>
      <c r="G943" s="422"/>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row>
    <row r="944">
      <c r="A944" s="48"/>
      <c r="B944" s="48"/>
      <c r="C944" s="48"/>
      <c r="D944" s="48"/>
      <c r="E944" s="48"/>
      <c r="F944" s="422"/>
      <c r="G944" s="422"/>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row>
    <row r="945">
      <c r="A945" s="48"/>
      <c r="B945" s="48"/>
      <c r="C945" s="48"/>
      <c r="D945" s="48"/>
      <c r="E945" s="48"/>
      <c r="F945" s="422"/>
      <c r="G945" s="422"/>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row>
    <row r="946">
      <c r="A946" s="48"/>
      <c r="B946" s="48"/>
      <c r="C946" s="48"/>
      <c r="D946" s="48"/>
      <c r="E946" s="48"/>
      <c r="F946" s="422"/>
      <c r="G946" s="422"/>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row>
    <row r="947">
      <c r="A947" s="48"/>
      <c r="B947" s="48"/>
      <c r="C947" s="48"/>
      <c r="D947" s="48"/>
      <c r="E947" s="48"/>
      <c r="F947" s="422"/>
      <c r="G947" s="422"/>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row>
    <row r="948">
      <c r="A948" s="48"/>
      <c r="B948" s="48"/>
      <c r="C948" s="48"/>
      <c r="D948" s="48"/>
      <c r="E948" s="48"/>
      <c r="F948" s="422"/>
      <c r="G948" s="422"/>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row>
    <row r="949">
      <c r="A949" s="48"/>
      <c r="B949" s="48"/>
      <c r="C949" s="48"/>
      <c r="D949" s="48"/>
      <c r="E949" s="48"/>
      <c r="F949" s="422"/>
      <c r="G949" s="422"/>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row>
    <row r="950">
      <c r="A950" s="48"/>
      <c r="B950" s="48"/>
      <c r="C950" s="48"/>
      <c r="D950" s="48"/>
      <c r="E950" s="48"/>
      <c r="F950" s="422"/>
      <c r="G950" s="422"/>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row>
    <row r="951">
      <c r="A951" s="48"/>
      <c r="B951" s="48"/>
      <c r="C951" s="48"/>
      <c r="D951" s="48"/>
      <c r="E951" s="48"/>
      <c r="F951" s="422"/>
      <c r="G951" s="422"/>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row>
    <row r="952">
      <c r="A952" s="48"/>
      <c r="B952" s="48"/>
      <c r="C952" s="48"/>
      <c r="D952" s="48"/>
      <c r="E952" s="48"/>
      <c r="F952" s="422"/>
      <c r="G952" s="422"/>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row>
    <row r="953">
      <c r="A953" s="48"/>
      <c r="B953" s="48"/>
      <c r="C953" s="48"/>
      <c r="D953" s="48"/>
      <c r="E953" s="48"/>
      <c r="F953" s="422"/>
      <c r="G953" s="422"/>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row>
    <row r="954">
      <c r="A954" s="48"/>
      <c r="B954" s="48"/>
      <c r="C954" s="48"/>
      <c r="D954" s="48"/>
      <c r="E954" s="48"/>
      <c r="F954" s="422"/>
      <c r="G954" s="422"/>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row>
    <row r="955">
      <c r="A955" s="48"/>
      <c r="B955" s="48"/>
      <c r="C955" s="48"/>
      <c r="D955" s="48"/>
      <c r="E955" s="48"/>
      <c r="F955" s="422"/>
      <c r="G955" s="422"/>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row>
    <row r="956">
      <c r="A956" s="48"/>
      <c r="B956" s="48"/>
      <c r="C956" s="48"/>
      <c r="D956" s="48"/>
      <c r="E956" s="48"/>
      <c r="F956" s="422"/>
      <c r="G956" s="422"/>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row>
    <row r="957">
      <c r="A957" s="48"/>
      <c r="B957" s="48"/>
      <c r="C957" s="48"/>
      <c r="D957" s="48"/>
      <c r="E957" s="48"/>
      <c r="F957" s="422"/>
      <c r="G957" s="422"/>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row>
    <row r="958">
      <c r="A958" s="48"/>
      <c r="B958" s="48"/>
      <c r="C958" s="48"/>
      <c r="D958" s="48"/>
      <c r="E958" s="48"/>
      <c r="F958" s="422"/>
      <c r="G958" s="422"/>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row>
    <row r="959">
      <c r="A959" s="48"/>
      <c r="B959" s="48"/>
      <c r="C959" s="48"/>
      <c r="D959" s="48"/>
      <c r="E959" s="48"/>
      <c r="F959" s="422"/>
      <c r="G959" s="422"/>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row>
    <row r="960">
      <c r="A960" s="48"/>
      <c r="B960" s="48"/>
      <c r="C960" s="48"/>
      <c r="D960" s="48"/>
      <c r="E960" s="48"/>
      <c r="F960" s="422"/>
      <c r="G960" s="422"/>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row>
    <row r="961">
      <c r="A961" s="48"/>
      <c r="B961" s="48"/>
      <c r="C961" s="48"/>
      <c r="D961" s="48"/>
      <c r="E961" s="48"/>
      <c r="F961" s="422"/>
      <c r="G961" s="422"/>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row>
    <row r="962">
      <c r="A962" s="48"/>
      <c r="B962" s="48"/>
      <c r="C962" s="48"/>
      <c r="D962" s="48"/>
      <c r="E962" s="48"/>
      <c r="F962" s="422"/>
      <c r="G962" s="422"/>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row>
    <row r="963">
      <c r="A963" s="48"/>
      <c r="B963" s="48"/>
      <c r="C963" s="48"/>
      <c r="D963" s="48"/>
      <c r="E963" s="48"/>
      <c r="F963" s="422"/>
      <c r="G963" s="422"/>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row>
    <row r="964">
      <c r="A964" s="48"/>
      <c r="B964" s="48"/>
      <c r="C964" s="48"/>
      <c r="D964" s="48"/>
      <c r="E964" s="48"/>
      <c r="F964" s="422"/>
      <c r="G964" s="422"/>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row>
    <row r="965">
      <c r="A965" s="48"/>
      <c r="B965" s="48"/>
      <c r="C965" s="48"/>
      <c r="D965" s="48"/>
      <c r="E965" s="48"/>
      <c r="F965" s="422"/>
      <c r="G965" s="422"/>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row>
    <row r="966">
      <c r="A966" s="48"/>
      <c r="B966" s="48"/>
      <c r="C966" s="48"/>
      <c r="D966" s="48"/>
      <c r="E966" s="48"/>
      <c r="F966" s="422"/>
      <c r="G966" s="422"/>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row>
    <row r="967">
      <c r="A967" s="48"/>
      <c r="B967" s="48"/>
      <c r="C967" s="48"/>
      <c r="D967" s="48"/>
      <c r="E967" s="48"/>
      <c r="F967" s="422"/>
      <c r="G967" s="422"/>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row>
    <row r="968">
      <c r="A968" s="48"/>
      <c r="B968" s="48"/>
      <c r="C968" s="48"/>
      <c r="D968" s="48"/>
      <c r="E968" s="48"/>
      <c r="F968" s="422"/>
      <c r="G968" s="422"/>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row>
    <row r="969">
      <c r="A969" s="48"/>
      <c r="B969" s="48"/>
      <c r="C969" s="48"/>
      <c r="D969" s="48"/>
      <c r="E969" s="48"/>
      <c r="F969" s="422"/>
      <c r="G969" s="422"/>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row>
    <row r="970">
      <c r="A970" s="48"/>
      <c r="B970" s="48"/>
      <c r="C970" s="48"/>
      <c r="D970" s="48"/>
      <c r="E970" s="48"/>
      <c r="F970" s="422"/>
      <c r="G970" s="422"/>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row>
    <row r="971">
      <c r="A971" s="48"/>
      <c r="B971" s="48"/>
      <c r="C971" s="48"/>
      <c r="D971" s="48"/>
      <c r="E971" s="48"/>
      <c r="F971" s="422"/>
      <c r="G971" s="422"/>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row>
    <row r="972">
      <c r="A972" s="48"/>
      <c r="B972" s="48"/>
      <c r="C972" s="48"/>
      <c r="D972" s="48"/>
      <c r="E972" s="48"/>
      <c r="F972" s="422"/>
      <c r="G972" s="422"/>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row>
    <row r="973">
      <c r="A973" s="48"/>
      <c r="B973" s="48"/>
      <c r="C973" s="48"/>
      <c r="D973" s="48"/>
      <c r="E973" s="48"/>
      <c r="F973" s="422"/>
      <c r="G973" s="422"/>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row>
    <row r="974">
      <c r="A974" s="48"/>
      <c r="B974" s="48"/>
      <c r="C974" s="48"/>
      <c r="D974" s="48"/>
      <c r="E974" s="48"/>
      <c r="F974" s="422"/>
      <c r="G974" s="422"/>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row>
    <row r="975">
      <c r="A975" s="48"/>
      <c r="B975" s="48"/>
      <c r="C975" s="48"/>
      <c r="D975" s="48"/>
      <c r="E975" s="48"/>
      <c r="F975" s="422"/>
      <c r="G975" s="422"/>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row>
    <row r="976">
      <c r="A976" s="48"/>
      <c r="B976" s="48"/>
      <c r="C976" s="48"/>
      <c r="D976" s="48"/>
      <c r="E976" s="48"/>
      <c r="F976" s="422"/>
      <c r="G976" s="422"/>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row>
    <row r="977">
      <c r="A977" s="48"/>
      <c r="B977" s="48"/>
      <c r="C977" s="48"/>
      <c r="D977" s="48"/>
      <c r="E977" s="48"/>
      <c r="F977" s="422"/>
      <c r="G977" s="422"/>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row>
    <row r="978">
      <c r="A978" s="48"/>
      <c r="B978" s="48"/>
      <c r="C978" s="48"/>
      <c r="D978" s="48"/>
      <c r="E978" s="48"/>
      <c r="F978" s="422"/>
      <c r="G978" s="422"/>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row>
    <row r="979">
      <c r="A979" s="48"/>
      <c r="B979" s="48"/>
      <c r="C979" s="48"/>
      <c r="D979" s="48"/>
      <c r="E979" s="48"/>
      <c r="F979" s="422"/>
      <c r="G979" s="422"/>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row>
    <row r="980">
      <c r="A980" s="48"/>
      <c r="B980" s="48"/>
      <c r="C980" s="48"/>
      <c r="D980" s="48"/>
      <c r="E980" s="48"/>
      <c r="F980" s="422"/>
      <c r="G980" s="422"/>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row>
    <row r="981">
      <c r="A981" s="48"/>
      <c r="B981" s="48"/>
      <c r="C981" s="48"/>
      <c r="D981" s="48"/>
      <c r="E981" s="48"/>
      <c r="F981" s="422"/>
      <c r="G981" s="422"/>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row>
    <row r="982">
      <c r="A982" s="48"/>
      <c r="B982" s="48"/>
      <c r="C982" s="48"/>
      <c r="D982" s="48"/>
      <c r="E982" s="48"/>
      <c r="F982" s="422"/>
      <c r="G982" s="422"/>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row>
    <row r="983">
      <c r="A983" s="48"/>
      <c r="B983" s="48"/>
      <c r="C983" s="48"/>
      <c r="D983" s="48"/>
      <c r="E983" s="48"/>
      <c r="F983" s="422"/>
      <c r="G983" s="422"/>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row>
    <row r="984">
      <c r="A984" s="48"/>
      <c r="B984" s="48"/>
      <c r="C984" s="48"/>
      <c r="D984" s="48"/>
      <c r="E984" s="48"/>
      <c r="F984" s="422"/>
      <c r="G984" s="422"/>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row>
    <row r="985">
      <c r="A985" s="48"/>
      <c r="B985" s="48"/>
      <c r="C985" s="48"/>
      <c r="D985" s="48"/>
      <c r="E985" s="48"/>
      <c r="F985" s="422"/>
      <c r="G985" s="422"/>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row>
    <row r="986">
      <c r="A986" s="48"/>
      <c r="B986" s="48"/>
      <c r="C986" s="48"/>
      <c r="D986" s="48"/>
      <c r="E986" s="48"/>
      <c r="F986" s="422"/>
      <c r="G986" s="422"/>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row>
    <row r="987">
      <c r="A987" s="48"/>
      <c r="B987" s="48"/>
      <c r="C987" s="48"/>
      <c r="D987" s="48"/>
      <c r="E987" s="48"/>
      <c r="F987" s="422"/>
      <c r="G987" s="422"/>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row>
    <row r="988">
      <c r="A988" s="48"/>
      <c r="B988" s="48"/>
      <c r="C988" s="48"/>
      <c r="D988" s="48"/>
      <c r="E988" s="48"/>
      <c r="F988" s="422"/>
      <c r="G988" s="422"/>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row>
    <row r="989">
      <c r="A989" s="48"/>
      <c r="B989" s="48"/>
      <c r="C989" s="48"/>
      <c r="D989" s="48"/>
      <c r="E989" s="48"/>
      <c r="F989" s="422"/>
      <c r="G989" s="422"/>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row>
    <row r="990">
      <c r="A990" s="48"/>
      <c r="B990" s="48"/>
      <c r="C990" s="48"/>
      <c r="D990" s="48"/>
      <c r="E990" s="48"/>
      <c r="F990" s="422"/>
      <c r="G990" s="422"/>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row>
    <row r="991">
      <c r="A991" s="48"/>
      <c r="B991" s="48"/>
      <c r="C991" s="48"/>
      <c r="D991" s="48"/>
      <c r="E991" s="48"/>
      <c r="F991" s="422"/>
      <c r="G991" s="422"/>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row>
    <row r="992">
      <c r="A992" s="48"/>
      <c r="B992" s="48"/>
      <c r="C992" s="48"/>
      <c r="D992" s="48"/>
      <c r="E992" s="48"/>
      <c r="F992" s="422"/>
      <c r="G992" s="422"/>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row>
    <row r="993">
      <c r="A993" s="48"/>
      <c r="B993" s="48"/>
      <c r="C993" s="48"/>
      <c r="D993" s="48"/>
      <c r="E993" s="48"/>
      <c r="F993" s="422"/>
      <c r="G993" s="422"/>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row>
    <row r="994">
      <c r="A994" s="48"/>
      <c r="B994" s="48"/>
      <c r="C994" s="48"/>
      <c r="D994" s="48"/>
      <c r="E994" s="48"/>
      <c r="F994" s="422"/>
      <c r="G994" s="422"/>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row>
    <row r="995">
      <c r="A995" s="48"/>
      <c r="B995" s="48"/>
      <c r="C995" s="48"/>
      <c r="D995" s="48"/>
      <c r="E995" s="48"/>
      <c r="F995" s="422"/>
      <c r="G995" s="422"/>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row>
    <row r="996">
      <c r="A996" s="48"/>
      <c r="B996" s="48"/>
      <c r="C996" s="48"/>
      <c r="D996" s="48"/>
      <c r="E996" s="48"/>
      <c r="F996" s="422"/>
      <c r="G996" s="422"/>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row>
    <row r="997">
      <c r="A997" s="48"/>
      <c r="B997" s="48"/>
      <c r="C997" s="48"/>
      <c r="D997" s="48"/>
      <c r="E997" s="48"/>
      <c r="F997" s="422"/>
      <c r="G997" s="422"/>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row>
    <row r="998">
      <c r="A998" s="48"/>
      <c r="B998" s="48"/>
      <c r="C998" s="48"/>
      <c r="D998" s="48"/>
      <c r="E998" s="48"/>
      <c r="F998" s="422"/>
      <c r="G998" s="422"/>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row>
    <row r="999">
      <c r="A999" s="48"/>
      <c r="B999" s="48"/>
      <c r="C999" s="48"/>
      <c r="D999" s="48"/>
      <c r="E999" s="48"/>
      <c r="F999" s="422"/>
      <c r="G999" s="422"/>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row>
    <row r="1000">
      <c r="A1000" s="48"/>
      <c r="B1000" s="48"/>
      <c r="C1000" s="48"/>
      <c r="D1000" s="48"/>
      <c r="E1000" s="48"/>
      <c r="F1000" s="422"/>
      <c r="G1000" s="422"/>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row>
    <row r="1001">
      <c r="A1001" s="48"/>
      <c r="B1001" s="48"/>
      <c r="C1001" s="48"/>
      <c r="D1001" s="48"/>
      <c r="E1001" s="48"/>
      <c r="F1001" s="422"/>
      <c r="G1001" s="422"/>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row>
    <row r="1002">
      <c r="A1002" s="48"/>
      <c r="B1002" s="48"/>
      <c r="C1002" s="48"/>
      <c r="D1002" s="48"/>
      <c r="E1002" s="48"/>
      <c r="F1002" s="422"/>
      <c r="G1002" s="422"/>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row>
    <row r="1003">
      <c r="A1003" s="48"/>
      <c r="B1003" s="48"/>
      <c r="C1003" s="48"/>
      <c r="D1003" s="48"/>
      <c r="E1003" s="48"/>
      <c r="F1003" s="422"/>
      <c r="G1003" s="422"/>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row>
    <row r="1004">
      <c r="A1004" s="48"/>
      <c r="B1004" s="48"/>
      <c r="C1004" s="48"/>
      <c r="D1004" s="48"/>
      <c r="E1004" s="48"/>
      <c r="F1004" s="422"/>
      <c r="G1004" s="422"/>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row>
    <row r="1005">
      <c r="A1005" s="48"/>
      <c r="B1005" s="48"/>
      <c r="C1005" s="48"/>
      <c r="D1005" s="48"/>
      <c r="E1005" s="48"/>
      <c r="F1005" s="422"/>
      <c r="G1005" s="422"/>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row>
    <row r="1006">
      <c r="A1006" s="48"/>
      <c r="B1006" s="48"/>
      <c r="C1006" s="48"/>
      <c r="D1006" s="48"/>
      <c r="E1006" s="48"/>
      <c r="F1006" s="422"/>
      <c r="G1006" s="422"/>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row>
    <row r="1007">
      <c r="A1007" s="48"/>
      <c r="B1007" s="48"/>
      <c r="C1007" s="48"/>
      <c r="D1007" s="48"/>
      <c r="E1007" s="48"/>
      <c r="F1007" s="422"/>
      <c r="G1007" s="422"/>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row>
    <row r="1008">
      <c r="A1008" s="48"/>
      <c r="B1008" s="48"/>
      <c r="C1008" s="48"/>
      <c r="D1008" s="48"/>
      <c r="E1008" s="48"/>
      <c r="F1008" s="422"/>
      <c r="G1008" s="422"/>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row>
    <row r="1009">
      <c r="A1009" s="48"/>
      <c r="B1009" s="48"/>
      <c r="C1009" s="48"/>
      <c r="D1009" s="48"/>
      <c r="E1009" s="48"/>
      <c r="F1009" s="422"/>
      <c r="G1009" s="422"/>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row>
    <row r="1010">
      <c r="A1010" s="48"/>
      <c r="B1010" s="48"/>
      <c r="C1010" s="48"/>
      <c r="D1010" s="48"/>
      <c r="E1010" s="48"/>
      <c r="F1010" s="422"/>
      <c r="G1010" s="422"/>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row>
    <row r="1011">
      <c r="A1011" s="48"/>
      <c r="B1011" s="48"/>
      <c r="C1011" s="48"/>
      <c r="D1011" s="48"/>
      <c r="E1011" s="48"/>
      <c r="F1011" s="422"/>
      <c r="G1011" s="422"/>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row>
    <row r="1012">
      <c r="A1012" s="48"/>
      <c r="B1012" s="48"/>
      <c r="C1012" s="48"/>
      <c r="D1012" s="48"/>
      <c r="E1012" s="48"/>
      <c r="F1012" s="422"/>
      <c r="G1012" s="422"/>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row>
    <row r="1013">
      <c r="A1013" s="48"/>
      <c r="B1013" s="48"/>
      <c r="C1013" s="48"/>
      <c r="D1013" s="48"/>
      <c r="E1013" s="48"/>
      <c r="F1013" s="422"/>
      <c r="G1013" s="422"/>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row>
    <row r="1014">
      <c r="A1014" s="48"/>
      <c r="B1014" s="48"/>
      <c r="C1014" s="48"/>
      <c r="D1014" s="48"/>
      <c r="E1014" s="48"/>
      <c r="F1014" s="422"/>
      <c r="G1014" s="422"/>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row>
    <row r="1015">
      <c r="A1015" s="48"/>
      <c r="B1015" s="48"/>
      <c r="C1015" s="48"/>
      <c r="D1015" s="48"/>
      <c r="E1015" s="48"/>
      <c r="F1015" s="422"/>
      <c r="G1015" s="422"/>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row>
    <row r="1016">
      <c r="A1016" s="48"/>
      <c r="B1016" s="48"/>
      <c r="C1016" s="48"/>
      <c r="D1016" s="48"/>
      <c r="E1016" s="48"/>
      <c r="F1016" s="422"/>
      <c r="G1016" s="422"/>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row>
    <row r="1017">
      <c r="A1017" s="48"/>
      <c r="B1017" s="48"/>
      <c r="C1017" s="48"/>
      <c r="D1017" s="48"/>
      <c r="E1017" s="48"/>
      <c r="F1017" s="422"/>
      <c r="G1017" s="422"/>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row>
    <row r="1018">
      <c r="A1018" s="48"/>
      <c r="B1018" s="48"/>
      <c r="C1018" s="48"/>
      <c r="D1018" s="48"/>
      <c r="E1018" s="48"/>
      <c r="F1018" s="422"/>
      <c r="G1018" s="422"/>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row>
    <row r="1019">
      <c r="A1019" s="48"/>
      <c r="B1019" s="48"/>
      <c r="C1019" s="48"/>
      <c r="D1019" s="48"/>
      <c r="E1019" s="48"/>
      <c r="F1019" s="422"/>
      <c r="G1019" s="422"/>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row>
    <row r="1020">
      <c r="A1020" s="48"/>
      <c r="B1020" s="48"/>
      <c r="C1020" s="48"/>
      <c r="D1020" s="48"/>
      <c r="E1020" s="48"/>
      <c r="F1020" s="422"/>
      <c r="G1020" s="422"/>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row>
    <row r="1021">
      <c r="A1021" s="48"/>
      <c r="B1021" s="48"/>
      <c r="C1021" s="48"/>
      <c r="D1021" s="48"/>
      <c r="E1021" s="48"/>
      <c r="F1021" s="422"/>
      <c r="G1021" s="422"/>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row>
    <row r="1022">
      <c r="A1022" s="48"/>
      <c r="B1022" s="48"/>
      <c r="C1022" s="48"/>
      <c r="D1022" s="48"/>
      <c r="E1022" s="48"/>
      <c r="F1022" s="422"/>
      <c r="G1022" s="422"/>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row>
    <row r="1023">
      <c r="A1023" s="48"/>
      <c r="B1023" s="48"/>
      <c r="C1023" s="48"/>
      <c r="D1023" s="48"/>
      <c r="E1023" s="48"/>
      <c r="F1023" s="422"/>
      <c r="G1023" s="422"/>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row>
    <row r="1024">
      <c r="A1024" s="48"/>
      <c r="B1024" s="48"/>
      <c r="C1024" s="48"/>
      <c r="D1024" s="48"/>
      <c r="E1024" s="48"/>
      <c r="F1024" s="422"/>
      <c r="G1024" s="422"/>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row>
    <row r="1025">
      <c r="A1025" s="48"/>
      <c r="B1025" s="48"/>
      <c r="C1025" s="48"/>
      <c r="D1025" s="48"/>
      <c r="E1025" s="48"/>
      <c r="F1025" s="422"/>
      <c r="G1025" s="422"/>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row>
    <row r="1026">
      <c r="A1026" s="48"/>
      <c r="B1026" s="48"/>
      <c r="C1026" s="48"/>
      <c r="D1026" s="48"/>
      <c r="E1026" s="48"/>
      <c r="F1026" s="422"/>
      <c r="G1026" s="422"/>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row>
    <row r="1027">
      <c r="A1027" s="48"/>
      <c r="B1027" s="48"/>
      <c r="C1027" s="48"/>
      <c r="D1027" s="48"/>
      <c r="E1027" s="48"/>
      <c r="F1027" s="422"/>
      <c r="G1027" s="422"/>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row>
    <row r="1028">
      <c r="A1028" s="48"/>
      <c r="B1028" s="48"/>
      <c r="C1028" s="48"/>
      <c r="D1028" s="48"/>
      <c r="E1028" s="48"/>
      <c r="F1028" s="422"/>
      <c r="G1028" s="422"/>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row>
    <row r="1029">
      <c r="A1029" s="48"/>
      <c r="B1029" s="48"/>
      <c r="C1029" s="48"/>
      <c r="D1029" s="48"/>
      <c r="E1029" s="48"/>
      <c r="F1029" s="422"/>
      <c r="G1029" s="422"/>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row>
    <row r="1030">
      <c r="A1030" s="48"/>
      <c r="B1030" s="48"/>
      <c r="C1030" s="48"/>
      <c r="D1030" s="48"/>
      <c r="E1030" s="48"/>
      <c r="F1030" s="422"/>
      <c r="G1030" s="422"/>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row>
    <row r="1031">
      <c r="A1031" s="48"/>
      <c r="B1031" s="48"/>
      <c r="C1031" s="48"/>
      <c r="D1031" s="48"/>
      <c r="E1031" s="48"/>
      <c r="F1031" s="422"/>
      <c r="G1031" s="422"/>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row>
    <row r="1032">
      <c r="A1032" s="48"/>
      <c r="B1032" s="48"/>
      <c r="C1032" s="48"/>
      <c r="D1032" s="48"/>
      <c r="E1032" s="48"/>
      <c r="F1032" s="422"/>
      <c r="G1032" s="422"/>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row>
    <row r="1033">
      <c r="A1033" s="48"/>
      <c r="B1033" s="48"/>
      <c r="C1033" s="48"/>
      <c r="D1033" s="48"/>
      <c r="E1033" s="48"/>
      <c r="F1033" s="422"/>
      <c r="G1033" s="422"/>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row>
    <row r="1034">
      <c r="A1034" s="48"/>
      <c r="B1034" s="48"/>
      <c r="C1034" s="48"/>
      <c r="D1034" s="48"/>
      <c r="E1034" s="48"/>
      <c r="F1034" s="422"/>
      <c r="G1034" s="422"/>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row>
  </sheetData>
  <conditionalFormatting sqref="A17:A33 A41 A43 A48:A50 A55:A56">
    <cfRule type="colorScale" priority="1">
      <colorScale>
        <cfvo type="min"/>
        <cfvo type="max"/>
        <color rgb="FFFFFFFF"/>
        <color rgb="FFFFD666"/>
      </colorScale>
    </cfRule>
  </conditionalFormatting>
  <hyperlinks>
    <hyperlink r:id="rId1" ref="D13"/>
    <hyperlink r:id="rId2" ref="D14"/>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3" width="15.75"/>
    <col customWidth="1" min="4" max="4" width="15.13"/>
    <col customWidth="1" min="5" max="5" width="14.5"/>
    <col customWidth="1" min="6" max="6" width="22.63"/>
    <col customWidth="1" min="7" max="7" width="62.63"/>
    <col customWidth="1" min="8" max="8" width="8.88"/>
  </cols>
  <sheetData>
    <row r="1">
      <c r="B1" s="679"/>
      <c r="C1" s="680"/>
      <c r="D1" s="48"/>
      <c r="E1" s="680"/>
      <c r="F1" s="681"/>
      <c r="G1" s="682"/>
      <c r="H1" s="48"/>
      <c r="I1" s="48"/>
      <c r="J1" s="48"/>
      <c r="K1" s="48"/>
      <c r="L1" s="48"/>
      <c r="M1" s="48"/>
      <c r="N1" s="48"/>
      <c r="O1" s="48"/>
      <c r="P1" s="48"/>
      <c r="Q1" s="48"/>
      <c r="R1" s="48"/>
      <c r="S1" s="48"/>
      <c r="T1" s="48"/>
      <c r="U1" s="48"/>
      <c r="V1" s="48"/>
      <c r="W1" s="48"/>
      <c r="X1" s="48"/>
      <c r="Y1" s="48"/>
      <c r="Z1" s="48"/>
      <c r="AA1" s="48"/>
      <c r="AB1" s="48"/>
      <c r="AC1" s="48"/>
      <c r="AD1" s="48"/>
    </row>
    <row r="2">
      <c r="B2" s="679" t="s">
        <v>2260</v>
      </c>
      <c r="C2" s="680"/>
      <c r="D2" s="48"/>
      <c r="E2" s="680"/>
      <c r="F2" s="681"/>
      <c r="G2" s="744" t="s">
        <v>2261</v>
      </c>
      <c r="H2" s="48"/>
      <c r="I2" s="48"/>
      <c r="J2" s="48"/>
      <c r="K2" s="48"/>
      <c r="L2" s="48"/>
      <c r="M2" s="48"/>
      <c r="N2" s="48"/>
      <c r="O2" s="48"/>
      <c r="P2" s="48"/>
      <c r="Q2" s="48"/>
      <c r="R2" s="48"/>
      <c r="S2" s="48"/>
      <c r="T2" s="48"/>
      <c r="U2" s="48"/>
      <c r="V2" s="48"/>
      <c r="W2" s="48"/>
      <c r="X2" s="48"/>
      <c r="Y2" s="48"/>
      <c r="Z2" s="48"/>
      <c r="AA2" s="48"/>
      <c r="AB2" s="48"/>
      <c r="AC2" s="48"/>
      <c r="AD2" s="48"/>
    </row>
    <row r="3">
      <c r="A3" s="48"/>
      <c r="B3" s="683" t="s">
        <v>2127</v>
      </c>
      <c r="C3" s="48"/>
      <c r="D3" s="47"/>
      <c r="E3" s="48"/>
      <c r="F3" s="684"/>
      <c r="G3" s="682" t="s">
        <v>2262</v>
      </c>
      <c r="H3" s="48"/>
      <c r="I3" s="48"/>
      <c r="J3" s="48"/>
      <c r="K3" s="48"/>
      <c r="L3" s="48"/>
      <c r="M3" s="48"/>
      <c r="N3" s="48"/>
      <c r="O3" s="48"/>
      <c r="P3" s="48"/>
      <c r="Q3" s="48"/>
      <c r="R3" s="48"/>
      <c r="S3" s="48"/>
      <c r="T3" s="48"/>
      <c r="U3" s="48"/>
      <c r="V3" s="48"/>
      <c r="W3" s="48"/>
      <c r="X3" s="48"/>
      <c r="Y3" s="48"/>
      <c r="Z3" s="48"/>
      <c r="AA3" s="48"/>
      <c r="AB3" s="48"/>
      <c r="AC3" s="48"/>
      <c r="AD3" s="48"/>
    </row>
    <row r="4">
      <c r="A4" s="48"/>
      <c r="B4" s="685" t="s">
        <v>2128</v>
      </c>
      <c r="C4" s="48"/>
      <c r="D4" s="47"/>
      <c r="E4" s="48"/>
      <c r="F4" s="684"/>
      <c r="G4" s="684"/>
      <c r="H4" s="48"/>
      <c r="I4" s="48"/>
      <c r="J4" s="48"/>
      <c r="K4" s="48"/>
      <c r="L4" s="48"/>
      <c r="M4" s="48"/>
      <c r="N4" s="48"/>
      <c r="O4" s="48"/>
      <c r="P4" s="48"/>
      <c r="Q4" s="48"/>
      <c r="R4" s="48"/>
      <c r="S4" s="48"/>
      <c r="T4" s="48"/>
      <c r="U4" s="48"/>
      <c r="V4" s="48"/>
      <c r="W4" s="48"/>
      <c r="X4" s="48"/>
      <c r="Y4" s="48"/>
      <c r="Z4" s="48"/>
      <c r="AA4" s="48"/>
      <c r="AB4" s="48"/>
      <c r="AC4" s="48"/>
      <c r="AD4" s="48"/>
    </row>
    <row r="5">
      <c r="A5" s="48"/>
      <c r="B5" s="47"/>
      <c r="C5" s="48"/>
      <c r="D5" s="47"/>
      <c r="E5" s="48"/>
      <c r="F5" s="684"/>
      <c r="G5" s="684"/>
      <c r="H5" s="48"/>
      <c r="I5" s="48"/>
      <c r="J5" s="48"/>
      <c r="K5" s="48"/>
      <c r="L5" s="48"/>
      <c r="M5" s="48"/>
      <c r="N5" s="48"/>
      <c r="O5" s="48"/>
      <c r="P5" s="48"/>
      <c r="Q5" s="48"/>
      <c r="R5" s="48"/>
      <c r="S5" s="48"/>
      <c r="T5" s="48"/>
      <c r="U5" s="48"/>
      <c r="V5" s="48"/>
      <c r="W5" s="48"/>
      <c r="X5" s="48"/>
      <c r="Y5" s="48"/>
      <c r="Z5" s="48"/>
      <c r="AA5" s="48"/>
      <c r="AB5" s="48"/>
      <c r="AC5" s="48"/>
      <c r="AD5" s="48"/>
    </row>
    <row r="6">
      <c r="A6" s="48"/>
      <c r="B6" s="683" t="s">
        <v>2129</v>
      </c>
      <c r="C6" s="48"/>
      <c r="D6" s="47"/>
      <c r="E6" s="48"/>
      <c r="F6" s="684"/>
      <c r="G6" s="684"/>
      <c r="H6" s="48"/>
      <c r="I6" s="48"/>
      <c r="J6" s="48"/>
      <c r="K6" s="48"/>
      <c r="L6" s="48"/>
      <c r="M6" s="48"/>
      <c r="N6" s="48"/>
      <c r="O6" s="48"/>
      <c r="P6" s="48"/>
      <c r="Q6" s="48"/>
      <c r="R6" s="48"/>
      <c r="S6" s="48"/>
      <c r="T6" s="48"/>
      <c r="U6" s="48"/>
      <c r="V6" s="48"/>
      <c r="W6" s="48"/>
      <c r="X6" s="48"/>
      <c r="Y6" s="48"/>
      <c r="Z6" s="48"/>
      <c r="AA6" s="48"/>
      <c r="AB6" s="48"/>
      <c r="AC6" s="48"/>
      <c r="AD6" s="48"/>
    </row>
    <row r="7">
      <c r="A7" s="48"/>
      <c r="B7" s="683" t="s">
        <v>2130</v>
      </c>
      <c r="C7" s="48"/>
      <c r="D7" s="47"/>
      <c r="E7" s="48"/>
      <c r="F7" s="684"/>
      <c r="G7" s="684"/>
      <c r="H7" s="48"/>
      <c r="I7" s="48"/>
      <c r="J7" s="48"/>
      <c r="K7" s="48"/>
      <c r="L7" s="48"/>
      <c r="M7" s="48"/>
      <c r="N7" s="48"/>
      <c r="O7" s="48"/>
      <c r="P7" s="48"/>
      <c r="Q7" s="48"/>
      <c r="R7" s="48"/>
      <c r="S7" s="48"/>
      <c r="T7" s="48"/>
      <c r="U7" s="48"/>
      <c r="V7" s="48"/>
      <c r="W7" s="48"/>
      <c r="X7" s="48"/>
      <c r="Y7" s="48"/>
      <c r="Z7" s="48"/>
      <c r="AA7" s="48"/>
      <c r="AB7" s="48"/>
      <c r="AC7" s="48"/>
      <c r="AD7" s="48"/>
    </row>
    <row r="8">
      <c r="A8" s="680"/>
      <c r="B8" s="48"/>
      <c r="C8" s="680"/>
      <c r="D8" s="48"/>
      <c r="E8" s="680"/>
      <c r="F8" s="681"/>
      <c r="G8" s="422"/>
      <c r="H8" s="48"/>
      <c r="I8" s="48"/>
      <c r="J8" s="48"/>
      <c r="K8" s="48"/>
      <c r="L8" s="48"/>
      <c r="M8" s="48"/>
      <c r="N8" s="48"/>
      <c r="O8" s="48"/>
      <c r="P8" s="48"/>
      <c r="Q8" s="48"/>
      <c r="R8" s="48"/>
      <c r="S8" s="48"/>
      <c r="T8" s="48"/>
      <c r="U8" s="48"/>
      <c r="V8" s="48"/>
      <c r="W8" s="48"/>
      <c r="X8" s="48"/>
      <c r="Y8" s="48"/>
      <c r="Z8" s="48"/>
      <c r="AA8" s="48"/>
      <c r="AB8" s="48"/>
      <c r="AC8" s="48"/>
      <c r="AD8" s="48"/>
    </row>
    <row r="9">
      <c r="A9" s="686"/>
      <c r="B9" s="687" t="s">
        <v>2263</v>
      </c>
      <c r="C9" s="688"/>
      <c r="D9" s="98"/>
      <c r="E9" s="688"/>
      <c r="F9" s="684"/>
      <c r="G9" s="422"/>
      <c r="H9" s="48"/>
      <c r="I9" s="48"/>
      <c r="J9" s="48"/>
      <c r="K9" s="48"/>
      <c r="L9" s="48"/>
      <c r="M9" s="48"/>
      <c r="N9" s="48"/>
      <c r="O9" s="48"/>
      <c r="P9" s="48"/>
      <c r="Q9" s="48"/>
      <c r="R9" s="48"/>
      <c r="S9" s="48"/>
      <c r="T9" s="48"/>
      <c r="U9" s="48"/>
      <c r="V9" s="48"/>
      <c r="W9" s="48"/>
      <c r="X9" s="48"/>
      <c r="Y9" s="48"/>
      <c r="Z9" s="48"/>
      <c r="AA9" s="48"/>
      <c r="AB9" s="48"/>
      <c r="AC9" s="48"/>
      <c r="AD9" s="48"/>
    </row>
    <row r="10">
      <c r="A10" s="689"/>
      <c r="B10" s="690" t="s">
        <v>2264</v>
      </c>
      <c r="C10" s="688"/>
      <c r="D10" s="98"/>
      <c r="E10" s="688"/>
      <c r="F10" s="684"/>
      <c r="G10" s="422"/>
      <c r="H10" s="48"/>
      <c r="I10" s="48"/>
      <c r="J10" s="48"/>
      <c r="K10" s="48"/>
      <c r="L10" s="48"/>
      <c r="M10" s="48"/>
      <c r="N10" s="48"/>
      <c r="O10" s="48"/>
      <c r="P10" s="48"/>
      <c r="Q10" s="48"/>
      <c r="R10" s="48"/>
      <c r="S10" s="48"/>
      <c r="T10" s="48"/>
      <c r="U10" s="48"/>
      <c r="V10" s="48"/>
      <c r="W10" s="48"/>
      <c r="X10" s="48"/>
      <c r="Y10" s="48"/>
      <c r="Z10" s="48"/>
      <c r="AA10" s="48"/>
      <c r="AB10" s="48"/>
      <c r="AC10" s="48"/>
      <c r="AD10" s="48"/>
    </row>
    <row r="11">
      <c r="A11" s="47"/>
      <c r="B11" s="687" t="s">
        <v>2265</v>
      </c>
      <c r="C11" s="688"/>
      <c r="D11" s="98"/>
      <c r="E11" s="688"/>
      <c r="F11" s="684"/>
      <c r="G11" s="422"/>
      <c r="H11" s="48"/>
      <c r="I11" s="48"/>
      <c r="J11" s="48"/>
      <c r="K11" s="48"/>
      <c r="L11" s="48"/>
      <c r="M11" s="48"/>
      <c r="N11" s="48"/>
      <c r="O11" s="48"/>
      <c r="P11" s="48"/>
      <c r="Q11" s="48"/>
      <c r="R11" s="48"/>
      <c r="S11" s="48"/>
      <c r="T11" s="48"/>
      <c r="U11" s="48"/>
      <c r="V11" s="48"/>
      <c r="W11" s="48"/>
      <c r="X11" s="48"/>
      <c r="Y11" s="48"/>
      <c r="Z11" s="48"/>
      <c r="AA11" s="48"/>
      <c r="AB11" s="48"/>
      <c r="AC11" s="48"/>
      <c r="AD11" s="48"/>
    </row>
    <row r="12">
      <c r="A12" s="47"/>
      <c r="B12" s="690" t="s">
        <v>2133</v>
      </c>
      <c r="C12" s="688"/>
      <c r="D12" s="98"/>
      <c r="E12" s="688"/>
      <c r="F12" s="684"/>
      <c r="G12" s="422"/>
      <c r="H12" s="48"/>
      <c r="I12" s="48"/>
      <c r="J12" s="48"/>
      <c r="K12" s="48"/>
      <c r="L12" s="48"/>
      <c r="M12" s="48"/>
      <c r="N12" s="48"/>
      <c r="O12" s="48"/>
      <c r="P12" s="48"/>
      <c r="Q12" s="48"/>
      <c r="R12" s="48"/>
      <c r="S12" s="48"/>
      <c r="T12" s="48"/>
      <c r="U12" s="48"/>
      <c r="V12" s="48"/>
      <c r="W12" s="48"/>
      <c r="X12" s="48"/>
      <c r="Y12" s="48"/>
      <c r="Z12" s="48"/>
      <c r="AA12" s="48"/>
      <c r="AB12" s="48"/>
      <c r="AC12" s="48"/>
      <c r="AD12" s="48"/>
    </row>
    <row r="13">
      <c r="A13" s="680"/>
      <c r="B13" s="48"/>
      <c r="C13" s="680"/>
      <c r="D13" s="48"/>
      <c r="E13" s="680"/>
      <c r="F13" s="681"/>
      <c r="G13" s="422"/>
      <c r="H13" s="48"/>
      <c r="I13" s="48"/>
      <c r="J13" s="48"/>
      <c r="K13" s="48"/>
      <c r="L13" s="48"/>
      <c r="M13" s="48"/>
      <c r="N13" s="48"/>
      <c r="O13" s="48"/>
      <c r="P13" s="48"/>
      <c r="Q13" s="48"/>
      <c r="R13" s="48"/>
      <c r="S13" s="48"/>
      <c r="T13" s="48"/>
      <c r="U13" s="48"/>
      <c r="V13" s="48"/>
      <c r="W13" s="48"/>
      <c r="X13" s="48"/>
      <c r="Y13" s="48"/>
      <c r="Z13" s="48"/>
      <c r="AA13" s="48"/>
      <c r="AB13" s="48"/>
      <c r="AC13" s="48"/>
      <c r="AD13" s="48"/>
    </row>
    <row r="14">
      <c r="A14" s="48"/>
      <c r="B14" s="685" t="s">
        <v>2266</v>
      </c>
      <c r="C14" s="47"/>
      <c r="D14" s="48"/>
      <c r="E14" s="47"/>
      <c r="F14" s="684"/>
      <c r="G14" s="422"/>
      <c r="H14" s="48"/>
      <c r="I14" s="48"/>
      <c r="J14" s="48"/>
      <c r="K14" s="48"/>
      <c r="L14" s="48"/>
      <c r="M14" s="48"/>
      <c r="N14" s="48"/>
      <c r="O14" s="48"/>
      <c r="P14" s="48"/>
      <c r="Q14" s="48"/>
      <c r="R14" s="48"/>
      <c r="S14" s="48"/>
      <c r="T14" s="48"/>
      <c r="U14" s="48"/>
      <c r="V14" s="48"/>
      <c r="W14" s="48"/>
      <c r="X14" s="48"/>
      <c r="Y14" s="48"/>
      <c r="Z14" s="48"/>
      <c r="AA14" s="48"/>
      <c r="AB14" s="48"/>
      <c r="AC14" s="48"/>
      <c r="AD14" s="48"/>
    </row>
    <row r="15">
      <c r="A15" s="48"/>
      <c r="B15" s="685" t="s">
        <v>2267</v>
      </c>
      <c r="C15" s="47"/>
      <c r="D15" s="48"/>
      <c r="E15" s="47"/>
      <c r="F15" s="684"/>
      <c r="G15" s="422"/>
      <c r="H15" s="48"/>
      <c r="I15" s="48"/>
      <c r="J15" s="48"/>
      <c r="K15" s="48"/>
      <c r="L15" s="48"/>
      <c r="M15" s="48"/>
      <c r="N15" s="48"/>
      <c r="O15" s="48"/>
      <c r="P15" s="48"/>
      <c r="Q15" s="48"/>
      <c r="R15" s="48"/>
      <c r="S15" s="48"/>
      <c r="T15" s="48"/>
      <c r="U15" s="48"/>
      <c r="V15" s="48"/>
      <c r="W15" s="48"/>
      <c r="X15" s="48"/>
      <c r="Y15" s="48"/>
      <c r="Z15" s="48"/>
      <c r="AA15" s="48"/>
      <c r="AB15" s="48"/>
      <c r="AC15" s="48"/>
      <c r="AD15" s="48"/>
    </row>
    <row r="16">
      <c r="A16" s="48"/>
      <c r="B16" s="685" t="s">
        <v>2268</v>
      </c>
      <c r="C16" s="47"/>
      <c r="D16" s="48"/>
      <c r="E16" s="47"/>
      <c r="F16" s="684"/>
      <c r="G16" s="422"/>
      <c r="H16" s="48"/>
      <c r="I16" s="48"/>
      <c r="J16" s="48"/>
      <c r="K16" s="48"/>
      <c r="L16" s="48"/>
      <c r="M16" s="48"/>
      <c r="N16" s="48"/>
      <c r="O16" s="48"/>
      <c r="P16" s="48"/>
      <c r="Q16" s="48"/>
      <c r="R16" s="48"/>
      <c r="S16" s="48"/>
      <c r="T16" s="48"/>
      <c r="U16" s="48"/>
      <c r="V16" s="48"/>
      <c r="W16" s="48"/>
      <c r="X16" s="48"/>
      <c r="Y16" s="48"/>
      <c r="Z16" s="48"/>
      <c r="AA16" s="48"/>
      <c r="AB16" s="48"/>
      <c r="AC16" s="48"/>
      <c r="AD16" s="48"/>
    </row>
    <row r="17">
      <c r="A17" s="48"/>
      <c r="B17" s="745" t="s">
        <v>2269</v>
      </c>
      <c r="C17" s="47"/>
      <c r="D17" s="48"/>
      <c r="E17" s="47"/>
      <c r="F17" s="684"/>
      <c r="G17" s="422"/>
      <c r="H17" s="48"/>
      <c r="I17" s="48"/>
      <c r="J17" s="48"/>
      <c r="K17" s="48"/>
      <c r="L17" s="48"/>
      <c r="M17" s="48"/>
      <c r="N17" s="48"/>
      <c r="O17" s="48"/>
      <c r="P17" s="48"/>
      <c r="Q17" s="48"/>
      <c r="R17" s="48"/>
      <c r="S17" s="48"/>
      <c r="T17" s="48"/>
      <c r="U17" s="48"/>
      <c r="V17" s="48"/>
      <c r="W17" s="48"/>
      <c r="X17" s="48"/>
      <c r="Y17" s="48"/>
      <c r="Z17" s="48"/>
      <c r="AA17" s="48"/>
      <c r="AB17" s="48"/>
      <c r="AC17" s="48"/>
      <c r="AD17" s="48"/>
    </row>
    <row r="18">
      <c r="A18" s="48"/>
      <c r="B18" s="683" t="s">
        <v>2270</v>
      </c>
      <c r="C18" s="47"/>
      <c r="D18" s="48"/>
      <c r="E18" s="47"/>
      <c r="F18" s="684"/>
      <c r="G18" s="422"/>
      <c r="H18" s="48"/>
      <c r="I18" s="48"/>
      <c r="J18" s="48"/>
      <c r="K18" s="48"/>
      <c r="L18" s="48"/>
      <c r="M18" s="48"/>
      <c r="N18" s="48"/>
      <c r="O18" s="48"/>
      <c r="P18" s="48"/>
      <c r="Q18" s="48"/>
      <c r="R18" s="48"/>
      <c r="S18" s="48"/>
      <c r="T18" s="48"/>
      <c r="U18" s="48"/>
      <c r="V18" s="48"/>
      <c r="W18" s="48"/>
      <c r="X18" s="48"/>
      <c r="Y18" s="48"/>
      <c r="Z18" s="48"/>
      <c r="AA18" s="48"/>
      <c r="AB18" s="48"/>
      <c r="AC18" s="48"/>
      <c r="AD18" s="48"/>
    </row>
    <row r="19">
      <c r="A19" s="680"/>
      <c r="B19" s="48"/>
      <c r="C19" s="680"/>
      <c r="D19" s="48"/>
      <c r="E19" s="680"/>
      <c r="F19" s="681"/>
      <c r="G19" s="422"/>
      <c r="H19" s="48"/>
      <c r="I19" s="48"/>
      <c r="J19" s="48"/>
      <c r="K19" s="48"/>
      <c r="L19" s="48"/>
      <c r="M19" s="48"/>
      <c r="N19" s="48"/>
      <c r="O19" s="48"/>
      <c r="P19" s="48"/>
      <c r="Q19" s="48"/>
      <c r="R19" s="48"/>
      <c r="S19" s="48"/>
      <c r="T19" s="48"/>
      <c r="U19" s="48"/>
      <c r="V19" s="48"/>
      <c r="W19" s="48"/>
      <c r="X19" s="48"/>
      <c r="Y19" s="48"/>
      <c r="Z19" s="48"/>
      <c r="AA19" s="48"/>
      <c r="AB19" s="48"/>
      <c r="AC19" s="48"/>
      <c r="AD19" s="48"/>
    </row>
    <row r="20">
      <c r="A20" s="696" t="s">
        <v>2136</v>
      </c>
      <c r="B20" s="697" t="s">
        <v>2137</v>
      </c>
      <c r="C20" s="697" t="s">
        <v>2138</v>
      </c>
      <c r="D20" s="698" t="s">
        <v>2139</v>
      </c>
      <c r="E20" s="697" t="s">
        <v>2140</v>
      </c>
      <c r="F20" s="698" t="s">
        <v>2141</v>
      </c>
      <c r="G20" s="698" t="s">
        <v>2142</v>
      </c>
      <c r="H20" s="699" t="s">
        <v>2143</v>
      </c>
      <c r="I20" s="700"/>
      <c r="J20" s="700"/>
      <c r="K20" s="700"/>
      <c r="L20" s="700"/>
      <c r="M20" s="700"/>
      <c r="N20" s="700"/>
      <c r="O20" s="700"/>
      <c r="P20" s="700"/>
      <c r="Q20" s="700"/>
      <c r="R20" s="700"/>
      <c r="S20" s="700"/>
      <c r="T20" s="700"/>
      <c r="U20" s="700"/>
      <c r="V20" s="700"/>
      <c r="W20" s="700"/>
      <c r="X20" s="700"/>
      <c r="Y20" s="700"/>
      <c r="Z20" s="700"/>
      <c r="AA20" s="700"/>
      <c r="AB20" s="700"/>
      <c r="AC20" s="700"/>
      <c r="AD20" s="700"/>
    </row>
    <row r="21">
      <c r="A21" s="701">
        <v>80.0</v>
      </c>
      <c r="B21" s="702" t="s">
        <v>263</v>
      </c>
      <c r="C21" s="133"/>
      <c r="D21" s="704" t="s">
        <v>1576</v>
      </c>
      <c r="E21" s="133"/>
      <c r="F21" s="473"/>
      <c r="G21" s="455" t="s">
        <v>2146</v>
      </c>
      <c r="H21" s="703">
        <f t="shared" ref="H21:H45" si="1">SUM(A$21:A21)</f>
        <v>80</v>
      </c>
      <c r="I21" s="448"/>
      <c r="J21" s="448"/>
      <c r="K21" s="448"/>
      <c r="L21" s="448"/>
      <c r="M21" s="448"/>
      <c r="N21" s="448"/>
      <c r="O21" s="448"/>
      <c r="P21" s="448"/>
      <c r="Q21" s="448"/>
      <c r="R21" s="448"/>
      <c r="S21" s="448"/>
      <c r="T21" s="448"/>
      <c r="U21" s="448"/>
      <c r="V21" s="448"/>
      <c r="W21" s="448"/>
      <c r="X21" s="448"/>
      <c r="Y21" s="448"/>
      <c r="Z21" s="448"/>
      <c r="AA21" s="448"/>
      <c r="AB21" s="448"/>
      <c r="AC21" s="448"/>
      <c r="AD21" s="448"/>
    </row>
    <row r="22">
      <c r="A22" s="701">
        <v>80.0</v>
      </c>
      <c r="B22" s="702" t="s">
        <v>258</v>
      </c>
      <c r="C22" s="133" t="s">
        <v>688</v>
      </c>
      <c r="D22" s="448"/>
      <c r="E22" s="133"/>
      <c r="F22" s="473"/>
      <c r="G22" s="455" t="s">
        <v>2147</v>
      </c>
      <c r="H22" s="703">
        <f t="shared" si="1"/>
        <v>160</v>
      </c>
      <c r="I22" s="448"/>
      <c r="J22" s="448"/>
      <c r="K22" s="448"/>
      <c r="L22" s="448"/>
      <c r="M22" s="448"/>
      <c r="N22" s="448"/>
      <c r="O22" s="448"/>
      <c r="P22" s="448"/>
      <c r="Q22" s="448"/>
      <c r="R22" s="448"/>
      <c r="S22" s="448"/>
      <c r="T22" s="448"/>
      <c r="U22" s="448"/>
      <c r="V22" s="448"/>
      <c r="W22" s="448"/>
      <c r="X22" s="448"/>
      <c r="Y22" s="448"/>
      <c r="Z22" s="448"/>
      <c r="AA22" s="448"/>
      <c r="AB22" s="448"/>
      <c r="AC22" s="448"/>
      <c r="AD22" s="448"/>
    </row>
    <row r="23">
      <c r="A23" s="705">
        <v>120.0</v>
      </c>
      <c r="B23" s="702" t="s">
        <v>268</v>
      </c>
      <c r="C23" s="133"/>
      <c r="D23" s="448"/>
      <c r="E23" s="133"/>
      <c r="F23" s="709" t="s">
        <v>2271</v>
      </c>
      <c r="G23" s="105" t="s">
        <v>2272</v>
      </c>
      <c r="H23" s="703">
        <f t="shared" si="1"/>
        <v>280</v>
      </c>
      <c r="I23" s="448"/>
      <c r="J23" s="448"/>
      <c r="K23" s="448"/>
      <c r="L23" s="448"/>
      <c r="M23" s="448"/>
      <c r="N23" s="448"/>
      <c r="O23" s="448"/>
      <c r="P23" s="448"/>
      <c r="Q23" s="448"/>
      <c r="R23" s="448"/>
      <c r="S23" s="448"/>
      <c r="T23" s="448"/>
      <c r="U23" s="448"/>
      <c r="V23" s="448"/>
      <c r="W23" s="448"/>
      <c r="X23" s="448"/>
      <c r="Y23" s="448"/>
      <c r="Z23" s="448"/>
      <c r="AA23" s="448"/>
      <c r="AB23" s="448"/>
      <c r="AC23" s="448"/>
      <c r="AD23" s="448"/>
    </row>
    <row r="24">
      <c r="A24" s="710">
        <v>200.0</v>
      </c>
      <c r="B24" s="702" t="s">
        <v>1943</v>
      </c>
      <c r="C24" s="133" t="s">
        <v>2155</v>
      </c>
      <c r="D24" s="448"/>
      <c r="E24" s="133"/>
      <c r="F24" s="146" t="s">
        <v>2273</v>
      </c>
      <c r="G24" s="455" t="s">
        <v>2274</v>
      </c>
      <c r="H24" s="703">
        <f t="shared" si="1"/>
        <v>480</v>
      </c>
      <c r="I24" s="448"/>
      <c r="J24" s="448"/>
      <c r="K24" s="448"/>
      <c r="L24" s="448"/>
      <c r="M24" s="448"/>
      <c r="N24" s="448"/>
      <c r="O24" s="448"/>
      <c r="P24" s="448"/>
      <c r="Q24" s="448"/>
      <c r="R24" s="448"/>
      <c r="S24" s="448"/>
      <c r="T24" s="448"/>
      <c r="U24" s="448"/>
      <c r="V24" s="448"/>
      <c r="W24" s="448"/>
      <c r="X24" s="448"/>
      <c r="Y24" s="448"/>
      <c r="Z24" s="448"/>
      <c r="AA24" s="448"/>
      <c r="AB24" s="448"/>
      <c r="AC24" s="448"/>
      <c r="AD24" s="448"/>
    </row>
    <row r="25">
      <c r="A25" s="701">
        <v>80.0</v>
      </c>
      <c r="B25" s="702" t="s">
        <v>257</v>
      </c>
      <c r="C25" s="461" t="s">
        <v>2158</v>
      </c>
      <c r="D25" s="711" t="s">
        <v>1584</v>
      </c>
      <c r="E25" s="133"/>
      <c r="F25" s="473"/>
      <c r="G25" s="473" t="s">
        <v>2275</v>
      </c>
      <c r="H25" s="703">
        <f t="shared" si="1"/>
        <v>560</v>
      </c>
      <c r="I25" s="448"/>
      <c r="J25" s="448"/>
      <c r="K25" s="448"/>
      <c r="L25" s="448"/>
      <c r="M25" s="448"/>
      <c r="N25" s="448"/>
      <c r="O25" s="448"/>
      <c r="P25" s="448"/>
      <c r="Q25" s="448"/>
      <c r="R25" s="448"/>
      <c r="S25" s="448"/>
      <c r="T25" s="448"/>
      <c r="U25" s="448"/>
      <c r="V25" s="448"/>
      <c r="W25" s="448"/>
      <c r="X25" s="448"/>
      <c r="Y25" s="448"/>
      <c r="Z25" s="448"/>
      <c r="AA25" s="448"/>
      <c r="AB25" s="448"/>
      <c r="AC25" s="448"/>
      <c r="AD25" s="448"/>
    </row>
    <row r="26">
      <c r="A26" s="705">
        <v>120.0</v>
      </c>
      <c r="B26" s="702" t="s">
        <v>264</v>
      </c>
      <c r="C26" s="133"/>
      <c r="D26" s="712" t="s">
        <v>1632</v>
      </c>
      <c r="E26" s="133"/>
      <c r="F26" s="473"/>
      <c r="G26" s="455" t="s">
        <v>2160</v>
      </c>
      <c r="H26" s="703">
        <f t="shared" si="1"/>
        <v>680</v>
      </c>
      <c r="I26" s="448"/>
      <c r="J26" s="448"/>
      <c r="K26" s="448"/>
      <c r="L26" s="448"/>
      <c r="M26" s="448"/>
      <c r="N26" s="448"/>
      <c r="O26" s="448"/>
      <c r="P26" s="448"/>
      <c r="Q26" s="448"/>
      <c r="R26" s="448"/>
      <c r="S26" s="448"/>
      <c r="T26" s="448"/>
      <c r="U26" s="448"/>
      <c r="V26" s="448"/>
      <c r="W26" s="448"/>
      <c r="X26" s="448"/>
      <c r="Y26" s="448"/>
      <c r="Z26" s="448"/>
      <c r="AA26" s="448"/>
      <c r="AB26" s="448"/>
      <c r="AC26" s="448"/>
      <c r="AD26" s="448"/>
    </row>
    <row r="27">
      <c r="A27" s="705">
        <v>120.0</v>
      </c>
      <c r="B27" s="702" t="s">
        <v>259</v>
      </c>
      <c r="C27" s="133"/>
      <c r="D27" s="711" t="s">
        <v>1587</v>
      </c>
      <c r="E27" s="133"/>
      <c r="F27" s="473"/>
      <c r="G27" s="455" t="s">
        <v>2276</v>
      </c>
      <c r="H27" s="703">
        <f t="shared" si="1"/>
        <v>800</v>
      </c>
      <c r="I27" s="448"/>
      <c r="J27" s="448"/>
      <c r="K27" s="448"/>
      <c r="L27" s="448"/>
      <c r="M27" s="448"/>
      <c r="N27" s="448"/>
      <c r="O27" s="448"/>
      <c r="P27" s="448"/>
      <c r="Q27" s="448"/>
      <c r="R27" s="448"/>
      <c r="S27" s="448"/>
      <c r="T27" s="448"/>
      <c r="U27" s="448"/>
      <c r="V27" s="448"/>
      <c r="W27" s="448"/>
      <c r="X27" s="448"/>
      <c r="Y27" s="448"/>
      <c r="Z27" s="448"/>
      <c r="AA27" s="448"/>
      <c r="AB27" s="448"/>
      <c r="AC27" s="448"/>
      <c r="AD27" s="448"/>
    </row>
    <row r="28">
      <c r="A28" s="710">
        <v>200.0</v>
      </c>
      <c r="B28" s="702" t="s">
        <v>2062</v>
      </c>
      <c r="C28" s="133" t="s">
        <v>2164</v>
      </c>
      <c r="D28" s="448"/>
      <c r="E28" s="702" t="s">
        <v>449</v>
      </c>
      <c r="F28" s="473"/>
      <c r="G28" s="455" t="s">
        <v>2277</v>
      </c>
      <c r="H28" s="703">
        <f t="shared" si="1"/>
        <v>1000</v>
      </c>
      <c r="I28" s="448"/>
      <c r="J28" s="448"/>
      <c r="K28" s="448"/>
      <c r="L28" s="448"/>
      <c r="M28" s="448"/>
      <c r="N28" s="448"/>
      <c r="O28" s="448"/>
      <c r="P28" s="448"/>
      <c r="Q28" s="448"/>
      <c r="R28" s="448"/>
      <c r="S28" s="448"/>
      <c r="T28" s="448"/>
      <c r="U28" s="448"/>
      <c r="V28" s="448"/>
      <c r="W28" s="448"/>
      <c r="X28" s="448"/>
      <c r="Y28" s="448"/>
      <c r="Z28" s="448"/>
      <c r="AA28" s="448"/>
      <c r="AB28" s="448"/>
      <c r="AC28" s="448"/>
      <c r="AD28" s="448"/>
    </row>
    <row r="29">
      <c r="A29" s="705">
        <v>120.0</v>
      </c>
      <c r="B29" s="702" t="s">
        <v>269</v>
      </c>
      <c r="C29" s="133"/>
      <c r="D29" s="706" t="s">
        <v>1640</v>
      </c>
      <c r="E29" s="133"/>
      <c r="F29" s="473"/>
      <c r="G29" s="455" t="s">
        <v>2278</v>
      </c>
      <c r="H29" s="703">
        <f t="shared" si="1"/>
        <v>1120</v>
      </c>
      <c r="I29" s="448"/>
      <c r="J29" s="448"/>
      <c r="K29" s="448"/>
      <c r="L29" s="448"/>
      <c r="M29" s="448"/>
      <c r="N29" s="448"/>
      <c r="O29" s="448"/>
      <c r="P29" s="448"/>
      <c r="Q29" s="448"/>
      <c r="R29" s="448"/>
      <c r="S29" s="448"/>
      <c r="T29" s="448"/>
      <c r="U29" s="448"/>
      <c r="V29" s="448"/>
      <c r="W29" s="448"/>
      <c r="X29" s="448"/>
      <c r="Y29" s="448"/>
      <c r="Z29" s="448"/>
      <c r="AA29" s="448"/>
      <c r="AB29" s="448"/>
      <c r="AC29" s="448"/>
      <c r="AD29" s="448"/>
    </row>
    <row r="30">
      <c r="A30" s="707">
        <v>400.0</v>
      </c>
      <c r="B30" s="702" t="s">
        <v>2072</v>
      </c>
      <c r="C30" s="133"/>
      <c r="D30" s="448"/>
      <c r="E30" s="722" t="s">
        <v>445</v>
      </c>
      <c r="F30" s="473"/>
      <c r="G30" s="455" t="s">
        <v>2279</v>
      </c>
      <c r="H30" s="703">
        <f t="shared" si="1"/>
        <v>1520</v>
      </c>
      <c r="I30" s="448"/>
      <c r="J30" s="448"/>
      <c r="K30" s="448"/>
      <c r="L30" s="448"/>
      <c r="M30" s="448"/>
      <c r="N30" s="448"/>
      <c r="O30" s="448"/>
      <c r="P30" s="448"/>
      <c r="Q30" s="448"/>
      <c r="R30" s="448"/>
      <c r="S30" s="448"/>
      <c r="T30" s="448"/>
      <c r="U30" s="448"/>
      <c r="V30" s="448"/>
      <c r="W30" s="448"/>
      <c r="X30" s="448"/>
      <c r="Y30" s="448"/>
      <c r="Z30" s="448"/>
      <c r="AA30" s="448"/>
      <c r="AB30" s="448"/>
      <c r="AC30" s="448"/>
      <c r="AD30" s="448"/>
    </row>
    <row r="31">
      <c r="A31" s="705">
        <v>120.0</v>
      </c>
      <c r="B31" s="702" t="s">
        <v>270</v>
      </c>
      <c r="C31" s="448"/>
      <c r="D31" s="724" t="s">
        <v>1607</v>
      </c>
      <c r="E31" s="712" t="s">
        <v>2192</v>
      </c>
      <c r="F31" s="473"/>
      <c r="G31" s="455" t="s">
        <v>2193</v>
      </c>
      <c r="H31" s="703">
        <f t="shared" si="1"/>
        <v>1640</v>
      </c>
      <c r="I31" s="448"/>
      <c r="J31" s="448"/>
      <c r="K31" s="448"/>
      <c r="L31" s="448"/>
      <c r="M31" s="448"/>
      <c r="N31" s="448"/>
      <c r="O31" s="448"/>
      <c r="P31" s="448"/>
      <c r="Q31" s="448"/>
      <c r="R31" s="448"/>
      <c r="S31" s="448"/>
      <c r="T31" s="448"/>
      <c r="U31" s="448"/>
      <c r="V31" s="448"/>
      <c r="W31" s="448"/>
      <c r="X31" s="448"/>
      <c r="Y31" s="448"/>
      <c r="Z31" s="448"/>
      <c r="AA31" s="448"/>
      <c r="AB31" s="448"/>
      <c r="AC31" s="448"/>
      <c r="AD31" s="448"/>
    </row>
    <row r="32">
      <c r="A32" s="710">
        <v>200.0</v>
      </c>
      <c r="B32" s="702" t="s">
        <v>1798</v>
      </c>
      <c r="C32" s="448"/>
      <c r="D32" s="725" t="s">
        <v>1579</v>
      </c>
      <c r="E32" s="448"/>
      <c r="F32" s="473"/>
      <c r="G32" s="455" t="s">
        <v>2280</v>
      </c>
      <c r="H32" s="703">
        <f t="shared" si="1"/>
        <v>1840</v>
      </c>
      <c r="I32" s="448"/>
      <c r="J32" s="448"/>
      <c r="K32" s="448"/>
      <c r="L32" s="448"/>
      <c r="M32" s="448"/>
      <c r="N32" s="448"/>
      <c r="O32" s="448"/>
      <c r="P32" s="448"/>
      <c r="Q32" s="448"/>
      <c r="R32" s="448"/>
      <c r="S32" s="448"/>
      <c r="T32" s="448"/>
      <c r="U32" s="448"/>
      <c r="V32" s="448"/>
      <c r="W32" s="448"/>
      <c r="X32" s="448"/>
      <c r="Y32" s="448"/>
      <c r="Z32" s="448"/>
      <c r="AA32" s="448"/>
      <c r="AB32" s="448"/>
      <c r="AC32" s="448"/>
      <c r="AD32" s="448"/>
    </row>
    <row r="33">
      <c r="A33" s="701">
        <v>80.0</v>
      </c>
      <c r="B33" s="702" t="s">
        <v>262</v>
      </c>
      <c r="C33" s="133"/>
      <c r="D33" s="461" t="s">
        <v>2144</v>
      </c>
      <c r="E33" s="133"/>
      <c r="F33" s="473"/>
      <c r="G33" s="455" t="s">
        <v>2281</v>
      </c>
      <c r="H33" s="703">
        <f t="shared" si="1"/>
        <v>1920</v>
      </c>
      <c r="I33" s="448"/>
      <c r="J33" s="448"/>
      <c r="K33" s="448"/>
      <c r="L33" s="448"/>
      <c r="M33" s="448"/>
      <c r="N33" s="448"/>
      <c r="O33" s="448"/>
      <c r="P33" s="448"/>
      <c r="Q33" s="448"/>
      <c r="R33" s="448"/>
      <c r="S33" s="448"/>
      <c r="T33" s="448"/>
      <c r="U33" s="448"/>
      <c r="V33" s="448"/>
      <c r="W33" s="448"/>
      <c r="X33" s="448"/>
      <c r="Y33" s="448"/>
      <c r="Z33" s="448"/>
      <c r="AA33" s="448"/>
      <c r="AB33" s="448"/>
      <c r="AC33" s="448"/>
      <c r="AD33" s="448"/>
    </row>
    <row r="34">
      <c r="A34" s="705">
        <v>120.0</v>
      </c>
      <c r="B34" s="702" t="s">
        <v>267</v>
      </c>
      <c r="C34" s="133"/>
      <c r="D34" s="448"/>
      <c r="E34" s="702" t="s">
        <v>447</v>
      </c>
      <c r="F34" s="455" t="s">
        <v>2282</v>
      </c>
      <c r="G34" s="455" t="s">
        <v>2283</v>
      </c>
      <c r="H34" s="703">
        <f t="shared" si="1"/>
        <v>2040</v>
      </c>
      <c r="I34" s="448"/>
      <c r="J34" s="448"/>
      <c r="K34" s="448"/>
      <c r="L34" s="448"/>
      <c r="M34" s="448"/>
      <c r="N34" s="448"/>
      <c r="O34" s="448"/>
      <c r="P34" s="448"/>
      <c r="Q34" s="448"/>
      <c r="R34" s="448"/>
      <c r="S34" s="448"/>
      <c r="T34" s="448"/>
      <c r="U34" s="448"/>
      <c r="V34" s="448"/>
      <c r="W34" s="448"/>
      <c r="X34" s="448"/>
      <c r="Y34" s="448"/>
      <c r="Z34" s="448"/>
      <c r="AA34" s="448"/>
      <c r="AB34" s="448"/>
      <c r="AC34" s="448"/>
      <c r="AD34" s="448"/>
    </row>
    <row r="35">
      <c r="A35" s="707">
        <v>400.0</v>
      </c>
      <c r="B35" s="702" t="s">
        <v>1944</v>
      </c>
      <c r="C35" s="448"/>
      <c r="D35" s="708" t="s">
        <v>1739</v>
      </c>
      <c r="E35" s="448"/>
      <c r="F35" s="146" t="s">
        <v>2284</v>
      </c>
      <c r="G35" s="455" t="s">
        <v>2285</v>
      </c>
      <c r="H35" s="703">
        <f t="shared" si="1"/>
        <v>2440</v>
      </c>
      <c r="I35" s="448"/>
      <c r="J35" s="448"/>
      <c r="K35" s="448"/>
      <c r="L35" s="448"/>
      <c r="M35" s="448"/>
      <c r="N35" s="448"/>
      <c r="O35" s="448"/>
      <c r="P35" s="448"/>
      <c r="Q35" s="448"/>
      <c r="R35" s="448"/>
      <c r="S35" s="448"/>
      <c r="T35" s="448"/>
      <c r="U35" s="448"/>
      <c r="V35" s="448"/>
      <c r="W35" s="448"/>
      <c r="X35" s="448"/>
      <c r="Y35" s="448"/>
      <c r="Z35" s="448"/>
      <c r="AA35" s="448"/>
      <c r="AB35" s="448"/>
      <c r="AC35" s="448"/>
      <c r="AD35" s="448"/>
    </row>
    <row r="36">
      <c r="A36" s="701">
        <v>80.0</v>
      </c>
      <c r="B36" s="702" t="s">
        <v>261</v>
      </c>
      <c r="C36" s="133"/>
      <c r="D36" s="711" t="s">
        <v>1557</v>
      </c>
      <c r="E36" s="15" t="s">
        <v>2161</v>
      </c>
      <c r="F36" s="473"/>
      <c r="G36" s="455" t="s">
        <v>2286</v>
      </c>
      <c r="H36" s="703">
        <f t="shared" si="1"/>
        <v>2520</v>
      </c>
      <c r="I36" s="448"/>
      <c r="J36" s="448"/>
      <c r="K36" s="448"/>
      <c r="L36" s="448"/>
      <c r="M36" s="448"/>
      <c r="N36" s="448"/>
      <c r="O36" s="448"/>
      <c r="P36" s="448"/>
      <c r="Q36" s="448"/>
      <c r="R36" s="448"/>
      <c r="S36" s="448"/>
      <c r="T36" s="448"/>
      <c r="U36" s="448"/>
      <c r="V36" s="448"/>
      <c r="W36" s="448"/>
      <c r="X36" s="448"/>
      <c r="Y36" s="448"/>
      <c r="Z36" s="448"/>
      <c r="AA36" s="448"/>
      <c r="AB36" s="448"/>
      <c r="AC36" s="448"/>
      <c r="AD36" s="448"/>
    </row>
    <row r="37">
      <c r="A37" s="705">
        <v>120.0</v>
      </c>
      <c r="B37" s="702" t="s">
        <v>266</v>
      </c>
      <c r="C37" s="133"/>
      <c r="D37" s="133"/>
      <c r="E37" s="713" t="s">
        <v>2166</v>
      </c>
      <c r="F37" s="455" t="s">
        <v>2287</v>
      </c>
      <c r="G37" s="455" t="s">
        <v>2288</v>
      </c>
      <c r="H37" s="703">
        <f t="shared" si="1"/>
        <v>2640</v>
      </c>
      <c r="I37" s="448"/>
      <c r="J37" s="448"/>
      <c r="K37" s="448"/>
      <c r="L37" s="448"/>
      <c r="M37" s="448"/>
      <c r="N37" s="448"/>
      <c r="O37" s="448"/>
      <c r="P37" s="448"/>
      <c r="Q37" s="448"/>
      <c r="R37" s="448"/>
      <c r="S37" s="448"/>
      <c r="T37" s="448"/>
      <c r="U37" s="448"/>
      <c r="V37" s="448"/>
      <c r="W37" s="448"/>
      <c r="X37" s="448"/>
      <c r="Y37" s="448"/>
      <c r="Z37" s="448"/>
      <c r="AA37" s="448"/>
      <c r="AB37" s="448"/>
      <c r="AC37" s="448"/>
      <c r="AD37" s="448"/>
    </row>
    <row r="38">
      <c r="A38" s="710">
        <v>200.0</v>
      </c>
      <c r="B38" s="702" t="s">
        <v>1796</v>
      </c>
      <c r="C38" s="133"/>
      <c r="D38" s="448"/>
      <c r="E38" s="708" t="s">
        <v>2204</v>
      </c>
      <c r="F38" s="473" t="s">
        <v>2205</v>
      </c>
      <c r="G38" s="473" t="s">
        <v>2206</v>
      </c>
      <c r="H38" s="703">
        <f t="shared" si="1"/>
        <v>2840</v>
      </c>
      <c r="I38" s="448"/>
      <c r="J38" s="448"/>
      <c r="K38" s="448"/>
      <c r="L38" s="448"/>
      <c r="M38" s="448"/>
      <c r="N38" s="448"/>
      <c r="O38" s="448"/>
      <c r="P38" s="448"/>
      <c r="Q38" s="448"/>
      <c r="R38" s="448"/>
      <c r="S38" s="448"/>
      <c r="T38" s="448"/>
      <c r="U38" s="448"/>
      <c r="V38" s="448"/>
      <c r="W38" s="448"/>
      <c r="X38" s="448"/>
      <c r="Y38" s="448"/>
      <c r="Z38" s="448"/>
      <c r="AA38" s="448"/>
      <c r="AB38" s="448"/>
      <c r="AC38" s="448"/>
      <c r="AD38" s="448"/>
    </row>
    <row r="39">
      <c r="A39" s="727">
        <v>600.0</v>
      </c>
      <c r="B39" s="702" t="s">
        <v>2092</v>
      </c>
      <c r="C39" s="133" t="s">
        <v>2207</v>
      </c>
      <c r="D39" s="728" t="s">
        <v>1564</v>
      </c>
      <c r="E39" s="448"/>
      <c r="F39" s="479" t="s">
        <v>2208</v>
      </c>
      <c r="G39" s="455" t="s">
        <v>2289</v>
      </c>
      <c r="H39" s="703">
        <f t="shared" si="1"/>
        <v>3440</v>
      </c>
      <c r="I39" s="448"/>
      <c r="J39" s="448"/>
      <c r="K39" s="448"/>
      <c r="L39" s="448"/>
      <c r="M39" s="448"/>
      <c r="N39" s="448"/>
      <c r="O39" s="448"/>
      <c r="P39" s="448"/>
      <c r="Q39" s="448"/>
      <c r="R39" s="448"/>
      <c r="S39" s="448"/>
      <c r="T39" s="448"/>
      <c r="U39" s="448"/>
      <c r="V39" s="448"/>
      <c r="W39" s="448"/>
      <c r="X39" s="448"/>
      <c r="Y39" s="448"/>
      <c r="Z39" s="448"/>
      <c r="AA39" s="448"/>
      <c r="AB39" s="448"/>
      <c r="AC39" s="448"/>
      <c r="AD39" s="448"/>
    </row>
    <row r="40">
      <c r="A40" s="710">
        <v>200.0</v>
      </c>
      <c r="B40" s="702" t="s">
        <v>1942</v>
      </c>
      <c r="C40" s="133"/>
      <c r="D40" s="133"/>
      <c r="E40" s="133"/>
      <c r="F40" s="455" t="s">
        <v>2290</v>
      </c>
      <c r="G40" s="455" t="s">
        <v>2291</v>
      </c>
      <c r="H40" s="703">
        <f t="shared" si="1"/>
        <v>3640</v>
      </c>
      <c r="I40" s="448"/>
      <c r="J40" s="448"/>
      <c r="K40" s="448"/>
      <c r="L40" s="448"/>
      <c r="M40" s="448"/>
      <c r="N40" s="448"/>
      <c r="O40" s="448"/>
      <c r="P40" s="448"/>
      <c r="Q40" s="448"/>
      <c r="R40" s="448"/>
      <c r="S40" s="448"/>
      <c r="T40" s="448"/>
      <c r="U40" s="448"/>
      <c r="V40" s="448"/>
      <c r="W40" s="448"/>
      <c r="X40" s="448"/>
      <c r="Y40" s="448"/>
      <c r="Z40" s="448"/>
      <c r="AA40" s="448"/>
      <c r="AB40" s="448"/>
      <c r="AC40" s="448"/>
      <c r="AD40" s="448"/>
    </row>
    <row r="41">
      <c r="A41" s="710">
        <v>200.0</v>
      </c>
      <c r="B41" s="702" t="s">
        <v>2060</v>
      </c>
      <c r="C41" s="133" t="s">
        <v>2171</v>
      </c>
      <c r="D41" s="448"/>
      <c r="E41" s="448"/>
      <c r="F41" s="714"/>
      <c r="G41" s="455" t="s">
        <v>2292</v>
      </c>
      <c r="H41" s="703">
        <f t="shared" si="1"/>
        <v>3840</v>
      </c>
      <c r="I41" s="448"/>
      <c r="J41" s="448"/>
      <c r="K41" s="448"/>
      <c r="L41" s="448"/>
      <c r="M41" s="448"/>
      <c r="N41" s="448"/>
      <c r="O41" s="448"/>
      <c r="P41" s="448"/>
      <c r="Q41" s="448"/>
      <c r="R41" s="448"/>
      <c r="S41" s="448"/>
      <c r="T41" s="448"/>
      <c r="U41" s="448"/>
      <c r="V41" s="448"/>
      <c r="W41" s="448"/>
      <c r="X41" s="448"/>
      <c r="Y41" s="448"/>
      <c r="Z41" s="448"/>
      <c r="AA41" s="448"/>
      <c r="AB41" s="448"/>
      <c r="AC41" s="448"/>
      <c r="AD41" s="448"/>
    </row>
    <row r="42">
      <c r="A42" s="707">
        <v>400.0</v>
      </c>
      <c r="B42" s="702" t="s">
        <v>1969</v>
      </c>
      <c r="C42" s="448"/>
      <c r="D42" s="713" t="s">
        <v>1627</v>
      </c>
      <c r="E42" s="448"/>
      <c r="F42" s="715" t="s">
        <v>2293</v>
      </c>
      <c r="G42" s="455" t="s">
        <v>2174</v>
      </c>
      <c r="H42" s="703">
        <f t="shared" si="1"/>
        <v>4240</v>
      </c>
      <c r="I42" s="448"/>
      <c r="J42" s="448"/>
      <c r="K42" s="448"/>
      <c r="L42" s="448"/>
      <c r="M42" s="448"/>
      <c r="N42" s="448"/>
      <c r="O42" s="448"/>
      <c r="P42" s="448"/>
      <c r="Q42" s="448"/>
      <c r="R42" s="448"/>
      <c r="S42" s="448"/>
      <c r="T42" s="448"/>
      <c r="U42" s="448"/>
      <c r="V42" s="448"/>
      <c r="W42" s="448"/>
      <c r="X42" s="448"/>
      <c r="Y42" s="448"/>
      <c r="Z42" s="448"/>
      <c r="AA42" s="448"/>
      <c r="AB42" s="448"/>
      <c r="AC42" s="448"/>
      <c r="AD42" s="448"/>
    </row>
    <row r="43">
      <c r="A43" s="707">
        <v>400.0</v>
      </c>
      <c r="B43" s="702" t="s">
        <v>2079</v>
      </c>
      <c r="C43" s="133" t="s">
        <v>2181</v>
      </c>
      <c r="D43" s="448"/>
      <c r="E43" s="133"/>
      <c r="F43" s="473"/>
      <c r="G43" s="455" t="s">
        <v>2182</v>
      </c>
      <c r="H43" s="703">
        <f t="shared" si="1"/>
        <v>4640</v>
      </c>
      <c r="I43" s="448"/>
      <c r="J43" s="448"/>
      <c r="K43" s="448"/>
      <c r="L43" s="448"/>
      <c r="M43" s="448"/>
      <c r="N43" s="448"/>
      <c r="O43" s="448"/>
      <c r="P43" s="448"/>
      <c r="Q43" s="448"/>
      <c r="R43" s="448"/>
      <c r="S43" s="448"/>
      <c r="T43" s="448"/>
      <c r="U43" s="448"/>
      <c r="V43" s="448"/>
      <c r="W43" s="448"/>
      <c r="X43" s="448"/>
      <c r="Y43" s="448"/>
      <c r="Z43" s="448"/>
      <c r="AA43" s="448"/>
      <c r="AB43" s="448"/>
      <c r="AC43" s="448"/>
      <c r="AD43" s="448"/>
    </row>
    <row r="44">
      <c r="A44" s="707">
        <v>400.0</v>
      </c>
      <c r="B44" s="702" t="s">
        <v>2076</v>
      </c>
      <c r="C44" s="133" t="s">
        <v>2195</v>
      </c>
      <c r="D44" s="712" t="s">
        <v>1636</v>
      </c>
      <c r="E44" s="133"/>
      <c r="F44" s="473"/>
      <c r="G44" s="455" t="s">
        <v>2294</v>
      </c>
      <c r="H44" s="703">
        <f t="shared" si="1"/>
        <v>5040</v>
      </c>
      <c r="I44" s="448"/>
      <c r="J44" s="448"/>
      <c r="K44" s="448"/>
      <c r="L44" s="448"/>
      <c r="M44" s="448"/>
      <c r="N44" s="448"/>
      <c r="O44" s="448"/>
      <c r="P44" s="448"/>
      <c r="Q44" s="448"/>
      <c r="R44" s="448"/>
      <c r="S44" s="448"/>
      <c r="T44" s="448"/>
      <c r="U44" s="448"/>
      <c r="V44" s="448"/>
      <c r="W44" s="448"/>
      <c r="X44" s="448"/>
      <c r="Y44" s="448"/>
      <c r="Z44" s="448"/>
      <c r="AA44" s="448"/>
      <c r="AB44" s="448"/>
      <c r="AC44" s="448"/>
      <c r="AD44" s="448"/>
    </row>
    <row r="45">
      <c r="A45" s="710">
        <v>200.0</v>
      </c>
      <c r="B45" s="702" t="s">
        <v>2065</v>
      </c>
      <c r="C45" s="133" t="s">
        <v>2226</v>
      </c>
      <c r="D45" s="448"/>
      <c r="E45" s="448"/>
      <c r="F45" s="714"/>
      <c r="G45" s="455" t="s">
        <v>2295</v>
      </c>
      <c r="H45" s="703">
        <f t="shared" si="1"/>
        <v>5240</v>
      </c>
      <c r="I45" s="448"/>
      <c r="J45" s="448"/>
      <c r="K45" s="448"/>
      <c r="L45" s="448"/>
      <c r="M45" s="448"/>
      <c r="N45" s="448"/>
      <c r="O45" s="448"/>
      <c r="P45" s="448"/>
      <c r="Q45" s="448"/>
      <c r="R45" s="448"/>
      <c r="S45" s="448"/>
      <c r="T45" s="448"/>
      <c r="U45" s="448"/>
      <c r="V45" s="448"/>
      <c r="W45" s="448"/>
      <c r="X45" s="448"/>
      <c r="Y45" s="448"/>
      <c r="Z45" s="448"/>
      <c r="AA45" s="448"/>
      <c r="AB45" s="448"/>
      <c r="AC45" s="448"/>
      <c r="AD45" s="448"/>
    </row>
    <row r="46">
      <c r="A46" s="448"/>
      <c r="B46" s="448"/>
      <c r="C46" s="448"/>
      <c r="D46" s="448"/>
      <c r="E46" s="448"/>
      <c r="F46" s="714"/>
      <c r="G46" s="714"/>
      <c r="H46" s="703"/>
      <c r="I46" s="448"/>
      <c r="J46" s="448"/>
      <c r="K46" s="448"/>
      <c r="L46" s="448"/>
      <c r="M46" s="448"/>
      <c r="N46" s="448"/>
      <c r="O46" s="448"/>
      <c r="P46" s="448"/>
      <c r="Q46" s="448"/>
      <c r="R46" s="448"/>
      <c r="S46" s="448"/>
      <c r="T46" s="448"/>
      <c r="U46" s="448"/>
      <c r="V46" s="448"/>
      <c r="W46" s="448"/>
      <c r="X46" s="448"/>
      <c r="Y46" s="448"/>
      <c r="Z46" s="448"/>
      <c r="AA46" s="448"/>
      <c r="AB46" s="448"/>
      <c r="AC46" s="448"/>
      <c r="AD46" s="448"/>
    </row>
    <row r="47">
      <c r="A47" s="717"/>
      <c r="B47" s="569" t="s">
        <v>2296</v>
      </c>
      <c r="C47" s="717"/>
      <c r="D47" s="717"/>
      <c r="E47" s="717"/>
      <c r="F47" s="718"/>
      <c r="G47" s="718"/>
      <c r="H47" s="719"/>
      <c r="I47" s="717"/>
      <c r="J47" s="717"/>
      <c r="K47" s="717"/>
      <c r="L47" s="717"/>
      <c r="M47" s="717"/>
      <c r="N47" s="717"/>
      <c r="O47" s="717"/>
      <c r="P47" s="717"/>
      <c r="Q47" s="717"/>
      <c r="R47" s="717"/>
      <c r="S47" s="717"/>
      <c r="T47" s="717"/>
      <c r="U47" s="717"/>
      <c r="V47" s="717"/>
      <c r="W47" s="717"/>
      <c r="X47" s="717"/>
      <c r="Y47" s="717"/>
      <c r="Z47" s="717"/>
      <c r="AA47" s="717"/>
      <c r="AB47" s="717"/>
      <c r="AC47" s="717"/>
      <c r="AD47" s="717"/>
    </row>
    <row r="48">
      <c r="A48" s="717"/>
      <c r="B48" s="720" t="s">
        <v>2178</v>
      </c>
      <c r="C48" s="717"/>
      <c r="D48" s="717"/>
      <c r="E48" s="717"/>
      <c r="F48" s="718"/>
      <c r="G48" s="718"/>
      <c r="H48" s="719"/>
      <c r="I48" s="717"/>
      <c r="J48" s="717"/>
      <c r="K48" s="717"/>
      <c r="L48" s="717"/>
      <c r="M48" s="717"/>
      <c r="N48" s="717"/>
      <c r="O48" s="717"/>
      <c r="P48" s="717"/>
      <c r="Q48" s="717"/>
      <c r="R48" s="717"/>
      <c r="S48" s="717"/>
      <c r="T48" s="717"/>
      <c r="U48" s="717"/>
      <c r="V48" s="717"/>
      <c r="W48" s="717"/>
      <c r="X48" s="717"/>
      <c r="Y48" s="717"/>
      <c r="Z48" s="717"/>
      <c r="AA48" s="717"/>
      <c r="AB48" s="717"/>
      <c r="AC48" s="717"/>
      <c r="AD48" s="717"/>
    </row>
    <row r="49">
      <c r="A49" s="448"/>
      <c r="B49" s="448"/>
      <c r="C49" s="448"/>
      <c r="D49" s="448"/>
      <c r="E49" s="448"/>
      <c r="F49" s="714"/>
      <c r="G49" s="714"/>
      <c r="H49" s="703"/>
      <c r="I49" s="448"/>
      <c r="J49" s="448"/>
      <c r="K49" s="448"/>
      <c r="L49" s="448"/>
      <c r="M49" s="448"/>
      <c r="N49" s="448"/>
      <c r="O49" s="448"/>
      <c r="P49" s="448"/>
      <c r="Q49" s="448"/>
      <c r="R49" s="448"/>
      <c r="S49" s="448"/>
      <c r="T49" s="448"/>
      <c r="U49" s="448"/>
      <c r="V49" s="448"/>
      <c r="W49" s="448"/>
      <c r="X49" s="448"/>
      <c r="Y49" s="448"/>
      <c r="Z49" s="448"/>
      <c r="AA49" s="448"/>
      <c r="AB49" s="448"/>
      <c r="AC49" s="448"/>
      <c r="AD49" s="448"/>
    </row>
    <row r="50">
      <c r="A50" s="730">
        <f>SUM(A51:A54)</f>
        <v>3700</v>
      </c>
      <c r="B50" s="731" t="s">
        <v>2231</v>
      </c>
      <c r="C50" s="736" t="s">
        <v>2232</v>
      </c>
      <c r="D50" s="733"/>
      <c r="E50" s="733"/>
      <c r="F50" s="734"/>
      <c r="G50" s="734"/>
      <c r="H50" s="735"/>
      <c r="I50" s="733"/>
      <c r="J50" s="733"/>
      <c r="K50" s="733"/>
      <c r="L50" s="733"/>
      <c r="M50" s="733"/>
      <c r="N50" s="733"/>
      <c r="O50" s="733"/>
      <c r="P50" s="733"/>
      <c r="Q50" s="733"/>
      <c r="R50" s="733"/>
      <c r="S50" s="733"/>
      <c r="T50" s="733"/>
      <c r="U50" s="733"/>
      <c r="V50" s="733"/>
      <c r="W50" s="733"/>
      <c r="X50" s="733"/>
      <c r="Y50" s="733"/>
      <c r="Z50" s="733"/>
      <c r="AA50" s="733"/>
      <c r="AB50" s="733"/>
      <c r="AC50" s="733"/>
      <c r="AD50" s="733"/>
    </row>
    <row r="51">
      <c r="A51" s="716">
        <v>600.0</v>
      </c>
      <c r="B51" s="133" t="s">
        <v>2083</v>
      </c>
      <c r="C51" s="133" t="s">
        <v>2197</v>
      </c>
      <c r="D51" s="448"/>
      <c r="E51" s="448"/>
      <c r="F51" s="714"/>
      <c r="G51" s="714"/>
      <c r="H51" s="703"/>
      <c r="I51" s="448"/>
      <c r="J51" s="448"/>
      <c r="K51" s="448"/>
      <c r="L51" s="448"/>
      <c r="M51" s="448"/>
      <c r="N51" s="448"/>
      <c r="O51" s="448"/>
      <c r="P51" s="448"/>
      <c r="Q51" s="448"/>
      <c r="R51" s="448"/>
      <c r="S51" s="448"/>
      <c r="T51" s="448"/>
      <c r="U51" s="448"/>
      <c r="V51" s="448"/>
      <c r="W51" s="448"/>
      <c r="X51" s="448"/>
      <c r="Y51" s="448"/>
      <c r="Z51" s="448"/>
      <c r="AA51" s="448"/>
      <c r="AB51" s="448"/>
      <c r="AC51" s="448"/>
      <c r="AD51" s="448"/>
    </row>
    <row r="52">
      <c r="A52" s="716">
        <v>1000.0</v>
      </c>
      <c r="B52" s="133" t="s">
        <v>2199</v>
      </c>
      <c r="C52" s="448"/>
      <c r="D52" s="448"/>
      <c r="E52" s="726" t="s">
        <v>2200</v>
      </c>
      <c r="F52" s="473" t="s">
        <v>2297</v>
      </c>
      <c r="G52" s="455" t="s">
        <v>2298</v>
      </c>
      <c r="H52" s="703"/>
      <c r="I52" s="448"/>
      <c r="J52" s="448"/>
      <c r="K52" s="448"/>
      <c r="L52" s="448"/>
      <c r="M52" s="448"/>
      <c r="N52" s="448"/>
      <c r="O52" s="448"/>
      <c r="P52" s="448"/>
      <c r="Q52" s="448"/>
      <c r="R52" s="448"/>
      <c r="S52" s="448"/>
      <c r="T52" s="448"/>
      <c r="U52" s="448"/>
      <c r="V52" s="448"/>
      <c r="W52" s="448"/>
      <c r="X52" s="448"/>
      <c r="Y52" s="448"/>
      <c r="Z52" s="448"/>
      <c r="AA52" s="448"/>
      <c r="AB52" s="448"/>
      <c r="AC52" s="448"/>
      <c r="AD52" s="448"/>
    </row>
    <row r="53">
      <c r="A53" s="737">
        <v>600.0</v>
      </c>
      <c r="B53" s="461" t="s">
        <v>2087</v>
      </c>
      <c r="C53" s="461" t="s">
        <v>2227</v>
      </c>
      <c r="D53" s="448"/>
      <c r="E53" s="448"/>
      <c r="F53" s="714"/>
      <c r="G53" s="455"/>
      <c r="H53" s="703"/>
      <c r="I53" s="448"/>
      <c r="J53" s="448"/>
      <c r="K53" s="448"/>
      <c r="L53" s="448"/>
      <c r="M53" s="448"/>
      <c r="N53" s="448"/>
      <c r="O53" s="448"/>
      <c r="P53" s="448"/>
      <c r="Q53" s="448"/>
      <c r="R53" s="448"/>
      <c r="S53" s="448"/>
      <c r="T53" s="448"/>
      <c r="U53" s="448"/>
      <c r="V53" s="448"/>
      <c r="W53" s="448"/>
      <c r="X53" s="448"/>
      <c r="Y53" s="448"/>
      <c r="Z53" s="448"/>
      <c r="AA53" s="448"/>
      <c r="AB53" s="448"/>
      <c r="AC53" s="448"/>
      <c r="AD53" s="448"/>
    </row>
    <row r="54">
      <c r="A54" s="716">
        <v>1500.0</v>
      </c>
      <c r="B54" s="133" t="s">
        <v>2103</v>
      </c>
      <c r="C54" s="133" t="s">
        <v>2231</v>
      </c>
      <c r="D54" s="448"/>
      <c r="E54" s="448"/>
      <c r="F54" s="714"/>
      <c r="G54" s="714"/>
      <c r="H54" s="703"/>
      <c r="I54" s="448"/>
      <c r="J54" s="448"/>
      <c r="K54" s="448"/>
      <c r="L54" s="448"/>
      <c r="M54" s="448"/>
      <c r="N54" s="448"/>
      <c r="O54" s="448"/>
      <c r="P54" s="448"/>
      <c r="Q54" s="448"/>
      <c r="R54" s="448"/>
      <c r="S54" s="448"/>
      <c r="T54" s="448"/>
      <c r="U54" s="448"/>
      <c r="V54" s="448"/>
      <c r="W54" s="448"/>
      <c r="X54" s="448"/>
      <c r="Y54" s="448"/>
      <c r="Z54" s="448"/>
      <c r="AA54" s="448"/>
      <c r="AB54" s="448"/>
      <c r="AC54" s="448"/>
      <c r="AD54" s="448"/>
    </row>
    <row r="55">
      <c r="A55" s="448"/>
      <c r="B55" s="448"/>
      <c r="C55" s="448"/>
      <c r="D55" s="448"/>
      <c r="E55" s="448"/>
      <c r="F55" s="714"/>
      <c r="G55" s="714"/>
      <c r="H55" s="703"/>
      <c r="I55" s="448"/>
      <c r="J55" s="448"/>
      <c r="K55" s="448"/>
      <c r="L55" s="448"/>
      <c r="M55" s="448"/>
      <c r="N55" s="448"/>
      <c r="O55" s="448"/>
      <c r="P55" s="448"/>
      <c r="Q55" s="448"/>
      <c r="R55" s="448"/>
      <c r="S55" s="448"/>
      <c r="T55" s="448"/>
      <c r="U55" s="448"/>
      <c r="V55" s="448"/>
      <c r="W55" s="448"/>
      <c r="X55" s="448"/>
      <c r="Y55" s="448"/>
      <c r="Z55" s="448"/>
      <c r="AA55" s="448"/>
      <c r="AB55" s="448"/>
      <c r="AC55" s="448"/>
      <c r="AD55" s="448"/>
    </row>
    <row r="56">
      <c r="A56" s="730">
        <f>SUM(A57:A58)</f>
        <v>2100</v>
      </c>
      <c r="B56" s="731" t="s">
        <v>2217</v>
      </c>
      <c r="C56" s="732" t="s">
        <v>2218</v>
      </c>
      <c r="D56" s="733"/>
      <c r="E56" s="733"/>
      <c r="F56" s="734"/>
      <c r="G56" s="734"/>
      <c r="H56" s="735"/>
      <c r="I56" s="733"/>
      <c r="J56" s="733"/>
      <c r="K56" s="733"/>
      <c r="L56" s="733"/>
      <c r="M56" s="733"/>
      <c r="N56" s="733"/>
      <c r="O56" s="733"/>
      <c r="P56" s="733"/>
      <c r="Q56" s="733"/>
      <c r="R56" s="733"/>
      <c r="S56" s="733"/>
      <c r="T56" s="733"/>
      <c r="U56" s="733"/>
      <c r="V56" s="733"/>
      <c r="W56" s="733"/>
      <c r="X56" s="733"/>
      <c r="Y56" s="733"/>
      <c r="Z56" s="733"/>
      <c r="AA56" s="733"/>
      <c r="AB56" s="733"/>
      <c r="AC56" s="733"/>
      <c r="AD56" s="733"/>
    </row>
    <row r="57">
      <c r="A57" s="716">
        <v>600.0</v>
      </c>
      <c r="B57" s="133" t="s">
        <v>2090</v>
      </c>
      <c r="C57" s="133" t="s">
        <v>2183</v>
      </c>
      <c r="D57" s="746" t="s">
        <v>2299</v>
      </c>
      <c r="E57" s="448"/>
      <c r="F57" s="714"/>
      <c r="G57" s="455" t="s">
        <v>2185</v>
      </c>
      <c r="H57" s="703"/>
      <c r="I57" s="448"/>
      <c r="J57" s="448"/>
      <c r="K57" s="448"/>
      <c r="L57" s="448"/>
      <c r="M57" s="448"/>
      <c r="N57" s="448"/>
      <c r="O57" s="448"/>
      <c r="P57" s="448"/>
      <c r="Q57" s="448"/>
      <c r="R57" s="448"/>
      <c r="S57" s="448"/>
      <c r="T57" s="448"/>
      <c r="U57" s="448"/>
      <c r="V57" s="448"/>
      <c r="W57" s="448"/>
      <c r="X57" s="448"/>
      <c r="Y57" s="448"/>
      <c r="Z57" s="448"/>
      <c r="AA57" s="448"/>
      <c r="AB57" s="448"/>
      <c r="AC57" s="448"/>
      <c r="AD57" s="448"/>
    </row>
    <row r="58">
      <c r="A58" s="716">
        <v>1500.0</v>
      </c>
      <c r="B58" s="133" t="s">
        <v>2111</v>
      </c>
      <c r="C58" s="133" t="s">
        <v>2217</v>
      </c>
      <c r="D58" s="448"/>
      <c r="E58" s="448"/>
      <c r="F58" s="714"/>
      <c r="G58" s="714"/>
      <c r="H58" s="703"/>
      <c r="I58" s="448"/>
      <c r="J58" s="448"/>
      <c r="K58" s="448"/>
      <c r="L58" s="448"/>
      <c r="M58" s="448"/>
      <c r="N58" s="448"/>
      <c r="O58" s="448"/>
      <c r="P58" s="448"/>
      <c r="Q58" s="448"/>
      <c r="R58" s="448"/>
      <c r="S58" s="448"/>
      <c r="T58" s="448"/>
      <c r="U58" s="448"/>
      <c r="V58" s="448"/>
      <c r="W58" s="448"/>
      <c r="X58" s="448"/>
      <c r="Y58" s="448"/>
      <c r="Z58" s="448"/>
      <c r="AA58" s="448"/>
      <c r="AB58" s="448"/>
      <c r="AC58" s="448"/>
      <c r="AD58" s="448"/>
    </row>
    <row r="59">
      <c r="A59" s="448"/>
      <c r="B59" s="448"/>
      <c r="C59" s="448"/>
      <c r="D59" s="448"/>
      <c r="E59" s="448"/>
      <c r="F59" s="714"/>
      <c r="G59" s="714"/>
      <c r="H59" s="703"/>
      <c r="I59" s="448"/>
      <c r="J59" s="448"/>
      <c r="K59" s="448"/>
      <c r="L59" s="448"/>
      <c r="M59" s="448"/>
      <c r="N59" s="448"/>
      <c r="O59" s="448"/>
      <c r="P59" s="448"/>
      <c r="Q59" s="448"/>
      <c r="R59" s="448"/>
      <c r="S59" s="448"/>
      <c r="T59" s="448"/>
      <c r="U59" s="448"/>
      <c r="V59" s="448"/>
      <c r="W59" s="448"/>
      <c r="X59" s="448"/>
      <c r="Y59" s="448"/>
      <c r="Z59" s="448"/>
      <c r="AA59" s="448"/>
      <c r="AB59" s="448"/>
      <c r="AC59" s="448"/>
      <c r="AD59" s="448"/>
    </row>
    <row r="60">
      <c r="A60" s="730">
        <f>SUM(A61:A63)</f>
        <v>2500</v>
      </c>
      <c r="B60" s="731" t="s">
        <v>2228</v>
      </c>
      <c r="C60" s="736" t="s">
        <v>2229</v>
      </c>
      <c r="D60" s="733"/>
      <c r="E60" s="733"/>
      <c r="F60" s="734"/>
      <c r="G60" s="734"/>
      <c r="H60" s="735"/>
      <c r="I60" s="733"/>
      <c r="J60" s="733"/>
      <c r="K60" s="733"/>
      <c r="L60" s="733"/>
      <c r="M60" s="733"/>
      <c r="N60" s="733"/>
      <c r="O60" s="733"/>
      <c r="P60" s="733"/>
      <c r="Q60" s="733"/>
      <c r="R60" s="733"/>
      <c r="S60" s="733"/>
      <c r="T60" s="733"/>
      <c r="U60" s="733"/>
      <c r="V60" s="733"/>
      <c r="W60" s="733"/>
      <c r="X60" s="733"/>
      <c r="Y60" s="733"/>
      <c r="Z60" s="733"/>
      <c r="AA60" s="733"/>
      <c r="AB60" s="733"/>
      <c r="AC60" s="733"/>
      <c r="AD60" s="733"/>
    </row>
    <row r="61">
      <c r="A61" s="737">
        <v>600.0</v>
      </c>
      <c r="B61" s="461" t="s">
        <v>2087</v>
      </c>
      <c r="C61" s="461" t="s">
        <v>2227</v>
      </c>
      <c r="D61" s="448"/>
      <c r="E61" s="448"/>
      <c r="F61" s="714"/>
      <c r="G61" s="455" t="s">
        <v>2230</v>
      </c>
      <c r="H61" s="703"/>
      <c r="I61" s="448"/>
      <c r="J61" s="448"/>
      <c r="K61" s="448"/>
      <c r="L61" s="448"/>
      <c r="M61" s="448"/>
      <c r="N61" s="448"/>
      <c r="O61" s="448"/>
      <c r="P61" s="448"/>
      <c r="Q61" s="448"/>
      <c r="R61" s="448"/>
      <c r="S61" s="448"/>
      <c r="T61" s="448"/>
      <c r="U61" s="448"/>
      <c r="V61" s="448"/>
      <c r="W61" s="448"/>
      <c r="X61" s="448"/>
      <c r="Y61" s="448"/>
      <c r="Z61" s="448"/>
      <c r="AA61" s="448"/>
      <c r="AB61" s="448"/>
      <c r="AC61" s="448"/>
      <c r="AD61" s="448"/>
    </row>
    <row r="62">
      <c r="A62" s="716">
        <v>400.0</v>
      </c>
      <c r="B62" s="133" t="s">
        <v>2074</v>
      </c>
      <c r="C62" s="461" t="s">
        <v>2212</v>
      </c>
      <c r="D62" s="461" t="s">
        <v>1590</v>
      </c>
      <c r="E62" s="448"/>
      <c r="F62" s="714"/>
      <c r="G62" s="714"/>
      <c r="H62" s="703"/>
      <c r="I62" s="448"/>
      <c r="J62" s="448"/>
      <c r="K62" s="448"/>
      <c r="L62" s="448"/>
      <c r="M62" s="448"/>
      <c r="N62" s="448"/>
      <c r="O62" s="448"/>
      <c r="P62" s="448"/>
      <c r="Q62" s="448"/>
      <c r="R62" s="448"/>
      <c r="S62" s="448"/>
      <c r="T62" s="448"/>
      <c r="U62" s="448"/>
      <c r="V62" s="448"/>
      <c r="W62" s="448"/>
      <c r="X62" s="448"/>
      <c r="Y62" s="448"/>
      <c r="Z62" s="448"/>
      <c r="AA62" s="448"/>
      <c r="AB62" s="448"/>
      <c r="AC62" s="448"/>
      <c r="AD62" s="448"/>
    </row>
    <row r="63">
      <c r="A63" s="716">
        <v>1500.0</v>
      </c>
      <c r="B63" s="133" t="s">
        <v>2105</v>
      </c>
      <c r="C63" s="133" t="s">
        <v>2228</v>
      </c>
      <c r="D63" s="448"/>
      <c r="E63" s="448"/>
      <c r="F63" s="714"/>
      <c r="G63" s="714"/>
      <c r="H63" s="703"/>
      <c r="I63" s="448"/>
      <c r="J63" s="448"/>
      <c r="K63" s="448"/>
      <c r="L63" s="448"/>
      <c r="M63" s="448"/>
      <c r="N63" s="448"/>
      <c r="O63" s="448"/>
      <c r="P63" s="448"/>
      <c r="Q63" s="448"/>
      <c r="R63" s="448"/>
      <c r="S63" s="448"/>
      <c r="T63" s="448"/>
      <c r="U63" s="448"/>
      <c r="V63" s="448"/>
      <c r="W63" s="448"/>
      <c r="X63" s="448"/>
      <c r="Y63" s="448"/>
      <c r="Z63" s="448"/>
      <c r="AA63" s="448"/>
      <c r="AB63" s="448"/>
      <c r="AC63" s="448"/>
      <c r="AD63" s="448"/>
    </row>
    <row r="64">
      <c r="A64" s="448"/>
      <c r="B64" s="448"/>
      <c r="C64" s="448"/>
      <c r="D64" s="448"/>
      <c r="E64" s="448"/>
      <c r="F64" s="714"/>
      <c r="G64" s="714"/>
      <c r="H64" s="703"/>
      <c r="I64" s="448"/>
      <c r="J64" s="448"/>
      <c r="K64" s="448"/>
      <c r="L64" s="448"/>
      <c r="M64" s="448"/>
      <c r="N64" s="448"/>
      <c r="O64" s="448"/>
      <c r="P64" s="448"/>
      <c r="Q64" s="448"/>
      <c r="R64" s="448"/>
      <c r="S64" s="448"/>
      <c r="T64" s="448"/>
      <c r="U64" s="448"/>
      <c r="V64" s="448"/>
      <c r="W64" s="448"/>
      <c r="X64" s="448"/>
      <c r="Y64" s="448"/>
      <c r="Z64" s="448"/>
      <c r="AA64" s="448"/>
      <c r="AB64" s="448"/>
      <c r="AC64" s="448"/>
      <c r="AD64" s="448"/>
    </row>
    <row r="65">
      <c r="A65" s="730">
        <f>SUM(A66:A68)</f>
        <v>2000</v>
      </c>
      <c r="B65" s="731" t="s">
        <v>2219</v>
      </c>
      <c r="C65" s="736" t="s">
        <v>2220</v>
      </c>
      <c r="D65" s="733"/>
      <c r="E65" s="733"/>
      <c r="F65" s="734"/>
      <c r="G65" s="734"/>
      <c r="H65" s="735"/>
      <c r="I65" s="733"/>
      <c r="J65" s="733"/>
      <c r="K65" s="733"/>
      <c r="L65" s="733"/>
      <c r="M65" s="733"/>
      <c r="N65" s="733"/>
      <c r="O65" s="733"/>
      <c r="P65" s="733"/>
      <c r="Q65" s="733"/>
      <c r="R65" s="733"/>
      <c r="S65" s="733"/>
      <c r="T65" s="733"/>
      <c r="U65" s="733"/>
      <c r="V65" s="733"/>
      <c r="W65" s="733"/>
      <c r="X65" s="733"/>
      <c r="Y65" s="733"/>
      <c r="Z65" s="733"/>
      <c r="AA65" s="733"/>
      <c r="AB65" s="733"/>
      <c r="AC65" s="733"/>
      <c r="AD65" s="733"/>
    </row>
    <row r="66">
      <c r="A66" s="716">
        <v>400.0</v>
      </c>
      <c r="B66" s="133" t="s">
        <v>2074</v>
      </c>
      <c r="C66" s="461" t="s">
        <v>2212</v>
      </c>
      <c r="D66" s="461" t="s">
        <v>1590</v>
      </c>
      <c r="E66" s="448"/>
      <c r="F66" s="714"/>
      <c r="G66" s="714"/>
      <c r="H66" s="703"/>
      <c r="I66" s="448"/>
      <c r="J66" s="448"/>
      <c r="K66" s="448"/>
      <c r="L66" s="448"/>
      <c r="M66" s="448"/>
      <c r="N66" s="448"/>
      <c r="O66" s="448"/>
      <c r="P66" s="448"/>
      <c r="Q66" s="448"/>
      <c r="R66" s="448"/>
      <c r="S66" s="448"/>
      <c r="T66" s="448"/>
      <c r="U66" s="448"/>
      <c r="V66" s="448"/>
      <c r="W66" s="448"/>
      <c r="X66" s="448"/>
      <c r="Y66" s="448"/>
      <c r="Z66" s="448"/>
      <c r="AA66" s="448"/>
      <c r="AB66" s="448"/>
      <c r="AC66" s="448"/>
      <c r="AD66" s="448"/>
    </row>
    <row r="67">
      <c r="A67" s="716">
        <v>600.0</v>
      </c>
      <c r="B67" s="133" t="s">
        <v>1997</v>
      </c>
      <c r="C67" s="133" t="s">
        <v>2221</v>
      </c>
      <c r="D67" s="448"/>
      <c r="E67" s="448"/>
      <c r="F67" s="473" t="s">
        <v>2222</v>
      </c>
      <c r="G67" s="473" t="s">
        <v>2223</v>
      </c>
      <c r="H67" s="703"/>
      <c r="I67" s="448"/>
      <c r="J67" s="448"/>
      <c r="K67" s="448"/>
      <c r="L67" s="448"/>
      <c r="M67" s="448"/>
      <c r="N67" s="448"/>
      <c r="O67" s="448"/>
      <c r="P67" s="448"/>
      <c r="Q67" s="448"/>
      <c r="R67" s="448"/>
      <c r="S67" s="448"/>
      <c r="T67" s="448"/>
      <c r="U67" s="448"/>
      <c r="V67" s="448"/>
      <c r="W67" s="448"/>
      <c r="X67" s="448"/>
      <c r="Y67" s="448"/>
      <c r="Z67" s="448"/>
      <c r="AA67" s="448"/>
      <c r="AB67" s="448"/>
      <c r="AC67" s="448"/>
      <c r="AD67" s="448"/>
    </row>
    <row r="68">
      <c r="A68" s="716">
        <v>1000.0</v>
      </c>
      <c r="B68" s="133" t="s">
        <v>2098</v>
      </c>
      <c r="C68" s="133" t="s">
        <v>2219</v>
      </c>
      <c r="D68" s="448"/>
      <c r="E68" s="448"/>
      <c r="F68" s="714"/>
      <c r="G68" s="714"/>
      <c r="H68" s="703"/>
      <c r="I68" s="448"/>
      <c r="J68" s="448"/>
      <c r="K68" s="448"/>
      <c r="L68" s="448"/>
      <c r="M68" s="448"/>
      <c r="N68" s="448"/>
      <c r="O68" s="448"/>
      <c r="P68" s="448"/>
      <c r="Q68" s="448"/>
      <c r="R68" s="448"/>
      <c r="S68" s="448"/>
      <c r="T68" s="448"/>
      <c r="U68" s="448"/>
      <c r="V68" s="448"/>
      <c r="W68" s="448"/>
      <c r="X68" s="448"/>
      <c r="Y68" s="448"/>
      <c r="Z68" s="448"/>
      <c r="AA68" s="448"/>
      <c r="AB68" s="448"/>
      <c r="AC68" s="448"/>
      <c r="AD68" s="448"/>
    </row>
    <row r="69">
      <c r="A69" s="448"/>
      <c r="B69" s="448"/>
      <c r="C69" s="448"/>
      <c r="D69" s="448"/>
      <c r="E69" s="448"/>
      <c r="F69" s="714"/>
      <c r="G69" s="714"/>
      <c r="H69" s="703"/>
      <c r="I69" s="448"/>
      <c r="J69" s="448"/>
      <c r="K69" s="448"/>
      <c r="L69" s="448"/>
      <c r="M69" s="448"/>
      <c r="N69" s="448"/>
      <c r="O69" s="448"/>
      <c r="P69" s="448"/>
      <c r="Q69" s="448"/>
      <c r="R69" s="448"/>
      <c r="S69" s="448"/>
      <c r="T69" s="448"/>
      <c r="U69" s="448"/>
      <c r="V69" s="448"/>
      <c r="W69" s="448"/>
      <c r="X69" s="448"/>
      <c r="Y69" s="448"/>
      <c r="Z69" s="448"/>
      <c r="AA69" s="448"/>
      <c r="AB69" s="448"/>
      <c r="AC69" s="448"/>
      <c r="AD69" s="448"/>
    </row>
    <row r="70">
      <c r="A70" s="730">
        <f>SUM(A71:A72)</f>
        <v>2100</v>
      </c>
      <c r="B70" s="731" t="s">
        <v>2224</v>
      </c>
      <c r="C70" s="736" t="s">
        <v>2225</v>
      </c>
      <c r="D70" s="733"/>
      <c r="E70" s="733"/>
      <c r="F70" s="734"/>
      <c r="G70" s="734"/>
      <c r="H70" s="735"/>
      <c r="I70" s="733"/>
      <c r="J70" s="733"/>
      <c r="K70" s="733"/>
      <c r="L70" s="733"/>
      <c r="M70" s="733"/>
      <c r="N70" s="733"/>
      <c r="O70" s="733"/>
      <c r="P70" s="733"/>
      <c r="Q70" s="733"/>
      <c r="R70" s="733"/>
      <c r="S70" s="733"/>
      <c r="T70" s="733"/>
      <c r="U70" s="733"/>
      <c r="V70" s="733"/>
      <c r="W70" s="733"/>
      <c r="X70" s="733"/>
      <c r="Y70" s="733"/>
      <c r="Z70" s="733"/>
      <c r="AA70" s="733"/>
      <c r="AB70" s="733"/>
      <c r="AC70" s="733"/>
      <c r="AD70" s="733"/>
    </row>
    <row r="71">
      <c r="A71" s="737">
        <v>600.0</v>
      </c>
      <c r="B71" s="461" t="s">
        <v>2087</v>
      </c>
      <c r="C71" s="461" t="s">
        <v>2227</v>
      </c>
      <c r="D71" s="448"/>
      <c r="E71" s="448"/>
      <c r="F71" s="714"/>
      <c r="G71" s="455"/>
      <c r="H71" s="703"/>
      <c r="I71" s="448"/>
      <c r="J71" s="448"/>
      <c r="K71" s="448"/>
      <c r="L71" s="448"/>
      <c r="M71" s="448"/>
      <c r="N71" s="448"/>
      <c r="O71" s="448"/>
      <c r="P71" s="448"/>
      <c r="Q71" s="448"/>
      <c r="R71" s="448"/>
      <c r="S71" s="448"/>
      <c r="T71" s="448"/>
      <c r="U71" s="448"/>
      <c r="V71" s="448"/>
      <c r="W71" s="448"/>
      <c r="X71" s="448"/>
      <c r="Y71" s="448"/>
      <c r="Z71" s="448"/>
      <c r="AA71" s="448"/>
      <c r="AB71" s="448"/>
      <c r="AC71" s="448"/>
      <c r="AD71" s="448"/>
    </row>
    <row r="72">
      <c r="A72" s="716">
        <v>1500.0</v>
      </c>
      <c r="B72" s="133" t="s">
        <v>2107</v>
      </c>
      <c r="C72" s="133" t="s">
        <v>2224</v>
      </c>
      <c r="D72" s="448"/>
      <c r="E72" s="448"/>
      <c r="F72" s="714"/>
      <c r="G72" s="714"/>
      <c r="H72" s="703"/>
      <c r="I72" s="448"/>
      <c r="J72" s="448"/>
      <c r="K72" s="448"/>
      <c r="L72" s="448"/>
      <c r="M72" s="448"/>
      <c r="N72" s="448"/>
      <c r="O72" s="448"/>
      <c r="P72" s="448"/>
      <c r="Q72" s="448"/>
      <c r="R72" s="448"/>
      <c r="S72" s="448"/>
      <c r="T72" s="448"/>
      <c r="U72" s="448"/>
      <c r="V72" s="448"/>
      <c r="W72" s="448"/>
      <c r="X72" s="448"/>
      <c r="Y72" s="448"/>
      <c r="Z72" s="448"/>
      <c r="AA72" s="448"/>
      <c r="AB72" s="448"/>
      <c r="AC72" s="448"/>
      <c r="AD72" s="448"/>
    </row>
    <row r="73">
      <c r="A73" s="448"/>
      <c r="B73" s="448"/>
      <c r="C73" s="448"/>
      <c r="D73" s="448"/>
      <c r="E73" s="448"/>
      <c r="F73" s="714"/>
      <c r="G73" s="714"/>
      <c r="H73" s="703"/>
      <c r="I73" s="448"/>
      <c r="J73" s="448"/>
      <c r="K73" s="448"/>
      <c r="L73" s="448"/>
      <c r="M73" s="448"/>
      <c r="N73" s="448"/>
      <c r="O73" s="448"/>
      <c r="P73" s="448"/>
      <c r="Q73" s="448"/>
      <c r="R73" s="448"/>
      <c r="S73" s="448"/>
      <c r="T73" s="448"/>
      <c r="U73" s="448"/>
      <c r="V73" s="448"/>
      <c r="W73" s="448"/>
      <c r="X73" s="448"/>
      <c r="Y73" s="448"/>
      <c r="Z73" s="448"/>
      <c r="AA73" s="448"/>
      <c r="AB73" s="448"/>
      <c r="AC73" s="448"/>
      <c r="AD73" s="448"/>
    </row>
    <row r="74">
      <c r="A74" s="730">
        <f>SUM(A75:A77)</f>
        <v>2200</v>
      </c>
      <c r="B74" s="731" t="s">
        <v>2189</v>
      </c>
      <c r="C74" s="736" t="s">
        <v>2300</v>
      </c>
      <c r="D74" s="733"/>
      <c r="E74" s="733"/>
      <c r="F74" s="734"/>
      <c r="G74" s="734"/>
      <c r="H74" s="735"/>
      <c r="I74" s="733"/>
      <c r="J74" s="733"/>
      <c r="K74" s="733"/>
      <c r="L74" s="733"/>
      <c r="M74" s="733"/>
      <c r="N74" s="733"/>
      <c r="O74" s="733"/>
      <c r="P74" s="733"/>
      <c r="Q74" s="733"/>
      <c r="R74" s="733"/>
      <c r="S74" s="733"/>
      <c r="T74" s="733"/>
      <c r="U74" s="733"/>
      <c r="V74" s="733"/>
      <c r="W74" s="733"/>
      <c r="X74" s="733"/>
      <c r="Y74" s="733"/>
      <c r="Z74" s="733"/>
      <c r="AA74" s="733"/>
      <c r="AB74" s="733"/>
      <c r="AC74" s="733"/>
      <c r="AD74" s="733"/>
    </row>
    <row r="75">
      <c r="A75" s="716">
        <v>600.0</v>
      </c>
      <c r="B75" s="133" t="s">
        <v>1971</v>
      </c>
      <c r="C75" s="448"/>
      <c r="D75" s="723" t="s">
        <v>1647</v>
      </c>
      <c r="E75" s="448"/>
      <c r="F75" s="473" t="s">
        <v>2187</v>
      </c>
      <c r="G75" s="473"/>
      <c r="H75" s="703"/>
      <c r="I75" s="448"/>
      <c r="J75" s="448"/>
      <c r="K75" s="448"/>
      <c r="L75" s="448"/>
      <c r="M75" s="448"/>
      <c r="N75" s="448"/>
      <c r="O75" s="448"/>
      <c r="P75" s="448"/>
      <c r="Q75" s="448"/>
      <c r="R75" s="448"/>
      <c r="S75" s="448"/>
      <c r="T75" s="448"/>
      <c r="U75" s="448"/>
      <c r="V75" s="448"/>
      <c r="W75" s="448"/>
      <c r="X75" s="448"/>
      <c r="Y75" s="448"/>
      <c r="Z75" s="448"/>
      <c r="AA75" s="448"/>
      <c r="AB75" s="448"/>
      <c r="AC75" s="448"/>
      <c r="AD75" s="448"/>
    </row>
    <row r="76">
      <c r="A76" s="716">
        <v>600.0</v>
      </c>
      <c r="B76" s="133" t="s">
        <v>2090</v>
      </c>
      <c r="C76" s="133" t="s">
        <v>2183</v>
      </c>
      <c r="D76" s="721" t="s">
        <v>2184</v>
      </c>
      <c r="E76" s="448"/>
      <c r="F76" s="714"/>
      <c r="G76" s="455" t="s">
        <v>2185</v>
      </c>
      <c r="H76" s="703"/>
      <c r="I76" s="448"/>
      <c r="J76" s="448"/>
      <c r="K76" s="448"/>
      <c r="L76" s="448"/>
      <c r="M76" s="448"/>
      <c r="N76" s="448"/>
      <c r="O76" s="448"/>
      <c r="P76" s="448"/>
      <c r="Q76" s="448"/>
      <c r="R76" s="448"/>
      <c r="S76" s="448"/>
      <c r="T76" s="448"/>
      <c r="U76" s="448"/>
      <c r="V76" s="448"/>
      <c r="W76" s="448"/>
      <c r="X76" s="448"/>
      <c r="Y76" s="448"/>
      <c r="Z76" s="448"/>
      <c r="AA76" s="448"/>
      <c r="AB76" s="448"/>
      <c r="AC76" s="448"/>
      <c r="AD76" s="448"/>
    </row>
    <row r="77">
      <c r="A77" s="716">
        <v>1000.0</v>
      </c>
      <c r="B77" s="133" t="s">
        <v>2100</v>
      </c>
      <c r="C77" s="133" t="s">
        <v>2189</v>
      </c>
      <c r="D77" s="448"/>
      <c r="E77" s="448"/>
      <c r="F77" s="714"/>
      <c r="G77" s="714"/>
      <c r="H77" s="703"/>
      <c r="I77" s="448"/>
      <c r="J77" s="448"/>
      <c r="K77" s="448"/>
      <c r="L77" s="448"/>
      <c r="M77" s="448"/>
      <c r="N77" s="448"/>
      <c r="O77" s="448"/>
      <c r="P77" s="448"/>
      <c r="Q77" s="448"/>
      <c r="R77" s="448"/>
      <c r="S77" s="448"/>
      <c r="T77" s="448"/>
      <c r="U77" s="448"/>
      <c r="V77" s="448"/>
      <c r="W77" s="448"/>
      <c r="X77" s="448"/>
      <c r="Y77" s="448"/>
      <c r="Z77" s="448"/>
      <c r="AA77" s="448"/>
      <c r="AB77" s="448"/>
      <c r="AC77" s="448"/>
      <c r="AD77" s="448"/>
    </row>
    <row r="78">
      <c r="A78" s="448"/>
      <c r="B78" s="448"/>
      <c r="C78" s="448"/>
      <c r="D78" s="448"/>
      <c r="E78" s="448"/>
      <c r="F78" s="714"/>
      <c r="G78" s="714"/>
      <c r="H78" s="703"/>
      <c r="I78" s="448"/>
      <c r="J78" s="448"/>
      <c r="K78" s="448"/>
      <c r="L78" s="448"/>
      <c r="M78" s="448"/>
      <c r="N78" s="448"/>
      <c r="O78" s="448"/>
      <c r="P78" s="448"/>
      <c r="Q78" s="448"/>
      <c r="R78" s="448"/>
      <c r="S78" s="448"/>
      <c r="T78" s="448"/>
      <c r="U78" s="448"/>
      <c r="V78" s="448"/>
      <c r="W78" s="448"/>
      <c r="X78" s="448"/>
      <c r="Y78" s="448"/>
      <c r="Z78" s="448"/>
      <c r="AA78" s="448"/>
      <c r="AB78" s="448"/>
      <c r="AC78" s="448"/>
      <c r="AD78" s="448"/>
    </row>
    <row r="79">
      <c r="A79" s="730">
        <f>SUM(A80:A83)</f>
        <v>3700</v>
      </c>
      <c r="B79" s="731" t="s">
        <v>2215</v>
      </c>
      <c r="C79" s="732" t="s">
        <v>2216</v>
      </c>
      <c r="D79" s="733"/>
      <c r="E79" s="733"/>
      <c r="F79" s="734"/>
      <c r="G79" s="734"/>
      <c r="H79" s="735"/>
      <c r="I79" s="733"/>
      <c r="J79" s="733"/>
      <c r="K79" s="733"/>
      <c r="L79" s="733"/>
      <c r="M79" s="733"/>
      <c r="N79" s="733"/>
      <c r="O79" s="733"/>
      <c r="P79" s="733"/>
      <c r="Q79" s="733"/>
      <c r="R79" s="733"/>
      <c r="S79" s="733"/>
      <c r="T79" s="733"/>
      <c r="U79" s="733"/>
      <c r="V79" s="733"/>
      <c r="W79" s="733"/>
      <c r="X79" s="733"/>
      <c r="Y79" s="733"/>
      <c r="Z79" s="733"/>
      <c r="AA79" s="733"/>
      <c r="AB79" s="733"/>
      <c r="AC79" s="733"/>
      <c r="AD79" s="733"/>
    </row>
    <row r="80">
      <c r="A80" s="716">
        <v>600.0</v>
      </c>
      <c r="B80" s="133" t="s">
        <v>1971</v>
      </c>
      <c r="C80" s="448"/>
      <c r="D80" s="723" t="s">
        <v>1647</v>
      </c>
      <c r="E80" s="448"/>
      <c r="F80" s="473" t="s">
        <v>2187</v>
      </c>
      <c r="G80" s="473"/>
      <c r="H80" s="703"/>
      <c r="I80" s="448"/>
      <c r="J80" s="448"/>
      <c r="K80" s="448"/>
      <c r="L80" s="448"/>
      <c r="M80" s="448"/>
      <c r="N80" s="448"/>
      <c r="O80" s="448"/>
      <c r="P80" s="448"/>
      <c r="Q80" s="448"/>
      <c r="R80" s="448"/>
      <c r="S80" s="448"/>
      <c r="T80" s="448"/>
      <c r="U80" s="448"/>
      <c r="V80" s="448"/>
      <c r="W80" s="448"/>
      <c r="X80" s="448"/>
      <c r="Y80" s="448"/>
      <c r="Z80" s="448"/>
      <c r="AA80" s="448"/>
      <c r="AB80" s="448"/>
      <c r="AC80" s="448"/>
      <c r="AD80" s="448"/>
    </row>
    <row r="81">
      <c r="A81" s="716">
        <v>600.0</v>
      </c>
      <c r="B81" s="133" t="s">
        <v>2090</v>
      </c>
      <c r="C81" s="133" t="s">
        <v>2183</v>
      </c>
      <c r="D81" s="721" t="s">
        <v>2184</v>
      </c>
      <c r="E81" s="448"/>
      <c r="F81" s="714"/>
      <c r="G81" s="455" t="s">
        <v>2185</v>
      </c>
      <c r="H81" s="703"/>
      <c r="I81" s="448"/>
      <c r="J81" s="448"/>
      <c r="K81" s="448"/>
      <c r="L81" s="448"/>
      <c r="M81" s="448"/>
      <c r="N81" s="448"/>
      <c r="O81" s="448"/>
      <c r="P81" s="448"/>
      <c r="Q81" s="448"/>
      <c r="R81" s="448"/>
      <c r="S81" s="448"/>
      <c r="T81" s="448"/>
      <c r="U81" s="448"/>
      <c r="V81" s="448"/>
      <c r="W81" s="448"/>
      <c r="X81" s="448"/>
      <c r="Y81" s="448"/>
      <c r="Z81" s="448"/>
      <c r="AA81" s="448"/>
      <c r="AB81" s="448"/>
      <c r="AC81" s="448"/>
      <c r="AD81" s="448"/>
    </row>
    <row r="82">
      <c r="A82" s="716">
        <v>1000.0</v>
      </c>
      <c r="B82" s="133" t="s">
        <v>2100</v>
      </c>
      <c r="C82" s="133" t="s">
        <v>2189</v>
      </c>
      <c r="D82" s="448"/>
      <c r="E82" s="448"/>
      <c r="F82" s="714"/>
      <c r="G82" s="714"/>
      <c r="H82" s="703"/>
      <c r="I82" s="448"/>
      <c r="J82" s="448"/>
      <c r="K82" s="448"/>
      <c r="L82" s="448"/>
      <c r="M82" s="448"/>
      <c r="N82" s="448"/>
      <c r="O82" s="448"/>
      <c r="P82" s="448"/>
      <c r="Q82" s="448"/>
      <c r="R82" s="448"/>
      <c r="S82" s="448"/>
      <c r="T82" s="448"/>
      <c r="U82" s="448"/>
      <c r="V82" s="448"/>
      <c r="W82" s="448"/>
      <c r="X82" s="448"/>
      <c r="Y82" s="448"/>
      <c r="Z82" s="448"/>
      <c r="AA82" s="448"/>
      <c r="AB82" s="448"/>
      <c r="AC82" s="448"/>
      <c r="AD82" s="448"/>
    </row>
    <row r="83">
      <c r="A83" s="716">
        <v>1500.0</v>
      </c>
      <c r="B83" s="133" t="s">
        <v>2109</v>
      </c>
      <c r="C83" s="133" t="s">
        <v>2215</v>
      </c>
      <c r="D83" s="448"/>
      <c r="E83" s="448"/>
      <c r="F83" s="714"/>
      <c r="G83" s="714"/>
      <c r="H83" s="703"/>
      <c r="I83" s="448"/>
      <c r="J83" s="448"/>
      <c r="K83" s="448"/>
      <c r="L83" s="448"/>
      <c r="M83" s="448"/>
      <c r="N83" s="448"/>
      <c r="O83" s="448"/>
      <c r="P83" s="448"/>
      <c r="Q83" s="448"/>
      <c r="R83" s="448"/>
      <c r="S83" s="448"/>
      <c r="T83" s="448"/>
      <c r="U83" s="448"/>
      <c r="V83" s="448"/>
      <c r="W83" s="448"/>
      <c r="X83" s="448"/>
      <c r="Y83" s="448"/>
      <c r="Z83" s="448"/>
      <c r="AA83" s="448"/>
      <c r="AB83" s="448"/>
      <c r="AC83" s="448"/>
      <c r="AD83" s="448"/>
    </row>
    <row r="84">
      <c r="A84" s="448"/>
      <c r="B84" s="448"/>
      <c r="C84" s="448"/>
      <c r="D84" s="448"/>
      <c r="E84" s="448"/>
      <c r="F84" s="714"/>
      <c r="G84" s="714"/>
      <c r="H84" s="703"/>
      <c r="I84" s="448"/>
      <c r="J84" s="448"/>
      <c r="K84" s="448"/>
      <c r="L84" s="448"/>
      <c r="M84" s="448"/>
      <c r="N84" s="448"/>
      <c r="O84" s="448"/>
      <c r="P84" s="448"/>
      <c r="Q84" s="448"/>
      <c r="R84" s="448"/>
      <c r="S84" s="448"/>
      <c r="T84" s="448"/>
      <c r="U84" s="448"/>
      <c r="V84" s="448"/>
      <c r="W84" s="448"/>
      <c r="X84" s="448"/>
      <c r="Y84" s="448"/>
      <c r="Z84" s="448"/>
      <c r="AA84" s="448"/>
      <c r="AB84" s="448"/>
      <c r="AC84" s="448"/>
      <c r="AD84" s="448"/>
    </row>
    <row r="85">
      <c r="A85" s="717"/>
      <c r="B85" s="738" t="s">
        <v>2233</v>
      </c>
      <c r="C85" s="717"/>
      <c r="D85" s="717"/>
      <c r="E85" s="717"/>
      <c r="F85" s="718"/>
      <c r="G85" s="718"/>
      <c r="H85" s="719"/>
      <c r="I85" s="717"/>
      <c r="J85" s="717"/>
      <c r="K85" s="717"/>
      <c r="L85" s="717"/>
      <c r="M85" s="717"/>
      <c r="N85" s="717"/>
      <c r="O85" s="717"/>
      <c r="P85" s="717"/>
      <c r="Q85" s="717"/>
      <c r="R85" s="717"/>
      <c r="S85" s="717"/>
      <c r="T85" s="717"/>
      <c r="U85" s="717"/>
      <c r="V85" s="717"/>
      <c r="W85" s="717"/>
      <c r="X85" s="717"/>
      <c r="Y85" s="717"/>
      <c r="Z85" s="717"/>
      <c r="AA85" s="717"/>
      <c r="AB85" s="717"/>
      <c r="AC85" s="717"/>
      <c r="AD85" s="717"/>
    </row>
    <row r="86">
      <c r="A86" s="716">
        <v>400.0</v>
      </c>
      <c r="B86" s="133" t="s">
        <v>2069</v>
      </c>
      <c r="C86" s="448"/>
      <c r="D86" s="728" t="s">
        <v>1602</v>
      </c>
      <c r="E86" s="448"/>
      <c r="F86" s="473" t="s">
        <v>2234</v>
      </c>
      <c r="G86" s="473" t="s">
        <v>2301</v>
      </c>
      <c r="H86" s="703"/>
      <c r="I86" s="448"/>
      <c r="J86" s="448"/>
      <c r="K86" s="448"/>
      <c r="L86" s="448"/>
      <c r="M86" s="448"/>
      <c r="N86" s="448"/>
      <c r="O86" s="448"/>
      <c r="P86" s="448"/>
      <c r="Q86" s="448"/>
      <c r="R86" s="448"/>
      <c r="S86" s="448"/>
      <c r="T86" s="448"/>
      <c r="U86" s="448"/>
      <c r="V86" s="448"/>
      <c r="W86" s="448"/>
      <c r="X86" s="448"/>
      <c r="Y86" s="448"/>
      <c r="Z86" s="448"/>
      <c r="AA86" s="448"/>
      <c r="AB86" s="448"/>
      <c r="AC86" s="448"/>
      <c r="AD86" s="448"/>
    </row>
    <row r="87">
      <c r="A87" s="716">
        <v>600.0</v>
      </c>
      <c r="B87" s="133" t="s">
        <v>2081</v>
      </c>
      <c r="C87" s="448"/>
      <c r="D87" s="708" t="s">
        <v>1621</v>
      </c>
      <c r="E87" s="448"/>
      <c r="F87" s="455" t="s">
        <v>2175</v>
      </c>
      <c r="G87" s="714"/>
      <c r="H87" s="703"/>
      <c r="I87" s="448"/>
      <c r="J87" s="448"/>
      <c r="K87" s="448"/>
      <c r="L87" s="448"/>
      <c r="M87" s="448"/>
      <c r="N87" s="448"/>
      <c r="O87" s="448"/>
      <c r="P87" s="448"/>
      <c r="Q87" s="448"/>
      <c r="R87" s="448"/>
      <c r="S87" s="448"/>
      <c r="T87" s="448"/>
      <c r="U87" s="448"/>
      <c r="V87" s="448"/>
      <c r="W87" s="448"/>
      <c r="X87" s="448"/>
      <c r="Y87" s="448"/>
      <c r="Z87" s="448"/>
      <c r="AA87" s="448"/>
      <c r="AB87" s="448"/>
      <c r="AC87" s="448"/>
      <c r="AD87" s="448"/>
    </row>
    <row r="88">
      <c r="A88" s="716">
        <v>600.0</v>
      </c>
      <c r="B88" s="133" t="s">
        <v>1971</v>
      </c>
      <c r="C88" s="448"/>
      <c r="D88" s="747" t="s">
        <v>1647</v>
      </c>
      <c r="E88" s="448"/>
      <c r="F88" s="473" t="s">
        <v>2187</v>
      </c>
      <c r="G88" s="473" t="s">
        <v>2302</v>
      </c>
      <c r="H88" s="703"/>
      <c r="I88" s="448"/>
      <c r="J88" s="448"/>
      <c r="K88" s="448"/>
      <c r="L88" s="448"/>
      <c r="M88" s="448"/>
      <c r="N88" s="448"/>
      <c r="O88" s="448"/>
      <c r="P88" s="448"/>
      <c r="Q88" s="448"/>
      <c r="R88" s="448"/>
      <c r="S88" s="448"/>
      <c r="T88" s="448"/>
      <c r="U88" s="448"/>
      <c r="V88" s="448"/>
      <c r="W88" s="448"/>
      <c r="X88" s="448"/>
      <c r="Y88" s="448"/>
      <c r="Z88" s="448"/>
      <c r="AA88" s="448"/>
      <c r="AB88" s="448"/>
      <c r="AC88" s="448"/>
      <c r="AD88" s="448"/>
    </row>
    <row r="89">
      <c r="A89" s="716">
        <v>600.0</v>
      </c>
      <c r="B89" s="133" t="s">
        <v>1970</v>
      </c>
      <c r="C89" s="448"/>
      <c r="D89" s="729" t="s">
        <v>1743</v>
      </c>
      <c r="E89" s="448"/>
      <c r="F89" s="473" t="s">
        <v>2303</v>
      </c>
      <c r="G89" s="455" t="s">
        <v>2304</v>
      </c>
      <c r="H89" s="703"/>
      <c r="I89" s="448"/>
      <c r="J89" s="448"/>
      <c r="K89" s="448"/>
      <c r="L89" s="448"/>
      <c r="M89" s="448"/>
      <c r="N89" s="448"/>
      <c r="O89" s="448"/>
      <c r="P89" s="448"/>
      <c r="Q89" s="448"/>
      <c r="R89" s="448"/>
      <c r="S89" s="448"/>
      <c r="T89" s="448"/>
      <c r="U89" s="448"/>
      <c r="V89" s="448"/>
      <c r="W89" s="448"/>
      <c r="X89" s="448"/>
      <c r="Y89" s="448"/>
      <c r="Z89" s="448"/>
      <c r="AA89" s="448"/>
      <c r="AB89" s="448"/>
      <c r="AC89" s="448"/>
      <c r="AD89" s="448"/>
    </row>
    <row r="90">
      <c r="A90" s="716">
        <v>1000.0</v>
      </c>
      <c r="B90" s="133" t="s">
        <v>2028</v>
      </c>
      <c r="C90" s="133" t="s">
        <v>2236</v>
      </c>
      <c r="D90" s="448"/>
      <c r="E90" s="448"/>
      <c r="F90" s="473" t="s">
        <v>2237</v>
      </c>
      <c r="G90" s="455" t="s">
        <v>2238</v>
      </c>
      <c r="H90" s="703"/>
      <c r="I90" s="448"/>
      <c r="J90" s="448"/>
      <c r="K90" s="448"/>
      <c r="L90" s="448"/>
      <c r="M90" s="448"/>
      <c r="N90" s="448"/>
      <c r="O90" s="448"/>
      <c r="P90" s="448"/>
      <c r="Q90" s="448"/>
      <c r="R90" s="448"/>
      <c r="S90" s="448"/>
      <c r="T90" s="448"/>
      <c r="U90" s="448"/>
      <c r="V90" s="448"/>
      <c r="W90" s="448"/>
      <c r="X90" s="448"/>
      <c r="Y90" s="448"/>
      <c r="Z90" s="448"/>
      <c r="AA90" s="448"/>
      <c r="AB90" s="448"/>
      <c r="AC90" s="448"/>
      <c r="AD90" s="448"/>
    </row>
    <row r="91">
      <c r="A91" s="716">
        <v>1000.0</v>
      </c>
      <c r="B91" s="133" t="s">
        <v>2027</v>
      </c>
      <c r="C91" s="448"/>
      <c r="D91" s="448"/>
      <c r="E91" s="448"/>
      <c r="F91" s="473" t="s">
        <v>2239</v>
      </c>
      <c r="G91" s="473" t="s">
        <v>2240</v>
      </c>
      <c r="H91" s="703"/>
      <c r="I91" s="448"/>
      <c r="J91" s="448"/>
      <c r="K91" s="448"/>
      <c r="L91" s="448"/>
      <c r="M91" s="448"/>
      <c r="N91" s="448"/>
      <c r="O91" s="448"/>
      <c r="P91" s="448"/>
      <c r="Q91" s="448"/>
      <c r="R91" s="448"/>
      <c r="S91" s="448"/>
      <c r="T91" s="448"/>
      <c r="U91" s="448"/>
      <c r="V91" s="448"/>
      <c r="W91" s="448"/>
      <c r="X91" s="448"/>
      <c r="Y91" s="448"/>
      <c r="Z91" s="448"/>
      <c r="AA91" s="448"/>
      <c r="AB91" s="448"/>
      <c r="AC91" s="448"/>
      <c r="AD91" s="448"/>
    </row>
    <row r="92">
      <c r="A92" s="716">
        <v>1000.0</v>
      </c>
      <c r="B92" s="133" t="s">
        <v>1998</v>
      </c>
      <c r="C92" s="448"/>
      <c r="D92" s="133" t="s">
        <v>1747</v>
      </c>
      <c r="E92" s="448"/>
      <c r="F92" s="473" t="s">
        <v>2241</v>
      </c>
      <c r="G92" s="473" t="s">
        <v>2242</v>
      </c>
      <c r="H92" s="703"/>
      <c r="I92" s="448"/>
      <c r="J92" s="448"/>
      <c r="K92" s="448"/>
      <c r="L92" s="448"/>
      <c r="M92" s="448"/>
      <c r="N92" s="448"/>
      <c r="O92" s="448"/>
      <c r="P92" s="448"/>
      <c r="Q92" s="448"/>
      <c r="R92" s="448"/>
      <c r="S92" s="448"/>
      <c r="T92" s="448"/>
      <c r="U92" s="448"/>
      <c r="V92" s="448"/>
      <c r="W92" s="448"/>
      <c r="X92" s="448"/>
      <c r="Y92" s="448"/>
      <c r="Z92" s="448"/>
      <c r="AA92" s="448"/>
      <c r="AB92" s="448"/>
      <c r="AC92" s="448"/>
      <c r="AD92" s="448"/>
    </row>
    <row r="93">
      <c r="A93" s="716">
        <v>1500.0</v>
      </c>
      <c r="B93" s="133" t="s">
        <v>2029</v>
      </c>
      <c r="C93" s="448"/>
      <c r="D93" s="448"/>
      <c r="E93" s="448"/>
      <c r="F93" s="455" t="s">
        <v>2243</v>
      </c>
      <c r="G93" s="714"/>
      <c r="H93" s="703"/>
      <c r="I93" s="448"/>
      <c r="J93" s="448"/>
      <c r="K93" s="448"/>
      <c r="L93" s="448"/>
      <c r="M93" s="448"/>
      <c r="N93" s="448"/>
      <c r="O93" s="448"/>
      <c r="P93" s="448"/>
      <c r="Q93" s="448"/>
      <c r="R93" s="448"/>
      <c r="S93" s="448"/>
      <c r="T93" s="448"/>
      <c r="U93" s="448"/>
      <c r="V93" s="448"/>
      <c r="W93" s="448"/>
      <c r="X93" s="448"/>
      <c r="Y93" s="448"/>
      <c r="Z93" s="448"/>
      <c r="AA93" s="448"/>
      <c r="AB93" s="448"/>
      <c r="AC93" s="448"/>
      <c r="AD93" s="448"/>
    </row>
    <row r="94">
      <c r="A94" s="448"/>
      <c r="B94" s="448"/>
      <c r="C94" s="448"/>
      <c r="D94" s="448"/>
      <c r="E94" s="448"/>
      <c r="F94" s="714"/>
      <c r="G94" s="714"/>
      <c r="H94" s="703"/>
      <c r="I94" s="448"/>
      <c r="J94" s="448"/>
      <c r="K94" s="448"/>
      <c r="L94" s="448"/>
      <c r="M94" s="448"/>
      <c r="N94" s="448"/>
      <c r="O94" s="448"/>
      <c r="P94" s="448"/>
      <c r="Q94" s="448"/>
      <c r="R94" s="448"/>
      <c r="S94" s="448"/>
      <c r="T94" s="448"/>
      <c r="U94" s="448"/>
      <c r="V94" s="448"/>
      <c r="W94" s="448"/>
      <c r="X94" s="448"/>
      <c r="Y94" s="448"/>
      <c r="Z94" s="448"/>
      <c r="AA94" s="448"/>
      <c r="AB94" s="448"/>
      <c r="AC94" s="448"/>
      <c r="AD94" s="448"/>
    </row>
    <row r="95">
      <c r="A95" s="717"/>
      <c r="B95" s="738" t="s">
        <v>2244</v>
      </c>
      <c r="C95" s="717"/>
      <c r="D95" s="717"/>
      <c r="E95" s="717"/>
      <c r="F95" s="718"/>
      <c r="G95" s="718"/>
      <c r="H95" s="719"/>
      <c r="I95" s="717"/>
      <c r="J95" s="717"/>
      <c r="K95" s="717"/>
      <c r="L95" s="717"/>
      <c r="M95" s="717"/>
      <c r="N95" s="717"/>
      <c r="O95" s="717"/>
      <c r="P95" s="717"/>
      <c r="Q95" s="717"/>
      <c r="R95" s="717"/>
      <c r="S95" s="717"/>
      <c r="T95" s="717"/>
      <c r="U95" s="717"/>
      <c r="V95" s="717"/>
      <c r="W95" s="717"/>
      <c r="X95" s="717"/>
      <c r="Y95" s="717"/>
      <c r="Z95" s="717"/>
      <c r="AA95" s="717"/>
      <c r="AB95" s="717"/>
      <c r="AC95" s="717"/>
      <c r="AD95" s="717"/>
    </row>
    <row r="96">
      <c r="A96" s="448"/>
      <c r="B96" s="21" t="s">
        <v>2245</v>
      </c>
      <c r="C96" s="133" t="s">
        <v>2246</v>
      </c>
      <c r="D96" s="448"/>
      <c r="E96" s="448"/>
      <c r="F96" s="714"/>
      <c r="G96" s="714"/>
      <c r="H96" s="703"/>
      <c r="I96" s="448"/>
      <c r="J96" s="448"/>
      <c r="K96" s="448"/>
      <c r="L96" s="448"/>
      <c r="M96" s="448"/>
      <c r="N96" s="448"/>
      <c r="O96" s="448"/>
      <c r="P96" s="448"/>
      <c r="Q96" s="448"/>
      <c r="R96" s="448"/>
      <c r="S96" s="448"/>
      <c r="T96" s="448"/>
      <c r="U96" s="448"/>
      <c r="V96" s="448"/>
      <c r="W96" s="448"/>
      <c r="X96" s="448"/>
      <c r="Y96" s="448"/>
      <c r="Z96" s="448"/>
      <c r="AA96" s="448"/>
      <c r="AB96" s="448"/>
      <c r="AC96" s="448"/>
      <c r="AD96" s="448"/>
    </row>
    <row r="97">
      <c r="A97" s="448"/>
      <c r="B97" s="17" t="s">
        <v>2247</v>
      </c>
      <c r="C97" s="133" t="s">
        <v>2248</v>
      </c>
      <c r="D97" s="448"/>
      <c r="E97" s="448"/>
      <c r="F97" s="714"/>
      <c r="G97" s="714"/>
      <c r="H97" s="703"/>
      <c r="I97" s="448"/>
      <c r="J97" s="448"/>
      <c r="K97" s="448"/>
      <c r="L97" s="448"/>
      <c r="M97" s="448"/>
      <c r="N97" s="448"/>
      <c r="O97" s="448"/>
      <c r="P97" s="448"/>
      <c r="Q97" s="448"/>
      <c r="R97" s="448"/>
      <c r="S97" s="448"/>
      <c r="T97" s="448"/>
      <c r="U97" s="448"/>
      <c r="V97" s="448"/>
      <c r="W97" s="448"/>
      <c r="X97" s="448"/>
      <c r="Y97" s="448"/>
      <c r="Z97" s="448"/>
      <c r="AA97" s="448"/>
      <c r="AB97" s="448"/>
      <c r="AC97" s="448"/>
      <c r="AD97" s="448"/>
    </row>
    <row r="98">
      <c r="A98" s="448"/>
      <c r="B98" s="17" t="s">
        <v>2249</v>
      </c>
      <c r="C98" s="739" t="s">
        <v>2250</v>
      </c>
      <c r="D98" s="448"/>
      <c r="E98" s="448"/>
      <c r="F98" s="714"/>
      <c r="G98" s="714"/>
      <c r="H98" s="703"/>
      <c r="I98" s="448"/>
      <c r="J98" s="448"/>
      <c r="K98" s="448"/>
      <c r="L98" s="448"/>
      <c r="M98" s="448"/>
      <c r="N98" s="448"/>
      <c r="O98" s="448"/>
      <c r="P98" s="448"/>
      <c r="Q98" s="448"/>
      <c r="R98" s="448"/>
      <c r="S98" s="448"/>
      <c r="T98" s="448"/>
      <c r="U98" s="448"/>
      <c r="V98" s="448"/>
      <c r="W98" s="448"/>
      <c r="X98" s="448"/>
      <c r="Y98" s="448"/>
      <c r="Z98" s="448"/>
      <c r="AA98" s="448"/>
      <c r="AB98" s="448"/>
      <c r="AC98" s="448"/>
      <c r="AD98" s="448"/>
    </row>
    <row r="99">
      <c r="A99" s="448"/>
      <c r="B99" s="740" t="s">
        <v>2251</v>
      </c>
      <c r="C99" s="739" t="s">
        <v>2252</v>
      </c>
      <c r="D99" s="448"/>
      <c r="E99" s="448"/>
      <c r="F99" s="714"/>
      <c r="G99" s="714"/>
      <c r="H99" s="703"/>
      <c r="I99" s="448"/>
      <c r="J99" s="448"/>
      <c r="K99" s="448"/>
      <c r="L99" s="448"/>
      <c r="M99" s="448"/>
      <c r="N99" s="448"/>
      <c r="O99" s="448"/>
      <c r="P99" s="448"/>
      <c r="Q99" s="448"/>
      <c r="R99" s="448"/>
      <c r="S99" s="448"/>
      <c r="T99" s="448"/>
      <c r="U99" s="448"/>
      <c r="V99" s="448"/>
      <c r="W99" s="448"/>
      <c r="X99" s="448"/>
      <c r="Y99" s="448"/>
      <c r="Z99" s="448"/>
      <c r="AA99" s="448"/>
      <c r="AB99" s="448"/>
      <c r="AC99" s="448"/>
      <c r="AD99" s="448"/>
    </row>
    <row r="100">
      <c r="A100" s="448"/>
      <c r="B100" s="10" t="s">
        <v>2253</v>
      </c>
      <c r="C100" s="739" t="s">
        <v>2254</v>
      </c>
      <c r="D100" s="448"/>
      <c r="E100" s="448"/>
      <c r="F100" s="714"/>
      <c r="G100" s="714"/>
      <c r="H100" s="703"/>
      <c r="I100" s="448"/>
      <c r="J100" s="448"/>
      <c r="K100" s="448"/>
      <c r="L100" s="448"/>
      <c r="M100" s="448"/>
      <c r="N100" s="448"/>
      <c r="O100" s="448"/>
      <c r="P100" s="448"/>
      <c r="Q100" s="448"/>
      <c r="R100" s="448"/>
      <c r="S100" s="448"/>
      <c r="T100" s="448"/>
      <c r="U100" s="448"/>
      <c r="V100" s="448"/>
      <c r="W100" s="448"/>
      <c r="X100" s="448"/>
      <c r="Y100" s="448"/>
      <c r="Z100" s="448"/>
      <c r="AA100" s="448"/>
      <c r="AB100" s="448"/>
      <c r="AC100" s="448"/>
      <c r="AD100" s="448"/>
    </row>
    <row r="101">
      <c r="A101" s="448"/>
      <c r="B101" s="712" t="s">
        <v>2255</v>
      </c>
      <c r="C101" s="741" t="s">
        <v>2256</v>
      </c>
      <c r="D101" s="448"/>
      <c r="E101" s="448"/>
      <c r="F101" s="714"/>
      <c r="G101" s="714"/>
      <c r="H101" s="703"/>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row>
    <row r="102">
      <c r="A102" s="448"/>
      <c r="B102" s="133" t="s">
        <v>579</v>
      </c>
      <c r="C102" s="739" t="s">
        <v>2257</v>
      </c>
      <c r="D102" s="448"/>
      <c r="E102" s="448"/>
      <c r="F102" s="714"/>
      <c r="G102" s="714"/>
      <c r="H102" s="703"/>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row>
    <row r="103">
      <c r="A103" s="448"/>
      <c r="B103" s="742" t="s">
        <v>2258</v>
      </c>
      <c r="C103" s="461" t="s">
        <v>2259</v>
      </c>
      <c r="D103" s="448"/>
      <c r="E103" s="448"/>
      <c r="F103" s="714"/>
      <c r="G103" s="714"/>
      <c r="H103" s="703"/>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row>
    <row r="104">
      <c r="A104" s="48"/>
      <c r="B104" s="48"/>
      <c r="C104" s="48"/>
      <c r="D104" s="48"/>
      <c r="E104" s="48"/>
      <c r="F104" s="422"/>
      <c r="G104" s="422"/>
      <c r="H104" s="743"/>
      <c r="I104" s="48"/>
      <c r="J104" s="48"/>
      <c r="K104" s="48"/>
      <c r="L104" s="48"/>
      <c r="M104" s="48"/>
      <c r="N104" s="48"/>
      <c r="O104" s="48"/>
      <c r="P104" s="48"/>
      <c r="Q104" s="48"/>
      <c r="R104" s="48"/>
      <c r="S104" s="48"/>
      <c r="T104" s="48"/>
      <c r="U104" s="48"/>
      <c r="V104" s="48"/>
      <c r="W104" s="48"/>
      <c r="X104" s="48"/>
      <c r="Y104" s="48"/>
      <c r="Z104" s="48"/>
      <c r="AA104" s="48"/>
      <c r="AB104" s="48"/>
      <c r="AC104" s="48"/>
      <c r="AD104" s="48"/>
    </row>
    <row r="105">
      <c r="A105" s="48"/>
      <c r="B105" s="48"/>
      <c r="C105" s="48"/>
      <c r="D105" s="48"/>
      <c r="E105" s="48"/>
      <c r="F105" s="422"/>
      <c r="G105" s="422"/>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row>
    <row r="106">
      <c r="A106" s="48"/>
      <c r="B106" s="48"/>
      <c r="C106" s="48"/>
      <c r="D106" s="48"/>
      <c r="E106" s="48"/>
      <c r="F106" s="422"/>
      <c r="G106" s="422"/>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row>
    <row r="107">
      <c r="A107" s="48"/>
      <c r="B107" s="48"/>
      <c r="C107" s="48"/>
      <c r="D107" s="48"/>
      <c r="E107" s="48"/>
      <c r="F107" s="422"/>
      <c r="G107" s="422"/>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row>
    <row r="108">
      <c r="A108" s="48"/>
      <c r="B108" s="48"/>
      <c r="C108" s="48"/>
      <c r="D108" s="48"/>
      <c r="E108" s="48"/>
      <c r="F108" s="422"/>
      <c r="G108" s="422"/>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row>
    <row r="109">
      <c r="A109" s="48"/>
      <c r="B109" s="48"/>
      <c r="C109" s="48"/>
      <c r="D109" s="48"/>
      <c r="E109" s="48"/>
      <c r="F109" s="422"/>
      <c r="G109" s="422"/>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row>
    <row r="110">
      <c r="A110" s="48"/>
      <c r="B110" s="48"/>
      <c r="C110" s="48"/>
      <c r="D110" s="48"/>
      <c r="E110" s="48"/>
      <c r="F110" s="422"/>
      <c r="G110" s="422"/>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row>
    <row r="111">
      <c r="A111" s="48"/>
      <c r="B111" s="48"/>
      <c r="C111" s="48"/>
      <c r="D111" s="48"/>
      <c r="E111" s="48"/>
      <c r="F111" s="422"/>
      <c r="G111" s="422"/>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row>
    <row r="112">
      <c r="A112" s="48"/>
      <c r="B112" s="48"/>
      <c r="C112" s="48"/>
      <c r="D112" s="48"/>
      <c r="E112" s="48"/>
      <c r="F112" s="422"/>
      <c r="G112" s="422"/>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row>
    <row r="113">
      <c r="A113" s="48"/>
      <c r="B113" s="48"/>
      <c r="C113" s="48"/>
      <c r="D113" s="48"/>
      <c r="E113" s="48"/>
      <c r="F113" s="422"/>
      <c r="G113" s="422"/>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row>
    <row r="114">
      <c r="A114" s="48"/>
      <c r="B114" s="48"/>
      <c r="C114" s="48"/>
      <c r="D114" s="48"/>
      <c r="E114" s="48"/>
      <c r="F114" s="422"/>
      <c r="G114" s="422"/>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row>
    <row r="115">
      <c r="A115" s="48"/>
      <c r="B115" s="48"/>
      <c r="C115" s="48"/>
      <c r="D115" s="48"/>
      <c r="E115" s="48"/>
      <c r="F115" s="422"/>
      <c r="G115" s="422"/>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row>
    <row r="116">
      <c r="A116" s="48"/>
      <c r="B116" s="48"/>
      <c r="C116" s="48"/>
      <c r="D116" s="48"/>
      <c r="E116" s="48"/>
      <c r="F116" s="422"/>
      <c r="G116" s="422"/>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row>
    <row r="117">
      <c r="A117" s="48"/>
      <c r="B117" s="48"/>
      <c r="C117" s="48"/>
      <c r="D117" s="48"/>
      <c r="E117" s="48"/>
      <c r="F117" s="422"/>
      <c r="G117" s="422"/>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row>
    <row r="118">
      <c r="A118" s="48"/>
      <c r="B118" s="48"/>
      <c r="C118" s="48"/>
      <c r="D118" s="48"/>
      <c r="E118" s="48"/>
      <c r="F118" s="422"/>
      <c r="G118" s="422"/>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row>
    <row r="119">
      <c r="A119" s="48"/>
      <c r="B119" s="48"/>
      <c r="C119" s="48"/>
      <c r="D119" s="48"/>
      <c r="E119" s="48"/>
      <c r="F119" s="422"/>
      <c r="G119" s="422"/>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row>
    <row r="120">
      <c r="A120" s="48"/>
      <c r="B120" s="48"/>
      <c r="C120" s="48"/>
      <c r="D120" s="48"/>
      <c r="E120" s="48"/>
      <c r="F120" s="422"/>
      <c r="G120" s="422"/>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row>
    <row r="121">
      <c r="A121" s="48"/>
      <c r="B121" s="48"/>
      <c r="C121" s="48"/>
      <c r="D121" s="48"/>
      <c r="E121" s="48"/>
      <c r="F121" s="422"/>
      <c r="G121" s="422"/>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row>
    <row r="122">
      <c r="A122" s="48"/>
      <c r="B122" s="48"/>
      <c r="C122" s="48"/>
      <c r="D122" s="48"/>
      <c r="E122" s="48"/>
      <c r="F122" s="422"/>
      <c r="G122" s="422"/>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row>
    <row r="123">
      <c r="A123" s="48"/>
      <c r="B123" s="48"/>
      <c r="C123" s="48"/>
      <c r="D123" s="48"/>
      <c r="E123" s="48"/>
      <c r="F123" s="422"/>
      <c r="G123" s="422"/>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row>
    <row r="124">
      <c r="A124" s="48"/>
      <c r="B124" s="48"/>
      <c r="C124" s="48"/>
      <c r="D124" s="48"/>
      <c r="E124" s="48"/>
      <c r="F124" s="422"/>
      <c r="G124" s="422"/>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row>
    <row r="125">
      <c r="A125" s="48"/>
      <c r="B125" s="48"/>
      <c r="C125" s="48"/>
      <c r="D125" s="48"/>
      <c r="E125" s="48"/>
      <c r="F125" s="422"/>
      <c r="G125" s="422"/>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row>
    <row r="126">
      <c r="A126" s="48"/>
      <c r="B126" s="48"/>
      <c r="C126" s="48"/>
      <c r="D126" s="48"/>
      <c r="E126" s="48"/>
      <c r="F126" s="422"/>
      <c r="G126" s="422"/>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row>
    <row r="127">
      <c r="A127" s="48"/>
      <c r="B127" s="48"/>
      <c r="C127" s="48"/>
      <c r="D127" s="48"/>
      <c r="E127" s="48"/>
      <c r="F127" s="422"/>
      <c r="G127" s="422"/>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row>
    <row r="128">
      <c r="A128" s="48"/>
      <c r="B128" s="48"/>
      <c r="C128" s="48"/>
      <c r="D128" s="48"/>
      <c r="E128" s="48"/>
      <c r="F128" s="422"/>
      <c r="G128" s="422"/>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row>
    <row r="129">
      <c r="A129" s="48"/>
      <c r="B129" s="48"/>
      <c r="C129" s="48"/>
      <c r="D129" s="48"/>
      <c r="E129" s="48"/>
      <c r="F129" s="422"/>
      <c r="G129" s="422"/>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row>
    <row r="130">
      <c r="A130" s="48"/>
      <c r="B130" s="48"/>
      <c r="C130" s="48"/>
      <c r="D130" s="48"/>
      <c r="E130" s="48"/>
      <c r="F130" s="422"/>
      <c r="G130" s="422"/>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row>
    <row r="131">
      <c r="A131" s="48"/>
      <c r="B131" s="48"/>
      <c r="C131" s="48"/>
      <c r="D131" s="48"/>
      <c r="E131" s="48"/>
      <c r="F131" s="422"/>
      <c r="G131" s="422"/>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row>
    <row r="132">
      <c r="A132" s="48"/>
      <c r="B132" s="48"/>
      <c r="C132" s="48"/>
      <c r="D132" s="48"/>
      <c r="E132" s="48"/>
      <c r="F132" s="422"/>
      <c r="G132" s="422"/>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row>
    <row r="133">
      <c r="A133" s="48"/>
      <c r="B133" s="48"/>
      <c r="C133" s="48"/>
      <c r="D133" s="48"/>
      <c r="E133" s="48"/>
      <c r="F133" s="422"/>
      <c r="G133" s="422"/>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row>
    <row r="134">
      <c r="A134" s="48"/>
      <c r="B134" s="48"/>
      <c r="C134" s="48"/>
      <c r="D134" s="48"/>
      <c r="E134" s="48"/>
      <c r="F134" s="422"/>
      <c r="G134" s="422"/>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row>
    <row r="135">
      <c r="A135" s="48"/>
      <c r="B135" s="48"/>
      <c r="C135" s="48"/>
      <c r="D135" s="48"/>
      <c r="E135" s="48"/>
      <c r="F135" s="422"/>
      <c r="G135" s="422"/>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row>
    <row r="136">
      <c r="A136" s="48"/>
      <c r="B136" s="48"/>
      <c r="C136" s="48"/>
      <c r="D136" s="48"/>
      <c r="E136" s="48"/>
      <c r="F136" s="422"/>
      <c r="G136" s="422"/>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row>
    <row r="137">
      <c r="A137" s="48"/>
      <c r="B137" s="48"/>
      <c r="C137" s="48"/>
      <c r="D137" s="48"/>
      <c r="E137" s="48"/>
      <c r="F137" s="422"/>
      <c r="G137" s="422"/>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row>
    <row r="138">
      <c r="A138" s="48"/>
      <c r="B138" s="48"/>
      <c r="C138" s="48"/>
      <c r="D138" s="48"/>
      <c r="E138" s="48"/>
      <c r="F138" s="422"/>
      <c r="G138" s="422"/>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row>
    <row r="139">
      <c r="A139" s="48"/>
      <c r="B139" s="48"/>
      <c r="C139" s="48"/>
      <c r="D139" s="48"/>
      <c r="E139" s="48"/>
      <c r="F139" s="422"/>
      <c r="G139" s="422"/>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row>
    <row r="140">
      <c r="A140" s="48"/>
      <c r="B140" s="48"/>
      <c r="C140" s="48"/>
      <c r="D140" s="48"/>
      <c r="E140" s="48"/>
      <c r="F140" s="422"/>
      <c r="G140" s="422"/>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row>
    <row r="141">
      <c r="A141" s="48"/>
      <c r="B141" s="48"/>
      <c r="C141" s="48"/>
      <c r="D141" s="48"/>
      <c r="E141" s="48"/>
      <c r="F141" s="422"/>
      <c r="G141" s="422"/>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row>
    <row r="142">
      <c r="A142" s="48"/>
      <c r="B142" s="48"/>
      <c r="C142" s="48"/>
      <c r="D142" s="48"/>
      <c r="E142" s="48"/>
      <c r="F142" s="422"/>
      <c r="G142" s="422"/>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row>
    <row r="143">
      <c r="A143" s="48"/>
      <c r="B143" s="48"/>
      <c r="C143" s="48"/>
      <c r="D143" s="48"/>
      <c r="E143" s="48"/>
      <c r="F143" s="422"/>
      <c r="G143" s="422"/>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row>
    <row r="144">
      <c r="A144" s="48"/>
      <c r="B144" s="48"/>
      <c r="C144" s="48"/>
      <c r="D144" s="48"/>
      <c r="E144" s="48"/>
      <c r="F144" s="422"/>
      <c r="G144" s="422"/>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row>
    <row r="145">
      <c r="A145" s="48"/>
      <c r="B145" s="48"/>
      <c r="C145" s="48"/>
      <c r="D145" s="48"/>
      <c r="E145" s="48"/>
      <c r="F145" s="422"/>
      <c r="G145" s="422"/>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row>
    <row r="146">
      <c r="A146" s="48"/>
      <c r="B146" s="48"/>
      <c r="C146" s="48"/>
      <c r="D146" s="48"/>
      <c r="E146" s="48"/>
      <c r="F146" s="422"/>
      <c r="G146" s="422"/>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row>
    <row r="147">
      <c r="A147" s="48"/>
      <c r="B147" s="48"/>
      <c r="C147" s="48"/>
      <c r="D147" s="48"/>
      <c r="E147" s="48"/>
      <c r="F147" s="422"/>
      <c r="G147" s="422"/>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row>
    <row r="148">
      <c r="A148" s="48"/>
      <c r="B148" s="48"/>
      <c r="C148" s="48"/>
      <c r="D148" s="48"/>
      <c r="E148" s="48"/>
      <c r="F148" s="422"/>
      <c r="G148" s="422"/>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row>
    <row r="149">
      <c r="A149" s="48"/>
      <c r="B149" s="48"/>
      <c r="C149" s="48"/>
      <c r="D149" s="48"/>
      <c r="E149" s="48"/>
      <c r="F149" s="422"/>
      <c r="G149" s="422"/>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row>
    <row r="150">
      <c r="A150" s="48"/>
      <c r="B150" s="48"/>
      <c r="C150" s="48"/>
      <c r="D150" s="48"/>
      <c r="E150" s="48"/>
      <c r="F150" s="422"/>
      <c r="G150" s="422"/>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row>
    <row r="151">
      <c r="A151" s="48"/>
      <c r="B151" s="48"/>
      <c r="C151" s="48"/>
      <c r="D151" s="48"/>
      <c r="E151" s="48"/>
      <c r="F151" s="422"/>
      <c r="G151" s="422"/>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row>
    <row r="152">
      <c r="A152" s="48"/>
      <c r="B152" s="48"/>
      <c r="C152" s="48"/>
      <c r="D152" s="48"/>
      <c r="E152" s="48"/>
      <c r="F152" s="422"/>
      <c r="G152" s="422"/>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row>
    <row r="153">
      <c r="A153" s="48"/>
      <c r="B153" s="48"/>
      <c r="C153" s="48"/>
      <c r="D153" s="48"/>
      <c r="E153" s="48"/>
      <c r="F153" s="422"/>
      <c r="G153" s="422"/>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row>
    <row r="154">
      <c r="A154" s="48"/>
      <c r="B154" s="48"/>
      <c r="C154" s="48"/>
      <c r="D154" s="48"/>
      <c r="E154" s="48"/>
      <c r="F154" s="422"/>
      <c r="G154" s="422"/>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row>
    <row r="155">
      <c r="A155" s="48"/>
      <c r="B155" s="48"/>
      <c r="C155" s="48"/>
      <c r="D155" s="48"/>
      <c r="E155" s="48"/>
      <c r="F155" s="422"/>
      <c r="G155" s="422"/>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row>
    <row r="156">
      <c r="A156" s="48"/>
      <c r="B156" s="48"/>
      <c r="C156" s="48"/>
      <c r="D156" s="48"/>
      <c r="E156" s="48"/>
      <c r="F156" s="422"/>
      <c r="G156" s="422"/>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row>
    <row r="157">
      <c r="A157" s="48"/>
      <c r="B157" s="48"/>
      <c r="C157" s="48"/>
      <c r="D157" s="48"/>
      <c r="E157" s="48"/>
      <c r="F157" s="422"/>
      <c r="G157" s="422"/>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row>
    <row r="158">
      <c r="A158" s="48"/>
      <c r="B158" s="48"/>
      <c r="C158" s="48"/>
      <c r="D158" s="48"/>
      <c r="E158" s="48"/>
      <c r="F158" s="422"/>
      <c r="G158" s="422"/>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row>
    <row r="159">
      <c r="A159" s="48"/>
      <c r="B159" s="48"/>
      <c r="C159" s="48"/>
      <c r="D159" s="48"/>
      <c r="E159" s="48"/>
      <c r="F159" s="422"/>
      <c r="G159" s="422"/>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row>
    <row r="160">
      <c r="A160" s="48"/>
      <c r="B160" s="48"/>
      <c r="C160" s="48"/>
      <c r="D160" s="48"/>
      <c r="E160" s="48"/>
      <c r="F160" s="422"/>
      <c r="G160" s="422"/>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row>
    <row r="161">
      <c r="A161" s="48"/>
      <c r="B161" s="48"/>
      <c r="C161" s="48"/>
      <c r="D161" s="48"/>
      <c r="E161" s="48"/>
      <c r="F161" s="422"/>
      <c r="G161" s="422"/>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row>
    <row r="162">
      <c r="A162" s="48"/>
      <c r="B162" s="48"/>
      <c r="C162" s="48"/>
      <c r="D162" s="48"/>
      <c r="E162" s="48"/>
      <c r="F162" s="422"/>
      <c r="G162" s="422"/>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row>
    <row r="163">
      <c r="A163" s="48"/>
      <c r="B163" s="48"/>
      <c r="C163" s="48"/>
      <c r="D163" s="48"/>
      <c r="E163" s="48"/>
      <c r="F163" s="422"/>
      <c r="G163" s="422"/>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row>
    <row r="164">
      <c r="A164" s="48"/>
      <c r="B164" s="48"/>
      <c r="C164" s="48"/>
      <c r="D164" s="48"/>
      <c r="E164" s="48"/>
      <c r="F164" s="422"/>
      <c r="G164" s="422"/>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row>
    <row r="165">
      <c r="A165" s="48"/>
      <c r="B165" s="48"/>
      <c r="C165" s="48"/>
      <c r="D165" s="48"/>
      <c r="E165" s="48"/>
      <c r="F165" s="422"/>
      <c r="G165" s="422"/>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row>
    <row r="166">
      <c r="A166" s="48"/>
      <c r="B166" s="48"/>
      <c r="C166" s="48"/>
      <c r="D166" s="48"/>
      <c r="E166" s="48"/>
      <c r="F166" s="422"/>
      <c r="G166" s="422"/>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row>
    <row r="167">
      <c r="A167" s="48"/>
      <c r="B167" s="48"/>
      <c r="C167" s="48"/>
      <c r="D167" s="48"/>
      <c r="E167" s="48"/>
      <c r="F167" s="422"/>
      <c r="G167" s="422"/>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row>
    <row r="168">
      <c r="A168" s="48"/>
      <c r="B168" s="48"/>
      <c r="C168" s="48"/>
      <c r="D168" s="48"/>
      <c r="E168" s="48"/>
      <c r="F168" s="422"/>
      <c r="G168" s="422"/>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row>
    <row r="169">
      <c r="A169" s="48"/>
      <c r="B169" s="48"/>
      <c r="C169" s="48"/>
      <c r="D169" s="48"/>
      <c r="E169" s="48"/>
      <c r="F169" s="422"/>
      <c r="G169" s="422"/>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row>
    <row r="170">
      <c r="A170" s="48"/>
      <c r="B170" s="48"/>
      <c r="C170" s="48"/>
      <c r="D170" s="48"/>
      <c r="E170" s="48"/>
      <c r="F170" s="422"/>
      <c r="G170" s="422"/>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row>
    <row r="171">
      <c r="A171" s="48"/>
      <c r="B171" s="48"/>
      <c r="C171" s="48"/>
      <c r="D171" s="48"/>
      <c r="E171" s="48"/>
      <c r="F171" s="422"/>
      <c r="G171" s="422"/>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row>
    <row r="172">
      <c r="A172" s="48"/>
      <c r="B172" s="48"/>
      <c r="C172" s="48"/>
      <c r="D172" s="48"/>
      <c r="E172" s="48"/>
      <c r="F172" s="422"/>
      <c r="G172" s="422"/>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row>
    <row r="173">
      <c r="A173" s="48"/>
      <c r="B173" s="48"/>
      <c r="C173" s="48"/>
      <c r="D173" s="48"/>
      <c r="E173" s="48"/>
      <c r="F173" s="422"/>
      <c r="G173" s="422"/>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row>
    <row r="174">
      <c r="A174" s="48"/>
      <c r="B174" s="48"/>
      <c r="C174" s="48"/>
      <c r="D174" s="48"/>
      <c r="E174" s="48"/>
      <c r="F174" s="422"/>
      <c r="G174" s="422"/>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row>
    <row r="175">
      <c r="A175" s="48"/>
      <c r="B175" s="48"/>
      <c r="C175" s="48"/>
      <c r="D175" s="48"/>
      <c r="E175" s="48"/>
      <c r="F175" s="422"/>
      <c r="G175" s="422"/>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row>
    <row r="176">
      <c r="A176" s="48"/>
      <c r="B176" s="48"/>
      <c r="C176" s="48"/>
      <c r="D176" s="48"/>
      <c r="E176" s="48"/>
      <c r="F176" s="422"/>
      <c r="G176" s="422"/>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row>
    <row r="177">
      <c r="A177" s="48"/>
      <c r="B177" s="48"/>
      <c r="C177" s="48"/>
      <c r="D177" s="48"/>
      <c r="E177" s="48"/>
      <c r="F177" s="422"/>
      <c r="G177" s="422"/>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row>
    <row r="178">
      <c r="A178" s="48"/>
      <c r="B178" s="48"/>
      <c r="C178" s="48"/>
      <c r="D178" s="48"/>
      <c r="E178" s="48"/>
      <c r="F178" s="422"/>
      <c r="G178" s="422"/>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row>
    <row r="179">
      <c r="A179" s="48"/>
      <c r="B179" s="48"/>
      <c r="C179" s="48"/>
      <c r="D179" s="48"/>
      <c r="E179" s="48"/>
      <c r="F179" s="422"/>
      <c r="G179" s="422"/>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row>
    <row r="180">
      <c r="A180" s="48"/>
      <c r="B180" s="48"/>
      <c r="C180" s="48"/>
      <c r="D180" s="48"/>
      <c r="E180" s="48"/>
      <c r="F180" s="422"/>
      <c r="G180" s="422"/>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row>
    <row r="181">
      <c r="A181" s="48"/>
      <c r="B181" s="48"/>
      <c r="C181" s="48"/>
      <c r="D181" s="48"/>
      <c r="E181" s="48"/>
      <c r="F181" s="422"/>
      <c r="G181" s="422"/>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row>
    <row r="182">
      <c r="A182" s="48"/>
      <c r="B182" s="48"/>
      <c r="C182" s="48"/>
      <c r="D182" s="48"/>
      <c r="E182" s="48"/>
      <c r="F182" s="422"/>
      <c r="G182" s="422"/>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row>
    <row r="183">
      <c r="A183" s="48"/>
      <c r="B183" s="48"/>
      <c r="C183" s="48"/>
      <c r="D183" s="48"/>
      <c r="E183" s="48"/>
      <c r="F183" s="422"/>
      <c r="G183" s="422"/>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row>
    <row r="184">
      <c r="A184" s="48"/>
      <c r="B184" s="48"/>
      <c r="C184" s="48"/>
      <c r="D184" s="48"/>
      <c r="E184" s="48"/>
      <c r="F184" s="422"/>
      <c r="G184" s="422"/>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row>
    <row r="185">
      <c r="A185" s="48"/>
      <c r="B185" s="48"/>
      <c r="C185" s="48"/>
      <c r="D185" s="48"/>
      <c r="E185" s="48"/>
      <c r="F185" s="422"/>
      <c r="G185" s="422"/>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row>
    <row r="186">
      <c r="A186" s="48"/>
      <c r="B186" s="48"/>
      <c r="C186" s="48"/>
      <c r="D186" s="48"/>
      <c r="E186" s="48"/>
      <c r="F186" s="422"/>
      <c r="G186" s="422"/>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row>
    <row r="187">
      <c r="A187" s="48"/>
      <c r="B187" s="48"/>
      <c r="C187" s="48"/>
      <c r="D187" s="48"/>
      <c r="E187" s="48"/>
      <c r="F187" s="422"/>
      <c r="G187" s="422"/>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row>
    <row r="188">
      <c r="A188" s="48"/>
      <c r="B188" s="48"/>
      <c r="C188" s="48"/>
      <c r="D188" s="48"/>
      <c r="E188" s="48"/>
      <c r="F188" s="422"/>
      <c r="G188" s="422"/>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row>
    <row r="189">
      <c r="A189" s="48"/>
      <c r="B189" s="48"/>
      <c r="C189" s="48"/>
      <c r="D189" s="48"/>
      <c r="E189" s="48"/>
      <c r="F189" s="422"/>
      <c r="G189" s="422"/>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row>
    <row r="190">
      <c r="A190" s="48"/>
      <c r="B190" s="48"/>
      <c r="C190" s="48"/>
      <c r="D190" s="48"/>
      <c r="E190" s="48"/>
      <c r="F190" s="422"/>
      <c r="G190" s="422"/>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row>
    <row r="191">
      <c r="A191" s="48"/>
      <c r="B191" s="48"/>
      <c r="C191" s="48"/>
      <c r="D191" s="48"/>
      <c r="E191" s="48"/>
      <c r="F191" s="422"/>
      <c r="G191" s="422"/>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row>
    <row r="192">
      <c r="A192" s="48"/>
      <c r="B192" s="48"/>
      <c r="C192" s="48"/>
      <c r="D192" s="48"/>
      <c r="E192" s="48"/>
      <c r="F192" s="422"/>
      <c r="G192" s="422"/>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row>
    <row r="193">
      <c r="A193" s="48"/>
      <c r="B193" s="48"/>
      <c r="C193" s="48"/>
      <c r="D193" s="48"/>
      <c r="E193" s="48"/>
      <c r="F193" s="422"/>
      <c r="G193" s="422"/>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row>
    <row r="194">
      <c r="A194" s="48"/>
      <c r="B194" s="48"/>
      <c r="C194" s="48"/>
      <c r="D194" s="48"/>
      <c r="E194" s="48"/>
      <c r="F194" s="422"/>
      <c r="G194" s="422"/>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row>
    <row r="195">
      <c r="A195" s="48"/>
      <c r="B195" s="48"/>
      <c r="C195" s="48"/>
      <c r="D195" s="48"/>
      <c r="E195" s="48"/>
      <c r="F195" s="422"/>
      <c r="G195" s="422"/>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row>
    <row r="196">
      <c r="A196" s="48"/>
      <c r="B196" s="48"/>
      <c r="C196" s="48"/>
      <c r="D196" s="48"/>
      <c r="E196" s="48"/>
      <c r="F196" s="422"/>
      <c r="G196" s="422"/>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row>
    <row r="197">
      <c r="A197" s="48"/>
      <c r="B197" s="48"/>
      <c r="C197" s="48"/>
      <c r="D197" s="48"/>
      <c r="E197" s="48"/>
      <c r="F197" s="422"/>
      <c r="G197" s="422"/>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row>
    <row r="198">
      <c r="A198" s="48"/>
      <c r="B198" s="48"/>
      <c r="C198" s="48"/>
      <c r="D198" s="48"/>
      <c r="E198" s="48"/>
      <c r="F198" s="422"/>
      <c r="G198" s="422"/>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row>
    <row r="199">
      <c r="A199" s="48"/>
      <c r="B199" s="48"/>
      <c r="C199" s="48"/>
      <c r="D199" s="48"/>
      <c r="E199" s="48"/>
      <c r="F199" s="422"/>
      <c r="G199" s="422"/>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row>
    <row r="200">
      <c r="A200" s="48"/>
      <c r="B200" s="48"/>
      <c r="C200" s="48"/>
      <c r="D200" s="48"/>
      <c r="E200" s="48"/>
      <c r="F200" s="422"/>
      <c r="G200" s="422"/>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row>
    <row r="201">
      <c r="A201" s="48"/>
      <c r="B201" s="48"/>
      <c r="C201" s="48"/>
      <c r="D201" s="48"/>
      <c r="E201" s="48"/>
      <c r="F201" s="422"/>
      <c r="G201" s="422"/>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row>
    <row r="202">
      <c r="A202" s="48"/>
      <c r="B202" s="48"/>
      <c r="C202" s="48"/>
      <c r="D202" s="48"/>
      <c r="E202" s="48"/>
      <c r="F202" s="422"/>
      <c r="G202" s="422"/>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row>
    <row r="203">
      <c r="A203" s="48"/>
      <c r="B203" s="48"/>
      <c r="C203" s="48"/>
      <c r="D203" s="48"/>
      <c r="E203" s="48"/>
      <c r="F203" s="422"/>
      <c r="G203" s="422"/>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row>
    <row r="204">
      <c r="A204" s="48"/>
      <c r="B204" s="48"/>
      <c r="C204" s="48"/>
      <c r="D204" s="48"/>
      <c r="E204" s="48"/>
      <c r="F204" s="422"/>
      <c r="G204" s="422"/>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row>
    <row r="205">
      <c r="A205" s="48"/>
      <c r="B205" s="48"/>
      <c r="C205" s="48"/>
      <c r="D205" s="48"/>
      <c r="E205" s="48"/>
      <c r="F205" s="422"/>
      <c r="G205" s="422"/>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row>
    <row r="206">
      <c r="A206" s="48"/>
      <c r="B206" s="48"/>
      <c r="C206" s="48"/>
      <c r="D206" s="48"/>
      <c r="E206" s="48"/>
      <c r="F206" s="422"/>
      <c r="G206" s="422"/>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row>
    <row r="207">
      <c r="A207" s="48"/>
      <c r="B207" s="48"/>
      <c r="C207" s="48"/>
      <c r="D207" s="48"/>
      <c r="E207" s="48"/>
      <c r="F207" s="422"/>
      <c r="G207" s="422"/>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row>
    <row r="208">
      <c r="A208" s="48"/>
      <c r="B208" s="48"/>
      <c r="C208" s="48"/>
      <c r="D208" s="48"/>
      <c r="E208" s="48"/>
      <c r="F208" s="422"/>
      <c r="G208" s="422"/>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row>
    <row r="209">
      <c r="A209" s="48"/>
      <c r="B209" s="48"/>
      <c r="C209" s="48"/>
      <c r="D209" s="48"/>
      <c r="E209" s="48"/>
      <c r="F209" s="422"/>
      <c r="G209" s="422"/>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row>
    <row r="210">
      <c r="A210" s="48"/>
      <c r="B210" s="48"/>
      <c r="C210" s="48"/>
      <c r="D210" s="48"/>
      <c r="E210" s="48"/>
      <c r="F210" s="422"/>
      <c r="G210" s="422"/>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row>
    <row r="211">
      <c r="A211" s="48"/>
      <c r="B211" s="48"/>
      <c r="C211" s="48"/>
      <c r="D211" s="48"/>
      <c r="E211" s="48"/>
      <c r="F211" s="422"/>
      <c r="G211" s="422"/>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row>
    <row r="212">
      <c r="A212" s="48"/>
      <c r="B212" s="48"/>
      <c r="C212" s="48"/>
      <c r="D212" s="48"/>
      <c r="E212" s="48"/>
      <c r="F212" s="422"/>
      <c r="G212" s="422"/>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row>
    <row r="213">
      <c r="A213" s="48"/>
      <c r="B213" s="48"/>
      <c r="C213" s="48"/>
      <c r="D213" s="48"/>
      <c r="E213" s="48"/>
      <c r="F213" s="422"/>
      <c r="G213" s="422"/>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row>
    <row r="214">
      <c r="A214" s="48"/>
      <c r="B214" s="48"/>
      <c r="C214" s="48"/>
      <c r="D214" s="48"/>
      <c r="E214" s="48"/>
      <c r="F214" s="422"/>
      <c r="G214" s="422"/>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row>
    <row r="215">
      <c r="A215" s="48"/>
      <c r="B215" s="48"/>
      <c r="C215" s="48"/>
      <c r="D215" s="48"/>
      <c r="E215" s="48"/>
      <c r="F215" s="422"/>
      <c r="G215" s="422"/>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row>
    <row r="216">
      <c r="A216" s="48"/>
      <c r="B216" s="48"/>
      <c r="C216" s="48"/>
      <c r="D216" s="48"/>
      <c r="E216" s="48"/>
      <c r="F216" s="422"/>
      <c r="G216" s="422"/>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row>
    <row r="217">
      <c r="A217" s="48"/>
      <c r="B217" s="48"/>
      <c r="C217" s="48"/>
      <c r="D217" s="48"/>
      <c r="E217" s="48"/>
      <c r="F217" s="422"/>
      <c r="G217" s="422"/>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row>
    <row r="218">
      <c r="A218" s="48"/>
      <c r="B218" s="48"/>
      <c r="C218" s="48"/>
      <c r="D218" s="48"/>
      <c r="E218" s="48"/>
      <c r="F218" s="422"/>
      <c r="G218" s="422"/>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row>
    <row r="219">
      <c r="A219" s="48"/>
      <c r="B219" s="48"/>
      <c r="C219" s="48"/>
      <c r="D219" s="48"/>
      <c r="E219" s="48"/>
      <c r="F219" s="422"/>
      <c r="G219" s="422"/>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row>
    <row r="220">
      <c r="A220" s="48"/>
      <c r="B220" s="48"/>
      <c r="C220" s="48"/>
      <c r="D220" s="48"/>
      <c r="E220" s="48"/>
      <c r="F220" s="422"/>
      <c r="G220" s="422"/>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row>
    <row r="221">
      <c r="A221" s="48"/>
      <c r="B221" s="48"/>
      <c r="C221" s="48"/>
      <c r="D221" s="48"/>
      <c r="E221" s="48"/>
      <c r="F221" s="422"/>
      <c r="G221" s="422"/>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row>
    <row r="222">
      <c r="A222" s="48"/>
      <c r="B222" s="48"/>
      <c r="C222" s="48"/>
      <c r="D222" s="48"/>
      <c r="E222" s="48"/>
      <c r="F222" s="422"/>
      <c r="G222" s="422"/>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row>
    <row r="223">
      <c r="A223" s="48"/>
      <c r="B223" s="48"/>
      <c r="C223" s="48"/>
      <c r="D223" s="48"/>
      <c r="E223" s="48"/>
      <c r="F223" s="422"/>
      <c r="G223" s="422"/>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row>
    <row r="224">
      <c r="A224" s="48"/>
      <c r="B224" s="48"/>
      <c r="C224" s="48"/>
      <c r="D224" s="48"/>
      <c r="E224" s="48"/>
      <c r="F224" s="422"/>
      <c r="G224" s="422"/>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row>
    <row r="225">
      <c r="A225" s="48"/>
      <c r="B225" s="48"/>
      <c r="C225" s="48"/>
      <c r="D225" s="48"/>
      <c r="E225" s="48"/>
      <c r="F225" s="422"/>
      <c r="G225" s="422"/>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row>
    <row r="226">
      <c r="A226" s="48"/>
      <c r="B226" s="48"/>
      <c r="C226" s="48"/>
      <c r="D226" s="48"/>
      <c r="E226" s="48"/>
      <c r="F226" s="422"/>
      <c r="G226" s="422"/>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row>
    <row r="227">
      <c r="A227" s="48"/>
      <c r="B227" s="48"/>
      <c r="C227" s="48"/>
      <c r="D227" s="48"/>
      <c r="E227" s="48"/>
      <c r="F227" s="422"/>
      <c r="G227" s="422"/>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row>
    <row r="228">
      <c r="A228" s="48"/>
      <c r="B228" s="48"/>
      <c r="C228" s="48"/>
      <c r="D228" s="48"/>
      <c r="E228" s="48"/>
      <c r="F228" s="422"/>
      <c r="G228" s="422"/>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row>
    <row r="229">
      <c r="A229" s="48"/>
      <c r="B229" s="48"/>
      <c r="C229" s="48"/>
      <c r="D229" s="48"/>
      <c r="E229" s="48"/>
      <c r="F229" s="422"/>
      <c r="G229" s="422"/>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row>
    <row r="230">
      <c r="A230" s="48"/>
      <c r="B230" s="48"/>
      <c r="C230" s="48"/>
      <c r="D230" s="48"/>
      <c r="E230" s="48"/>
      <c r="F230" s="422"/>
      <c r="G230" s="422"/>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row>
    <row r="231">
      <c r="A231" s="48"/>
      <c r="B231" s="48"/>
      <c r="C231" s="48"/>
      <c r="D231" s="48"/>
      <c r="E231" s="48"/>
      <c r="F231" s="422"/>
      <c r="G231" s="422"/>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row>
    <row r="232">
      <c r="A232" s="48"/>
      <c r="B232" s="48"/>
      <c r="C232" s="48"/>
      <c r="D232" s="48"/>
      <c r="E232" s="48"/>
      <c r="F232" s="422"/>
      <c r="G232" s="422"/>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row>
    <row r="233">
      <c r="A233" s="48"/>
      <c r="B233" s="48"/>
      <c r="C233" s="48"/>
      <c r="D233" s="48"/>
      <c r="E233" s="48"/>
      <c r="F233" s="422"/>
      <c r="G233" s="422"/>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row>
    <row r="234">
      <c r="A234" s="48"/>
      <c r="B234" s="48"/>
      <c r="C234" s="48"/>
      <c r="D234" s="48"/>
      <c r="E234" s="48"/>
      <c r="F234" s="422"/>
      <c r="G234" s="422"/>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row>
    <row r="235">
      <c r="A235" s="48"/>
      <c r="B235" s="48"/>
      <c r="C235" s="48"/>
      <c r="D235" s="48"/>
      <c r="E235" s="48"/>
      <c r="F235" s="422"/>
      <c r="G235" s="422"/>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row>
    <row r="236">
      <c r="A236" s="48"/>
      <c r="B236" s="48"/>
      <c r="C236" s="48"/>
      <c r="D236" s="48"/>
      <c r="E236" s="48"/>
      <c r="F236" s="422"/>
      <c r="G236" s="422"/>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row>
    <row r="237">
      <c r="A237" s="48"/>
      <c r="B237" s="48"/>
      <c r="C237" s="48"/>
      <c r="D237" s="48"/>
      <c r="E237" s="48"/>
      <c r="F237" s="422"/>
      <c r="G237" s="422"/>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row>
    <row r="238">
      <c r="A238" s="48"/>
      <c r="B238" s="48"/>
      <c r="C238" s="48"/>
      <c r="D238" s="48"/>
      <c r="E238" s="48"/>
      <c r="F238" s="422"/>
      <c r="G238" s="422"/>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row>
    <row r="239">
      <c r="A239" s="48"/>
      <c r="B239" s="48"/>
      <c r="C239" s="48"/>
      <c r="D239" s="48"/>
      <c r="E239" s="48"/>
      <c r="F239" s="422"/>
      <c r="G239" s="422"/>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row>
    <row r="240">
      <c r="A240" s="48"/>
      <c r="B240" s="48"/>
      <c r="C240" s="48"/>
      <c r="D240" s="48"/>
      <c r="E240" s="48"/>
      <c r="F240" s="422"/>
      <c r="G240" s="422"/>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row>
    <row r="241">
      <c r="A241" s="48"/>
      <c r="B241" s="48"/>
      <c r="C241" s="48"/>
      <c r="D241" s="48"/>
      <c r="E241" s="48"/>
      <c r="F241" s="422"/>
      <c r="G241" s="422"/>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row>
    <row r="242">
      <c r="A242" s="48"/>
      <c r="B242" s="48"/>
      <c r="C242" s="48"/>
      <c r="D242" s="48"/>
      <c r="E242" s="48"/>
      <c r="F242" s="422"/>
      <c r="G242" s="422"/>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row>
    <row r="243">
      <c r="A243" s="48"/>
      <c r="B243" s="48"/>
      <c r="C243" s="48"/>
      <c r="D243" s="48"/>
      <c r="E243" s="48"/>
      <c r="F243" s="422"/>
      <c r="G243" s="422"/>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row>
    <row r="244">
      <c r="A244" s="48"/>
      <c r="B244" s="48"/>
      <c r="C244" s="48"/>
      <c r="D244" s="48"/>
      <c r="E244" s="48"/>
      <c r="F244" s="422"/>
      <c r="G244" s="422"/>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row>
    <row r="245">
      <c r="A245" s="48"/>
      <c r="B245" s="48"/>
      <c r="C245" s="48"/>
      <c r="D245" s="48"/>
      <c r="E245" s="48"/>
      <c r="F245" s="422"/>
      <c r="G245" s="422"/>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row>
    <row r="246">
      <c r="A246" s="48"/>
      <c r="B246" s="48"/>
      <c r="C246" s="48"/>
      <c r="D246" s="48"/>
      <c r="E246" s="48"/>
      <c r="F246" s="422"/>
      <c r="G246" s="422"/>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row>
    <row r="247">
      <c r="A247" s="48"/>
      <c r="B247" s="48"/>
      <c r="C247" s="48"/>
      <c r="D247" s="48"/>
      <c r="E247" s="48"/>
      <c r="F247" s="422"/>
      <c r="G247" s="422"/>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row>
    <row r="248">
      <c r="A248" s="48"/>
      <c r="B248" s="48"/>
      <c r="C248" s="48"/>
      <c r="D248" s="48"/>
      <c r="E248" s="48"/>
      <c r="F248" s="422"/>
      <c r="G248" s="422"/>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row>
    <row r="249">
      <c r="A249" s="48"/>
      <c r="B249" s="48"/>
      <c r="C249" s="48"/>
      <c r="D249" s="48"/>
      <c r="E249" s="48"/>
      <c r="F249" s="422"/>
      <c r="G249" s="422"/>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row>
    <row r="250">
      <c r="A250" s="48"/>
      <c r="B250" s="48"/>
      <c r="C250" s="48"/>
      <c r="D250" s="48"/>
      <c r="E250" s="48"/>
      <c r="F250" s="422"/>
      <c r="G250" s="422"/>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row>
    <row r="251">
      <c r="A251" s="48"/>
      <c r="B251" s="48"/>
      <c r="C251" s="48"/>
      <c r="D251" s="48"/>
      <c r="E251" s="48"/>
      <c r="F251" s="422"/>
      <c r="G251" s="422"/>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row>
    <row r="252">
      <c r="A252" s="48"/>
      <c r="B252" s="48"/>
      <c r="C252" s="48"/>
      <c r="D252" s="48"/>
      <c r="E252" s="48"/>
      <c r="F252" s="422"/>
      <c r="G252" s="422"/>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row>
    <row r="253">
      <c r="A253" s="48"/>
      <c r="B253" s="48"/>
      <c r="C253" s="48"/>
      <c r="D253" s="48"/>
      <c r="E253" s="48"/>
      <c r="F253" s="422"/>
      <c r="G253" s="422"/>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row>
    <row r="254">
      <c r="A254" s="48"/>
      <c r="B254" s="48"/>
      <c r="C254" s="48"/>
      <c r="D254" s="48"/>
      <c r="E254" s="48"/>
      <c r="F254" s="422"/>
      <c r="G254" s="422"/>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row>
    <row r="255">
      <c r="A255" s="48"/>
      <c r="B255" s="48"/>
      <c r="C255" s="48"/>
      <c r="D255" s="48"/>
      <c r="E255" s="48"/>
      <c r="F255" s="422"/>
      <c r="G255" s="422"/>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row>
    <row r="256">
      <c r="A256" s="48"/>
      <c r="B256" s="48"/>
      <c r="C256" s="48"/>
      <c r="D256" s="48"/>
      <c r="E256" s="48"/>
      <c r="F256" s="422"/>
      <c r="G256" s="422"/>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row>
    <row r="257">
      <c r="A257" s="48"/>
      <c r="B257" s="48"/>
      <c r="C257" s="48"/>
      <c r="D257" s="48"/>
      <c r="E257" s="48"/>
      <c r="F257" s="422"/>
      <c r="G257" s="422"/>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row>
    <row r="258">
      <c r="A258" s="48"/>
      <c r="B258" s="48"/>
      <c r="C258" s="48"/>
      <c r="D258" s="48"/>
      <c r="E258" s="48"/>
      <c r="F258" s="422"/>
      <c r="G258" s="422"/>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row>
    <row r="259">
      <c r="A259" s="48"/>
      <c r="B259" s="48"/>
      <c r="C259" s="48"/>
      <c r="D259" s="48"/>
      <c r="E259" s="48"/>
      <c r="F259" s="422"/>
      <c r="G259" s="422"/>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row>
    <row r="260">
      <c r="A260" s="48"/>
      <c r="B260" s="48"/>
      <c r="C260" s="48"/>
      <c r="D260" s="48"/>
      <c r="E260" s="48"/>
      <c r="F260" s="422"/>
      <c r="G260" s="422"/>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row>
    <row r="261">
      <c r="A261" s="48"/>
      <c r="B261" s="48"/>
      <c r="C261" s="48"/>
      <c r="D261" s="48"/>
      <c r="E261" s="48"/>
      <c r="F261" s="422"/>
      <c r="G261" s="422"/>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row>
    <row r="262">
      <c r="A262" s="48"/>
      <c r="B262" s="48"/>
      <c r="C262" s="48"/>
      <c r="D262" s="48"/>
      <c r="E262" s="48"/>
      <c r="F262" s="422"/>
      <c r="G262" s="422"/>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row>
    <row r="263">
      <c r="A263" s="48"/>
      <c r="B263" s="48"/>
      <c r="C263" s="48"/>
      <c r="D263" s="48"/>
      <c r="E263" s="48"/>
      <c r="F263" s="422"/>
      <c r="G263" s="422"/>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row>
    <row r="264">
      <c r="A264" s="48"/>
      <c r="B264" s="48"/>
      <c r="C264" s="48"/>
      <c r="D264" s="48"/>
      <c r="E264" s="48"/>
      <c r="F264" s="422"/>
      <c r="G264" s="422"/>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row>
    <row r="265">
      <c r="A265" s="48"/>
      <c r="B265" s="48"/>
      <c r="C265" s="48"/>
      <c r="D265" s="48"/>
      <c r="E265" s="48"/>
      <c r="F265" s="422"/>
      <c r="G265" s="422"/>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row>
    <row r="266">
      <c r="A266" s="48"/>
      <c r="B266" s="48"/>
      <c r="C266" s="48"/>
      <c r="D266" s="48"/>
      <c r="E266" s="48"/>
      <c r="F266" s="422"/>
      <c r="G266" s="422"/>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row>
    <row r="267">
      <c r="A267" s="48"/>
      <c r="B267" s="48"/>
      <c r="C267" s="48"/>
      <c r="D267" s="48"/>
      <c r="E267" s="48"/>
      <c r="F267" s="422"/>
      <c r="G267" s="422"/>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row>
    <row r="268">
      <c r="A268" s="48"/>
      <c r="B268" s="48"/>
      <c r="C268" s="48"/>
      <c r="D268" s="48"/>
      <c r="E268" s="48"/>
      <c r="F268" s="422"/>
      <c r="G268" s="422"/>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row>
    <row r="269">
      <c r="A269" s="48"/>
      <c r="B269" s="48"/>
      <c r="C269" s="48"/>
      <c r="D269" s="48"/>
      <c r="E269" s="48"/>
      <c r="F269" s="422"/>
      <c r="G269" s="422"/>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row>
    <row r="270">
      <c r="A270" s="48"/>
      <c r="B270" s="48"/>
      <c r="C270" s="48"/>
      <c r="D270" s="48"/>
      <c r="E270" s="48"/>
      <c r="F270" s="422"/>
      <c r="G270" s="422"/>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row>
    <row r="271">
      <c r="A271" s="48"/>
      <c r="B271" s="48"/>
      <c r="C271" s="48"/>
      <c r="D271" s="48"/>
      <c r="E271" s="48"/>
      <c r="F271" s="422"/>
      <c r="G271" s="422"/>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row>
    <row r="272">
      <c r="A272" s="48"/>
      <c r="B272" s="48"/>
      <c r="C272" s="48"/>
      <c r="D272" s="48"/>
      <c r="E272" s="48"/>
      <c r="F272" s="422"/>
      <c r="G272" s="422"/>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row>
    <row r="273">
      <c r="A273" s="48"/>
      <c r="B273" s="48"/>
      <c r="C273" s="48"/>
      <c r="D273" s="48"/>
      <c r="E273" s="48"/>
      <c r="F273" s="422"/>
      <c r="G273" s="422"/>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row>
    <row r="274">
      <c r="A274" s="48"/>
      <c r="B274" s="48"/>
      <c r="C274" s="48"/>
      <c r="D274" s="48"/>
      <c r="E274" s="48"/>
      <c r="F274" s="422"/>
      <c r="G274" s="422"/>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row>
    <row r="275">
      <c r="A275" s="48"/>
      <c r="B275" s="48"/>
      <c r="C275" s="48"/>
      <c r="D275" s="48"/>
      <c r="E275" s="48"/>
      <c r="F275" s="422"/>
      <c r="G275" s="422"/>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row>
    <row r="276">
      <c r="A276" s="48"/>
      <c r="B276" s="48"/>
      <c r="C276" s="48"/>
      <c r="D276" s="48"/>
      <c r="E276" s="48"/>
      <c r="F276" s="422"/>
      <c r="G276" s="422"/>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row>
    <row r="277">
      <c r="A277" s="48"/>
      <c r="B277" s="48"/>
      <c r="C277" s="48"/>
      <c r="D277" s="48"/>
      <c r="E277" s="48"/>
      <c r="F277" s="422"/>
      <c r="G277" s="422"/>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row>
    <row r="278">
      <c r="A278" s="48"/>
      <c r="B278" s="48"/>
      <c r="C278" s="48"/>
      <c r="D278" s="48"/>
      <c r="E278" s="48"/>
      <c r="F278" s="422"/>
      <c r="G278" s="422"/>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row>
    <row r="279">
      <c r="A279" s="48"/>
      <c r="B279" s="48"/>
      <c r="C279" s="48"/>
      <c r="D279" s="48"/>
      <c r="E279" s="48"/>
      <c r="F279" s="422"/>
      <c r="G279" s="422"/>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row>
    <row r="280">
      <c r="A280" s="48"/>
      <c r="B280" s="48"/>
      <c r="C280" s="48"/>
      <c r="D280" s="48"/>
      <c r="E280" s="48"/>
      <c r="F280" s="422"/>
      <c r="G280" s="422"/>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row>
    <row r="281">
      <c r="A281" s="48"/>
      <c r="B281" s="48"/>
      <c r="C281" s="48"/>
      <c r="D281" s="48"/>
      <c r="E281" s="48"/>
      <c r="F281" s="422"/>
      <c r="G281" s="422"/>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row>
    <row r="282">
      <c r="A282" s="48"/>
      <c r="B282" s="48"/>
      <c r="C282" s="48"/>
      <c r="D282" s="48"/>
      <c r="E282" s="48"/>
      <c r="F282" s="422"/>
      <c r="G282" s="422"/>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row>
    <row r="283">
      <c r="A283" s="48"/>
      <c r="B283" s="48"/>
      <c r="C283" s="48"/>
      <c r="D283" s="48"/>
      <c r="E283" s="48"/>
      <c r="F283" s="422"/>
      <c r="G283" s="422"/>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row>
    <row r="284">
      <c r="A284" s="48"/>
      <c r="B284" s="48"/>
      <c r="C284" s="48"/>
      <c r="D284" s="48"/>
      <c r="E284" s="48"/>
      <c r="F284" s="422"/>
      <c r="G284" s="422"/>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row>
    <row r="285">
      <c r="A285" s="48"/>
      <c r="B285" s="48"/>
      <c r="C285" s="48"/>
      <c r="D285" s="48"/>
      <c r="E285" s="48"/>
      <c r="F285" s="422"/>
      <c r="G285" s="422"/>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row>
    <row r="286">
      <c r="A286" s="48"/>
      <c r="B286" s="48"/>
      <c r="C286" s="48"/>
      <c r="D286" s="48"/>
      <c r="E286" s="48"/>
      <c r="F286" s="422"/>
      <c r="G286" s="422"/>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row>
    <row r="287">
      <c r="A287" s="48"/>
      <c r="B287" s="48"/>
      <c r="C287" s="48"/>
      <c r="D287" s="48"/>
      <c r="E287" s="48"/>
      <c r="F287" s="422"/>
      <c r="G287" s="422"/>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row>
    <row r="288">
      <c r="A288" s="48"/>
      <c r="B288" s="48"/>
      <c r="C288" s="48"/>
      <c r="D288" s="48"/>
      <c r="E288" s="48"/>
      <c r="F288" s="422"/>
      <c r="G288" s="422"/>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row>
    <row r="289">
      <c r="A289" s="48"/>
      <c r="B289" s="48"/>
      <c r="C289" s="48"/>
      <c r="D289" s="48"/>
      <c r="E289" s="48"/>
      <c r="F289" s="422"/>
      <c r="G289" s="422"/>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row>
    <row r="290">
      <c r="A290" s="48"/>
      <c r="B290" s="48"/>
      <c r="C290" s="48"/>
      <c r="D290" s="48"/>
      <c r="E290" s="48"/>
      <c r="F290" s="422"/>
      <c r="G290" s="422"/>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row>
    <row r="291">
      <c r="A291" s="48"/>
      <c r="B291" s="48"/>
      <c r="C291" s="48"/>
      <c r="D291" s="48"/>
      <c r="E291" s="48"/>
      <c r="F291" s="422"/>
      <c r="G291" s="422"/>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row>
    <row r="292">
      <c r="A292" s="48"/>
      <c r="B292" s="48"/>
      <c r="C292" s="48"/>
      <c r="D292" s="48"/>
      <c r="E292" s="48"/>
      <c r="F292" s="422"/>
      <c r="G292" s="422"/>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row>
    <row r="293">
      <c r="A293" s="48"/>
      <c r="B293" s="48"/>
      <c r="C293" s="48"/>
      <c r="D293" s="48"/>
      <c r="E293" s="48"/>
      <c r="F293" s="422"/>
      <c r="G293" s="422"/>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row>
    <row r="294">
      <c r="A294" s="48"/>
      <c r="B294" s="48"/>
      <c r="C294" s="48"/>
      <c r="D294" s="48"/>
      <c r="E294" s="48"/>
      <c r="F294" s="422"/>
      <c r="G294" s="422"/>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row>
    <row r="295">
      <c r="A295" s="48"/>
      <c r="B295" s="48"/>
      <c r="C295" s="48"/>
      <c r="D295" s="48"/>
      <c r="E295" s="48"/>
      <c r="F295" s="422"/>
      <c r="G295" s="422"/>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row>
    <row r="296">
      <c r="A296" s="48"/>
      <c r="B296" s="48"/>
      <c r="C296" s="48"/>
      <c r="D296" s="48"/>
      <c r="E296" s="48"/>
      <c r="F296" s="422"/>
      <c r="G296" s="422"/>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row>
    <row r="297">
      <c r="A297" s="48"/>
      <c r="B297" s="48"/>
      <c r="C297" s="48"/>
      <c r="D297" s="48"/>
      <c r="E297" s="48"/>
      <c r="F297" s="422"/>
      <c r="G297" s="422"/>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row>
    <row r="298">
      <c r="A298" s="48"/>
      <c r="B298" s="48"/>
      <c r="C298" s="48"/>
      <c r="D298" s="48"/>
      <c r="E298" s="48"/>
      <c r="F298" s="422"/>
      <c r="G298" s="422"/>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row>
    <row r="299">
      <c r="A299" s="48"/>
      <c r="B299" s="48"/>
      <c r="C299" s="48"/>
      <c r="D299" s="48"/>
      <c r="E299" s="48"/>
      <c r="F299" s="422"/>
      <c r="G299" s="422"/>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row>
    <row r="300">
      <c r="A300" s="48"/>
      <c r="B300" s="48"/>
      <c r="C300" s="48"/>
      <c r="D300" s="48"/>
      <c r="E300" s="48"/>
      <c r="F300" s="422"/>
      <c r="G300" s="422"/>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row>
    <row r="301">
      <c r="A301" s="48"/>
      <c r="B301" s="48"/>
      <c r="C301" s="48"/>
      <c r="D301" s="48"/>
      <c r="E301" s="48"/>
      <c r="F301" s="422"/>
      <c r="G301" s="422"/>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row>
    <row r="302">
      <c r="A302" s="48"/>
      <c r="B302" s="48"/>
      <c r="C302" s="48"/>
      <c r="D302" s="48"/>
      <c r="E302" s="48"/>
      <c r="F302" s="422"/>
      <c r="G302" s="422"/>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row>
    <row r="303">
      <c r="A303" s="48"/>
      <c r="B303" s="48"/>
      <c r="C303" s="48"/>
      <c r="D303" s="48"/>
      <c r="E303" s="48"/>
      <c r="F303" s="422"/>
      <c r="G303" s="422"/>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row>
    <row r="304">
      <c r="A304" s="48"/>
      <c r="B304" s="48"/>
      <c r="C304" s="48"/>
      <c r="D304" s="48"/>
      <c r="E304" s="48"/>
      <c r="F304" s="422"/>
      <c r="G304" s="422"/>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row>
    <row r="305">
      <c r="A305" s="48"/>
      <c r="B305" s="48"/>
      <c r="C305" s="48"/>
      <c r="D305" s="48"/>
      <c r="E305" s="48"/>
      <c r="F305" s="422"/>
      <c r="G305" s="422"/>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row>
    <row r="306">
      <c r="A306" s="48"/>
      <c r="B306" s="48"/>
      <c r="C306" s="48"/>
      <c r="D306" s="48"/>
      <c r="E306" s="48"/>
      <c r="F306" s="422"/>
      <c r="G306" s="422"/>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row>
    <row r="307">
      <c r="A307" s="48"/>
      <c r="B307" s="48"/>
      <c r="C307" s="48"/>
      <c r="D307" s="48"/>
      <c r="E307" s="48"/>
      <c r="F307" s="422"/>
      <c r="G307" s="422"/>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row>
    <row r="308">
      <c r="A308" s="48"/>
      <c r="B308" s="48"/>
      <c r="C308" s="48"/>
      <c r="D308" s="48"/>
      <c r="E308" s="48"/>
      <c r="F308" s="422"/>
      <c r="G308" s="422"/>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row>
    <row r="309">
      <c r="A309" s="48"/>
      <c r="B309" s="48"/>
      <c r="C309" s="48"/>
      <c r="D309" s="48"/>
      <c r="E309" s="48"/>
      <c r="F309" s="422"/>
      <c r="G309" s="422"/>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row>
    <row r="310">
      <c r="A310" s="48"/>
      <c r="B310" s="48"/>
      <c r="C310" s="48"/>
      <c r="D310" s="48"/>
      <c r="E310" s="48"/>
      <c r="F310" s="422"/>
      <c r="G310" s="422"/>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row>
    <row r="311">
      <c r="A311" s="48"/>
      <c r="B311" s="48"/>
      <c r="C311" s="48"/>
      <c r="D311" s="48"/>
      <c r="E311" s="48"/>
      <c r="F311" s="422"/>
      <c r="G311" s="422"/>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row>
    <row r="312">
      <c r="A312" s="48"/>
      <c r="B312" s="48"/>
      <c r="C312" s="48"/>
      <c r="D312" s="48"/>
      <c r="E312" s="48"/>
      <c r="F312" s="422"/>
      <c r="G312" s="422"/>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row>
    <row r="313">
      <c r="A313" s="48"/>
      <c r="B313" s="48"/>
      <c r="C313" s="48"/>
      <c r="D313" s="48"/>
      <c r="E313" s="48"/>
      <c r="F313" s="422"/>
      <c r="G313" s="422"/>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row>
    <row r="314">
      <c r="A314" s="48"/>
      <c r="B314" s="48"/>
      <c r="C314" s="48"/>
      <c r="D314" s="48"/>
      <c r="E314" s="48"/>
      <c r="F314" s="422"/>
      <c r="G314" s="422"/>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row>
    <row r="315">
      <c r="A315" s="48"/>
      <c r="B315" s="48"/>
      <c r="C315" s="48"/>
      <c r="D315" s="48"/>
      <c r="E315" s="48"/>
      <c r="F315" s="422"/>
      <c r="G315" s="422"/>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row>
    <row r="316">
      <c r="A316" s="48"/>
      <c r="B316" s="48"/>
      <c r="C316" s="48"/>
      <c r="D316" s="48"/>
      <c r="E316" s="48"/>
      <c r="F316" s="422"/>
      <c r="G316" s="422"/>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row>
    <row r="317">
      <c r="A317" s="48"/>
      <c r="B317" s="48"/>
      <c r="C317" s="48"/>
      <c r="D317" s="48"/>
      <c r="E317" s="48"/>
      <c r="F317" s="422"/>
      <c r="G317" s="422"/>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row>
    <row r="318">
      <c r="A318" s="48"/>
      <c r="B318" s="48"/>
      <c r="C318" s="48"/>
      <c r="D318" s="48"/>
      <c r="E318" s="48"/>
      <c r="F318" s="422"/>
      <c r="G318" s="422"/>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row>
    <row r="319">
      <c r="A319" s="48"/>
      <c r="B319" s="48"/>
      <c r="C319" s="48"/>
      <c r="D319" s="48"/>
      <c r="E319" s="48"/>
      <c r="F319" s="422"/>
      <c r="G319" s="422"/>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row>
    <row r="320">
      <c r="A320" s="48"/>
      <c r="B320" s="48"/>
      <c r="C320" s="48"/>
      <c r="D320" s="48"/>
      <c r="E320" s="48"/>
      <c r="F320" s="422"/>
      <c r="G320" s="422"/>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row>
    <row r="321">
      <c r="A321" s="48"/>
      <c r="B321" s="48"/>
      <c r="C321" s="48"/>
      <c r="D321" s="48"/>
      <c r="E321" s="48"/>
      <c r="F321" s="422"/>
      <c r="G321" s="422"/>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row>
    <row r="322">
      <c r="A322" s="48"/>
      <c r="B322" s="48"/>
      <c r="C322" s="48"/>
      <c r="D322" s="48"/>
      <c r="E322" s="48"/>
      <c r="F322" s="422"/>
      <c r="G322" s="422"/>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row>
    <row r="323">
      <c r="A323" s="48"/>
      <c r="B323" s="48"/>
      <c r="C323" s="48"/>
      <c r="D323" s="48"/>
      <c r="E323" s="48"/>
      <c r="F323" s="422"/>
      <c r="G323" s="422"/>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row>
    <row r="324">
      <c r="A324" s="48"/>
      <c r="B324" s="48"/>
      <c r="C324" s="48"/>
      <c r="D324" s="48"/>
      <c r="E324" s="48"/>
      <c r="F324" s="422"/>
      <c r="G324" s="422"/>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row>
    <row r="325">
      <c r="A325" s="48"/>
      <c r="B325" s="48"/>
      <c r="C325" s="48"/>
      <c r="D325" s="48"/>
      <c r="E325" s="48"/>
      <c r="F325" s="422"/>
      <c r="G325" s="422"/>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row>
    <row r="326">
      <c r="A326" s="48"/>
      <c r="B326" s="48"/>
      <c r="C326" s="48"/>
      <c r="D326" s="48"/>
      <c r="E326" s="48"/>
      <c r="F326" s="422"/>
      <c r="G326" s="422"/>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row>
    <row r="327">
      <c r="A327" s="48"/>
      <c r="B327" s="48"/>
      <c r="C327" s="48"/>
      <c r="D327" s="48"/>
      <c r="E327" s="48"/>
      <c r="F327" s="422"/>
      <c r="G327" s="422"/>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row>
    <row r="328">
      <c r="A328" s="48"/>
      <c r="B328" s="48"/>
      <c r="C328" s="48"/>
      <c r="D328" s="48"/>
      <c r="E328" s="48"/>
      <c r="F328" s="422"/>
      <c r="G328" s="422"/>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row>
    <row r="329">
      <c r="A329" s="48"/>
      <c r="B329" s="48"/>
      <c r="C329" s="48"/>
      <c r="D329" s="48"/>
      <c r="E329" s="48"/>
      <c r="F329" s="422"/>
      <c r="G329" s="422"/>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row>
    <row r="330">
      <c r="A330" s="48"/>
      <c r="B330" s="48"/>
      <c r="C330" s="48"/>
      <c r="D330" s="48"/>
      <c r="E330" s="48"/>
      <c r="F330" s="422"/>
      <c r="G330" s="422"/>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row>
    <row r="331">
      <c r="A331" s="48"/>
      <c r="B331" s="48"/>
      <c r="C331" s="48"/>
      <c r="D331" s="48"/>
      <c r="E331" s="48"/>
      <c r="F331" s="422"/>
      <c r="G331" s="422"/>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row>
    <row r="332">
      <c r="A332" s="48"/>
      <c r="B332" s="48"/>
      <c r="C332" s="48"/>
      <c r="D332" s="48"/>
      <c r="E332" s="48"/>
      <c r="F332" s="422"/>
      <c r="G332" s="422"/>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row>
    <row r="333">
      <c r="A333" s="48"/>
      <c r="B333" s="48"/>
      <c r="C333" s="48"/>
      <c r="D333" s="48"/>
      <c r="E333" s="48"/>
      <c r="F333" s="422"/>
      <c r="G333" s="422"/>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row>
    <row r="334">
      <c r="A334" s="48"/>
      <c r="B334" s="48"/>
      <c r="C334" s="48"/>
      <c r="D334" s="48"/>
      <c r="E334" s="48"/>
      <c r="F334" s="422"/>
      <c r="G334" s="422"/>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row>
    <row r="335">
      <c r="A335" s="48"/>
      <c r="B335" s="48"/>
      <c r="C335" s="48"/>
      <c r="D335" s="48"/>
      <c r="E335" s="48"/>
      <c r="F335" s="422"/>
      <c r="G335" s="422"/>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row>
    <row r="336">
      <c r="A336" s="48"/>
      <c r="B336" s="48"/>
      <c r="C336" s="48"/>
      <c r="D336" s="48"/>
      <c r="E336" s="48"/>
      <c r="F336" s="422"/>
      <c r="G336" s="422"/>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row>
    <row r="337">
      <c r="A337" s="48"/>
      <c r="B337" s="48"/>
      <c r="C337" s="48"/>
      <c r="D337" s="48"/>
      <c r="E337" s="48"/>
      <c r="F337" s="422"/>
      <c r="G337" s="422"/>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row>
    <row r="338">
      <c r="A338" s="48"/>
      <c r="B338" s="48"/>
      <c r="C338" s="48"/>
      <c r="D338" s="48"/>
      <c r="E338" s="48"/>
      <c r="F338" s="422"/>
      <c r="G338" s="422"/>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row>
    <row r="339">
      <c r="A339" s="48"/>
      <c r="B339" s="48"/>
      <c r="C339" s="48"/>
      <c r="D339" s="48"/>
      <c r="E339" s="48"/>
      <c r="F339" s="422"/>
      <c r="G339" s="422"/>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row>
    <row r="340">
      <c r="A340" s="48"/>
      <c r="B340" s="48"/>
      <c r="C340" s="48"/>
      <c r="D340" s="48"/>
      <c r="E340" s="48"/>
      <c r="F340" s="422"/>
      <c r="G340" s="422"/>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row>
    <row r="341">
      <c r="A341" s="48"/>
      <c r="B341" s="48"/>
      <c r="C341" s="48"/>
      <c r="D341" s="48"/>
      <c r="E341" s="48"/>
      <c r="F341" s="422"/>
      <c r="G341" s="422"/>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row>
    <row r="342">
      <c r="A342" s="48"/>
      <c r="B342" s="48"/>
      <c r="C342" s="48"/>
      <c r="D342" s="48"/>
      <c r="E342" s="48"/>
      <c r="F342" s="422"/>
      <c r="G342" s="422"/>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row>
    <row r="343">
      <c r="A343" s="48"/>
      <c r="B343" s="48"/>
      <c r="C343" s="48"/>
      <c r="D343" s="48"/>
      <c r="E343" s="48"/>
      <c r="F343" s="422"/>
      <c r="G343" s="422"/>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row>
    <row r="344">
      <c r="A344" s="48"/>
      <c r="B344" s="48"/>
      <c r="C344" s="48"/>
      <c r="D344" s="48"/>
      <c r="E344" s="48"/>
      <c r="F344" s="422"/>
      <c r="G344" s="422"/>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row>
    <row r="345">
      <c r="A345" s="48"/>
      <c r="B345" s="48"/>
      <c r="C345" s="48"/>
      <c r="D345" s="48"/>
      <c r="E345" s="48"/>
      <c r="F345" s="422"/>
      <c r="G345" s="422"/>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row>
    <row r="346">
      <c r="A346" s="48"/>
      <c r="B346" s="48"/>
      <c r="C346" s="48"/>
      <c r="D346" s="48"/>
      <c r="E346" s="48"/>
      <c r="F346" s="422"/>
      <c r="G346" s="422"/>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row>
    <row r="347">
      <c r="A347" s="48"/>
      <c r="B347" s="48"/>
      <c r="C347" s="48"/>
      <c r="D347" s="48"/>
      <c r="E347" s="48"/>
      <c r="F347" s="422"/>
      <c r="G347" s="422"/>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row>
    <row r="348">
      <c r="A348" s="48"/>
      <c r="B348" s="48"/>
      <c r="C348" s="48"/>
      <c r="D348" s="48"/>
      <c r="E348" s="48"/>
      <c r="F348" s="422"/>
      <c r="G348" s="422"/>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row>
    <row r="349">
      <c r="A349" s="48"/>
      <c r="B349" s="48"/>
      <c r="C349" s="48"/>
      <c r="D349" s="48"/>
      <c r="E349" s="48"/>
      <c r="F349" s="422"/>
      <c r="G349" s="422"/>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row>
    <row r="350">
      <c r="A350" s="48"/>
      <c r="B350" s="48"/>
      <c r="C350" s="48"/>
      <c r="D350" s="48"/>
      <c r="E350" s="48"/>
      <c r="F350" s="422"/>
      <c r="G350" s="422"/>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row>
    <row r="351">
      <c r="A351" s="48"/>
      <c r="B351" s="48"/>
      <c r="C351" s="48"/>
      <c r="D351" s="48"/>
      <c r="E351" s="48"/>
      <c r="F351" s="422"/>
      <c r="G351" s="422"/>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row>
    <row r="352">
      <c r="A352" s="48"/>
      <c r="B352" s="48"/>
      <c r="C352" s="48"/>
      <c r="D352" s="48"/>
      <c r="E352" s="48"/>
      <c r="F352" s="422"/>
      <c r="G352" s="422"/>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row>
    <row r="353">
      <c r="A353" s="48"/>
      <c r="B353" s="48"/>
      <c r="C353" s="48"/>
      <c r="D353" s="48"/>
      <c r="E353" s="48"/>
      <c r="F353" s="422"/>
      <c r="G353" s="422"/>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row>
    <row r="354">
      <c r="A354" s="48"/>
      <c r="B354" s="48"/>
      <c r="C354" s="48"/>
      <c r="D354" s="48"/>
      <c r="E354" s="48"/>
      <c r="F354" s="422"/>
      <c r="G354" s="422"/>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row>
    <row r="355">
      <c r="A355" s="48"/>
      <c r="B355" s="48"/>
      <c r="C355" s="48"/>
      <c r="D355" s="48"/>
      <c r="E355" s="48"/>
      <c r="F355" s="422"/>
      <c r="G355" s="422"/>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row>
    <row r="356">
      <c r="A356" s="48"/>
      <c r="B356" s="48"/>
      <c r="C356" s="48"/>
      <c r="D356" s="48"/>
      <c r="E356" s="48"/>
      <c r="F356" s="422"/>
      <c r="G356" s="422"/>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row>
    <row r="357">
      <c r="A357" s="48"/>
      <c r="B357" s="48"/>
      <c r="C357" s="48"/>
      <c r="D357" s="48"/>
      <c r="E357" s="48"/>
      <c r="F357" s="422"/>
      <c r="G357" s="422"/>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row>
    <row r="358">
      <c r="A358" s="48"/>
      <c r="B358" s="48"/>
      <c r="C358" s="48"/>
      <c r="D358" s="48"/>
      <c r="E358" s="48"/>
      <c r="F358" s="422"/>
      <c r="G358" s="422"/>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row>
    <row r="359">
      <c r="A359" s="48"/>
      <c r="B359" s="48"/>
      <c r="C359" s="48"/>
      <c r="D359" s="48"/>
      <c r="E359" s="48"/>
      <c r="F359" s="422"/>
      <c r="G359" s="422"/>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row>
    <row r="360">
      <c r="A360" s="48"/>
      <c r="B360" s="48"/>
      <c r="C360" s="48"/>
      <c r="D360" s="48"/>
      <c r="E360" s="48"/>
      <c r="F360" s="422"/>
      <c r="G360" s="422"/>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row>
    <row r="361">
      <c r="A361" s="48"/>
      <c r="B361" s="48"/>
      <c r="C361" s="48"/>
      <c r="D361" s="48"/>
      <c r="E361" s="48"/>
      <c r="F361" s="422"/>
      <c r="G361" s="422"/>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row>
    <row r="362">
      <c r="A362" s="48"/>
      <c r="B362" s="48"/>
      <c r="C362" s="48"/>
      <c r="D362" s="48"/>
      <c r="E362" s="48"/>
      <c r="F362" s="422"/>
      <c r="G362" s="422"/>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row>
    <row r="363">
      <c r="A363" s="48"/>
      <c r="B363" s="48"/>
      <c r="C363" s="48"/>
      <c r="D363" s="48"/>
      <c r="E363" s="48"/>
      <c r="F363" s="422"/>
      <c r="G363" s="422"/>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row>
    <row r="364">
      <c r="A364" s="48"/>
      <c r="B364" s="48"/>
      <c r="C364" s="48"/>
      <c r="D364" s="48"/>
      <c r="E364" s="48"/>
      <c r="F364" s="422"/>
      <c r="G364" s="422"/>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row>
    <row r="365">
      <c r="A365" s="48"/>
      <c r="B365" s="48"/>
      <c r="C365" s="48"/>
      <c r="D365" s="48"/>
      <c r="E365" s="48"/>
      <c r="F365" s="422"/>
      <c r="G365" s="422"/>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row>
    <row r="366">
      <c r="A366" s="48"/>
      <c r="B366" s="48"/>
      <c r="C366" s="48"/>
      <c r="D366" s="48"/>
      <c r="E366" s="48"/>
      <c r="F366" s="422"/>
      <c r="G366" s="422"/>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row>
    <row r="367">
      <c r="A367" s="48"/>
      <c r="B367" s="48"/>
      <c r="C367" s="48"/>
      <c r="D367" s="48"/>
      <c r="E367" s="48"/>
      <c r="F367" s="422"/>
      <c r="G367" s="422"/>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row>
    <row r="368">
      <c r="A368" s="48"/>
      <c r="B368" s="48"/>
      <c r="C368" s="48"/>
      <c r="D368" s="48"/>
      <c r="E368" s="48"/>
      <c r="F368" s="422"/>
      <c r="G368" s="422"/>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row>
    <row r="369">
      <c r="A369" s="48"/>
      <c r="B369" s="48"/>
      <c r="C369" s="48"/>
      <c r="D369" s="48"/>
      <c r="E369" s="48"/>
      <c r="F369" s="422"/>
      <c r="G369" s="422"/>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row>
    <row r="370">
      <c r="A370" s="48"/>
      <c r="B370" s="48"/>
      <c r="C370" s="48"/>
      <c r="D370" s="48"/>
      <c r="E370" s="48"/>
      <c r="F370" s="422"/>
      <c r="G370" s="422"/>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row>
    <row r="371">
      <c r="A371" s="48"/>
      <c r="B371" s="48"/>
      <c r="C371" s="48"/>
      <c r="D371" s="48"/>
      <c r="E371" s="48"/>
      <c r="F371" s="422"/>
      <c r="G371" s="422"/>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row>
    <row r="372">
      <c r="A372" s="48"/>
      <c r="B372" s="48"/>
      <c r="C372" s="48"/>
      <c r="D372" s="48"/>
      <c r="E372" s="48"/>
      <c r="F372" s="422"/>
      <c r="G372" s="422"/>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row>
    <row r="373">
      <c r="A373" s="48"/>
      <c r="B373" s="48"/>
      <c r="C373" s="48"/>
      <c r="D373" s="48"/>
      <c r="E373" s="48"/>
      <c r="F373" s="422"/>
      <c r="G373" s="422"/>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row>
    <row r="374">
      <c r="A374" s="48"/>
      <c r="B374" s="48"/>
      <c r="C374" s="48"/>
      <c r="D374" s="48"/>
      <c r="E374" s="48"/>
      <c r="F374" s="422"/>
      <c r="G374" s="422"/>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row>
    <row r="375">
      <c r="A375" s="48"/>
      <c r="B375" s="48"/>
      <c r="C375" s="48"/>
      <c r="D375" s="48"/>
      <c r="E375" s="48"/>
      <c r="F375" s="422"/>
      <c r="G375" s="422"/>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row>
    <row r="376">
      <c r="A376" s="48"/>
      <c r="B376" s="48"/>
      <c r="C376" s="48"/>
      <c r="D376" s="48"/>
      <c r="E376" s="48"/>
      <c r="F376" s="422"/>
      <c r="G376" s="422"/>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row>
    <row r="377">
      <c r="A377" s="48"/>
      <c r="B377" s="48"/>
      <c r="C377" s="48"/>
      <c r="D377" s="48"/>
      <c r="E377" s="48"/>
      <c r="F377" s="422"/>
      <c r="G377" s="422"/>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row>
    <row r="378">
      <c r="A378" s="48"/>
      <c r="B378" s="48"/>
      <c r="C378" s="48"/>
      <c r="D378" s="48"/>
      <c r="E378" s="48"/>
      <c r="F378" s="422"/>
      <c r="G378" s="422"/>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row>
    <row r="379">
      <c r="A379" s="48"/>
      <c r="B379" s="48"/>
      <c r="C379" s="48"/>
      <c r="D379" s="48"/>
      <c r="E379" s="48"/>
      <c r="F379" s="422"/>
      <c r="G379" s="422"/>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row>
    <row r="380">
      <c r="A380" s="48"/>
      <c r="B380" s="48"/>
      <c r="C380" s="48"/>
      <c r="D380" s="48"/>
      <c r="E380" s="48"/>
      <c r="F380" s="422"/>
      <c r="G380" s="422"/>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row>
    <row r="381">
      <c r="A381" s="48"/>
      <c r="B381" s="48"/>
      <c r="C381" s="48"/>
      <c r="D381" s="48"/>
      <c r="E381" s="48"/>
      <c r="F381" s="422"/>
      <c r="G381" s="422"/>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row>
    <row r="382">
      <c r="A382" s="48"/>
      <c r="B382" s="48"/>
      <c r="C382" s="48"/>
      <c r="D382" s="48"/>
      <c r="E382" s="48"/>
      <c r="F382" s="422"/>
      <c r="G382" s="422"/>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row>
    <row r="383">
      <c r="A383" s="48"/>
      <c r="B383" s="48"/>
      <c r="C383" s="48"/>
      <c r="D383" s="48"/>
      <c r="E383" s="48"/>
      <c r="F383" s="422"/>
      <c r="G383" s="422"/>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row>
    <row r="384">
      <c r="A384" s="48"/>
      <c r="B384" s="48"/>
      <c r="C384" s="48"/>
      <c r="D384" s="48"/>
      <c r="E384" s="48"/>
      <c r="F384" s="422"/>
      <c r="G384" s="422"/>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row>
    <row r="385">
      <c r="A385" s="48"/>
      <c r="B385" s="48"/>
      <c r="C385" s="48"/>
      <c r="D385" s="48"/>
      <c r="E385" s="48"/>
      <c r="F385" s="422"/>
      <c r="G385" s="422"/>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row>
    <row r="386">
      <c r="A386" s="48"/>
      <c r="B386" s="48"/>
      <c r="C386" s="48"/>
      <c r="D386" s="48"/>
      <c r="E386" s="48"/>
      <c r="F386" s="422"/>
      <c r="G386" s="422"/>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row>
    <row r="387">
      <c r="A387" s="48"/>
      <c r="B387" s="48"/>
      <c r="C387" s="48"/>
      <c r="D387" s="48"/>
      <c r="E387" s="48"/>
      <c r="F387" s="422"/>
      <c r="G387" s="422"/>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row>
    <row r="388">
      <c r="A388" s="48"/>
      <c r="B388" s="48"/>
      <c r="C388" s="48"/>
      <c r="D388" s="48"/>
      <c r="E388" s="48"/>
      <c r="F388" s="422"/>
      <c r="G388" s="422"/>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row>
    <row r="389">
      <c r="A389" s="48"/>
      <c r="B389" s="48"/>
      <c r="C389" s="48"/>
      <c r="D389" s="48"/>
      <c r="E389" s="48"/>
      <c r="F389" s="422"/>
      <c r="G389" s="422"/>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row>
    <row r="390">
      <c r="A390" s="48"/>
      <c r="B390" s="48"/>
      <c r="C390" s="48"/>
      <c r="D390" s="48"/>
      <c r="E390" s="48"/>
      <c r="F390" s="422"/>
      <c r="G390" s="422"/>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row>
    <row r="391">
      <c r="A391" s="48"/>
      <c r="B391" s="48"/>
      <c r="C391" s="48"/>
      <c r="D391" s="48"/>
      <c r="E391" s="48"/>
      <c r="F391" s="422"/>
      <c r="G391" s="422"/>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row>
    <row r="392">
      <c r="A392" s="48"/>
      <c r="B392" s="48"/>
      <c r="C392" s="48"/>
      <c r="D392" s="48"/>
      <c r="E392" s="48"/>
      <c r="F392" s="422"/>
      <c r="G392" s="422"/>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row>
    <row r="393">
      <c r="A393" s="48"/>
      <c r="B393" s="48"/>
      <c r="C393" s="48"/>
      <c r="D393" s="48"/>
      <c r="E393" s="48"/>
      <c r="F393" s="422"/>
      <c r="G393" s="422"/>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row>
    <row r="394">
      <c r="A394" s="48"/>
      <c r="B394" s="48"/>
      <c r="C394" s="48"/>
      <c r="D394" s="48"/>
      <c r="E394" s="48"/>
      <c r="F394" s="422"/>
      <c r="G394" s="422"/>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row>
    <row r="395">
      <c r="A395" s="48"/>
      <c r="B395" s="48"/>
      <c r="C395" s="48"/>
      <c r="D395" s="48"/>
      <c r="E395" s="48"/>
      <c r="F395" s="422"/>
      <c r="G395" s="422"/>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row>
    <row r="396">
      <c r="A396" s="48"/>
      <c r="B396" s="48"/>
      <c r="C396" s="48"/>
      <c r="D396" s="48"/>
      <c r="E396" s="48"/>
      <c r="F396" s="422"/>
      <c r="G396" s="422"/>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row>
    <row r="397">
      <c r="A397" s="48"/>
      <c r="B397" s="48"/>
      <c r="C397" s="48"/>
      <c r="D397" s="48"/>
      <c r="E397" s="48"/>
      <c r="F397" s="422"/>
      <c r="G397" s="422"/>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row>
    <row r="398">
      <c r="A398" s="48"/>
      <c r="B398" s="48"/>
      <c r="C398" s="48"/>
      <c r="D398" s="48"/>
      <c r="E398" s="48"/>
      <c r="F398" s="422"/>
      <c r="G398" s="422"/>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row>
    <row r="399">
      <c r="A399" s="48"/>
      <c r="B399" s="48"/>
      <c r="C399" s="48"/>
      <c r="D399" s="48"/>
      <c r="E399" s="48"/>
      <c r="F399" s="422"/>
      <c r="G399" s="422"/>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row>
    <row r="400">
      <c r="A400" s="48"/>
      <c r="B400" s="48"/>
      <c r="C400" s="48"/>
      <c r="D400" s="48"/>
      <c r="E400" s="48"/>
      <c r="F400" s="422"/>
      <c r="G400" s="422"/>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row>
    <row r="401">
      <c r="A401" s="48"/>
      <c r="B401" s="48"/>
      <c r="C401" s="48"/>
      <c r="D401" s="48"/>
      <c r="E401" s="48"/>
      <c r="F401" s="422"/>
      <c r="G401" s="422"/>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row>
    <row r="402">
      <c r="A402" s="48"/>
      <c r="B402" s="48"/>
      <c r="C402" s="48"/>
      <c r="D402" s="48"/>
      <c r="E402" s="48"/>
      <c r="F402" s="422"/>
      <c r="G402" s="422"/>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row>
    <row r="403">
      <c r="A403" s="48"/>
      <c r="B403" s="48"/>
      <c r="C403" s="48"/>
      <c r="D403" s="48"/>
      <c r="E403" s="48"/>
      <c r="F403" s="422"/>
      <c r="G403" s="422"/>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row>
    <row r="404">
      <c r="A404" s="48"/>
      <c r="B404" s="48"/>
      <c r="C404" s="48"/>
      <c r="D404" s="48"/>
      <c r="E404" s="48"/>
      <c r="F404" s="422"/>
      <c r="G404" s="422"/>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row>
    <row r="405">
      <c r="A405" s="48"/>
      <c r="B405" s="48"/>
      <c r="C405" s="48"/>
      <c r="D405" s="48"/>
      <c r="E405" s="48"/>
      <c r="F405" s="422"/>
      <c r="G405" s="422"/>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row>
    <row r="406">
      <c r="A406" s="48"/>
      <c r="B406" s="48"/>
      <c r="C406" s="48"/>
      <c r="D406" s="48"/>
      <c r="E406" s="48"/>
      <c r="F406" s="422"/>
      <c r="G406" s="422"/>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row>
    <row r="407">
      <c r="A407" s="48"/>
      <c r="B407" s="48"/>
      <c r="C407" s="48"/>
      <c r="D407" s="48"/>
      <c r="E407" s="48"/>
      <c r="F407" s="422"/>
      <c r="G407" s="422"/>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row>
    <row r="408">
      <c r="A408" s="48"/>
      <c r="B408" s="48"/>
      <c r="C408" s="48"/>
      <c r="D408" s="48"/>
      <c r="E408" s="48"/>
      <c r="F408" s="422"/>
      <c r="G408" s="422"/>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row>
    <row r="409">
      <c r="A409" s="48"/>
      <c r="B409" s="48"/>
      <c r="C409" s="48"/>
      <c r="D409" s="48"/>
      <c r="E409" s="48"/>
      <c r="F409" s="422"/>
      <c r="G409" s="422"/>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row>
    <row r="410">
      <c r="A410" s="48"/>
      <c r="B410" s="48"/>
      <c r="C410" s="48"/>
      <c r="D410" s="48"/>
      <c r="E410" s="48"/>
      <c r="F410" s="422"/>
      <c r="G410" s="422"/>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row>
    <row r="411">
      <c r="A411" s="48"/>
      <c r="B411" s="48"/>
      <c r="C411" s="48"/>
      <c r="D411" s="48"/>
      <c r="E411" s="48"/>
      <c r="F411" s="422"/>
      <c r="G411" s="422"/>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row>
    <row r="412">
      <c r="A412" s="48"/>
      <c r="B412" s="48"/>
      <c r="C412" s="48"/>
      <c r="D412" s="48"/>
      <c r="E412" s="48"/>
      <c r="F412" s="422"/>
      <c r="G412" s="422"/>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row>
    <row r="413">
      <c r="A413" s="48"/>
      <c r="B413" s="48"/>
      <c r="C413" s="48"/>
      <c r="D413" s="48"/>
      <c r="E413" s="48"/>
      <c r="F413" s="422"/>
      <c r="G413" s="422"/>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row>
    <row r="414">
      <c r="A414" s="48"/>
      <c r="B414" s="48"/>
      <c r="C414" s="48"/>
      <c r="D414" s="48"/>
      <c r="E414" s="48"/>
      <c r="F414" s="422"/>
      <c r="G414" s="422"/>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row>
    <row r="415">
      <c r="A415" s="48"/>
      <c r="B415" s="48"/>
      <c r="C415" s="48"/>
      <c r="D415" s="48"/>
      <c r="E415" s="48"/>
      <c r="F415" s="422"/>
      <c r="G415" s="422"/>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row>
    <row r="416">
      <c r="A416" s="48"/>
      <c r="B416" s="48"/>
      <c r="C416" s="48"/>
      <c r="D416" s="48"/>
      <c r="E416" s="48"/>
      <c r="F416" s="422"/>
      <c r="G416" s="422"/>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row>
    <row r="417">
      <c r="A417" s="48"/>
      <c r="B417" s="48"/>
      <c r="C417" s="48"/>
      <c r="D417" s="48"/>
      <c r="E417" s="48"/>
      <c r="F417" s="422"/>
      <c r="G417" s="422"/>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row>
    <row r="418">
      <c r="A418" s="48"/>
      <c r="B418" s="48"/>
      <c r="C418" s="48"/>
      <c r="D418" s="48"/>
      <c r="E418" s="48"/>
      <c r="F418" s="422"/>
      <c r="G418" s="422"/>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row>
    <row r="419">
      <c r="A419" s="48"/>
      <c r="B419" s="48"/>
      <c r="C419" s="48"/>
      <c r="D419" s="48"/>
      <c r="E419" s="48"/>
      <c r="F419" s="422"/>
      <c r="G419" s="422"/>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row>
    <row r="420">
      <c r="A420" s="48"/>
      <c r="B420" s="48"/>
      <c r="C420" s="48"/>
      <c r="D420" s="48"/>
      <c r="E420" s="48"/>
      <c r="F420" s="422"/>
      <c r="G420" s="422"/>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row>
    <row r="421">
      <c r="A421" s="48"/>
      <c r="B421" s="48"/>
      <c r="C421" s="48"/>
      <c r="D421" s="48"/>
      <c r="E421" s="48"/>
      <c r="F421" s="422"/>
      <c r="G421" s="422"/>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row>
    <row r="422">
      <c r="A422" s="48"/>
      <c r="B422" s="48"/>
      <c r="C422" s="48"/>
      <c r="D422" s="48"/>
      <c r="E422" s="48"/>
      <c r="F422" s="422"/>
      <c r="G422" s="422"/>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row>
    <row r="423">
      <c r="A423" s="48"/>
      <c r="B423" s="48"/>
      <c r="C423" s="48"/>
      <c r="D423" s="48"/>
      <c r="E423" s="48"/>
      <c r="F423" s="422"/>
      <c r="G423" s="422"/>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row>
    <row r="424">
      <c r="A424" s="48"/>
      <c r="B424" s="48"/>
      <c r="C424" s="48"/>
      <c r="D424" s="48"/>
      <c r="E424" s="48"/>
      <c r="F424" s="422"/>
      <c r="G424" s="422"/>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row>
    <row r="425">
      <c r="A425" s="48"/>
      <c r="B425" s="48"/>
      <c r="C425" s="48"/>
      <c r="D425" s="48"/>
      <c r="E425" s="48"/>
      <c r="F425" s="422"/>
      <c r="G425" s="422"/>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row>
    <row r="426">
      <c r="A426" s="48"/>
      <c r="B426" s="48"/>
      <c r="C426" s="48"/>
      <c r="D426" s="48"/>
      <c r="E426" s="48"/>
      <c r="F426" s="422"/>
      <c r="G426" s="422"/>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row>
    <row r="427">
      <c r="A427" s="48"/>
      <c r="B427" s="48"/>
      <c r="C427" s="48"/>
      <c r="D427" s="48"/>
      <c r="E427" s="48"/>
      <c r="F427" s="422"/>
      <c r="G427" s="422"/>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row>
    <row r="428">
      <c r="A428" s="48"/>
      <c r="B428" s="48"/>
      <c r="C428" s="48"/>
      <c r="D428" s="48"/>
      <c r="E428" s="48"/>
      <c r="F428" s="422"/>
      <c r="G428" s="422"/>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row>
    <row r="429">
      <c r="A429" s="48"/>
      <c r="B429" s="48"/>
      <c r="C429" s="48"/>
      <c r="D429" s="48"/>
      <c r="E429" s="48"/>
      <c r="F429" s="422"/>
      <c r="G429" s="422"/>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row>
    <row r="430">
      <c r="A430" s="48"/>
      <c r="B430" s="48"/>
      <c r="C430" s="48"/>
      <c r="D430" s="48"/>
      <c r="E430" s="48"/>
      <c r="F430" s="422"/>
      <c r="G430" s="422"/>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row>
    <row r="431">
      <c r="A431" s="48"/>
      <c r="B431" s="48"/>
      <c r="C431" s="48"/>
      <c r="D431" s="48"/>
      <c r="E431" s="48"/>
      <c r="F431" s="422"/>
      <c r="G431" s="422"/>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row>
    <row r="432">
      <c r="A432" s="48"/>
      <c r="B432" s="48"/>
      <c r="C432" s="48"/>
      <c r="D432" s="48"/>
      <c r="E432" s="48"/>
      <c r="F432" s="422"/>
      <c r="G432" s="422"/>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row>
    <row r="433">
      <c r="A433" s="48"/>
      <c r="B433" s="48"/>
      <c r="C433" s="48"/>
      <c r="D433" s="48"/>
      <c r="E433" s="48"/>
      <c r="F433" s="422"/>
      <c r="G433" s="422"/>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row>
    <row r="434">
      <c r="A434" s="48"/>
      <c r="B434" s="48"/>
      <c r="C434" s="48"/>
      <c r="D434" s="48"/>
      <c r="E434" s="48"/>
      <c r="F434" s="422"/>
      <c r="G434" s="422"/>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row>
    <row r="435">
      <c r="A435" s="48"/>
      <c r="B435" s="48"/>
      <c r="C435" s="48"/>
      <c r="D435" s="48"/>
      <c r="E435" s="48"/>
      <c r="F435" s="422"/>
      <c r="G435" s="422"/>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row>
    <row r="436">
      <c r="A436" s="48"/>
      <c r="B436" s="48"/>
      <c r="C436" s="48"/>
      <c r="D436" s="48"/>
      <c r="E436" s="48"/>
      <c r="F436" s="422"/>
      <c r="G436" s="422"/>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row>
    <row r="437">
      <c r="A437" s="48"/>
      <c r="B437" s="48"/>
      <c r="C437" s="48"/>
      <c r="D437" s="48"/>
      <c r="E437" s="48"/>
      <c r="F437" s="422"/>
      <c r="G437" s="422"/>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row>
    <row r="438">
      <c r="A438" s="48"/>
      <c r="B438" s="48"/>
      <c r="C438" s="48"/>
      <c r="D438" s="48"/>
      <c r="E438" s="48"/>
      <c r="F438" s="422"/>
      <c r="G438" s="422"/>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row>
    <row r="439">
      <c r="A439" s="48"/>
      <c r="B439" s="48"/>
      <c r="C439" s="48"/>
      <c r="D439" s="48"/>
      <c r="E439" s="48"/>
      <c r="F439" s="422"/>
      <c r="G439" s="422"/>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row>
    <row r="440">
      <c r="A440" s="48"/>
      <c r="B440" s="48"/>
      <c r="C440" s="48"/>
      <c r="D440" s="48"/>
      <c r="E440" s="48"/>
      <c r="F440" s="422"/>
      <c r="G440" s="422"/>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row>
    <row r="441">
      <c r="A441" s="48"/>
      <c r="B441" s="48"/>
      <c r="C441" s="48"/>
      <c r="D441" s="48"/>
      <c r="E441" s="48"/>
      <c r="F441" s="422"/>
      <c r="G441" s="422"/>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row>
    <row r="442">
      <c r="A442" s="48"/>
      <c r="B442" s="48"/>
      <c r="C442" s="48"/>
      <c r="D442" s="48"/>
      <c r="E442" s="48"/>
      <c r="F442" s="422"/>
      <c r="G442" s="422"/>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row>
    <row r="443">
      <c r="A443" s="48"/>
      <c r="B443" s="48"/>
      <c r="C443" s="48"/>
      <c r="D443" s="48"/>
      <c r="E443" s="48"/>
      <c r="F443" s="422"/>
      <c r="G443" s="422"/>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row>
    <row r="444">
      <c r="A444" s="48"/>
      <c r="B444" s="48"/>
      <c r="C444" s="48"/>
      <c r="D444" s="48"/>
      <c r="E444" s="48"/>
      <c r="F444" s="422"/>
      <c r="G444" s="422"/>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row>
    <row r="445">
      <c r="A445" s="48"/>
      <c r="B445" s="48"/>
      <c r="C445" s="48"/>
      <c r="D445" s="48"/>
      <c r="E445" s="48"/>
      <c r="F445" s="422"/>
      <c r="G445" s="422"/>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row>
    <row r="446">
      <c r="A446" s="48"/>
      <c r="B446" s="48"/>
      <c r="C446" s="48"/>
      <c r="D446" s="48"/>
      <c r="E446" s="48"/>
      <c r="F446" s="422"/>
      <c r="G446" s="422"/>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row>
    <row r="447">
      <c r="A447" s="48"/>
      <c r="B447" s="48"/>
      <c r="C447" s="48"/>
      <c r="D447" s="48"/>
      <c r="E447" s="48"/>
      <c r="F447" s="422"/>
      <c r="G447" s="422"/>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row>
    <row r="448">
      <c r="A448" s="48"/>
      <c r="B448" s="48"/>
      <c r="C448" s="48"/>
      <c r="D448" s="48"/>
      <c r="E448" s="48"/>
      <c r="F448" s="422"/>
      <c r="G448" s="422"/>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row>
    <row r="449">
      <c r="A449" s="48"/>
      <c r="B449" s="48"/>
      <c r="C449" s="48"/>
      <c r="D449" s="48"/>
      <c r="E449" s="48"/>
      <c r="F449" s="422"/>
      <c r="G449" s="422"/>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row>
    <row r="450">
      <c r="A450" s="48"/>
      <c r="B450" s="48"/>
      <c r="C450" s="48"/>
      <c r="D450" s="48"/>
      <c r="E450" s="48"/>
      <c r="F450" s="422"/>
      <c r="G450" s="422"/>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row>
    <row r="451">
      <c r="A451" s="48"/>
      <c r="B451" s="48"/>
      <c r="C451" s="48"/>
      <c r="D451" s="48"/>
      <c r="E451" s="48"/>
      <c r="F451" s="422"/>
      <c r="G451" s="422"/>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row>
    <row r="452">
      <c r="A452" s="48"/>
      <c r="B452" s="48"/>
      <c r="C452" s="48"/>
      <c r="D452" s="48"/>
      <c r="E452" s="48"/>
      <c r="F452" s="422"/>
      <c r="G452" s="422"/>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row>
    <row r="453">
      <c r="A453" s="48"/>
      <c r="B453" s="48"/>
      <c r="C453" s="48"/>
      <c r="D453" s="48"/>
      <c r="E453" s="48"/>
      <c r="F453" s="422"/>
      <c r="G453" s="422"/>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row>
    <row r="454">
      <c r="A454" s="48"/>
      <c r="B454" s="48"/>
      <c r="C454" s="48"/>
      <c r="D454" s="48"/>
      <c r="E454" s="48"/>
      <c r="F454" s="422"/>
      <c r="G454" s="422"/>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row>
    <row r="455">
      <c r="A455" s="48"/>
      <c r="B455" s="48"/>
      <c r="C455" s="48"/>
      <c r="D455" s="48"/>
      <c r="E455" s="48"/>
      <c r="F455" s="422"/>
      <c r="G455" s="422"/>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row>
    <row r="456">
      <c r="A456" s="48"/>
      <c r="B456" s="48"/>
      <c r="C456" s="48"/>
      <c r="D456" s="48"/>
      <c r="E456" s="48"/>
      <c r="F456" s="422"/>
      <c r="G456" s="422"/>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row>
    <row r="457">
      <c r="A457" s="48"/>
      <c r="B457" s="48"/>
      <c r="C457" s="48"/>
      <c r="D457" s="48"/>
      <c r="E457" s="48"/>
      <c r="F457" s="422"/>
      <c r="G457" s="422"/>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row>
    <row r="458">
      <c r="A458" s="48"/>
      <c r="B458" s="48"/>
      <c r="C458" s="48"/>
      <c r="D458" s="48"/>
      <c r="E458" s="48"/>
      <c r="F458" s="422"/>
      <c r="G458" s="422"/>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row>
    <row r="459">
      <c r="A459" s="48"/>
      <c r="B459" s="48"/>
      <c r="C459" s="48"/>
      <c r="D459" s="48"/>
      <c r="E459" s="48"/>
      <c r="F459" s="422"/>
      <c r="G459" s="422"/>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row>
    <row r="460">
      <c r="A460" s="48"/>
      <c r="B460" s="48"/>
      <c r="C460" s="48"/>
      <c r="D460" s="48"/>
      <c r="E460" s="48"/>
      <c r="F460" s="422"/>
      <c r="G460" s="422"/>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row>
    <row r="461">
      <c r="A461" s="48"/>
      <c r="B461" s="48"/>
      <c r="C461" s="48"/>
      <c r="D461" s="48"/>
      <c r="E461" s="48"/>
      <c r="F461" s="422"/>
      <c r="G461" s="422"/>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row>
    <row r="462">
      <c r="A462" s="48"/>
      <c r="B462" s="48"/>
      <c r="C462" s="48"/>
      <c r="D462" s="48"/>
      <c r="E462" s="48"/>
      <c r="F462" s="422"/>
      <c r="G462" s="422"/>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row>
    <row r="463">
      <c r="A463" s="48"/>
      <c r="B463" s="48"/>
      <c r="C463" s="48"/>
      <c r="D463" s="48"/>
      <c r="E463" s="48"/>
      <c r="F463" s="422"/>
      <c r="G463" s="422"/>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row>
    <row r="464">
      <c r="A464" s="48"/>
      <c r="B464" s="48"/>
      <c r="C464" s="48"/>
      <c r="D464" s="48"/>
      <c r="E464" s="48"/>
      <c r="F464" s="422"/>
      <c r="G464" s="422"/>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row>
    <row r="465">
      <c r="A465" s="48"/>
      <c r="B465" s="48"/>
      <c r="C465" s="48"/>
      <c r="D465" s="48"/>
      <c r="E465" s="48"/>
      <c r="F465" s="422"/>
      <c r="G465" s="422"/>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row>
    <row r="466">
      <c r="A466" s="48"/>
      <c r="B466" s="48"/>
      <c r="C466" s="48"/>
      <c r="D466" s="48"/>
      <c r="E466" s="48"/>
      <c r="F466" s="422"/>
      <c r="G466" s="422"/>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row>
    <row r="467">
      <c r="A467" s="48"/>
      <c r="B467" s="48"/>
      <c r="C467" s="48"/>
      <c r="D467" s="48"/>
      <c r="E467" s="48"/>
      <c r="F467" s="422"/>
      <c r="G467" s="422"/>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row>
    <row r="468">
      <c r="A468" s="48"/>
      <c r="B468" s="48"/>
      <c r="C468" s="48"/>
      <c r="D468" s="48"/>
      <c r="E468" s="48"/>
      <c r="F468" s="422"/>
      <c r="G468" s="422"/>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row>
    <row r="469">
      <c r="A469" s="48"/>
      <c r="B469" s="48"/>
      <c r="C469" s="48"/>
      <c r="D469" s="48"/>
      <c r="E469" s="48"/>
      <c r="F469" s="422"/>
      <c r="G469" s="422"/>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row>
    <row r="470">
      <c r="A470" s="48"/>
      <c r="B470" s="48"/>
      <c r="C470" s="48"/>
      <c r="D470" s="48"/>
      <c r="E470" s="48"/>
      <c r="F470" s="422"/>
      <c r="G470" s="422"/>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row>
    <row r="471">
      <c r="A471" s="48"/>
      <c r="B471" s="48"/>
      <c r="C471" s="48"/>
      <c r="D471" s="48"/>
      <c r="E471" s="48"/>
      <c r="F471" s="422"/>
      <c r="G471" s="422"/>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row>
    <row r="472">
      <c r="A472" s="48"/>
      <c r="B472" s="48"/>
      <c r="C472" s="48"/>
      <c r="D472" s="48"/>
      <c r="E472" s="48"/>
      <c r="F472" s="422"/>
      <c r="G472" s="422"/>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row>
    <row r="473">
      <c r="A473" s="48"/>
      <c r="B473" s="48"/>
      <c r="C473" s="48"/>
      <c r="D473" s="48"/>
      <c r="E473" s="48"/>
      <c r="F473" s="422"/>
      <c r="G473" s="422"/>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row>
    <row r="474">
      <c r="A474" s="48"/>
      <c r="B474" s="48"/>
      <c r="C474" s="48"/>
      <c r="D474" s="48"/>
      <c r="E474" s="48"/>
      <c r="F474" s="422"/>
      <c r="G474" s="422"/>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row>
    <row r="475">
      <c r="A475" s="48"/>
      <c r="B475" s="48"/>
      <c r="C475" s="48"/>
      <c r="D475" s="48"/>
      <c r="E475" s="48"/>
      <c r="F475" s="422"/>
      <c r="G475" s="422"/>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row>
    <row r="476">
      <c r="A476" s="48"/>
      <c r="B476" s="48"/>
      <c r="C476" s="48"/>
      <c r="D476" s="48"/>
      <c r="E476" s="48"/>
      <c r="F476" s="422"/>
      <c r="G476" s="422"/>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row>
    <row r="477">
      <c r="A477" s="48"/>
      <c r="B477" s="48"/>
      <c r="C477" s="48"/>
      <c r="D477" s="48"/>
      <c r="E477" s="48"/>
      <c r="F477" s="422"/>
      <c r="G477" s="422"/>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row>
    <row r="478">
      <c r="A478" s="48"/>
      <c r="B478" s="48"/>
      <c r="C478" s="48"/>
      <c r="D478" s="48"/>
      <c r="E478" s="48"/>
      <c r="F478" s="422"/>
      <c r="G478" s="422"/>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row>
    <row r="479">
      <c r="A479" s="48"/>
      <c r="B479" s="48"/>
      <c r="C479" s="48"/>
      <c r="D479" s="48"/>
      <c r="E479" s="48"/>
      <c r="F479" s="422"/>
      <c r="G479" s="422"/>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row>
    <row r="480">
      <c r="A480" s="48"/>
      <c r="B480" s="48"/>
      <c r="C480" s="48"/>
      <c r="D480" s="48"/>
      <c r="E480" s="48"/>
      <c r="F480" s="422"/>
      <c r="G480" s="422"/>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row>
    <row r="481">
      <c r="A481" s="48"/>
      <c r="B481" s="48"/>
      <c r="C481" s="48"/>
      <c r="D481" s="48"/>
      <c r="E481" s="48"/>
      <c r="F481" s="422"/>
      <c r="G481" s="422"/>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row>
    <row r="482">
      <c r="A482" s="48"/>
      <c r="B482" s="48"/>
      <c r="C482" s="48"/>
      <c r="D482" s="48"/>
      <c r="E482" s="48"/>
      <c r="F482" s="422"/>
      <c r="G482" s="422"/>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row>
    <row r="483">
      <c r="A483" s="48"/>
      <c r="B483" s="48"/>
      <c r="C483" s="48"/>
      <c r="D483" s="48"/>
      <c r="E483" s="48"/>
      <c r="F483" s="422"/>
      <c r="G483" s="422"/>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row>
    <row r="484">
      <c r="A484" s="48"/>
      <c r="B484" s="48"/>
      <c r="C484" s="48"/>
      <c r="D484" s="48"/>
      <c r="E484" s="48"/>
      <c r="F484" s="422"/>
      <c r="G484" s="422"/>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row>
    <row r="485">
      <c r="A485" s="48"/>
      <c r="B485" s="48"/>
      <c r="C485" s="48"/>
      <c r="D485" s="48"/>
      <c r="E485" s="48"/>
      <c r="F485" s="422"/>
      <c r="G485" s="422"/>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row>
    <row r="486">
      <c r="A486" s="48"/>
      <c r="B486" s="48"/>
      <c r="C486" s="48"/>
      <c r="D486" s="48"/>
      <c r="E486" s="48"/>
      <c r="F486" s="422"/>
      <c r="G486" s="422"/>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row>
    <row r="487">
      <c r="A487" s="48"/>
      <c r="B487" s="48"/>
      <c r="C487" s="48"/>
      <c r="D487" s="48"/>
      <c r="E487" s="48"/>
      <c r="F487" s="422"/>
      <c r="G487" s="422"/>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row>
    <row r="488">
      <c r="A488" s="48"/>
      <c r="B488" s="48"/>
      <c r="C488" s="48"/>
      <c r="D488" s="48"/>
      <c r="E488" s="48"/>
      <c r="F488" s="422"/>
      <c r="G488" s="422"/>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row>
    <row r="489">
      <c r="A489" s="48"/>
      <c r="B489" s="48"/>
      <c r="C489" s="48"/>
      <c r="D489" s="48"/>
      <c r="E489" s="48"/>
      <c r="F489" s="422"/>
      <c r="G489" s="422"/>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row>
    <row r="490">
      <c r="A490" s="48"/>
      <c r="B490" s="48"/>
      <c r="C490" s="48"/>
      <c r="D490" s="48"/>
      <c r="E490" s="48"/>
      <c r="F490" s="422"/>
      <c r="G490" s="422"/>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row>
    <row r="491">
      <c r="A491" s="48"/>
      <c r="B491" s="48"/>
      <c r="C491" s="48"/>
      <c r="D491" s="48"/>
      <c r="E491" s="48"/>
      <c r="F491" s="422"/>
      <c r="G491" s="422"/>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row>
    <row r="492">
      <c r="A492" s="48"/>
      <c r="B492" s="48"/>
      <c r="C492" s="48"/>
      <c r="D492" s="48"/>
      <c r="E492" s="48"/>
      <c r="F492" s="422"/>
      <c r="G492" s="422"/>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row>
    <row r="493">
      <c r="A493" s="48"/>
      <c r="B493" s="48"/>
      <c r="C493" s="48"/>
      <c r="D493" s="48"/>
      <c r="E493" s="48"/>
      <c r="F493" s="422"/>
      <c r="G493" s="422"/>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row>
    <row r="494">
      <c r="A494" s="48"/>
      <c r="B494" s="48"/>
      <c r="C494" s="48"/>
      <c r="D494" s="48"/>
      <c r="E494" s="48"/>
      <c r="F494" s="422"/>
      <c r="G494" s="422"/>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row>
    <row r="495">
      <c r="A495" s="48"/>
      <c r="B495" s="48"/>
      <c r="C495" s="48"/>
      <c r="D495" s="48"/>
      <c r="E495" s="48"/>
      <c r="F495" s="422"/>
      <c r="G495" s="422"/>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row>
    <row r="496">
      <c r="A496" s="48"/>
      <c r="B496" s="48"/>
      <c r="C496" s="48"/>
      <c r="D496" s="48"/>
      <c r="E496" s="48"/>
      <c r="F496" s="422"/>
      <c r="G496" s="422"/>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row>
    <row r="497">
      <c r="A497" s="48"/>
      <c r="B497" s="48"/>
      <c r="C497" s="48"/>
      <c r="D497" s="48"/>
      <c r="E497" s="48"/>
      <c r="F497" s="422"/>
      <c r="G497" s="422"/>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row>
    <row r="498">
      <c r="A498" s="48"/>
      <c r="B498" s="48"/>
      <c r="C498" s="48"/>
      <c r="D498" s="48"/>
      <c r="E498" s="48"/>
      <c r="F498" s="422"/>
      <c r="G498" s="422"/>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row>
    <row r="499">
      <c r="A499" s="48"/>
      <c r="B499" s="48"/>
      <c r="C499" s="48"/>
      <c r="D499" s="48"/>
      <c r="E499" s="48"/>
      <c r="F499" s="422"/>
      <c r="G499" s="422"/>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row>
    <row r="500">
      <c r="A500" s="48"/>
      <c r="B500" s="48"/>
      <c r="C500" s="48"/>
      <c r="D500" s="48"/>
      <c r="E500" s="48"/>
      <c r="F500" s="422"/>
      <c r="G500" s="422"/>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row>
    <row r="501">
      <c r="A501" s="48"/>
      <c r="B501" s="48"/>
      <c r="C501" s="48"/>
      <c r="D501" s="48"/>
      <c r="E501" s="48"/>
      <c r="F501" s="422"/>
      <c r="G501" s="422"/>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row>
    <row r="502">
      <c r="A502" s="48"/>
      <c r="B502" s="48"/>
      <c r="C502" s="48"/>
      <c r="D502" s="48"/>
      <c r="E502" s="48"/>
      <c r="F502" s="422"/>
      <c r="G502" s="422"/>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row>
    <row r="503">
      <c r="A503" s="48"/>
      <c r="B503" s="48"/>
      <c r="C503" s="48"/>
      <c r="D503" s="48"/>
      <c r="E503" s="48"/>
      <c r="F503" s="422"/>
      <c r="G503" s="422"/>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row>
    <row r="504">
      <c r="A504" s="48"/>
      <c r="B504" s="48"/>
      <c r="C504" s="48"/>
      <c r="D504" s="48"/>
      <c r="E504" s="48"/>
      <c r="F504" s="422"/>
      <c r="G504" s="422"/>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row>
    <row r="505">
      <c r="A505" s="48"/>
      <c r="B505" s="48"/>
      <c r="C505" s="48"/>
      <c r="D505" s="48"/>
      <c r="E505" s="48"/>
      <c r="F505" s="422"/>
      <c r="G505" s="422"/>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row>
    <row r="506">
      <c r="A506" s="48"/>
      <c r="B506" s="48"/>
      <c r="C506" s="48"/>
      <c r="D506" s="48"/>
      <c r="E506" s="48"/>
      <c r="F506" s="422"/>
      <c r="G506" s="422"/>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row>
    <row r="507">
      <c r="A507" s="48"/>
      <c r="B507" s="48"/>
      <c r="C507" s="48"/>
      <c r="D507" s="48"/>
      <c r="E507" s="48"/>
      <c r="F507" s="422"/>
      <c r="G507" s="422"/>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row>
    <row r="508">
      <c r="A508" s="48"/>
      <c r="B508" s="48"/>
      <c r="C508" s="48"/>
      <c r="D508" s="48"/>
      <c r="E508" s="48"/>
      <c r="F508" s="422"/>
      <c r="G508" s="422"/>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row>
    <row r="509">
      <c r="A509" s="48"/>
      <c r="B509" s="48"/>
      <c r="C509" s="48"/>
      <c r="D509" s="48"/>
      <c r="E509" s="48"/>
      <c r="F509" s="422"/>
      <c r="G509" s="422"/>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row>
    <row r="510">
      <c r="A510" s="48"/>
      <c r="B510" s="48"/>
      <c r="C510" s="48"/>
      <c r="D510" s="48"/>
      <c r="E510" s="48"/>
      <c r="F510" s="422"/>
      <c r="G510" s="422"/>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row>
    <row r="511">
      <c r="A511" s="48"/>
      <c r="B511" s="48"/>
      <c r="C511" s="48"/>
      <c r="D511" s="48"/>
      <c r="E511" s="48"/>
      <c r="F511" s="422"/>
      <c r="G511" s="422"/>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row>
    <row r="512">
      <c r="A512" s="48"/>
      <c r="B512" s="48"/>
      <c r="C512" s="48"/>
      <c r="D512" s="48"/>
      <c r="E512" s="48"/>
      <c r="F512" s="422"/>
      <c r="G512" s="422"/>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row>
    <row r="513">
      <c r="A513" s="48"/>
      <c r="B513" s="48"/>
      <c r="C513" s="48"/>
      <c r="D513" s="48"/>
      <c r="E513" s="48"/>
      <c r="F513" s="422"/>
      <c r="G513" s="422"/>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row>
    <row r="514">
      <c r="A514" s="48"/>
      <c r="B514" s="48"/>
      <c r="C514" s="48"/>
      <c r="D514" s="48"/>
      <c r="E514" s="48"/>
      <c r="F514" s="422"/>
      <c r="G514" s="422"/>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row>
    <row r="515">
      <c r="A515" s="48"/>
      <c r="B515" s="48"/>
      <c r="C515" s="48"/>
      <c r="D515" s="48"/>
      <c r="E515" s="48"/>
      <c r="F515" s="422"/>
      <c r="G515" s="422"/>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row>
    <row r="516">
      <c r="A516" s="48"/>
      <c r="B516" s="48"/>
      <c r="C516" s="48"/>
      <c r="D516" s="48"/>
      <c r="E516" s="48"/>
      <c r="F516" s="422"/>
      <c r="G516" s="422"/>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row>
    <row r="517">
      <c r="A517" s="48"/>
      <c r="B517" s="48"/>
      <c r="C517" s="48"/>
      <c r="D517" s="48"/>
      <c r="E517" s="48"/>
      <c r="F517" s="422"/>
      <c r="G517" s="422"/>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row>
    <row r="518">
      <c r="A518" s="48"/>
      <c r="B518" s="48"/>
      <c r="C518" s="48"/>
      <c r="D518" s="48"/>
      <c r="E518" s="48"/>
      <c r="F518" s="422"/>
      <c r="G518" s="422"/>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row>
    <row r="519">
      <c r="A519" s="48"/>
      <c r="B519" s="48"/>
      <c r="C519" s="48"/>
      <c r="D519" s="48"/>
      <c r="E519" s="48"/>
      <c r="F519" s="422"/>
      <c r="G519" s="422"/>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row>
    <row r="520">
      <c r="A520" s="48"/>
      <c r="B520" s="48"/>
      <c r="C520" s="48"/>
      <c r="D520" s="48"/>
      <c r="E520" s="48"/>
      <c r="F520" s="422"/>
      <c r="G520" s="422"/>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row>
    <row r="521">
      <c r="A521" s="48"/>
      <c r="B521" s="48"/>
      <c r="C521" s="48"/>
      <c r="D521" s="48"/>
      <c r="E521" s="48"/>
      <c r="F521" s="422"/>
      <c r="G521" s="422"/>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row>
    <row r="522">
      <c r="A522" s="48"/>
      <c r="B522" s="48"/>
      <c r="C522" s="48"/>
      <c r="D522" s="48"/>
      <c r="E522" s="48"/>
      <c r="F522" s="422"/>
      <c r="G522" s="422"/>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row>
    <row r="523">
      <c r="A523" s="48"/>
      <c r="B523" s="48"/>
      <c r="C523" s="48"/>
      <c r="D523" s="48"/>
      <c r="E523" s="48"/>
      <c r="F523" s="422"/>
      <c r="G523" s="422"/>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row>
    <row r="524">
      <c r="A524" s="48"/>
      <c r="B524" s="48"/>
      <c r="C524" s="48"/>
      <c r="D524" s="48"/>
      <c r="E524" s="48"/>
      <c r="F524" s="422"/>
      <c r="G524" s="422"/>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row>
    <row r="525">
      <c r="A525" s="48"/>
      <c r="B525" s="48"/>
      <c r="C525" s="48"/>
      <c r="D525" s="48"/>
      <c r="E525" s="48"/>
      <c r="F525" s="422"/>
      <c r="G525" s="422"/>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row>
    <row r="526">
      <c r="A526" s="48"/>
      <c r="B526" s="48"/>
      <c r="C526" s="48"/>
      <c r="D526" s="48"/>
      <c r="E526" s="48"/>
      <c r="F526" s="422"/>
      <c r="G526" s="422"/>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row>
    <row r="527">
      <c r="A527" s="48"/>
      <c r="B527" s="48"/>
      <c r="C527" s="48"/>
      <c r="D527" s="48"/>
      <c r="E527" s="48"/>
      <c r="F527" s="422"/>
      <c r="G527" s="422"/>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row>
    <row r="528">
      <c r="A528" s="48"/>
      <c r="B528" s="48"/>
      <c r="C528" s="48"/>
      <c r="D528" s="48"/>
      <c r="E528" s="48"/>
      <c r="F528" s="422"/>
      <c r="G528" s="422"/>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row>
    <row r="529">
      <c r="A529" s="48"/>
      <c r="B529" s="48"/>
      <c r="C529" s="48"/>
      <c r="D529" s="48"/>
      <c r="E529" s="48"/>
      <c r="F529" s="422"/>
      <c r="G529" s="422"/>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row>
    <row r="530">
      <c r="A530" s="48"/>
      <c r="B530" s="48"/>
      <c r="C530" s="48"/>
      <c r="D530" s="48"/>
      <c r="E530" s="48"/>
      <c r="F530" s="422"/>
      <c r="G530" s="422"/>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row>
    <row r="531">
      <c r="A531" s="48"/>
      <c r="B531" s="48"/>
      <c r="C531" s="48"/>
      <c r="D531" s="48"/>
      <c r="E531" s="48"/>
      <c r="F531" s="422"/>
      <c r="G531" s="422"/>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row>
    <row r="532">
      <c r="A532" s="48"/>
      <c r="B532" s="48"/>
      <c r="C532" s="48"/>
      <c r="D532" s="48"/>
      <c r="E532" s="48"/>
      <c r="F532" s="422"/>
      <c r="G532" s="422"/>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row>
    <row r="533">
      <c r="A533" s="48"/>
      <c r="B533" s="48"/>
      <c r="C533" s="48"/>
      <c r="D533" s="48"/>
      <c r="E533" s="48"/>
      <c r="F533" s="422"/>
      <c r="G533" s="422"/>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row>
    <row r="534">
      <c r="A534" s="48"/>
      <c r="B534" s="48"/>
      <c r="C534" s="48"/>
      <c r="D534" s="48"/>
      <c r="E534" s="48"/>
      <c r="F534" s="422"/>
      <c r="G534" s="422"/>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row>
    <row r="535">
      <c r="A535" s="48"/>
      <c r="B535" s="48"/>
      <c r="C535" s="48"/>
      <c r="D535" s="48"/>
      <c r="E535" s="48"/>
      <c r="F535" s="422"/>
      <c r="G535" s="422"/>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row>
    <row r="536">
      <c r="A536" s="48"/>
      <c r="B536" s="48"/>
      <c r="C536" s="48"/>
      <c r="D536" s="48"/>
      <c r="E536" s="48"/>
      <c r="F536" s="422"/>
      <c r="G536" s="422"/>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row>
    <row r="537">
      <c r="A537" s="48"/>
      <c r="B537" s="48"/>
      <c r="C537" s="48"/>
      <c r="D537" s="48"/>
      <c r="E537" s="48"/>
      <c r="F537" s="422"/>
      <c r="G537" s="422"/>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row>
    <row r="538">
      <c r="A538" s="48"/>
      <c r="B538" s="48"/>
      <c r="C538" s="48"/>
      <c r="D538" s="48"/>
      <c r="E538" s="48"/>
      <c r="F538" s="422"/>
      <c r="G538" s="422"/>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row>
    <row r="539">
      <c r="A539" s="48"/>
      <c r="B539" s="48"/>
      <c r="C539" s="48"/>
      <c r="D539" s="48"/>
      <c r="E539" s="48"/>
      <c r="F539" s="422"/>
      <c r="G539" s="422"/>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row>
    <row r="540">
      <c r="A540" s="48"/>
      <c r="B540" s="48"/>
      <c r="C540" s="48"/>
      <c r="D540" s="48"/>
      <c r="E540" s="48"/>
      <c r="F540" s="422"/>
      <c r="G540" s="422"/>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row>
    <row r="541">
      <c r="A541" s="48"/>
      <c r="B541" s="48"/>
      <c r="C541" s="48"/>
      <c r="D541" s="48"/>
      <c r="E541" s="48"/>
      <c r="F541" s="422"/>
      <c r="G541" s="422"/>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row>
    <row r="542">
      <c r="A542" s="48"/>
      <c r="B542" s="48"/>
      <c r="C542" s="48"/>
      <c r="D542" s="48"/>
      <c r="E542" s="48"/>
      <c r="F542" s="422"/>
      <c r="G542" s="422"/>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row>
    <row r="543">
      <c r="A543" s="48"/>
      <c r="B543" s="48"/>
      <c r="C543" s="48"/>
      <c r="D543" s="48"/>
      <c r="E543" s="48"/>
      <c r="F543" s="422"/>
      <c r="G543" s="422"/>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row>
    <row r="544">
      <c r="A544" s="48"/>
      <c r="B544" s="48"/>
      <c r="C544" s="48"/>
      <c r="D544" s="48"/>
      <c r="E544" s="48"/>
      <c r="F544" s="422"/>
      <c r="G544" s="422"/>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row>
    <row r="545">
      <c r="A545" s="48"/>
      <c r="B545" s="48"/>
      <c r="C545" s="48"/>
      <c r="D545" s="48"/>
      <c r="E545" s="48"/>
      <c r="F545" s="422"/>
      <c r="G545" s="422"/>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row>
    <row r="546">
      <c r="A546" s="48"/>
      <c r="B546" s="48"/>
      <c r="C546" s="48"/>
      <c r="D546" s="48"/>
      <c r="E546" s="48"/>
      <c r="F546" s="422"/>
      <c r="G546" s="422"/>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row>
    <row r="547">
      <c r="A547" s="48"/>
      <c r="B547" s="48"/>
      <c r="C547" s="48"/>
      <c r="D547" s="48"/>
      <c r="E547" s="48"/>
      <c r="F547" s="422"/>
      <c r="G547" s="422"/>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row>
    <row r="548">
      <c r="A548" s="48"/>
      <c r="B548" s="48"/>
      <c r="C548" s="48"/>
      <c r="D548" s="48"/>
      <c r="E548" s="48"/>
      <c r="F548" s="422"/>
      <c r="G548" s="422"/>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row>
    <row r="549">
      <c r="A549" s="48"/>
      <c r="B549" s="48"/>
      <c r="C549" s="48"/>
      <c r="D549" s="48"/>
      <c r="E549" s="48"/>
      <c r="F549" s="422"/>
      <c r="G549" s="422"/>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row>
    <row r="550">
      <c r="A550" s="48"/>
      <c r="B550" s="48"/>
      <c r="C550" s="48"/>
      <c r="D550" s="48"/>
      <c r="E550" s="48"/>
      <c r="F550" s="422"/>
      <c r="G550" s="422"/>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row>
    <row r="551">
      <c r="A551" s="48"/>
      <c r="B551" s="48"/>
      <c r="C551" s="48"/>
      <c r="D551" s="48"/>
      <c r="E551" s="48"/>
      <c r="F551" s="422"/>
      <c r="G551" s="422"/>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row>
    <row r="552">
      <c r="A552" s="48"/>
      <c r="B552" s="48"/>
      <c r="C552" s="48"/>
      <c r="D552" s="48"/>
      <c r="E552" s="48"/>
      <c r="F552" s="422"/>
      <c r="G552" s="422"/>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row>
    <row r="553">
      <c r="A553" s="48"/>
      <c r="B553" s="48"/>
      <c r="C553" s="48"/>
      <c r="D553" s="48"/>
      <c r="E553" s="48"/>
      <c r="F553" s="422"/>
      <c r="G553" s="422"/>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row>
    <row r="554">
      <c r="A554" s="48"/>
      <c r="B554" s="48"/>
      <c r="C554" s="48"/>
      <c r="D554" s="48"/>
      <c r="E554" s="48"/>
      <c r="F554" s="422"/>
      <c r="G554" s="422"/>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row>
    <row r="555">
      <c r="A555" s="48"/>
      <c r="B555" s="48"/>
      <c r="C555" s="48"/>
      <c r="D555" s="48"/>
      <c r="E555" s="48"/>
      <c r="F555" s="422"/>
      <c r="G555" s="422"/>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row>
    <row r="556">
      <c r="A556" s="48"/>
      <c r="B556" s="48"/>
      <c r="C556" s="48"/>
      <c r="D556" s="48"/>
      <c r="E556" s="48"/>
      <c r="F556" s="422"/>
      <c r="G556" s="422"/>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row>
    <row r="557">
      <c r="A557" s="48"/>
      <c r="B557" s="48"/>
      <c r="C557" s="48"/>
      <c r="D557" s="48"/>
      <c r="E557" s="48"/>
      <c r="F557" s="422"/>
      <c r="G557" s="422"/>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row>
    <row r="558">
      <c r="A558" s="48"/>
      <c r="B558" s="48"/>
      <c r="C558" s="48"/>
      <c r="D558" s="48"/>
      <c r="E558" s="48"/>
      <c r="F558" s="422"/>
      <c r="G558" s="422"/>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row>
    <row r="559">
      <c r="A559" s="48"/>
      <c r="B559" s="48"/>
      <c r="C559" s="48"/>
      <c r="D559" s="48"/>
      <c r="E559" s="48"/>
      <c r="F559" s="422"/>
      <c r="G559" s="422"/>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row>
    <row r="560">
      <c r="A560" s="48"/>
      <c r="B560" s="48"/>
      <c r="C560" s="48"/>
      <c r="D560" s="48"/>
      <c r="E560" s="48"/>
      <c r="F560" s="422"/>
      <c r="G560" s="422"/>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row>
    <row r="561">
      <c r="A561" s="48"/>
      <c r="B561" s="48"/>
      <c r="C561" s="48"/>
      <c r="D561" s="48"/>
      <c r="E561" s="48"/>
      <c r="F561" s="422"/>
      <c r="G561" s="422"/>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row>
    <row r="562">
      <c r="A562" s="48"/>
      <c r="B562" s="48"/>
      <c r="C562" s="48"/>
      <c r="D562" s="48"/>
      <c r="E562" s="48"/>
      <c r="F562" s="422"/>
      <c r="G562" s="422"/>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row>
    <row r="563">
      <c r="A563" s="48"/>
      <c r="B563" s="48"/>
      <c r="C563" s="48"/>
      <c r="D563" s="48"/>
      <c r="E563" s="48"/>
      <c r="F563" s="422"/>
      <c r="G563" s="422"/>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row>
    <row r="564">
      <c r="A564" s="48"/>
      <c r="B564" s="48"/>
      <c r="C564" s="48"/>
      <c r="D564" s="48"/>
      <c r="E564" s="48"/>
      <c r="F564" s="422"/>
      <c r="G564" s="422"/>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row>
    <row r="565">
      <c r="A565" s="48"/>
      <c r="B565" s="48"/>
      <c r="C565" s="48"/>
      <c r="D565" s="48"/>
      <c r="E565" s="48"/>
      <c r="F565" s="422"/>
      <c r="G565" s="422"/>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row>
    <row r="566">
      <c r="A566" s="48"/>
      <c r="B566" s="48"/>
      <c r="C566" s="48"/>
      <c r="D566" s="48"/>
      <c r="E566" s="48"/>
      <c r="F566" s="422"/>
      <c r="G566" s="422"/>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row>
    <row r="567">
      <c r="A567" s="48"/>
      <c r="B567" s="48"/>
      <c r="C567" s="48"/>
      <c r="D567" s="48"/>
      <c r="E567" s="48"/>
      <c r="F567" s="422"/>
      <c r="G567" s="422"/>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row>
    <row r="568">
      <c r="A568" s="48"/>
      <c r="B568" s="48"/>
      <c r="C568" s="48"/>
      <c r="D568" s="48"/>
      <c r="E568" s="48"/>
      <c r="F568" s="422"/>
      <c r="G568" s="422"/>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row>
    <row r="569">
      <c r="A569" s="48"/>
      <c r="B569" s="48"/>
      <c r="C569" s="48"/>
      <c r="D569" s="48"/>
      <c r="E569" s="48"/>
      <c r="F569" s="422"/>
      <c r="G569" s="422"/>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row>
    <row r="570">
      <c r="A570" s="48"/>
      <c r="B570" s="48"/>
      <c r="C570" s="48"/>
      <c r="D570" s="48"/>
      <c r="E570" s="48"/>
      <c r="F570" s="422"/>
      <c r="G570" s="422"/>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row>
    <row r="571">
      <c r="A571" s="48"/>
      <c r="B571" s="48"/>
      <c r="C571" s="48"/>
      <c r="D571" s="48"/>
      <c r="E571" s="48"/>
      <c r="F571" s="422"/>
      <c r="G571" s="422"/>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row>
    <row r="572">
      <c r="A572" s="48"/>
      <c r="B572" s="48"/>
      <c r="C572" s="48"/>
      <c r="D572" s="48"/>
      <c r="E572" s="48"/>
      <c r="F572" s="422"/>
      <c r="G572" s="422"/>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row>
    <row r="573">
      <c r="A573" s="48"/>
      <c r="B573" s="48"/>
      <c r="C573" s="48"/>
      <c r="D573" s="48"/>
      <c r="E573" s="48"/>
      <c r="F573" s="422"/>
      <c r="G573" s="422"/>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row>
    <row r="574">
      <c r="A574" s="48"/>
      <c r="B574" s="48"/>
      <c r="C574" s="48"/>
      <c r="D574" s="48"/>
      <c r="E574" s="48"/>
      <c r="F574" s="422"/>
      <c r="G574" s="422"/>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row>
    <row r="575">
      <c r="A575" s="48"/>
      <c r="B575" s="48"/>
      <c r="C575" s="48"/>
      <c r="D575" s="48"/>
      <c r="E575" s="48"/>
      <c r="F575" s="422"/>
      <c r="G575" s="422"/>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row>
    <row r="576">
      <c r="A576" s="48"/>
      <c r="B576" s="48"/>
      <c r="C576" s="48"/>
      <c r="D576" s="48"/>
      <c r="E576" s="48"/>
      <c r="F576" s="422"/>
      <c r="G576" s="422"/>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row>
    <row r="577">
      <c r="A577" s="48"/>
      <c r="B577" s="48"/>
      <c r="C577" s="48"/>
      <c r="D577" s="48"/>
      <c r="E577" s="48"/>
      <c r="F577" s="422"/>
      <c r="G577" s="422"/>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row>
    <row r="578">
      <c r="A578" s="48"/>
      <c r="B578" s="48"/>
      <c r="C578" s="48"/>
      <c r="D578" s="48"/>
      <c r="E578" s="48"/>
      <c r="F578" s="422"/>
      <c r="G578" s="422"/>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row>
    <row r="579">
      <c r="A579" s="48"/>
      <c r="B579" s="48"/>
      <c r="C579" s="48"/>
      <c r="D579" s="48"/>
      <c r="E579" s="48"/>
      <c r="F579" s="422"/>
      <c r="G579" s="422"/>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row>
    <row r="580">
      <c r="A580" s="48"/>
      <c r="B580" s="48"/>
      <c r="C580" s="48"/>
      <c r="D580" s="48"/>
      <c r="E580" s="48"/>
      <c r="F580" s="422"/>
      <c r="G580" s="422"/>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row>
    <row r="581">
      <c r="A581" s="48"/>
      <c r="B581" s="48"/>
      <c r="C581" s="48"/>
      <c r="D581" s="48"/>
      <c r="E581" s="48"/>
      <c r="F581" s="422"/>
      <c r="G581" s="422"/>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row>
    <row r="582">
      <c r="A582" s="48"/>
      <c r="B582" s="48"/>
      <c r="C582" s="48"/>
      <c r="D582" s="48"/>
      <c r="E582" s="48"/>
      <c r="F582" s="422"/>
      <c r="G582" s="422"/>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row>
    <row r="583">
      <c r="A583" s="48"/>
      <c r="B583" s="48"/>
      <c r="C583" s="48"/>
      <c r="D583" s="48"/>
      <c r="E583" s="48"/>
      <c r="F583" s="422"/>
      <c r="G583" s="422"/>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row>
    <row r="584">
      <c r="A584" s="48"/>
      <c r="B584" s="48"/>
      <c r="C584" s="48"/>
      <c r="D584" s="48"/>
      <c r="E584" s="48"/>
      <c r="F584" s="422"/>
      <c r="G584" s="422"/>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row>
    <row r="585">
      <c r="A585" s="48"/>
      <c r="B585" s="48"/>
      <c r="C585" s="48"/>
      <c r="D585" s="48"/>
      <c r="E585" s="48"/>
      <c r="F585" s="422"/>
      <c r="G585" s="422"/>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row>
    <row r="586">
      <c r="A586" s="48"/>
      <c r="B586" s="48"/>
      <c r="C586" s="48"/>
      <c r="D586" s="48"/>
      <c r="E586" s="48"/>
      <c r="F586" s="422"/>
      <c r="G586" s="422"/>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row>
    <row r="587">
      <c r="A587" s="48"/>
      <c r="B587" s="48"/>
      <c r="C587" s="48"/>
      <c r="D587" s="48"/>
      <c r="E587" s="48"/>
      <c r="F587" s="422"/>
      <c r="G587" s="422"/>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row>
    <row r="588">
      <c r="A588" s="48"/>
      <c r="B588" s="48"/>
      <c r="C588" s="48"/>
      <c r="D588" s="48"/>
      <c r="E588" s="48"/>
      <c r="F588" s="422"/>
      <c r="G588" s="422"/>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row>
    <row r="589">
      <c r="A589" s="48"/>
      <c r="B589" s="48"/>
      <c r="C589" s="48"/>
      <c r="D589" s="48"/>
      <c r="E589" s="48"/>
      <c r="F589" s="422"/>
      <c r="G589" s="422"/>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row>
    <row r="590">
      <c r="A590" s="48"/>
      <c r="B590" s="48"/>
      <c r="C590" s="48"/>
      <c r="D590" s="48"/>
      <c r="E590" s="48"/>
      <c r="F590" s="422"/>
      <c r="G590" s="422"/>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row>
    <row r="591">
      <c r="A591" s="48"/>
      <c r="B591" s="48"/>
      <c r="C591" s="48"/>
      <c r="D591" s="48"/>
      <c r="E591" s="48"/>
      <c r="F591" s="422"/>
      <c r="G591" s="422"/>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row>
    <row r="592">
      <c r="A592" s="48"/>
      <c r="B592" s="48"/>
      <c r="C592" s="48"/>
      <c r="D592" s="48"/>
      <c r="E592" s="48"/>
      <c r="F592" s="422"/>
      <c r="G592" s="422"/>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row>
    <row r="593">
      <c r="A593" s="48"/>
      <c r="B593" s="48"/>
      <c r="C593" s="48"/>
      <c r="D593" s="48"/>
      <c r="E593" s="48"/>
      <c r="F593" s="422"/>
      <c r="G593" s="422"/>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row>
    <row r="594">
      <c r="A594" s="48"/>
      <c r="B594" s="48"/>
      <c r="C594" s="48"/>
      <c r="D594" s="48"/>
      <c r="E594" s="48"/>
      <c r="F594" s="422"/>
      <c r="G594" s="422"/>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row>
    <row r="595">
      <c r="A595" s="48"/>
      <c r="B595" s="48"/>
      <c r="C595" s="48"/>
      <c r="D595" s="48"/>
      <c r="E595" s="48"/>
      <c r="F595" s="422"/>
      <c r="G595" s="422"/>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row>
    <row r="596">
      <c r="A596" s="48"/>
      <c r="B596" s="48"/>
      <c r="C596" s="48"/>
      <c r="D596" s="48"/>
      <c r="E596" s="48"/>
      <c r="F596" s="422"/>
      <c r="G596" s="422"/>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row>
    <row r="597">
      <c r="A597" s="48"/>
      <c r="B597" s="48"/>
      <c r="C597" s="48"/>
      <c r="D597" s="48"/>
      <c r="E597" s="48"/>
      <c r="F597" s="422"/>
      <c r="G597" s="422"/>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row>
    <row r="598">
      <c r="A598" s="48"/>
      <c r="B598" s="48"/>
      <c r="C598" s="48"/>
      <c r="D598" s="48"/>
      <c r="E598" s="48"/>
      <c r="F598" s="422"/>
      <c r="G598" s="422"/>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row>
    <row r="599">
      <c r="A599" s="48"/>
      <c r="B599" s="48"/>
      <c r="C599" s="48"/>
      <c r="D599" s="48"/>
      <c r="E599" s="48"/>
      <c r="F599" s="422"/>
      <c r="G599" s="422"/>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row>
    <row r="600">
      <c r="A600" s="48"/>
      <c r="B600" s="48"/>
      <c r="C600" s="48"/>
      <c r="D600" s="48"/>
      <c r="E600" s="48"/>
      <c r="F600" s="422"/>
      <c r="G600" s="422"/>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row>
    <row r="601">
      <c r="A601" s="48"/>
      <c r="B601" s="48"/>
      <c r="C601" s="48"/>
      <c r="D601" s="48"/>
      <c r="E601" s="48"/>
      <c r="F601" s="422"/>
      <c r="G601" s="422"/>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row>
    <row r="602">
      <c r="A602" s="48"/>
      <c r="B602" s="48"/>
      <c r="C602" s="48"/>
      <c r="D602" s="48"/>
      <c r="E602" s="48"/>
      <c r="F602" s="422"/>
      <c r="G602" s="422"/>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row>
    <row r="603">
      <c r="A603" s="48"/>
      <c r="B603" s="48"/>
      <c r="C603" s="48"/>
      <c r="D603" s="48"/>
      <c r="E603" s="48"/>
      <c r="F603" s="422"/>
      <c r="G603" s="422"/>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row>
    <row r="604">
      <c r="A604" s="48"/>
      <c r="B604" s="48"/>
      <c r="C604" s="48"/>
      <c r="D604" s="48"/>
      <c r="E604" s="48"/>
      <c r="F604" s="422"/>
      <c r="G604" s="422"/>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row>
    <row r="605">
      <c r="A605" s="48"/>
      <c r="B605" s="48"/>
      <c r="C605" s="48"/>
      <c r="D605" s="48"/>
      <c r="E605" s="48"/>
      <c r="F605" s="422"/>
      <c r="G605" s="422"/>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row>
    <row r="606">
      <c r="A606" s="48"/>
      <c r="B606" s="48"/>
      <c r="C606" s="48"/>
      <c r="D606" s="48"/>
      <c r="E606" s="48"/>
      <c r="F606" s="422"/>
      <c r="G606" s="422"/>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row>
    <row r="607">
      <c r="A607" s="48"/>
      <c r="B607" s="48"/>
      <c r="C607" s="48"/>
      <c r="D607" s="48"/>
      <c r="E607" s="48"/>
      <c r="F607" s="422"/>
      <c r="G607" s="422"/>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row>
    <row r="608">
      <c r="A608" s="48"/>
      <c r="B608" s="48"/>
      <c r="C608" s="48"/>
      <c r="D608" s="48"/>
      <c r="E608" s="48"/>
      <c r="F608" s="422"/>
      <c r="G608" s="422"/>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row>
    <row r="609">
      <c r="A609" s="48"/>
      <c r="B609" s="48"/>
      <c r="C609" s="48"/>
      <c r="D609" s="48"/>
      <c r="E609" s="48"/>
      <c r="F609" s="422"/>
      <c r="G609" s="422"/>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row>
    <row r="610">
      <c r="A610" s="48"/>
      <c r="B610" s="48"/>
      <c r="C610" s="48"/>
      <c r="D610" s="48"/>
      <c r="E610" s="48"/>
      <c r="F610" s="422"/>
      <c r="G610" s="422"/>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row>
    <row r="611">
      <c r="A611" s="48"/>
      <c r="B611" s="48"/>
      <c r="C611" s="48"/>
      <c r="D611" s="48"/>
      <c r="E611" s="48"/>
      <c r="F611" s="422"/>
      <c r="G611" s="422"/>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row>
    <row r="612">
      <c r="A612" s="48"/>
      <c r="B612" s="48"/>
      <c r="C612" s="48"/>
      <c r="D612" s="48"/>
      <c r="E612" s="48"/>
      <c r="F612" s="422"/>
      <c r="G612" s="422"/>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row>
    <row r="613">
      <c r="A613" s="48"/>
      <c r="B613" s="48"/>
      <c r="C613" s="48"/>
      <c r="D613" s="48"/>
      <c r="E613" s="48"/>
      <c r="F613" s="422"/>
      <c r="G613" s="422"/>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row>
    <row r="614">
      <c r="A614" s="48"/>
      <c r="B614" s="48"/>
      <c r="C614" s="48"/>
      <c r="D614" s="48"/>
      <c r="E614" s="48"/>
      <c r="F614" s="422"/>
      <c r="G614" s="422"/>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row>
    <row r="615">
      <c r="A615" s="48"/>
      <c r="B615" s="48"/>
      <c r="C615" s="48"/>
      <c r="D615" s="48"/>
      <c r="E615" s="48"/>
      <c r="F615" s="422"/>
      <c r="G615" s="422"/>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row>
    <row r="616">
      <c r="A616" s="48"/>
      <c r="B616" s="48"/>
      <c r="C616" s="48"/>
      <c r="D616" s="48"/>
      <c r="E616" s="48"/>
      <c r="F616" s="422"/>
      <c r="G616" s="422"/>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row>
    <row r="617">
      <c r="A617" s="48"/>
      <c r="B617" s="48"/>
      <c r="C617" s="48"/>
      <c r="D617" s="48"/>
      <c r="E617" s="48"/>
      <c r="F617" s="422"/>
      <c r="G617" s="422"/>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row>
    <row r="618">
      <c r="A618" s="48"/>
      <c r="B618" s="48"/>
      <c r="C618" s="48"/>
      <c r="D618" s="48"/>
      <c r="E618" s="48"/>
      <c r="F618" s="422"/>
      <c r="G618" s="422"/>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row>
    <row r="619">
      <c r="A619" s="48"/>
      <c r="B619" s="48"/>
      <c r="C619" s="48"/>
      <c r="D619" s="48"/>
      <c r="E619" s="48"/>
      <c r="F619" s="422"/>
      <c r="G619" s="422"/>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row>
    <row r="620">
      <c r="A620" s="48"/>
      <c r="B620" s="48"/>
      <c r="C620" s="48"/>
      <c r="D620" s="48"/>
      <c r="E620" s="48"/>
      <c r="F620" s="422"/>
      <c r="G620" s="422"/>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row>
    <row r="621">
      <c r="A621" s="48"/>
      <c r="B621" s="48"/>
      <c r="C621" s="48"/>
      <c r="D621" s="48"/>
      <c r="E621" s="48"/>
      <c r="F621" s="422"/>
      <c r="G621" s="422"/>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row>
    <row r="622">
      <c r="A622" s="48"/>
      <c r="B622" s="48"/>
      <c r="C622" s="48"/>
      <c r="D622" s="48"/>
      <c r="E622" s="48"/>
      <c r="F622" s="422"/>
      <c r="G622" s="422"/>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row>
    <row r="623">
      <c r="A623" s="48"/>
      <c r="B623" s="48"/>
      <c r="C623" s="48"/>
      <c r="D623" s="48"/>
      <c r="E623" s="48"/>
      <c r="F623" s="422"/>
      <c r="G623" s="422"/>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row>
    <row r="624">
      <c r="A624" s="48"/>
      <c r="B624" s="48"/>
      <c r="C624" s="48"/>
      <c r="D624" s="48"/>
      <c r="E624" s="48"/>
      <c r="F624" s="422"/>
      <c r="G624" s="422"/>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row>
    <row r="625">
      <c r="A625" s="48"/>
      <c r="B625" s="48"/>
      <c r="C625" s="48"/>
      <c r="D625" s="48"/>
      <c r="E625" s="48"/>
      <c r="F625" s="422"/>
      <c r="G625" s="422"/>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row>
    <row r="626">
      <c r="A626" s="48"/>
      <c r="B626" s="48"/>
      <c r="C626" s="48"/>
      <c r="D626" s="48"/>
      <c r="E626" s="48"/>
      <c r="F626" s="422"/>
      <c r="G626" s="422"/>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row>
    <row r="627">
      <c r="A627" s="48"/>
      <c r="B627" s="48"/>
      <c r="C627" s="48"/>
      <c r="D627" s="48"/>
      <c r="E627" s="48"/>
      <c r="F627" s="422"/>
      <c r="G627" s="422"/>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row>
    <row r="628">
      <c r="A628" s="48"/>
      <c r="B628" s="48"/>
      <c r="C628" s="48"/>
      <c r="D628" s="48"/>
      <c r="E628" s="48"/>
      <c r="F628" s="422"/>
      <c r="G628" s="422"/>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row>
    <row r="629">
      <c r="A629" s="48"/>
      <c r="B629" s="48"/>
      <c r="C629" s="48"/>
      <c r="D629" s="48"/>
      <c r="E629" s="48"/>
      <c r="F629" s="422"/>
      <c r="G629" s="422"/>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row>
    <row r="630">
      <c r="A630" s="48"/>
      <c r="B630" s="48"/>
      <c r="C630" s="48"/>
      <c r="D630" s="48"/>
      <c r="E630" s="48"/>
      <c r="F630" s="422"/>
      <c r="G630" s="422"/>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row>
    <row r="631">
      <c r="A631" s="48"/>
      <c r="B631" s="48"/>
      <c r="C631" s="48"/>
      <c r="D631" s="48"/>
      <c r="E631" s="48"/>
      <c r="F631" s="422"/>
      <c r="G631" s="422"/>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row>
    <row r="632">
      <c r="A632" s="48"/>
      <c r="B632" s="48"/>
      <c r="C632" s="48"/>
      <c r="D632" s="48"/>
      <c r="E632" s="48"/>
      <c r="F632" s="422"/>
      <c r="G632" s="422"/>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row>
    <row r="633">
      <c r="A633" s="48"/>
      <c r="B633" s="48"/>
      <c r="C633" s="48"/>
      <c r="D633" s="48"/>
      <c r="E633" s="48"/>
      <c r="F633" s="422"/>
      <c r="G633" s="422"/>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row>
    <row r="634">
      <c r="A634" s="48"/>
      <c r="B634" s="48"/>
      <c r="C634" s="48"/>
      <c r="D634" s="48"/>
      <c r="E634" s="48"/>
      <c r="F634" s="422"/>
      <c r="G634" s="422"/>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row>
    <row r="635">
      <c r="A635" s="48"/>
      <c r="B635" s="48"/>
      <c r="C635" s="48"/>
      <c r="D635" s="48"/>
      <c r="E635" s="48"/>
      <c r="F635" s="422"/>
      <c r="G635" s="422"/>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row>
    <row r="636">
      <c r="A636" s="48"/>
      <c r="B636" s="48"/>
      <c r="C636" s="48"/>
      <c r="D636" s="48"/>
      <c r="E636" s="48"/>
      <c r="F636" s="422"/>
      <c r="G636" s="422"/>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row>
    <row r="637">
      <c r="A637" s="48"/>
      <c r="B637" s="48"/>
      <c r="C637" s="48"/>
      <c r="D637" s="48"/>
      <c r="E637" s="48"/>
      <c r="F637" s="422"/>
      <c r="G637" s="422"/>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row>
    <row r="638">
      <c r="A638" s="48"/>
      <c r="B638" s="48"/>
      <c r="C638" s="48"/>
      <c r="D638" s="48"/>
      <c r="E638" s="48"/>
      <c r="F638" s="422"/>
      <c r="G638" s="422"/>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row>
    <row r="639">
      <c r="A639" s="48"/>
      <c r="B639" s="48"/>
      <c r="C639" s="48"/>
      <c r="D639" s="48"/>
      <c r="E639" s="48"/>
      <c r="F639" s="422"/>
      <c r="G639" s="422"/>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row>
    <row r="640">
      <c r="A640" s="48"/>
      <c r="B640" s="48"/>
      <c r="C640" s="48"/>
      <c r="D640" s="48"/>
      <c r="E640" s="48"/>
      <c r="F640" s="422"/>
      <c r="G640" s="422"/>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row>
    <row r="641">
      <c r="A641" s="48"/>
      <c r="B641" s="48"/>
      <c r="C641" s="48"/>
      <c r="D641" s="48"/>
      <c r="E641" s="48"/>
      <c r="F641" s="422"/>
      <c r="G641" s="422"/>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row>
    <row r="642">
      <c r="A642" s="48"/>
      <c r="B642" s="48"/>
      <c r="C642" s="48"/>
      <c r="D642" s="48"/>
      <c r="E642" s="48"/>
      <c r="F642" s="422"/>
      <c r="G642" s="422"/>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row>
    <row r="643">
      <c r="A643" s="48"/>
      <c r="B643" s="48"/>
      <c r="C643" s="48"/>
      <c r="D643" s="48"/>
      <c r="E643" s="48"/>
      <c r="F643" s="422"/>
      <c r="G643" s="422"/>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row>
    <row r="644">
      <c r="A644" s="48"/>
      <c r="B644" s="48"/>
      <c r="C644" s="48"/>
      <c r="D644" s="48"/>
      <c r="E644" s="48"/>
      <c r="F644" s="422"/>
      <c r="G644" s="422"/>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row>
    <row r="645">
      <c r="A645" s="48"/>
      <c r="B645" s="48"/>
      <c r="C645" s="48"/>
      <c r="D645" s="48"/>
      <c r="E645" s="48"/>
      <c r="F645" s="422"/>
      <c r="G645" s="422"/>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row>
    <row r="646">
      <c r="A646" s="48"/>
      <c r="B646" s="48"/>
      <c r="C646" s="48"/>
      <c r="D646" s="48"/>
      <c r="E646" s="48"/>
      <c r="F646" s="422"/>
      <c r="G646" s="422"/>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row>
    <row r="647">
      <c r="A647" s="48"/>
      <c r="B647" s="48"/>
      <c r="C647" s="48"/>
      <c r="D647" s="48"/>
      <c r="E647" s="48"/>
      <c r="F647" s="422"/>
      <c r="G647" s="422"/>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row>
    <row r="648">
      <c r="A648" s="48"/>
      <c r="B648" s="48"/>
      <c r="C648" s="48"/>
      <c r="D648" s="48"/>
      <c r="E648" s="48"/>
      <c r="F648" s="422"/>
      <c r="G648" s="422"/>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row>
    <row r="649">
      <c r="A649" s="48"/>
      <c r="B649" s="48"/>
      <c r="C649" s="48"/>
      <c r="D649" s="48"/>
      <c r="E649" s="48"/>
      <c r="F649" s="422"/>
      <c r="G649" s="422"/>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row>
    <row r="650">
      <c r="A650" s="48"/>
      <c r="B650" s="48"/>
      <c r="C650" s="48"/>
      <c r="D650" s="48"/>
      <c r="E650" s="48"/>
      <c r="F650" s="422"/>
      <c r="G650" s="422"/>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row>
    <row r="651">
      <c r="A651" s="48"/>
      <c r="B651" s="48"/>
      <c r="C651" s="48"/>
      <c r="D651" s="48"/>
      <c r="E651" s="48"/>
      <c r="F651" s="422"/>
      <c r="G651" s="422"/>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row>
    <row r="652">
      <c r="A652" s="48"/>
      <c r="B652" s="48"/>
      <c r="C652" s="48"/>
      <c r="D652" s="48"/>
      <c r="E652" s="48"/>
      <c r="F652" s="422"/>
      <c r="G652" s="422"/>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row>
    <row r="653">
      <c r="A653" s="48"/>
      <c r="B653" s="48"/>
      <c r="C653" s="48"/>
      <c r="D653" s="48"/>
      <c r="E653" s="48"/>
      <c r="F653" s="422"/>
      <c r="G653" s="422"/>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row>
    <row r="654">
      <c r="A654" s="48"/>
      <c r="B654" s="48"/>
      <c r="C654" s="48"/>
      <c r="D654" s="48"/>
      <c r="E654" s="48"/>
      <c r="F654" s="422"/>
      <c r="G654" s="422"/>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row>
    <row r="655">
      <c r="A655" s="48"/>
      <c r="B655" s="48"/>
      <c r="C655" s="48"/>
      <c r="D655" s="48"/>
      <c r="E655" s="48"/>
      <c r="F655" s="422"/>
      <c r="G655" s="422"/>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row>
    <row r="656">
      <c r="A656" s="48"/>
      <c r="B656" s="48"/>
      <c r="C656" s="48"/>
      <c r="D656" s="48"/>
      <c r="E656" s="48"/>
      <c r="F656" s="422"/>
      <c r="G656" s="422"/>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row>
    <row r="657">
      <c r="A657" s="48"/>
      <c r="B657" s="48"/>
      <c r="C657" s="48"/>
      <c r="D657" s="48"/>
      <c r="E657" s="48"/>
      <c r="F657" s="422"/>
      <c r="G657" s="422"/>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row>
    <row r="658">
      <c r="A658" s="48"/>
      <c r="B658" s="48"/>
      <c r="C658" s="48"/>
      <c r="D658" s="48"/>
      <c r="E658" s="48"/>
      <c r="F658" s="422"/>
      <c r="G658" s="422"/>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row>
    <row r="659">
      <c r="A659" s="48"/>
      <c r="B659" s="48"/>
      <c r="C659" s="48"/>
      <c r="D659" s="48"/>
      <c r="E659" s="48"/>
      <c r="F659" s="422"/>
      <c r="G659" s="422"/>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row>
    <row r="660">
      <c r="A660" s="48"/>
      <c r="B660" s="48"/>
      <c r="C660" s="48"/>
      <c r="D660" s="48"/>
      <c r="E660" s="48"/>
      <c r="F660" s="422"/>
      <c r="G660" s="422"/>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row>
    <row r="661">
      <c r="A661" s="48"/>
      <c r="B661" s="48"/>
      <c r="C661" s="48"/>
      <c r="D661" s="48"/>
      <c r="E661" s="48"/>
      <c r="F661" s="422"/>
      <c r="G661" s="422"/>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row>
    <row r="662">
      <c r="A662" s="48"/>
      <c r="B662" s="48"/>
      <c r="C662" s="48"/>
      <c r="D662" s="48"/>
      <c r="E662" s="48"/>
      <c r="F662" s="422"/>
      <c r="G662" s="422"/>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row>
    <row r="663">
      <c r="A663" s="48"/>
      <c r="B663" s="48"/>
      <c r="C663" s="48"/>
      <c r="D663" s="48"/>
      <c r="E663" s="48"/>
      <c r="F663" s="422"/>
      <c r="G663" s="422"/>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row>
    <row r="664">
      <c r="A664" s="48"/>
      <c r="B664" s="48"/>
      <c r="C664" s="48"/>
      <c r="D664" s="48"/>
      <c r="E664" s="48"/>
      <c r="F664" s="422"/>
      <c r="G664" s="422"/>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row>
    <row r="665">
      <c r="A665" s="48"/>
      <c r="B665" s="48"/>
      <c r="C665" s="48"/>
      <c r="D665" s="48"/>
      <c r="E665" s="48"/>
      <c r="F665" s="422"/>
      <c r="G665" s="422"/>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row>
    <row r="666">
      <c r="A666" s="48"/>
      <c r="B666" s="48"/>
      <c r="C666" s="48"/>
      <c r="D666" s="48"/>
      <c r="E666" s="48"/>
      <c r="F666" s="422"/>
      <c r="G666" s="422"/>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row>
    <row r="667">
      <c r="A667" s="48"/>
      <c r="B667" s="48"/>
      <c r="C667" s="48"/>
      <c r="D667" s="48"/>
      <c r="E667" s="48"/>
      <c r="F667" s="422"/>
      <c r="G667" s="422"/>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row>
    <row r="668">
      <c r="A668" s="48"/>
      <c r="B668" s="48"/>
      <c r="C668" s="48"/>
      <c r="D668" s="48"/>
      <c r="E668" s="48"/>
      <c r="F668" s="422"/>
      <c r="G668" s="422"/>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row>
    <row r="669">
      <c r="A669" s="48"/>
      <c r="B669" s="48"/>
      <c r="C669" s="48"/>
      <c r="D669" s="48"/>
      <c r="E669" s="48"/>
      <c r="F669" s="422"/>
      <c r="G669" s="422"/>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row>
    <row r="670">
      <c r="A670" s="48"/>
      <c r="B670" s="48"/>
      <c r="C670" s="48"/>
      <c r="D670" s="48"/>
      <c r="E670" s="48"/>
      <c r="F670" s="422"/>
      <c r="G670" s="422"/>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row>
    <row r="671">
      <c r="A671" s="48"/>
      <c r="B671" s="48"/>
      <c r="C671" s="48"/>
      <c r="D671" s="48"/>
      <c r="E671" s="48"/>
      <c r="F671" s="422"/>
      <c r="G671" s="422"/>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row>
    <row r="672">
      <c r="A672" s="48"/>
      <c r="B672" s="48"/>
      <c r="C672" s="48"/>
      <c r="D672" s="48"/>
      <c r="E672" s="48"/>
      <c r="F672" s="422"/>
      <c r="G672" s="422"/>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row>
    <row r="673">
      <c r="A673" s="48"/>
      <c r="B673" s="48"/>
      <c r="C673" s="48"/>
      <c r="D673" s="48"/>
      <c r="E673" s="48"/>
      <c r="F673" s="422"/>
      <c r="G673" s="422"/>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row>
    <row r="674">
      <c r="A674" s="48"/>
      <c r="B674" s="48"/>
      <c r="C674" s="48"/>
      <c r="D674" s="48"/>
      <c r="E674" s="48"/>
      <c r="F674" s="422"/>
      <c r="G674" s="422"/>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row>
    <row r="675">
      <c r="A675" s="48"/>
      <c r="B675" s="48"/>
      <c r="C675" s="48"/>
      <c r="D675" s="48"/>
      <c r="E675" s="48"/>
      <c r="F675" s="422"/>
      <c r="G675" s="422"/>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row>
    <row r="676">
      <c r="A676" s="48"/>
      <c r="B676" s="48"/>
      <c r="C676" s="48"/>
      <c r="D676" s="48"/>
      <c r="E676" s="48"/>
      <c r="F676" s="422"/>
      <c r="G676" s="422"/>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row>
    <row r="677">
      <c r="A677" s="48"/>
      <c r="B677" s="48"/>
      <c r="C677" s="48"/>
      <c r="D677" s="48"/>
      <c r="E677" s="48"/>
      <c r="F677" s="422"/>
      <c r="G677" s="422"/>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row>
    <row r="678">
      <c r="A678" s="48"/>
      <c r="B678" s="48"/>
      <c r="C678" s="48"/>
      <c r="D678" s="48"/>
      <c r="E678" s="48"/>
      <c r="F678" s="422"/>
      <c r="G678" s="422"/>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row>
    <row r="679">
      <c r="A679" s="48"/>
      <c r="B679" s="48"/>
      <c r="C679" s="48"/>
      <c r="D679" s="48"/>
      <c r="E679" s="48"/>
      <c r="F679" s="422"/>
      <c r="G679" s="422"/>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row>
    <row r="680">
      <c r="A680" s="48"/>
      <c r="B680" s="48"/>
      <c r="C680" s="48"/>
      <c r="D680" s="48"/>
      <c r="E680" s="48"/>
      <c r="F680" s="422"/>
      <c r="G680" s="422"/>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row>
    <row r="681">
      <c r="A681" s="48"/>
      <c r="B681" s="48"/>
      <c r="C681" s="48"/>
      <c r="D681" s="48"/>
      <c r="E681" s="48"/>
      <c r="F681" s="422"/>
      <c r="G681" s="422"/>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row>
    <row r="682">
      <c r="A682" s="48"/>
      <c r="B682" s="48"/>
      <c r="C682" s="48"/>
      <c r="D682" s="48"/>
      <c r="E682" s="48"/>
      <c r="F682" s="422"/>
      <c r="G682" s="422"/>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row>
    <row r="683">
      <c r="A683" s="48"/>
      <c r="B683" s="48"/>
      <c r="C683" s="48"/>
      <c r="D683" s="48"/>
      <c r="E683" s="48"/>
      <c r="F683" s="422"/>
      <c r="G683" s="422"/>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row>
    <row r="684">
      <c r="A684" s="48"/>
      <c r="B684" s="48"/>
      <c r="C684" s="48"/>
      <c r="D684" s="48"/>
      <c r="E684" s="48"/>
      <c r="F684" s="422"/>
      <c r="G684" s="422"/>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row>
    <row r="685">
      <c r="A685" s="48"/>
      <c r="B685" s="48"/>
      <c r="C685" s="48"/>
      <c r="D685" s="48"/>
      <c r="E685" s="48"/>
      <c r="F685" s="422"/>
      <c r="G685" s="422"/>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row>
    <row r="686">
      <c r="A686" s="48"/>
      <c r="B686" s="48"/>
      <c r="C686" s="48"/>
      <c r="D686" s="48"/>
      <c r="E686" s="48"/>
      <c r="F686" s="422"/>
      <c r="G686" s="422"/>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row>
    <row r="687">
      <c r="A687" s="48"/>
      <c r="B687" s="48"/>
      <c r="C687" s="48"/>
      <c r="D687" s="48"/>
      <c r="E687" s="48"/>
      <c r="F687" s="422"/>
      <c r="G687" s="422"/>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row>
    <row r="688">
      <c r="A688" s="48"/>
      <c r="B688" s="48"/>
      <c r="C688" s="48"/>
      <c r="D688" s="48"/>
      <c r="E688" s="48"/>
      <c r="F688" s="422"/>
      <c r="G688" s="422"/>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row>
    <row r="689">
      <c r="A689" s="48"/>
      <c r="B689" s="48"/>
      <c r="C689" s="48"/>
      <c r="D689" s="48"/>
      <c r="E689" s="48"/>
      <c r="F689" s="422"/>
      <c r="G689" s="422"/>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row>
    <row r="690">
      <c r="A690" s="48"/>
      <c r="B690" s="48"/>
      <c r="C690" s="48"/>
      <c r="D690" s="48"/>
      <c r="E690" s="48"/>
      <c r="F690" s="422"/>
      <c r="G690" s="422"/>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row>
    <row r="691">
      <c r="A691" s="48"/>
      <c r="B691" s="48"/>
      <c r="C691" s="48"/>
      <c r="D691" s="48"/>
      <c r="E691" s="48"/>
      <c r="F691" s="422"/>
      <c r="G691" s="422"/>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row>
    <row r="692">
      <c r="A692" s="48"/>
      <c r="B692" s="48"/>
      <c r="C692" s="48"/>
      <c r="D692" s="48"/>
      <c r="E692" s="48"/>
      <c r="F692" s="422"/>
      <c r="G692" s="422"/>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row>
    <row r="693">
      <c r="A693" s="48"/>
      <c r="B693" s="48"/>
      <c r="C693" s="48"/>
      <c r="D693" s="48"/>
      <c r="E693" s="48"/>
      <c r="F693" s="422"/>
      <c r="G693" s="422"/>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row>
    <row r="694">
      <c r="A694" s="48"/>
      <c r="B694" s="48"/>
      <c r="C694" s="48"/>
      <c r="D694" s="48"/>
      <c r="E694" s="48"/>
      <c r="F694" s="422"/>
      <c r="G694" s="422"/>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row>
    <row r="695">
      <c r="A695" s="48"/>
      <c r="B695" s="48"/>
      <c r="C695" s="48"/>
      <c r="D695" s="48"/>
      <c r="E695" s="48"/>
      <c r="F695" s="422"/>
      <c r="G695" s="422"/>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row>
    <row r="696">
      <c r="A696" s="48"/>
      <c r="B696" s="48"/>
      <c r="C696" s="48"/>
      <c r="D696" s="48"/>
      <c r="E696" s="48"/>
      <c r="F696" s="422"/>
      <c r="G696" s="422"/>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row>
    <row r="697">
      <c r="A697" s="48"/>
      <c r="B697" s="48"/>
      <c r="C697" s="48"/>
      <c r="D697" s="48"/>
      <c r="E697" s="48"/>
      <c r="F697" s="422"/>
      <c r="G697" s="422"/>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row>
    <row r="698">
      <c r="A698" s="48"/>
      <c r="B698" s="48"/>
      <c r="C698" s="48"/>
      <c r="D698" s="48"/>
      <c r="E698" s="48"/>
      <c r="F698" s="422"/>
      <c r="G698" s="422"/>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row>
    <row r="699">
      <c r="A699" s="48"/>
      <c r="B699" s="48"/>
      <c r="C699" s="48"/>
      <c r="D699" s="48"/>
      <c r="E699" s="48"/>
      <c r="F699" s="422"/>
      <c r="G699" s="422"/>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row>
    <row r="700">
      <c r="A700" s="48"/>
      <c r="B700" s="48"/>
      <c r="C700" s="48"/>
      <c r="D700" s="48"/>
      <c r="E700" s="48"/>
      <c r="F700" s="422"/>
      <c r="G700" s="422"/>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row>
    <row r="701">
      <c r="A701" s="48"/>
      <c r="B701" s="48"/>
      <c r="C701" s="48"/>
      <c r="D701" s="48"/>
      <c r="E701" s="48"/>
      <c r="F701" s="422"/>
      <c r="G701" s="422"/>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row>
    <row r="702">
      <c r="A702" s="48"/>
      <c r="B702" s="48"/>
      <c r="C702" s="48"/>
      <c r="D702" s="48"/>
      <c r="E702" s="48"/>
      <c r="F702" s="422"/>
      <c r="G702" s="422"/>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row>
    <row r="703">
      <c r="A703" s="48"/>
      <c r="B703" s="48"/>
      <c r="C703" s="48"/>
      <c r="D703" s="48"/>
      <c r="E703" s="48"/>
      <c r="F703" s="422"/>
      <c r="G703" s="422"/>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row>
    <row r="704">
      <c r="A704" s="48"/>
      <c r="B704" s="48"/>
      <c r="C704" s="48"/>
      <c r="D704" s="48"/>
      <c r="E704" s="48"/>
      <c r="F704" s="422"/>
      <c r="G704" s="422"/>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row>
    <row r="705">
      <c r="A705" s="48"/>
      <c r="B705" s="48"/>
      <c r="C705" s="48"/>
      <c r="D705" s="48"/>
      <c r="E705" s="48"/>
      <c r="F705" s="422"/>
      <c r="G705" s="422"/>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row>
    <row r="706">
      <c r="A706" s="48"/>
      <c r="B706" s="48"/>
      <c r="C706" s="48"/>
      <c r="D706" s="48"/>
      <c r="E706" s="48"/>
      <c r="F706" s="422"/>
      <c r="G706" s="422"/>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row>
    <row r="707">
      <c r="A707" s="48"/>
      <c r="B707" s="48"/>
      <c r="C707" s="48"/>
      <c r="D707" s="48"/>
      <c r="E707" s="48"/>
      <c r="F707" s="422"/>
      <c r="G707" s="422"/>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row>
    <row r="708">
      <c r="A708" s="48"/>
      <c r="B708" s="48"/>
      <c r="C708" s="48"/>
      <c r="D708" s="48"/>
      <c r="E708" s="48"/>
      <c r="F708" s="422"/>
      <c r="G708" s="422"/>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row>
    <row r="709">
      <c r="A709" s="48"/>
      <c r="B709" s="48"/>
      <c r="C709" s="48"/>
      <c r="D709" s="48"/>
      <c r="E709" s="48"/>
      <c r="F709" s="422"/>
      <c r="G709" s="422"/>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row>
    <row r="710">
      <c r="A710" s="48"/>
      <c r="B710" s="48"/>
      <c r="C710" s="48"/>
      <c r="D710" s="48"/>
      <c r="E710" s="48"/>
      <c r="F710" s="422"/>
      <c r="G710" s="422"/>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row>
    <row r="711">
      <c r="A711" s="48"/>
      <c r="B711" s="48"/>
      <c r="C711" s="48"/>
      <c r="D711" s="48"/>
      <c r="E711" s="48"/>
      <c r="F711" s="422"/>
      <c r="G711" s="422"/>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row>
    <row r="712">
      <c r="A712" s="48"/>
      <c r="B712" s="48"/>
      <c r="C712" s="48"/>
      <c r="D712" s="48"/>
      <c r="E712" s="48"/>
      <c r="F712" s="422"/>
      <c r="G712" s="422"/>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row>
    <row r="713">
      <c r="A713" s="48"/>
      <c r="B713" s="48"/>
      <c r="C713" s="48"/>
      <c r="D713" s="48"/>
      <c r="E713" s="48"/>
      <c r="F713" s="422"/>
      <c r="G713" s="422"/>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row>
    <row r="714">
      <c r="A714" s="48"/>
      <c r="B714" s="48"/>
      <c r="C714" s="48"/>
      <c r="D714" s="48"/>
      <c r="E714" s="48"/>
      <c r="F714" s="422"/>
      <c r="G714" s="422"/>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row>
    <row r="715">
      <c r="A715" s="48"/>
      <c r="B715" s="48"/>
      <c r="C715" s="48"/>
      <c r="D715" s="48"/>
      <c r="E715" s="48"/>
      <c r="F715" s="422"/>
      <c r="G715" s="422"/>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row>
    <row r="716">
      <c r="A716" s="48"/>
      <c r="B716" s="48"/>
      <c r="C716" s="48"/>
      <c r="D716" s="48"/>
      <c r="E716" s="48"/>
      <c r="F716" s="422"/>
      <c r="G716" s="422"/>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row>
    <row r="717">
      <c r="A717" s="48"/>
      <c r="B717" s="48"/>
      <c r="C717" s="48"/>
      <c r="D717" s="48"/>
      <c r="E717" s="48"/>
      <c r="F717" s="422"/>
      <c r="G717" s="422"/>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row>
    <row r="718">
      <c r="A718" s="48"/>
      <c r="B718" s="48"/>
      <c r="C718" s="48"/>
      <c r="D718" s="48"/>
      <c r="E718" s="48"/>
      <c r="F718" s="422"/>
      <c r="G718" s="422"/>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row>
    <row r="719">
      <c r="A719" s="48"/>
      <c r="B719" s="48"/>
      <c r="C719" s="48"/>
      <c r="D719" s="48"/>
      <c r="E719" s="48"/>
      <c r="F719" s="422"/>
      <c r="G719" s="422"/>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row>
    <row r="720">
      <c r="A720" s="48"/>
      <c r="B720" s="48"/>
      <c r="C720" s="48"/>
      <c r="D720" s="48"/>
      <c r="E720" s="48"/>
      <c r="F720" s="422"/>
      <c r="G720" s="422"/>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row>
    <row r="721">
      <c r="A721" s="48"/>
      <c r="B721" s="48"/>
      <c r="C721" s="48"/>
      <c r="D721" s="48"/>
      <c r="E721" s="48"/>
      <c r="F721" s="422"/>
      <c r="G721" s="422"/>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row>
    <row r="722">
      <c r="A722" s="48"/>
      <c r="B722" s="48"/>
      <c r="C722" s="48"/>
      <c r="D722" s="48"/>
      <c r="E722" s="48"/>
      <c r="F722" s="422"/>
      <c r="G722" s="422"/>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row>
    <row r="723">
      <c r="A723" s="48"/>
      <c r="B723" s="48"/>
      <c r="C723" s="48"/>
      <c r="D723" s="48"/>
      <c r="E723" s="48"/>
      <c r="F723" s="422"/>
      <c r="G723" s="422"/>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row>
    <row r="724">
      <c r="A724" s="48"/>
      <c r="B724" s="48"/>
      <c r="C724" s="48"/>
      <c r="D724" s="48"/>
      <c r="E724" s="48"/>
      <c r="F724" s="422"/>
      <c r="G724" s="422"/>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row>
    <row r="725">
      <c r="A725" s="48"/>
      <c r="B725" s="48"/>
      <c r="C725" s="48"/>
      <c r="D725" s="48"/>
      <c r="E725" s="48"/>
      <c r="F725" s="422"/>
      <c r="G725" s="422"/>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row>
    <row r="726">
      <c r="A726" s="48"/>
      <c r="B726" s="48"/>
      <c r="C726" s="48"/>
      <c r="D726" s="48"/>
      <c r="E726" s="48"/>
      <c r="F726" s="422"/>
      <c r="G726" s="422"/>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row>
    <row r="727">
      <c r="A727" s="48"/>
      <c r="B727" s="48"/>
      <c r="C727" s="48"/>
      <c r="D727" s="48"/>
      <c r="E727" s="48"/>
      <c r="F727" s="422"/>
      <c r="G727" s="422"/>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row>
    <row r="728">
      <c r="A728" s="48"/>
      <c r="B728" s="48"/>
      <c r="C728" s="48"/>
      <c r="D728" s="48"/>
      <c r="E728" s="48"/>
      <c r="F728" s="422"/>
      <c r="G728" s="422"/>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row>
    <row r="729">
      <c r="A729" s="48"/>
      <c r="B729" s="48"/>
      <c r="C729" s="48"/>
      <c r="D729" s="48"/>
      <c r="E729" s="48"/>
      <c r="F729" s="422"/>
      <c r="G729" s="422"/>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row>
    <row r="730">
      <c r="A730" s="48"/>
      <c r="B730" s="48"/>
      <c r="C730" s="48"/>
      <c r="D730" s="48"/>
      <c r="E730" s="48"/>
      <c r="F730" s="422"/>
      <c r="G730" s="422"/>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row>
    <row r="731">
      <c r="A731" s="48"/>
      <c r="B731" s="48"/>
      <c r="C731" s="48"/>
      <c r="D731" s="48"/>
      <c r="E731" s="48"/>
      <c r="F731" s="422"/>
      <c r="G731" s="422"/>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row>
    <row r="732">
      <c r="A732" s="48"/>
      <c r="B732" s="48"/>
      <c r="C732" s="48"/>
      <c r="D732" s="48"/>
      <c r="E732" s="48"/>
      <c r="F732" s="422"/>
      <c r="G732" s="422"/>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row>
    <row r="733">
      <c r="A733" s="48"/>
      <c r="B733" s="48"/>
      <c r="C733" s="48"/>
      <c r="D733" s="48"/>
      <c r="E733" s="48"/>
      <c r="F733" s="422"/>
      <c r="G733" s="422"/>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row>
    <row r="734">
      <c r="A734" s="48"/>
      <c r="B734" s="48"/>
      <c r="C734" s="48"/>
      <c r="D734" s="48"/>
      <c r="E734" s="48"/>
      <c r="F734" s="422"/>
      <c r="G734" s="422"/>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row>
    <row r="735">
      <c r="A735" s="48"/>
      <c r="B735" s="48"/>
      <c r="C735" s="48"/>
      <c r="D735" s="48"/>
      <c r="E735" s="48"/>
      <c r="F735" s="422"/>
      <c r="G735" s="422"/>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row>
    <row r="736">
      <c r="A736" s="48"/>
      <c r="B736" s="48"/>
      <c r="C736" s="48"/>
      <c r="D736" s="48"/>
      <c r="E736" s="48"/>
      <c r="F736" s="422"/>
      <c r="G736" s="422"/>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row>
    <row r="737">
      <c r="A737" s="48"/>
      <c r="B737" s="48"/>
      <c r="C737" s="48"/>
      <c r="D737" s="48"/>
      <c r="E737" s="48"/>
      <c r="F737" s="422"/>
      <c r="G737" s="422"/>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row>
    <row r="738">
      <c r="A738" s="48"/>
      <c r="B738" s="48"/>
      <c r="C738" s="48"/>
      <c r="D738" s="48"/>
      <c r="E738" s="48"/>
      <c r="F738" s="422"/>
      <c r="G738" s="422"/>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row>
    <row r="739">
      <c r="A739" s="48"/>
      <c r="B739" s="48"/>
      <c r="C739" s="48"/>
      <c r="D739" s="48"/>
      <c r="E739" s="48"/>
      <c r="F739" s="422"/>
      <c r="G739" s="422"/>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row>
    <row r="740">
      <c r="A740" s="48"/>
      <c r="B740" s="48"/>
      <c r="C740" s="48"/>
      <c r="D740" s="48"/>
      <c r="E740" s="48"/>
      <c r="F740" s="422"/>
      <c r="G740" s="422"/>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row>
    <row r="741">
      <c r="A741" s="48"/>
      <c r="B741" s="48"/>
      <c r="C741" s="48"/>
      <c r="D741" s="48"/>
      <c r="E741" s="48"/>
      <c r="F741" s="422"/>
      <c r="G741" s="422"/>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row>
    <row r="742">
      <c r="A742" s="48"/>
      <c r="B742" s="48"/>
      <c r="C742" s="48"/>
      <c r="D742" s="48"/>
      <c r="E742" s="48"/>
      <c r="F742" s="422"/>
      <c r="G742" s="422"/>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row>
    <row r="743">
      <c r="A743" s="48"/>
      <c r="B743" s="48"/>
      <c r="C743" s="48"/>
      <c r="D743" s="48"/>
      <c r="E743" s="48"/>
      <c r="F743" s="422"/>
      <c r="G743" s="422"/>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row>
    <row r="744">
      <c r="A744" s="48"/>
      <c r="B744" s="48"/>
      <c r="C744" s="48"/>
      <c r="D744" s="48"/>
      <c r="E744" s="48"/>
      <c r="F744" s="422"/>
      <c r="G744" s="422"/>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row>
    <row r="745">
      <c r="A745" s="48"/>
      <c r="B745" s="48"/>
      <c r="C745" s="48"/>
      <c r="D745" s="48"/>
      <c r="E745" s="48"/>
      <c r="F745" s="422"/>
      <c r="G745" s="422"/>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row>
    <row r="746">
      <c r="A746" s="48"/>
      <c r="B746" s="48"/>
      <c r="C746" s="48"/>
      <c r="D746" s="48"/>
      <c r="E746" s="48"/>
      <c r="F746" s="422"/>
      <c r="G746" s="422"/>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row>
    <row r="747">
      <c r="A747" s="48"/>
      <c r="B747" s="48"/>
      <c r="C747" s="48"/>
      <c r="D747" s="48"/>
      <c r="E747" s="48"/>
      <c r="F747" s="422"/>
      <c r="G747" s="422"/>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row>
    <row r="748">
      <c r="A748" s="48"/>
      <c r="B748" s="48"/>
      <c r="C748" s="48"/>
      <c r="D748" s="48"/>
      <c r="E748" s="48"/>
      <c r="F748" s="422"/>
      <c r="G748" s="422"/>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row>
    <row r="749">
      <c r="A749" s="48"/>
      <c r="B749" s="48"/>
      <c r="C749" s="48"/>
      <c r="D749" s="48"/>
      <c r="E749" s="48"/>
      <c r="F749" s="422"/>
      <c r="G749" s="422"/>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row>
    <row r="750">
      <c r="A750" s="48"/>
      <c r="B750" s="48"/>
      <c r="C750" s="48"/>
      <c r="D750" s="48"/>
      <c r="E750" s="48"/>
      <c r="F750" s="422"/>
      <c r="G750" s="422"/>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row>
    <row r="751">
      <c r="A751" s="48"/>
      <c r="B751" s="48"/>
      <c r="C751" s="48"/>
      <c r="D751" s="48"/>
      <c r="E751" s="48"/>
      <c r="F751" s="422"/>
      <c r="G751" s="422"/>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row>
    <row r="752">
      <c r="A752" s="48"/>
      <c r="B752" s="48"/>
      <c r="C752" s="48"/>
      <c r="D752" s="48"/>
      <c r="E752" s="48"/>
      <c r="F752" s="422"/>
      <c r="G752" s="422"/>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row>
    <row r="753">
      <c r="A753" s="48"/>
      <c r="B753" s="48"/>
      <c r="C753" s="48"/>
      <c r="D753" s="48"/>
      <c r="E753" s="48"/>
      <c r="F753" s="422"/>
      <c r="G753" s="422"/>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row>
    <row r="754">
      <c r="A754" s="48"/>
      <c r="B754" s="48"/>
      <c r="C754" s="48"/>
      <c r="D754" s="48"/>
      <c r="E754" s="48"/>
      <c r="F754" s="422"/>
      <c r="G754" s="422"/>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row>
    <row r="755">
      <c r="A755" s="48"/>
      <c r="B755" s="48"/>
      <c r="C755" s="48"/>
      <c r="D755" s="48"/>
      <c r="E755" s="48"/>
      <c r="F755" s="422"/>
      <c r="G755" s="422"/>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row>
    <row r="756">
      <c r="A756" s="48"/>
      <c r="B756" s="48"/>
      <c r="C756" s="48"/>
      <c r="D756" s="48"/>
      <c r="E756" s="48"/>
      <c r="F756" s="422"/>
      <c r="G756" s="422"/>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row>
    <row r="757">
      <c r="A757" s="48"/>
      <c r="B757" s="48"/>
      <c r="C757" s="48"/>
      <c r="D757" s="48"/>
      <c r="E757" s="48"/>
      <c r="F757" s="422"/>
      <c r="G757" s="422"/>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row>
    <row r="758">
      <c r="A758" s="48"/>
      <c r="B758" s="48"/>
      <c r="C758" s="48"/>
      <c r="D758" s="48"/>
      <c r="E758" s="48"/>
      <c r="F758" s="422"/>
      <c r="G758" s="422"/>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row>
    <row r="759">
      <c r="A759" s="48"/>
      <c r="B759" s="48"/>
      <c r="C759" s="48"/>
      <c r="D759" s="48"/>
      <c r="E759" s="48"/>
      <c r="F759" s="422"/>
      <c r="G759" s="422"/>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row>
    <row r="760">
      <c r="A760" s="48"/>
      <c r="B760" s="48"/>
      <c r="C760" s="48"/>
      <c r="D760" s="48"/>
      <c r="E760" s="48"/>
      <c r="F760" s="422"/>
      <c r="G760" s="422"/>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row>
    <row r="761">
      <c r="A761" s="48"/>
      <c r="B761" s="48"/>
      <c r="C761" s="48"/>
      <c r="D761" s="48"/>
      <c r="E761" s="48"/>
      <c r="F761" s="422"/>
      <c r="G761" s="422"/>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row>
    <row r="762">
      <c r="A762" s="48"/>
      <c r="B762" s="48"/>
      <c r="C762" s="48"/>
      <c r="D762" s="48"/>
      <c r="E762" s="48"/>
      <c r="F762" s="422"/>
      <c r="G762" s="422"/>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row>
    <row r="763">
      <c r="A763" s="48"/>
      <c r="B763" s="48"/>
      <c r="C763" s="48"/>
      <c r="D763" s="48"/>
      <c r="E763" s="48"/>
      <c r="F763" s="422"/>
      <c r="G763" s="422"/>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row>
    <row r="764">
      <c r="A764" s="48"/>
      <c r="B764" s="48"/>
      <c r="C764" s="48"/>
      <c r="D764" s="48"/>
      <c r="E764" s="48"/>
      <c r="F764" s="422"/>
      <c r="G764" s="422"/>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row>
    <row r="765">
      <c r="A765" s="48"/>
      <c r="B765" s="48"/>
      <c r="C765" s="48"/>
      <c r="D765" s="48"/>
      <c r="E765" s="48"/>
      <c r="F765" s="422"/>
      <c r="G765" s="422"/>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row>
    <row r="766">
      <c r="A766" s="48"/>
      <c r="B766" s="48"/>
      <c r="C766" s="48"/>
      <c r="D766" s="48"/>
      <c r="E766" s="48"/>
      <c r="F766" s="422"/>
      <c r="G766" s="422"/>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row>
    <row r="767">
      <c r="A767" s="48"/>
      <c r="B767" s="48"/>
      <c r="C767" s="48"/>
      <c r="D767" s="48"/>
      <c r="E767" s="48"/>
      <c r="F767" s="422"/>
      <c r="G767" s="422"/>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row>
    <row r="768">
      <c r="A768" s="48"/>
      <c r="B768" s="48"/>
      <c r="C768" s="48"/>
      <c r="D768" s="48"/>
      <c r="E768" s="48"/>
      <c r="F768" s="422"/>
      <c r="G768" s="422"/>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row>
    <row r="769">
      <c r="A769" s="48"/>
      <c r="B769" s="48"/>
      <c r="C769" s="48"/>
      <c r="D769" s="48"/>
      <c r="E769" s="48"/>
      <c r="F769" s="422"/>
      <c r="G769" s="422"/>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row>
    <row r="770">
      <c r="A770" s="48"/>
      <c r="B770" s="48"/>
      <c r="C770" s="48"/>
      <c r="D770" s="48"/>
      <c r="E770" s="48"/>
      <c r="F770" s="422"/>
      <c r="G770" s="422"/>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row>
    <row r="771">
      <c r="A771" s="48"/>
      <c r="B771" s="48"/>
      <c r="C771" s="48"/>
      <c r="D771" s="48"/>
      <c r="E771" s="48"/>
      <c r="F771" s="422"/>
      <c r="G771" s="422"/>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row>
    <row r="772">
      <c r="A772" s="48"/>
      <c r="B772" s="48"/>
      <c r="C772" s="48"/>
      <c r="D772" s="48"/>
      <c r="E772" s="48"/>
      <c r="F772" s="422"/>
      <c r="G772" s="422"/>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row>
    <row r="773">
      <c r="A773" s="48"/>
      <c r="B773" s="48"/>
      <c r="C773" s="48"/>
      <c r="D773" s="48"/>
      <c r="E773" s="48"/>
      <c r="F773" s="422"/>
      <c r="G773" s="422"/>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row>
    <row r="774">
      <c r="A774" s="48"/>
      <c r="B774" s="48"/>
      <c r="C774" s="48"/>
      <c r="D774" s="48"/>
      <c r="E774" s="48"/>
      <c r="F774" s="422"/>
      <c r="G774" s="422"/>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row>
    <row r="775">
      <c r="A775" s="48"/>
      <c r="B775" s="48"/>
      <c r="C775" s="48"/>
      <c r="D775" s="48"/>
      <c r="E775" s="48"/>
      <c r="F775" s="422"/>
      <c r="G775" s="422"/>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row>
    <row r="776">
      <c r="A776" s="48"/>
      <c r="B776" s="48"/>
      <c r="C776" s="48"/>
      <c r="D776" s="48"/>
      <c r="E776" s="48"/>
      <c r="F776" s="422"/>
      <c r="G776" s="422"/>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row>
    <row r="777">
      <c r="A777" s="48"/>
      <c r="B777" s="48"/>
      <c r="C777" s="48"/>
      <c r="D777" s="48"/>
      <c r="E777" s="48"/>
      <c r="F777" s="422"/>
      <c r="G777" s="422"/>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row>
    <row r="778">
      <c r="A778" s="48"/>
      <c r="B778" s="48"/>
      <c r="C778" s="48"/>
      <c r="D778" s="48"/>
      <c r="E778" s="48"/>
      <c r="F778" s="422"/>
      <c r="G778" s="422"/>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row>
    <row r="779">
      <c r="A779" s="48"/>
      <c r="B779" s="48"/>
      <c r="C779" s="48"/>
      <c r="D779" s="48"/>
      <c r="E779" s="48"/>
      <c r="F779" s="422"/>
      <c r="G779" s="422"/>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row>
    <row r="780">
      <c r="A780" s="48"/>
      <c r="B780" s="48"/>
      <c r="C780" s="48"/>
      <c r="D780" s="48"/>
      <c r="E780" s="48"/>
      <c r="F780" s="422"/>
      <c r="G780" s="422"/>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row>
    <row r="781">
      <c r="A781" s="48"/>
      <c r="B781" s="48"/>
      <c r="C781" s="48"/>
      <c r="D781" s="48"/>
      <c r="E781" s="48"/>
      <c r="F781" s="422"/>
      <c r="G781" s="422"/>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row>
    <row r="782">
      <c r="A782" s="48"/>
      <c r="B782" s="48"/>
      <c r="C782" s="48"/>
      <c r="D782" s="48"/>
      <c r="E782" s="48"/>
      <c r="F782" s="422"/>
      <c r="G782" s="422"/>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row>
    <row r="783">
      <c r="A783" s="48"/>
      <c r="B783" s="48"/>
      <c r="C783" s="48"/>
      <c r="D783" s="48"/>
      <c r="E783" s="48"/>
      <c r="F783" s="422"/>
      <c r="G783" s="422"/>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row>
    <row r="784">
      <c r="A784" s="48"/>
      <c r="B784" s="48"/>
      <c r="C784" s="48"/>
      <c r="D784" s="48"/>
      <c r="E784" s="48"/>
      <c r="F784" s="422"/>
      <c r="G784" s="422"/>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row>
    <row r="785">
      <c r="A785" s="48"/>
      <c r="B785" s="48"/>
      <c r="C785" s="48"/>
      <c r="D785" s="48"/>
      <c r="E785" s="48"/>
      <c r="F785" s="422"/>
      <c r="G785" s="422"/>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row>
    <row r="786">
      <c r="A786" s="48"/>
      <c r="B786" s="48"/>
      <c r="C786" s="48"/>
      <c r="D786" s="48"/>
      <c r="E786" s="48"/>
      <c r="F786" s="422"/>
      <c r="G786" s="422"/>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row>
    <row r="787">
      <c r="A787" s="48"/>
      <c r="B787" s="48"/>
      <c r="C787" s="48"/>
      <c r="D787" s="48"/>
      <c r="E787" s="48"/>
      <c r="F787" s="422"/>
      <c r="G787" s="422"/>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row>
    <row r="788">
      <c r="A788" s="48"/>
      <c r="B788" s="48"/>
      <c r="C788" s="48"/>
      <c r="D788" s="48"/>
      <c r="E788" s="48"/>
      <c r="F788" s="422"/>
      <c r="G788" s="422"/>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row>
    <row r="789">
      <c r="A789" s="48"/>
      <c r="B789" s="48"/>
      <c r="C789" s="48"/>
      <c r="D789" s="48"/>
      <c r="E789" s="48"/>
      <c r="F789" s="422"/>
      <c r="G789" s="422"/>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row>
    <row r="790">
      <c r="A790" s="48"/>
      <c r="B790" s="48"/>
      <c r="C790" s="48"/>
      <c r="D790" s="48"/>
      <c r="E790" s="48"/>
      <c r="F790" s="422"/>
      <c r="G790" s="422"/>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row>
    <row r="791">
      <c r="A791" s="48"/>
      <c r="B791" s="48"/>
      <c r="C791" s="48"/>
      <c r="D791" s="48"/>
      <c r="E791" s="48"/>
      <c r="F791" s="422"/>
      <c r="G791" s="422"/>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row>
    <row r="792">
      <c r="A792" s="48"/>
      <c r="B792" s="48"/>
      <c r="C792" s="48"/>
      <c r="D792" s="48"/>
      <c r="E792" s="48"/>
      <c r="F792" s="422"/>
      <c r="G792" s="422"/>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row>
    <row r="793">
      <c r="A793" s="48"/>
      <c r="B793" s="48"/>
      <c r="C793" s="48"/>
      <c r="D793" s="48"/>
      <c r="E793" s="48"/>
      <c r="F793" s="422"/>
      <c r="G793" s="422"/>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row>
    <row r="794">
      <c r="A794" s="48"/>
      <c r="B794" s="48"/>
      <c r="C794" s="48"/>
      <c r="D794" s="48"/>
      <c r="E794" s="48"/>
      <c r="F794" s="422"/>
      <c r="G794" s="422"/>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row>
    <row r="795">
      <c r="A795" s="48"/>
      <c r="B795" s="48"/>
      <c r="C795" s="48"/>
      <c r="D795" s="48"/>
      <c r="E795" s="48"/>
      <c r="F795" s="422"/>
      <c r="G795" s="422"/>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row>
    <row r="796">
      <c r="A796" s="48"/>
      <c r="B796" s="48"/>
      <c r="C796" s="48"/>
      <c r="D796" s="48"/>
      <c r="E796" s="48"/>
      <c r="F796" s="422"/>
      <c r="G796" s="422"/>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row>
    <row r="797">
      <c r="A797" s="48"/>
      <c r="B797" s="48"/>
      <c r="C797" s="48"/>
      <c r="D797" s="48"/>
      <c r="E797" s="48"/>
      <c r="F797" s="422"/>
      <c r="G797" s="422"/>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row>
    <row r="798">
      <c r="A798" s="48"/>
      <c r="B798" s="48"/>
      <c r="C798" s="48"/>
      <c r="D798" s="48"/>
      <c r="E798" s="48"/>
      <c r="F798" s="422"/>
      <c r="G798" s="422"/>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row>
    <row r="799">
      <c r="A799" s="48"/>
      <c r="B799" s="48"/>
      <c r="C799" s="48"/>
      <c r="D799" s="48"/>
      <c r="E799" s="48"/>
      <c r="F799" s="422"/>
      <c r="G799" s="422"/>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row>
    <row r="800">
      <c r="A800" s="48"/>
      <c r="B800" s="48"/>
      <c r="C800" s="48"/>
      <c r="D800" s="48"/>
      <c r="E800" s="48"/>
      <c r="F800" s="422"/>
      <c r="G800" s="422"/>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row>
    <row r="801">
      <c r="A801" s="48"/>
      <c r="B801" s="48"/>
      <c r="C801" s="48"/>
      <c r="D801" s="48"/>
      <c r="E801" s="48"/>
      <c r="F801" s="422"/>
      <c r="G801" s="422"/>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row>
    <row r="802">
      <c r="A802" s="48"/>
      <c r="B802" s="48"/>
      <c r="C802" s="48"/>
      <c r="D802" s="48"/>
      <c r="E802" s="48"/>
      <c r="F802" s="422"/>
      <c r="G802" s="422"/>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row>
    <row r="803">
      <c r="A803" s="48"/>
      <c r="B803" s="48"/>
      <c r="C803" s="48"/>
      <c r="D803" s="48"/>
      <c r="E803" s="48"/>
      <c r="F803" s="422"/>
      <c r="G803" s="422"/>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row>
    <row r="804">
      <c r="A804" s="48"/>
      <c r="B804" s="48"/>
      <c r="C804" s="48"/>
      <c r="D804" s="48"/>
      <c r="E804" s="48"/>
      <c r="F804" s="422"/>
      <c r="G804" s="422"/>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row>
    <row r="805">
      <c r="A805" s="48"/>
      <c r="B805" s="48"/>
      <c r="C805" s="48"/>
      <c r="D805" s="48"/>
      <c r="E805" s="48"/>
      <c r="F805" s="422"/>
      <c r="G805" s="422"/>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row>
    <row r="806">
      <c r="A806" s="48"/>
      <c r="B806" s="48"/>
      <c r="C806" s="48"/>
      <c r="D806" s="48"/>
      <c r="E806" s="48"/>
      <c r="F806" s="422"/>
      <c r="G806" s="422"/>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row>
    <row r="807">
      <c r="A807" s="48"/>
      <c r="B807" s="48"/>
      <c r="C807" s="48"/>
      <c r="D807" s="48"/>
      <c r="E807" s="48"/>
      <c r="F807" s="422"/>
      <c r="G807" s="422"/>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row>
    <row r="808">
      <c r="A808" s="48"/>
      <c r="B808" s="48"/>
      <c r="C808" s="48"/>
      <c r="D808" s="48"/>
      <c r="E808" s="48"/>
      <c r="F808" s="422"/>
      <c r="G808" s="422"/>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row>
    <row r="809">
      <c r="A809" s="48"/>
      <c r="B809" s="48"/>
      <c r="C809" s="48"/>
      <c r="D809" s="48"/>
      <c r="E809" s="48"/>
      <c r="F809" s="422"/>
      <c r="G809" s="422"/>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row>
    <row r="810">
      <c r="A810" s="48"/>
      <c r="B810" s="48"/>
      <c r="C810" s="48"/>
      <c r="D810" s="48"/>
      <c r="E810" s="48"/>
      <c r="F810" s="422"/>
      <c r="G810" s="422"/>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row>
    <row r="811">
      <c r="A811" s="48"/>
      <c r="B811" s="48"/>
      <c r="C811" s="48"/>
      <c r="D811" s="48"/>
      <c r="E811" s="48"/>
      <c r="F811" s="422"/>
      <c r="G811" s="422"/>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row>
    <row r="812">
      <c r="A812" s="48"/>
      <c r="B812" s="48"/>
      <c r="C812" s="48"/>
      <c r="D812" s="48"/>
      <c r="E812" s="48"/>
      <c r="F812" s="422"/>
      <c r="G812" s="422"/>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row>
    <row r="813">
      <c r="A813" s="48"/>
      <c r="B813" s="48"/>
      <c r="C813" s="48"/>
      <c r="D813" s="48"/>
      <c r="E813" s="48"/>
      <c r="F813" s="422"/>
      <c r="G813" s="422"/>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row>
    <row r="814">
      <c r="A814" s="48"/>
      <c r="B814" s="48"/>
      <c r="C814" s="48"/>
      <c r="D814" s="48"/>
      <c r="E814" s="48"/>
      <c r="F814" s="422"/>
      <c r="G814" s="422"/>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row>
    <row r="815">
      <c r="A815" s="48"/>
      <c r="B815" s="48"/>
      <c r="C815" s="48"/>
      <c r="D815" s="48"/>
      <c r="E815" s="48"/>
      <c r="F815" s="422"/>
      <c r="G815" s="422"/>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row>
    <row r="816">
      <c r="A816" s="48"/>
      <c r="B816" s="48"/>
      <c r="C816" s="48"/>
      <c r="D816" s="48"/>
      <c r="E816" s="48"/>
      <c r="F816" s="422"/>
      <c r="G816" s="422"/>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row>
    <row r="817">
      <c r="A817" s="48"/>
      <c r="B817" s="48"/>
      <c r="C817" s="48"/>
      <c r="D817" s="48"/>
      <c r="E817" s="48"/>
      <c r="F817" s="422"/>
      <c r="G817" s="422"/>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row>
    <row r="818">
      <c r="A818" s="48"/>
      <c r="B818" s="48"/>
      <c r="C818" s="48"/>
      <c r="D818" s="48"/>
      <c r="E818" s="48"/>
      <c r="F818" s="422"/>
      <c r="G818" s="422"/>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row>
    <row r="819">
      <c r="A819" s="48"/>
      <c r="B819" s="48"/>
      <c r="C819" s="48"/>
      <c r="D819" s="48"/>
      <c r="E819" s="48"/>
      <c r="F819" s="422"/>
      <c r="G819" s="422"/>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row>
    <row r="820">
      <c r="A820" s="48"/>
      <c r="B820" s="48"/>
      <c r="C820" s="48"/>
      <c r="D820" s="48"/>
      <c r="E820" s="48"/>
      <c r="F820" s="422"/>
      <c r="G820" s="422"/>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row>
    <row r="821">
      <c r="A821" s="48"/>
      <c r="B821" s="48"/>
      <c r="C821" s="48"/>
      <c r="D821" s="48"/>
      <c r="E821" s="48"/>
      <c r="F821" s="422"/>
      <c r="G821" s="422"/>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row>
    <row r="822">
      <c r="A822" s="48"/>
      <c r="B822" s="48"/>
      <c r="C822" s="48"/>
      <c r="D822" s="48"/>
      <c r="E822" s="48"/>
      <c r="F822" s="422"/>
      <c r="G822" s="422"/>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row>
    <row r="823">
      <c r="A823" s="48"/>
      <c r="B823" s="48"/>
      <c r="C823" s="48"/>
      <c r="D823" s="48"/>
      <c r="E823" s="48"/>
      <c r="F823" s="422"/>
      <c r="G823" s="422"/>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row>
    <row r="824">
      <c r="A824" s="48"/>
      <c r="B824" s="48"/>
      <c r="C824" s="48"/>
      <c r="D824" s="48"/>
      <c r="E824" s="48"/>
      <c r="F824" s="422"/>
      <c r="G824" s="422"/>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row>
    <row r="825">
      <c r="A825" s="48"/>
      <c r="B825" s="48"/>
      <c r="C825" s="48"/>
      <c r="D825" s="48"/>
      <c r="E825" s="48"/>
      <c r="F825" s="422"/>
      <c r="G825" s="422"/>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row>
    <row r="826">
      <c r="A826" s="48"/>
      <c r="B826" s="48"/>
      <c r="C826" s="48"/>
      <c r="D826" s="48"/>
      <c r="E826" s="48"/>
      <c r="F826" s="422"/>
      <c r="G826" s="422"/>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row>
    <row r="827">
      <c r="A827" s="48"/>
      <c r="B827" s="48"/>
      <c r="C827" s="48"/>
      <c r="D827" s="48"/>
      <c r="E827" s="48"/>
      <c r="F827" s="422"/>
      <c r="G827" s="422"/>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row>
    <row r="828">
      <c r="A828" s="48"/>
      <c r="B828" s="48"/>
      <c r="C828" s="48"/>
      <c r="D828" s="48"/>
      <c r="E828" s="48"/>
      <c r="F828" s="422"/>
      <c r="G828" s="422"/>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row>
    <row r="829">
      <c r="A829" s="48"/>
      <c r="B829" s="48"/>
      <c r="C829" s="48"/>
      <c r="D829" s="48"/>
      <c r="E829" s="48"/>
      <c r="F829" s="422"/>
      <c r="G829" s="422"/>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row>
    <row r="830">
      <c r="A830" s="48"/>
      <c r="B830" s="48"/>
      <c r="C830" s="48"/>
      <c r="D830" s="48"/>
      <c r="E830" s="48"/>
      <c r="F830" s="422"/>
      <c r="G830" s="422"/>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row>
    <row r="831">
      <c r="A831" s="48"/>
      <c r="B831" s="48"/>
      <c r="C831" s="48"/>
      <c r="D831" s="48"/>
      <c r="E831" s="48"/>
      <c r="F831" s="422"/>
      <c r="G831" s="422"/>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row>
    <row r="832">
      <c r="A832" s="48"/>
      <c r="B832" s="48"/>
      <c r="C832" s="48"/>
      <c r="D832" s="48"/>
      <c r="E832" s="48"/>
      <c r="F832" s="422"/>
      <c r="G832" s="422"/>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row>
    <row r="833">
      <c r="A833" s="48"/>
      <c r="B833" s="48"/>
      <c r="C833" s="48"/>
      <c r="D833" s="48"/>
      <c r="E833" s="48"/>
      <c r="F833" s="422"/>
      <c r="G833" s="422"/>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row>
    <row r="834">
      <c r="A834" s="48"/>
      <c r="B834" s="48"/>
      <c r="C834" s="48"/>
      <c r="D834" s="48"/>
      <c r="E834" s="48"/>
      <c r="F834" s="422"/>
      <c r="G834" s="422"/>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row>
    <row r="835">
      <c r="A835" s="48"/>
      <c r="B835" s="48"/>
      <c r="C835" s="48"/>
      <c r="D835" s="48"/>
      <c r="E835" s="48"/>
      <c r="F835" s="422"/>
      <c r="G835" s="422"/>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row>
    <row r="836">
      <c r="A836" s="48"/>
      <c r="B836" s="48"/>
      <c r="C836" s="48"/>
      <c r="D836" s="48"/>
      <c r="E836" s="48"/>
      <c r="F836" s="422"/>
      <c r="G836" s="422"/>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row>
    <row r="837">
      <c r="A837" s="48"/>
      <c r="B837" s="48"/>
      <c r="C837" s="48"/>
      <c r="D837" s="48"/>
      <c r="E837" s="48"/>
      <c r="F837" s="422"/>
      <c r="G837" s="422"/>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row>
    <row r="838">
      <c r="A838" s="48"/>
      <c r="B838" s="48"/>
      <c r="C838" s="48"/>
      <c r="D838" s="48"/>
      <c r="E838" s="48"/>
      <c r="F838" s="422"/>
      <c r="G838" s="422"/>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row>
    <row r="839">
      <c r="A839" s="48"/>
      <c r="B839" s="48"/>
      <c r="C839" s="48"/>
      <c r="D839" s="48"/>
      <c r="E839" s="48"/>
      <c r="F839" s="422"/>
      <c r="G839" s="422"/>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row>
    <row r="840">
      <c r="A840" s="48"/>
      <c r="B840" s="48"/>
      <c r="C840" s="48"/>
      <c r="D840" s="48"/>
      <c r="E840" s="48"/>
      <c r="F840" s="422"/>
      <c r="G840" s="422"/>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row>
    <row r="841">
      <c r="A841" s="48"/>
      <c r="B841" s="48"/>
      <c r="C841" s="48"/>
      <c r="D841" s="48"/>
      <c r="E841" s="48"/>
      <c r="F841" s="422"/>
      <c r="G841" s="422"/>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row>
    <row r="842">
      <c r="A842" s="48"/>
      <c r="B842" s="48"/>
      <c r="C842" s="48"/>
      <c r="D842" s="48"/>
      <c r="E842" s="48"/>
      <c r="F842" s="422"/>
      <c r="G842" s="422"/>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row>
    <row r="843">
      <c r="A843" s="48"/>
      <c r="B843" s="48"/>
      <c r="C843" s="48"/>
      <c r="D843" s="48"/>
      <c r="E843" s="48"/>
      <c r="F843" s="422"/>
      <c r="G843" s="422"/>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row>
    <row r="844">
      <c r="A844" s="48"/>
      <c r="B844" s="48"/>
      <c r="C844" s="48"/>
      <c r="D844" s="48"/>
      <c r="E844" s="48"/>
      <c r="F844" s="422"/>
      <c r="G844" s="422"/>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row>
    <row r="845">
      <c r="A845" s="48"/>
      <c r="B845" s="48"/>
      <c r="C845" s="48"/>
      <c r="D845" s="48"/>
      <c r="E845" s="48"/>
      <c r="F845" s="422"/>
      <c r="G845" s="422"/>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row>
    <row r="846">
      <c r="A846" s="48"/>
      <c r="B846" s="48"/>
      <c r="C846" s="48"/>
      <c r="D846" s="48"/>
      <c r="E846" s="48"/>
      <c r="F846" s="422"/>
      <c r="G846" s="422"/>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row>
    <row r="847">
      <c r="A847" s="48"/>
      <c r="B847" s="48"/>
      <c r="C847" s="48"/>
      <c r="D847" s="48"/>
      <c r="E847" s="48"/>
      <c r="F847" s="422"/>
      <c r="G847" s="422"/>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row>
    <row r="848">
      <c r="A848" s="48"/>
      <c r="B848" s="48"/>
      <c r="C848" s="48"/>
      <c r="D848" s="48"/>
      <c r="E848" s="48"/>
      <c r="F848" s="422"/>
      <c r="G848" s="422"/>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row>
    <row r="849">
      <c r="A849" s="48"/>
      <c r="B849" s="48"/>
      <c r="C849" s="48"/>
      <c r="D849" s="48"/>
      <c r="E849" s="48"/>
      <c r="F849" s="422"/>
      <c r="G849" s="422"/>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row>
    <row r="850">
      <c r="A850" s="48"/>
      <c r="B850" s="48"/>
      <c r="C850" s="48"/>
      <c r="D850" s="48"/>
      <c r="E850" s="48"/>
      <c r="F850" s="422"/>
      <c r="G850" s="422"/>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row>
    <row r="851">
      <c r="A851" s="48"/>
      <c r="B851" s="48"/>
      <c r="C851" s="48"/>
      <c r="D851" s="48"/>
      <c r="E851" s="48"/>
      <c r="F851" s="422"/>
      <c r="G851" s="422"/>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row>
    <row r="852">
      <c r="A852" s="48"/>
      <c r="B852" s="48"/>
      <c r="C852" s="48"/>
      <c r="D852" s="48"/>
      <c r="E852" s="48"/>
      <c r="F852" s="422"/>
      <c r="G852" s="422"/>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row>
    <row r="853">
      <c r="A853" s="48"/>
      <c r="B853" s="48"/>
      <c r="C853" s="48"/>
      <c r="D853" s="48"/>
      <c r="E853" s="48"/>
      <c r="F853" s="422"/>
      <c r="G853" s="422"/>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row>
    <row r="854">
      <c r="A854" s="48"/>
      <c r="B854" s="48"/>
      <c r="C854" s="48"/>
      <c r="D854" s="48"/>
      <c r="E854" s="48"/>
      <c r="F854" s="422"/>
      <c r="G854" s="422"/>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row>
    <row r="855">
      <c r="A855" s="48"/>
      <c r="B855" s="48"/>
      <c r="C855" s="48"/>
      <c r="D855" s="48"/>
      <c r="E855" s="48"/>
      <c r="F855" s="422"/>
      <c r="G855" s="422"/>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row>
    <row r="856">
      <c r="A856" s="48"/>
      <c r="B856" s="48"/>
      <c r="C856" s="48"/>
      <c r="D856" s="48"/>
      <c r="E856" s="48"/>
      <c r="F856" s="422"/>
      <c r="G856" s="422"/>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row>
    <row r="857">
      <c r="A857" s="48"/>
      <c r="B857" s="48"/>
      <c r="C857" s="48"/>
      <c r="D857" s="48"/>
      <c r="E857" s="48"/>
      <c r="F857" s="422"/>
      <c r="G857" s="422"/>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row>
    <row r="858">
      <c r="A858" s="48"/>
      <c r="B858" s="48"/>
      <c r="C858" s="48"/>
      <c r="D858" s="48"/>
      <c r="E858" s="48"/>
      <c r="F858" s="422"/>
      <c r="G858" s="422"/>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row>
    <row r="859">
      <c r="A859" s="48"/>
      <c r="B859" s="48"/>
      <c r="C859" s="48"/>
      <c r="D859" s="48"/>
      <c r="E859" s="48"/>
      <c r="F859" s="422"/>
      <c r="G859" s="422"/>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row>
    <row r="860">
      <c r="A860" s="48"/>
      <c r="B860" s="48"/>
      <c r="C860" s="48"/>
      <c r="D860" s="48"/>
      <c r="E860" s="48"/>
      <c r="F860" s="422"/>
      <c r="G860" s="422"/>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row>
    <row r="861">
      <c r="A861" s="48"/>
      <c r="B861" s="48"/>
      <c r="C861" s="48"/>
      <c r="D861" s="48"/>
      <c r="E861" s="48"/>
      <c r="F861" s="422"/>
      <c r="G861" s="422"/>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row>
    <row r="862">
      <c r="A862" s="48"/>
      <c r="B862" s="48"/>
      <c r="C862" s="48"/>
      <c r="D862" s="48"/>
      <c r="E862" s="48"/>
      <c r="F862" s="422"/>
      <c r="G862" s="422"/>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row>
    <row r="863">
      <c r="A863" s="48"/>
      <c r="B863" s="48"/>
      <c r="C863" s="48"/>
      <c r="D863" s="48"/>
      <c r="E863" s="48"/>
      <c r="F863" s="422"/>
      <c r="G863" s="422"/>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row>
    <row r="864">
      <c r="A864" s="48"/>
      <c r="B864" s="48"/>
      <c r="C864" s="48"/>
      <c r="D864" s="48"/>
      <c r="E864" s="48"/>
      <c r="F864" s="422"/>
      <c r="G864" s="422"/>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row>
    <row r="865">
      <c r="A865" s="48"/>
      <c r="B865" s="48"/>
      <c r="C865" s="48"/>
      <c r="D865" s="48"/>
      <c r="E865" s="48"/>
      <c r="F865" s="422"/>
      <c r="G865" s="422"/>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row>
    <row r="866">
      <c r="A866" s="48"/>
      <c r="B866" s="48"/>
      <c r="C866" s="48"/>
      <c r="D866" s="48"/>
      <c r="E866" s="48"/>
      <c r="F866" s="422"/>
      <c r="G866" s="422"/>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row>
    <row r="867">
      <c r="A867" s="48"/>
      <c r="B867" s="48"/>
      <c r="C867" s="48"/>
      <c r="D867" s="48"/>
      <c r="E867" s="48"/>
      <c r="F867" s="422"/>
      <c r="G867" s="422"/>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row>
    <row r="868">
      <c r="A868" s="48"/>
      <c r="B868" s="48"/>
      <c r="C868" s="48"/>
      <c r="D868" s="48"/>
      <c r="E868" s="48"/>
      <c r="F868" s="422"/>
      <c r="G868" s="422"/>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row>
    <row r="869">
      <c r="A869" s="48"/>
      <c r="B869" s="48"/>
      <c r="C869" s="48"/>
      <c r="D869" s="48"/>
      <c r="E869" s="48"/>
      <c r="F869" s="422"/>
      <c r="G869" s="422"/>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row>
    <row r="870">
      <c r="A870" s="48"/>
      <c r="B870" s="48"/>
      <c r="C870" s="48"/>
      <c r="D870" s="48"/>
      <c r="E870" s="48"/>
      <c r="F870" s="422"/>
      <c r="G870" s="422"/>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row>
    <row r="871">
      <c r="A871" s="48"/>
      <c r="B871" s="48"/>
      <c r="C871" s="48"/>
      <c r="D871" s="48"/>
      <c r="E871" s="48"/>
      <c r="F871" s="422"/>
      <c r="G871" s="422"/>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row>
    <row r="872">
      <c r="A872" s="48"/>
      <c r="B872" s="48"/>
      <c r="C872" s="48"/>
      <c r="D872" s="48"/>
      <c r="E872" s="48"/>
      <c r="F872" s="422"/>
      <c r="G872" s="422"/>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row>
    <row r="873">
      <c r="A873" s="48"/>
      <c r="B873" s="48"/>
      <c r="C873" s="48"/>
      <c r="D873" s="48"/>
      <c r="E873" s="48"/>
      <c r="F873" s="422"/>
      <c r="G873" s="422"/>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row>
    <row r="874">
      <c r="A874" s="48"/>
      <c r="B874" s="48"/>
      <c r="C874" s="48"/>
      <c r="D874" s="48"/>
      <c r="E874" s="48"/>
      <c r="F874" s="422"/>
      <c r="G874" s="422"/>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row>
    <row r="875">
      <c r="A875" s="48"/>
      <c r="B875" s="48"/>
      <c r="C875" s="48"/>
      <c r="D875" s="48"/>
      <c r="E875" s="48"/>
      <c r="F875" s="422"/>
      <c r="G875" s="422"/>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row>
    <row r="876">
      <c r="A876" s="48"/>
      <c r="B876" s="48"/>
      <c r="C876" s="48"/>
      <c r="D876" s="48"/>
      <c r="E876" s="48"/>
      <c r="F876" s="422"/>
      <c r="G876" s="422"/>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row>
    <row r="877">
      <c r="A877" s="48"/>
      <c r="B877" s="48"/>
      <c r="C877" s="48"/>
      <c r="D877" s="48"/>
      <c r="E877" s="48"/>
      <c r="F877" s="422"/>
      <c r="G877" s="422"/>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row>
    <row r="878">
      <c r="A878" s="48"/>
      <c r="B878" s="48"/>
      <c r="C878" s="48"/>
      <c r="D878" s="48"/>
      <c r="E878" s="48"/>
      <c r="F878" s="422"/>
      <c r="G878" s="422"/>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row>
    <row r="879">
      <c r="A879" s="48"/>
      <c r="B879" s="48"/>
      <c r="C879" s="48"/>
      <c r="D879" s="48"/>
      <c r="E879" s="48"/>
      <c r="F879" s="422"/>
      <c r="G879" s="422"/>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row>
    <row r="880">
      <c r="A880" s="48"/>
      <c r="B880" s="48"/>
      <c r="C880" s="48"/>
      <c r="D880" s="48"/>
      <c r="E880" s="48"/>
      <c r="F880" s="422"/>
      <c r="G880" s="422"/>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row>
    <row r="881">
      <c r="A881" s="48"/>
      <c r="B881" s="48"/>
      <c r="C881" s="48"/>
      <c r="D881" s="48"/>
      <c r="E881" s="48"/>
      <c r="F881" s="422"/>
      <c r="G881" s="422"/>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row>
    <row r="882">
      <c r="A882" s="48"/>
      <c r="B882" s="48"/>
      <c r="C882" s="48"/>
      <c r="D882" s="48"/>
      <c r="E882" s="48"/>
      <c r="F882" s="422"/>
      <c r="G882" s="422"/>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row>
    <row r="883">
      <c r="A883" s="48"/>
      <c r="B883" s="48"/>
      <c r="C883" s="48"/>
      <c r="D883" s="48"/>
      <c r="E883" s="48"/>
      <c r="F883" s="422"/>
      <c r="G883" s="422"/>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row>
    <row r="884">
      <c r="A884" s="48"/>
      <c r="B884" s="48"/>
      <c r="C884" s="48"/>
      <c r="D884" s="48"/>
      <c r="E884" s="48"/>
      <c r="F884" s="422"/>
      <c r="G884" s="422"/>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row>
    <row r="885">
      <c r="A885" s="48"/>
      <c r="B885" s="48"/>
      <c r="C885" s="48"/>
      <c r="D885" s="48"/>
      <c r="E885" s="48"/>
      <c r="F885" s="422"/>
      <c r="G885" s="422"/>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row>
    <row r="886">
      <c r="A886" s="48"/>
      <c r="B886" s="48"/>
      <c r="C886" s="48"/>
      <c r="D886" s="48"/>
      <c r="E886" s="48"/>
      <c r="F886" s="422"/>
      <c r="G886" s="422"/>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row>
    <row r="887">
      <c r="A887" s="48"/>
      <c r="B887" s="48"/>
      <c r="C887" s="48"/>
      <c r="D887" s="48"/>
      <c r="E887" s="48"/>
      <c r="F887" s="422"/>
      <c r="G887" s="422"/>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row>
    <row r="888">
      <c r="A888" s="48"/>
      <c r="B888" s="48"/>
      <c r="C888" s="48"/>
      <c r="D888" s="48"/>
      <c r="E888" s="48"/>
      <c r="F888" s="422"/>
      <c r="G888" s="422"/>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row>
    <row r="889">
      <c r="A889" s="48"/>
      <c r="B889" s="48"/>
      <c r="C889" s="48"/>
      <c r="D889" s="48"/>
      <c r="E889" s="48"/>
      <c r="F889" s="422"/>
      <c r="G889" s="422"/>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row>
    <row r="890">
      <c r="A890" s="48"/>
      <c r="B890" s="48"/>
      <c r="C890" s="48"/>
      <c r="D890" s="48"/>
      <c r="E890" s="48"/>
      <c r="F890" s="422"/>
      <c r="G890" s="422"/>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row>
    <row r="891">
      <c r="A891" s="48"/>
      <c r="B891" s="48"/>
      <c r="C891" s="48"/>
      <c r="D891" s="48"/>
      <c r="E891" s="48"/>
      <c r="F891" s="422"/>
      <c r="G891" s="422"/>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row>
    <row r="892">
      <c r="A892" s="48"/>
      <c r="B892" s="48"/>
      <c r="C892" s="48"/>
      <c r="D892" s="48"/>
      <c r="E892" s="48"/>
      <c r="F892" s="422"/>
      <c r="G892" s="422"/>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row>
    <row r="893">
      <c r="A893" s="48"/>
      <c r="B893" s="48"/>
      <c r="C893" s="48"/>
      <c r="D893" s="48"/>
      <c r="E893" s="48"/>
      <c r="F893" s="422"/>
      <c r="G893" s="422"/>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row>
    <row r="894">
      <c r="A894" s="48"/>
      <c r="B894" s="48"/>
      <c r="C894" s="48"/>
      <c r="D894" s="48"/>
      <c r="E894" s="48"/>
      <c r="F894" s="422"/>
      <c r="G894" s="422"/>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row>
    <row r="895">
      <c r="A895" s="48"/>
      <c r="B895" s="48"/>
      <c r="C895" s="48"/>
      <c r="D895" s="48"/>
      <c r="E895" s="48"/>
      <c r="F895" s="422"/>
      <c r="G895" s="422"/>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row>
    <row r="896">
      <c r="A896" s="48"/>
      <c r="B896" s="48"/>
      <c r="C896" s="48"/>
      <c r="D896" s="48"/>
      <c r="E896" s="48"/>
      <c r="F896" s="422"/>
      <c r="G896" s="422"/>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row>
    <row r="897">
      <c r="A897" s="48"/>
      <c r="B897" s="48"/>
      <c r="C897" s="48"/>
      <c r="D897" s="48"/>
      <c r="E897" s="48"/>
      <c r="F897" s="422"/>
      <c r="G897" s="422"/>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row>
    <row r="898">
      <c r="A898" s="48"/>
      <c r="B898" s="48"/>
      <c r="C898" s="48"/>
      <c r="D898" s="48"/>
      <c r="E898" s="48"/>
      <c r="F898" s="422"/>
      <c r="G898" s="422"/>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row>
    <row r="899">
      <c r="A899" s="48"/>
      <c r="B899" s="48"/>
      <c r="C899" s="48"/>
      <c r="D899" s="48"/>
      <c r="E899" s="48"/>
      <c r="F899" s="422"/>
      <c r="G899" s="422"/>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row>
    <row r="900">
      <c r="A900" s="48"/>
      <c r="B900" s="48"/>
      <c r="C900" s="48"/>
      <c r="D900" s="48"/>
      <c r="E900" s="48"/>
      <c r="F900" s="422"/>
      <c r="G900" s="422"/>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row>
    <row r="901">
      <c r="A901" s="48"/>
      <c r="B901" s="48"/>
      <c r="C901" s="48"/>
      <c r="D901" s="48"/>
      <c r="E901" s="48"/>
      <c r="F901" s="422"/>
      <c r="G901" s="422"/>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row>
    <row r="902">
      <c r="A902" s="48"/>
      <c r="B902" s="48"/>
      <c r="C902" s="48"/>
      <c r="D902" s="48"/>
      <c r="E902" s="48"/>
      <c r="F902" s="422"/>
      <c r="G902" s="422"/>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row>
    <row r="903">
      <c r="A903" s="48"/>
      <c r="B903" s="48"/>
      <c r="C903" s="48"/>
      <c r="D903" s="48"/>
      <c r="E903" s="48"/>
      <c r="F903" s="422"/>
      <c r="G903" s="422"/>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row>
    <row r="904">
      <c r="A904" s="48"/>
      <c r="B904" s="48"/>
      <c r="C904" s="48"/>
      <c r="D904" s="48"/>
      <c r="E904" s="48"/>
      <c r="F904" s="422"/>
      <c r="G904" s="422"/>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row>
    <row r="905">
      <c r="A905" s="48"/>
      <c r="B905" s="48"/>
      <c r="C905" s="48"/>
      <c r="D905" s="48"/>
      <c r="E905" s="48"/>
      <c r="F905" s="422"/>
      <c r="G905" s="422"/>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row>
    <row r="906">
      <c r="A906" s="48"/>
      <c r="B906" s="48"/>
      <c r="C906" s="48"/>
      <c r="D906" s="48"/>
      <c r="E906" s="48"/>
      <c r="F906" s="422"/>
      <c r="G906" s="422"/>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row>
    <row r="907">
      <c r="A907" s="48"/>
      <c r="B907" s="48"/>
      <c r="C907" s="48"/>
      <c r="D907" s="48"/>
      <c r="E907" s="48"/>
      <c r="F907" s="422"/>
      <c r="G907" s="422"/>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row>
    <row r="908">
      <c r="A908" s="48"/>
      <c r="B908" s="48"/>
      <c r="C908" s="48"/>
      <c r="D908" s="48"/>
      <c r="E908" s="48"/>
      <c r="F908" s="422"/>
      <c r="G908" s="422"/>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row>
    <row r="909">
      <c r="A909" s="48"/>
      <c r="B909" s="48"/>
      <c r="C909" s="48"/>
      <c r="D909" s="48"/>
      <c r="E909" s="48"/>
      <c r="F909" s="422"/>
      <c r="G909" s="422"/>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row>
    <row r="910">
      <c r="A910" s="48"/>
      <c r="B910" s="48"/>
      <c r="C910" s="48"/>
      <c r="D910" s="48"/>
      <c r="E910" s="48"/>
      <c r="F910" s="422"/>
      <c r="G910" s="422"/>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row>
    <row r="911">
      <c r="A911" s="48"/>
      <c r="B911" s="48"/>
      <c r="C911" s="48"/>
      <c r="D911" s="48"/>
      <c r="E911" s="48"/>
      <c r="F911" s="422"/>
      <c r="G911" s="422"/>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row>
    <row r="912">
      <c r="A912" s="48"/>
      <c r="B912" s="48"/>
      <c r="C912" s="48"/>
      <c r="D912" s="48"/>
      <c r="E912" s="48"/>
      <c r="F912" s="422"/>
      <c r="G912" s="422"/>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row>
    <row r="913">
      <c r="A913" s="48"/>
      <c r="B913" s="48"/>
      <c r="C913" s="48"/>
      <c r="D913" s="48"/>
      <c r="E913" s="48"/>
      <c r="F913" s="422"/>
      <c r="G913" s="422"/>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row>
    <row r="914">
      <c r="A914" s="48"/>
      <c r="B914" s="48"/>
      <c r="C914" s="48"/>
      <c r="D914" s="48"/>
      <c r="E914" s="48"/>
      <c r="F914" s="422"/>
      <c r="G914" s="422"/>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row>
    <row r="915">
      <c r="A915" s="48"/>
      <c r="B915" s="48"/>
      <c r="C915" s="48"/>
      <c r="D915" s="48"/>
      <c r="E915" s="48"/>
      <c r="F915" s="422"/>
      <c r="G915" s="422"/>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row>
    <row r="916">
      <c r="A916" s="48"/>
      <c r="B916" s="48"/>
      <c r="C916" s="48"/>
      <c r="D916" s="48"/>
      <c r="E916" s="48"/>
      <c r="F916" s="422"/>
      <c r="G916" s="422"/>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row>
    <row r="917">
      <c r="A917" s="48"/>
      <c r="B917" s="48"/>
      <c r="C917" s="48"/>
      <c r="D917" s="48"/>
      <c r="E917" s="48"/>
      <c r="F917" s="422"/>
      <c r="G917" s="422"/>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row>
    <row r="918">
      <c r="A918" s="48"/>
      <c r="B918" s="48"/>
      <c r="C918" s="48"/>
      <c r="D918" s="48"/>
      <c r="E918" s="48"/>
      <c r="F918" s="422"/>
      <c r="G918" s="422"/>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row>
    <row r="919">
      <c r="A919" s="48"/>
      <c r="B919" s="48"/>
      <c r="C919" s="48"/>
      <c r="D919" s="48"/>
      <c r="E919" s="48"/>
      <c r="F919" s="422"/>
      <c r="G919" s="422"/>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row>
    <row r="920">
      <c r="A920" s="48"/>
      <c r="B920" s="48"/>
      <c r="C920" s="48"/>
      <c r="D920" s="48"/>
      <c r="E920" s="48"/>
      <c r="F920" s="422"/>
      <c r="G920" s="422"/>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row>
    <row r="921">
      <c r="A921" s="48"/>
      <c r="B921" s="48"/>
      <c r="C921" s="48"/>
      <c r="D921" s="48"/>
      <c r="E921" s="48"/>
      <c r="F921" s="422"/>
      <c r="G921" s="422"/>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row>
    <row r="922">
      <c r="A922" s="48"/>
      <c r="B922" s="48"/>
      <c r="C922" s="48"/>
      <c r="D922" s="48"/>
      <c r="E922" s="48"/>
      <c r="F922" s="422"/>
      <c r="G922" s="422"/>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row>
    <row r="923">
      <c r="A923" s="48"/>
      <c r="B923" s="48"/>
      <c r="C923" s="48"/>
      <c r="D923" s="48"/>
      <c r="E923" s="48"/>
      <c r="F923" s="422"/>
      <c r="G923" s="422"/>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row>
    <row r="924">
      <c r="A924" s="48"/>
      <c r="B924" s="48"/>
      <c r="C924" s="48"/>
      <c r="D924" s="48"/>
      <c r="E924" s="48"/>
      <c r="F924" s="422"/>
      <c r="G924" s="422"/>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row>
    <row r="925">
      <c r="A925" s="48"/>
      <c r="B925" s="48"/>
      <c r="C925" s="48"/>
      <c r="D925" s="48"/>
      <c r="E925" s="48"/>
      <c r="F925" s="422"/>
      <c r="G925" s="422"/>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row>
    <row r="926">
      <c r="A926" s="48"/>
      <c r="B926" s="48"/>
      <c r="C926" s="48"/>
      <c r="D926" s="48"/>
      <c r="E926" s="48"/>
      <c r="F926" s="422"/>
      <c r="G926" s="422"/>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row>
    <row r="927">
      <c r="A927" s="48"/>
      <c r="B927" s="48"/>
      <c r="C927" s="48"/>
      <c r="D927" s="48"/>
      <c r="E927" s="48"/>
      <c r="F927" s="422"/>
      <c r="G927" s="422"/>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row>
    <row r="928">
      <c r="A928" s="48"/>
      <c r="B928" s="48"/>
      <c r="C928" s="48"/>
      <c r="D928" s="48"/>
      <c r="E928" s="48"/>
      <c r="F928" s="422"/>
      <c r="G928" s="422"/>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row>
    <row r="929">
      <c r="A929" s="48"/>
      <c r="B929" s="48"/>
      <c r="C929" s="48"/>
      <c r="D929" s="48"/>
      <c r="E929" s="48"/>
      <c r="F929" s="422"/>
      <c r="G929" s="422"/>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row>
    <row r="930">
      <c r="A930" s="48"/>
      <c r="B930" s="48"/>
      <c r="C930" s="48"/>
      <c r="D930" s="48"/>
      <c r="E930" s="48"/>
      <c r="F930" s="422"/>
      <c r="G930" s="422"/>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row>
    <row r="931">
      <c r="A931" s="48"/>
      <c r="B931" s="48"/>
      <c r="C931" s="48"/>
      <c r="D931" s="48"/>
      <c r="E931" s="48"/>
      <c r="F931" s="422"/>
      <c r="G931" s="422"/>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row>
    <row r="932">
      <c r="A932" s="48"/>
      <c r="B932" s="48"/>
      <c r="C932" s="48"/>
      <c r="D932" s="48"/>
      <c r="E932" s="48"/>
      <c r="F932" s="422"/>
      <c r="G932" s="422"/>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row>
    <row r="933">
      <c r="A933" s="48"/>
      <c r="B933" s="48"/>
      <c r="C933" s="48"/>
      <c r="D933" s="48"/>
      <c r="E933" s="48"/>
      <c r="F933" s="422"/>
      <c r="G933" s="422"/>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row>
    <row r="934">
      <c r="A934" s="48"/>
      <c r="B934" s="48"/>
      <c r="C934" s="48"/>
      <c r="D934" s="48"/>
      <c r="E934" s="48"/>
      <c r="F934" s="422"/>
      <c r="G934" s="422"/>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row>
    <row r="935">
      <c r="A935" s="48"/>
      <c r="B935" s="48"/>
      <c r="C935" s="48"/>
      <c r="D935" s="48"/>
      <c r="E935" s="48"/>
      <c r="F935" s="422"/>
      <c r="G935" s="422"/>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row>
    <row r="936">
      <c r="A936" s="48"/>
      <c r="B936" s="48"/>
      <c r="C936" s="48"/>
      <c r="D936" s="48"/>
      <c r="E936" s="48"/>
      <c r="F936" s="422"/>
      <c r="G936" s="422"/>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row>
    <row r="937">
      <c r="A937" s="48"/>
      <c r="B937" s="48"/>
      <c r="C937" s="48"/>
      <c r="D937" s="48"/>
      <c r="E937" s="48"/>
      <c r="F937" s="422"/>
      <c r="G937" s="422"/>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row>
    <row r="938">
      <c r="A938" s="48"/>
      <c r="B938" s="48"/>
      <c r="C938" s="48"/>
      <c r="D938" s="48"/>
      <c r="E938" s="48"/>
      <c r="F938" s="422"/>
      <c r="G938" s="422"/>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row>
    <row r="939">
      <c r="A939" s="48"/>
      <c r="B939" s="48"/>
      <c r="C939" s="48"/>
      <c r="D939" s="48"/>
      <c r="E939" s="48"/>
      <c r="F939" s="422"/>
      <c r="G939" s="422"/>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row>
    <row r="940">
      <c r="A940" s="48"/>
      <c r="B940" s="48"/>
      <c r="C940" s="48"/>
      <c r="D940" s="48"/>
      <c r="E940" s="48"/>
      <c r="F940" s="422"/>
      <c r="G940" s="422"/>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row>
    <row r="941">
      <c r="A941" s="48"/>
      <c r="B941" s="48"/>
      <c r="C941" s="48"/>
      <c r="D941" s="48"/>
      <c r="E941" s="48"/>
      <c r="F941" s="422"/>
      <c r="G941" s="422"/>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row>
    <row r="942">
      <c r="A942" s="48"/>
      <c r="B942" s="48"/>
      <c r="C942" s="48"/>
      <c r="D942" s="48"/>
      <c r="E942" s="48"/>
      <c r="F942" s="422"/>
      <c r="G942" s="422"/>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row>
    <row r="943">
      <c r="A943" s="48"/>
      <c r="B943" s="48"/>
      <c r="C943" s="48"/>
      <c r="D943" s="48"/>
      <c r="E943" s="48"/>
      <c r="F943" s="422"/>
      <c r="G943" s="422"/>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row>
    <row r="944">
      <c r="A944" s="48"/>
      <c r="B944" s="48"/>
      <c r="C944" s="48"/>
      <c r="D944" s="48"/>
      <c r="E944" s="48"/>
      <c r="F944" s="422"/>
      <c r="G944" s="422"/>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row>
    <row r="945">
      <c r="A945" s="48"/>
      <c r="B945" s="48"/>
      <c r="C945" s="48"/>
      <c r="D945" s="48"/>
      <c r="E945" s="48"/>
      <c r="F945" s="422"/>
      <c r="G945" s="422"/>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row>
    <row r="946">
      <c r="A946" s="48"/>
      <c r="B946" s="48"/>
      <c r="C946" s="48"/>
      <c r="D946" s="48"/>
      <c r="E946" s="48"/>
      <c r="F946" s="422"/>
      <c r="G946" s="422"/>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row>
    <row r="947">
      <c r="A947" s="48"/>
      <c r="B947" s="48"/>
      <c r="C947" s="48"/>
      <c r="D947" s="48"/>
      <c r="E947" s="48"/>
      <c r="F947" s="422"/>
      <c r="G947" s="422"/>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row>
    <row r="948">
      <c r="A948" s="48"/>
      <c r="B948" s="48"/>
      <c r="C948" s="48"/>
      <c r="D948" s="48"/>
      <c r="E948" s="48"/>
      <c r="F948" s="422"/>
      <c r="G948" s="422"/>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row>
    <row r="949">
      <c r="A949" s="48"/>
      <c r="B949" s="48"/>
      <c r="C949" s="48"/>
      <c r="D949" s="48"/>
      <c r="E949" s="48"/>
      <c r="F949" s="422"/>
      <c r="G949" s="422"/>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row>
    <row r="950">
      <c r="A950" s="48"/>
      <c r="B950" s="48"/>
      <c r="C950" s="48"/>
      <c r="D950" s="48"/>
      <c r="E950" s="48"/>
      <c r="F950" s="422"/>
      <c r="G950" s="422"/>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row>
    <row r="951">
      <c r="A951" s="48"/>
      <c r="B951" s="48"/>
      <c r="C951" s="48"/>
      <c r="D951" s="48"/>
      <c r="E951" s="48"/>
      <c r="F951" s="422"/>
      <c r="G951" s="422"/>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row>
    <row r="952">
      <c r="A952" s="48"/>
      <c r="B952" s="48"/>
      <c r="C952" s="48"/>
      <c r="D952" s="48"/>
      <c r="E952" s="48"/>
      <c r="F952" s="422"/>
      <c r="G952" s="422"/>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row>
    <row r="953">
      <c r="A953" s="48"/>
      <c r="B953" s="48"/>
      <c r="C953" s="48"/>
      <c r="D953" s="48"/>
      <c r="E953" s="48"/>
      <c r="F953" s="422"/>
      <c r="G953" s="422"/>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row>
    <row r="954">
      <c r="A954" s="48"/>
      <c r="B954" s="48"/>
      <c r="C954" s="48"/>
      <c r="D954" s="48"/>
      <c r="E954" s="48"/>
      <c r="F954" s="422"/>
      <c r="G954" s="422"/>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row>
    <row r="955">
      <c r="A955" s="48"/>
      <c r="B955" s="48"/>
      <c r="C955" s="48"/>
      <c r="D955" s="48"/>
      <c r="E955" s="48"/>
      <c r="F955" s="422"/>
      <c r="G955" s="422"/>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row>
    <row r="956">
      <c r="A956" s="48"/>
      <c r="B956" s="48"/>
      <c r="C956" s="48"/>
      <c r="D956" s="48"/>
      <c r="E956" s="48"/>
      <c r="F956" s="422"/>
      <c r="G956" s="422"/>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row>
    <row r="957">
      <c r="A957" s="48"/>
      <c r="B957" s="48"/>
      <c r="C957" s="48"/>
      <c r="D957" s="48"/>
      <c r="E957" s="48"/>
      <c r="F957" s="422"/>
      <c r="G957" s="422"/>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row>
    <row r="958">
      <c r="A958" s="48"/>
      <c r="B958" s="48"/>
      <c r="C958" s="48"/>
      <c r="D958" s="48"/>
      <c r="E958" s="48"/>
      <c r="F958" s="422"/>
      <c r="G958" s="422"/>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row>
    <row r="959">
      <c r="A959" s="48"/>
      <c r="B959" s="48"/>
      <c r="C959" s="48"/>
      <c r="D959" s="48"/>
      <c r="E959" s="48"/>
      <c r="F959" s="422"/>
      <c r="G959" s="422"/>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row>
    <row r="960">
      <c r="A960" s="48"/>
      <c r="B960" s="48"/>
      <c r="C960" s="48"/>
      <c r="D960" s="48"/>
      <c r="E960" s="48"/>
      <c r="F960" s="422"/>
      <c r="G960" s="422"/>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row>
    <row r="961">
      <c r="A961" s="48"/>
      <c r="B961" s="48"/>
      <c r="C961" s="48"/>
      <c r="D961" s="48"/>
      <c r="E961" s="48"/>
      <c r="F961" s="422"/>
      <c r="G961" s="422"/>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row>
    <row r="962">
      <c r="A962" s="48"/>
      <c r="B962" s="48"/>
      <c r="C962" s="48"/>
      <c r="D962" s="48"/>
      <c r="E962" s="48"/>
      <c r="F962" s="422"/>
      <c r="G962" s="422"/>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row>
    <row r="963">
      <c r="A963" s="48"/>
      <c r="B963" s="48"/>
      <c r="C963" s="48"/>
      <c r="D963" s="48"/>
      <c r="E963" s="48"/>
      <c r="F963" s="422"/>
      <c r="G963" s="422"/>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row>
    <row r="964">
      <c r="A964" s="48"/>
      <c r="B964" s="48"/>
      <c r="C964" s="48"/>
      <c r="D964" s="48"/>
      <c r="E964" s="48"/>
      <c r="F964" s="422"/>
      <c r="G964" s="422"/>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row>
    <row r="965">
      <c r="A965" s="48"/>
      <c r="B965" s="48"/>
      <c r="C965" s="48"/>
      <c r="D965" s="48"/>
      <c r="E965" s="48"/>
      <c r="F965" s="422"/>
      <c r="G965" s="422"/>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row>
    <row r="966">
      <c r="A966" s="48"/>
      <c r="B966" s="48"/>
      <c r="C966" s="48"/>
      <c r="D966" s="48"/>
      <c r="E966" s="48"/>
      <c r="F966" s="422"/>
      <c r="G966" s="422"/>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row>
    <row r="967">
      <c r="A967" s="48"/>
      <c r="B967" s="48"/>
      <c r="C967" s="48"/>
      <c r="D967" s="48"/>
      <c r="E967" s="48"/>
      <c r="F967" s="422"/>
      <c r="G967" s="422"/>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row>
    <row r="968">
      <c r="A968" s="48"/>
      <c r="B968" s="48"/>
      <c r="C968" s="48"/>
      <c r="D968" s="48"/>
      <c r="E968" s="48"/>
      <c r="F968" s="422"/>
      <c r="G968" s="422"/>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row>
    <row r="969">
      <c r="A969" s="48"/>
      <c r="B969" s="48"/>
      <c r="C969" s="48"/>
      <c r="D969" s="48"/>
      <c r="E969" s="48"/>
      <c r="F969" s="422"/>
      <c r="G969" s="422"/>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row>
    <row r="970">
      <c r="A970" s="48"/>
      <c r="B970" s="48"/>
      <c r="C970" s="48"/>
      <c r="D970" s="48"/>
      <c r="E970" s="48"/>
      <c r="F970" s="422"/>
      <c r="G970" s="422"/>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row>
    <row r="971">
      <c r="A971" s="48"/>
      <c r="B971" s="48"/>
      <c r="C971" s="48"/>
      <c r="D971" s="48"/>
      <c r="E971" s="48"/>
      <c r="F971" s="422"/>
      <c r="G971" s="422"/>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row>
    <row r="972">
      <c r="A972" s="48"/>
      <c r="B972" s="48"/>
      <c r="C972" s="48"/>
      <c r="D972" s="48"/>
      <c r="E972" s="48"/>
      <c r="F972" s="422"/>
      <c r="G972" s="422"/>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row>
    <row r="973">
      <c r="A973" s="48"/>
      <c r="B973" s="48"/>
      <c r="C973" s="48"/>
      <c r="D973" s="48"/>
      <c r="E973" s="48"/>
      <c r="F973" s="422"/>
      <c r="G973" s="422"/>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row>
    <row r="974">
      <c r="A974" s="48"/>
      <c r="B974" s="48"/>
      <c r="C974" s="48"/>
      <c r="D974" s="48"/>
      <c r="E974" s="48"/>
      <c r="F974" s="422"/>
      <c r="G974" s="422"/>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row>
    <row r="975">
      <c r="A975" s="48"/>
      <c r="B975" s="48"/>
      <c r="C975" s="48"/>
      <c r="D975" s="48"/>
      <c r="E975" s="48"/>
      <c r="F975" s="422"/>
      <c r="G975" s="422"/>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row>
    <row r="976">
      <c r="A976" s="48"/>
      <c r="B976" s="48"/>
      <c r="C976" s="48"/>
      <c r="D976" s="48"/>
      <c r="E976" s="48"/>
      <c r="F976" s="422"/>
      <c r="G976" s="422"/>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row>
    <row r="977">
      <c r="A977" s="48"/>
      <c r="B977" s="48"/>
      <c r="C977" s="48"/>
      <c r="D977" s="48"/>
      <c r="E977" s="48"/>
      <c r="F977" s="422"/>
      <c r="G977" s="422"/>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row>
    <row r="978">
      <c r="A978" s="48"/>
      <c r="B978" s="48"/>
      <c r="C978" s="48"/>
      <c r="D978" s="48"/>
      <c r="E978" s="48"/>
      <c r="F978" s="422"/>
      <c r="G978" s="422"/>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row>
    <row r="979">
      <c r="A979" s="48"/>
      <c r="B979" s="48"/>
      <c r="C979" s="48"/>
      <c r="D979" s="48"/>
      <c r="E979" s="48"/>
      <c r="F979" s="422"/>
      <c r="G979" s="422"/>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row>
    <row r="980">
      <c r="A980" s="48"/>
      <c r="B980" s="48"/>
      <c r="C980" s="48"/>
      <c r="D980" s="48"/>
      <c r="E980" s="48"/>
      <c r="F980" s="422"/>
      <c r="G980" s="422"/>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row>
    <row r="981">
      <c r="A981" s="48"/>
      <c r="B981" s="48"/>
      <c r="C981" s="48"/>
      <c r="D981" s="48"/>
      <c r="E981" s="48"/>
      <c r="F981" s="422"/>
      <c r="G981" s="422"/>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row>
    <row r="982">
      <c r="A982" s="48"/>
      <c r="B982" s="48"/>
      <c r="C982" s="48"/>
      <c r="D982" s="48"/>
      <c r="E982" s="48"/>
      <c r="F982" s="422"/>
      <c r="G982" s="422"/>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row>
    <row r="983">
      <c r="A983" s="48"/>
      <c r="B983" s="48"/>
      <c r="C983" s="48"/>
      <c r="D983" s="48"/>
      <c r="E983" s="48"/>
      <c r="F983" s="422"/>
      <c r="G983" s="422"/>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row>
    <row r="984">
      <c r="A984" s="48"/>
      <c r="B984" s="48"/>
      <c r="C984" s="48"/>
      <c r="D984" s="48"/>
      <c r="E984" s="48"/>
      <c r="F984" s="422"/>
      <c r="G984" s="422"/>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row>
    <row r="985">
      <c r="A985" s="48"/>
      <c r="B985" s="48"/>
      <c r="C985" s="48"/>
      <c r="D985" s="48"/>
      <c r="E985" s="48"/>
      <c r="F985" s="422"/>
      <c r="G985" s="422"/>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row>
    <row r="986">
      <c r="A986" s="48"/>
      <c r="B986" s="48"/>
      <c r="C986" s="48"/>
      <c r="D986" s="48"/>
      <c r="E986" s="48"/>
      <c r="F986" s="422"/>
      <c r="G986" s="422"/>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row>
    <row r="987">
      <c r="A987" s="48"/>
      <c r="B987" s="48"/>
      <c r="C987" s="48"/>
      <c r="D987" s="48"/>
      <c r="E987" s="48"/>
      <c r="F987" s="422"/>
      <c r="G987" s="422"/>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row>
    <row r="988">
      <c r="A988" s="48"/>
      <c r="B988" s="48"/>
      <c r="C988" s="48"/>
      <c r="D988" s="48"/>
      <c r="E988" s="48"/>
      <c r="F988" s="422"/>
      <c r="G988" s="422"/>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row>
    <row r="989">
      <c r="A989" s="48"/>
      <c r="B989" s="48"/>
      <c r="C989" s="48"/>
      <c r="D989" s="48"/>
      <c r="E989" s="48"/>
      <c r="F989" s="422"/>
      <c r="G989" s="422"/>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row>
    <row r="990">
      <c r="A990" s="48"/>
      <c r="B990" s="48"/>
      <c r="C990" s="48"/>
      <c r="D990" s="48"/>
      <c r="E990" s="48"/>
      <c r="F990" s="422"/>
      <c r="G990" s="422"/>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row>
    <row r="991">
      <c r="A991" s="48"/>
      <c r="B991" s="48"/>
      <c r="C991" s="48"/>
      <c r="D991" s="48"/>
      <c r="E991" s="48"/>
      <c r="F991" s="422"/>
      <c r="G991" s="422"/>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row>
    <row r="992">
      <c r="A992" s="48"/>
      <c r="B992" s="48"/>
      <c r="C992" s="48"/>
      <c r="D992" s="48"/>
      <c r="E992" s="48"/>
      <c r="F992" s="422"/>
      <c r="G992" s="422"/>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row>
    <row r="993">
      <c r="A993" s="48"/>
      <c r="B993" s="48"/>
      <c r="C993" s="48"/>
      <c r="D993" s="48"/>
      <c r="E993" s="48"/>
      <c r="F993" s="422"/>
      <c r="G993" s="422"/>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row>
    <row r="994">
      <c r="A994" s="48"/>
      <c r="B994" s="48"/>
      <c r="C994" s="48"/>
      <c r="D994" s="48"/>
      <c r="E994" s="48"/>
      <c r="F994" s="422"/>
      <c r="G994" s="422"/>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row>
    <row r="995">
      <c r="A995" s="48"/>
      <c r="B995" s="48"/>
      <c r="C995" s="48"/>
      <c r="D995" s="48"/>
      <c r="E995" s="48"/>
      <c r="F995" s="422"/>
      <c r="G995" s="422"/>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row>
    <row r="996">
      <c r="A996" s="48"/>
      <c r="B996" s="48"/>
      <c r="C996" s="48"/>
      <c r="D996" s="48"/>
      <c r="E996" s="48"/>
      <c r="F996" s="422"/>
      <c r="G996" s="422"/>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row>
    <row r="997">
      <c r="A997" s="48"/>
      <c r="B997" s="48"/>
      <c r="C997" s="48"/>
      <c r="D997" s="48"/>
      <c r="E997" s="48"/>
      <c r="F997" s="422"/>
      <c r="G997" s="422"/>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row>
    <row r="998">
      <c r="A998" s="48"/>
      <c r="B998" s="48"/>
      <c r="C998" s="48"/>
      <c r="D998" s="48"/>
      <c r="E998" s="48"/>
      <c r="F998" s="422"/>
      <c r="G998" s="422"/>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row>
    <row r="999">
      <c r="A999" s="48"/>
      <c r="B999" s="48"/>
      <c r="C999" s="48"/>
      <c r="D999" s="48"/>
      <c r="E999" s="48"/>
      <c r="F999" s="422"/>
      <c r="G999" s="422"/>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row>
    <row r="1000">
      <c r="A1000" s="48"/>
      <c r="B1000" s="48"/>
      <c r="C1000" s="48"/>
      <c r="D1000" s="48"/>
      <c r="E1000" s="48"/>
      <c r="F1000" s="422"/>
      <c r="G1000" s="422"/>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row>
    <row r="1001">
      <c r="A1001" s="48"/>
      <c r="B1001" s="48"/>
      <c r="C1001" s="48"/>
      <c r="D1001" s="48"/>
      <c r="E1001" s="48"/>
      <c r="F1001" s="422"/>
      <c r="G1001" s="422"/>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row>
    <row r="1002">
      <c r="A1002" s="48"/>
      <c r="B1002" s="48"/>
      <c r="C1002" s="48"/>
      <c r="D1002" s="48"/>
      <c r="E1002" s="48"/>
      <c r="F1002" s="422"/>
      <c r="G1002" s="422"/>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row>
    <row r="1003">
      <c r="A1003" s="48"/>
      <c r="B1003" s="48"/>
      <c r="C1003" s="48"/>
      <c r="D1003" s="48"/>
      <c r="E1003" s="48"/>
      <c r="F1003" s="422"/>
      <c r="G1003" s="422"/>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row>
    <row r="1004">
      <c r="A1004" s="48"/>
      <c r="B1004" s="48"/>
      <c r="C1004" s="48"/>
      <c r="D1004" s="48"/>
      <c r="E1004" s="48"/>
      <c r="F1004" s="422"/>
      <c r="G1004" s="422"/>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row>
    <row r="1005">
      <c r="A1005" s="48"/>
      <c r="B1005" s="48"/>
      <c r="C1005" s="48"/>
      <c r="D1005" s="48"/>
      <c r="E1005" s="48"/>
      <c r="F1005" s="422"/>
      <c r="G1005" s="422"/>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row>
    <row r="1006">
      <c r="A1006" s="48"/>
      <c r="B1006" s="48"/>
      <c r="C1006" s="48"/>
      <c r="D1006" s="48"/>
      <c r="E1006" s="48"/>
      <c r="F1006" s="422"/>
      <c r="G1006" s="422"/>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row>
    <row r="1007">
      <c r="A1007" s="48"/>
      <c r="B1007" s="48"/>
      <c r="C1007" s="48"/>
      <c r="D1007" s="48"/>
      <c r="E1007" s="48"/>
      <c r="F1007" s="422"/>
      <c r="G1007" s="422"/>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row>
    <row r="1008">
      <c r="A1008" s="48"/>
      <c r="B1008" s="48"/>
      <c r="C1008" s="48"/>
      <c r="D1008" s="48"/>
      <c r="E1008" s="48"/>
      <c r="F1008" s="422"/>
      <c r="G1008" s="422"/>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row>
    <row r="1009">
      <c r="A1009" s="48"/>
      <c r="B1009" s="48"/>
      <c r="C1009" s="48"/>
      <c r="D1009" s="48"/>
      <c r="E1009" s="48"/>
      <c r="F1009" s="422"/>
      <c r="G1009" s="422"/>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row>
    <row r="1010">
      <c r="A1010" s="48"/>
      <c r="B1010" s="48"/>
      <c r="C1010" s="48"/>
      <c r="D1010" s="48"/>
      <c r="E1010" s="48"/>
      <c r="F1010" s="422"/>
      <c r="G1010" s="422"/>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row>
    <row r="1011">
      <c r="A1011" s="48"/>
      <c r="B1011" s="48"/>
      <c r="C1011" s="48"/>
      <c r="D1011" s="48"/>
      <c r="E1011" s="48"/>
      <c r="F1011" s="422"/>
      <c r="G1011" s="422"/>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row>
    <row r="1012">
      <c r="A1012" s="48"/>
      <c r="B1012" s="48"/>
      <c r="C1012" s="48"/>
      <c r="D1012" s="48"/>
      <c r="E1012" s="48"/>
      <c r="F1012" s="422"/>
      <c r="G1012" s="422"/>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row>
    <row r="1013">
      <c r="A1013" s="48"/>
      <c r="B1013" s="48"/>
      <c r="C1013" s="48"/>
      <c r="D1013" s="48"/>
      <c r="E1013" s="48"/>
      <c r="F1013" s="422"/>
      <c r="G1013" s="422"/>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row>
    <row r="1014">
      <c r="A1014" s="48"/>
      <c r="B1014" s="48"/>
      <c r="C1014" s="48"/>
      <c r="D1014" s="48"/>
      <c r="E1014" s="48"/>
      <c r="F1014" s="422"/>
      <c r="G1014" s="422"/>
      <c r="H1014" s="48"/>
      <c r="I1014" s="48"/>
      <c r="J1014" s="48"/>
      <c r="K1014" s="48"/>
      <c r="L1014" s="48"/>
      <c r="M1014" s="48"/>
      <c r="N1014" s="48"/>
      <c r="O1014" s="48"/>
      <c r="P1014" s="48"/>
      <c r="Q1014" s="48"/>
      <c r="R1014" s="48"/>
      <c r="S1014" s="48"/>
      <c r="T1014" s="48"/>
      <c r="U1014" s="48"/>
      <c r="V1014" s="48"/>
      <c r="W1014" s="48"/>
      <c r="X1014" s="48"/>
      <c r="Y1014" s="48"/>
      <c r="Z1014" s="48"/>
      <c r="AA1014" s="48"/>
      <c r="AB1014" s="48"/>
      <c r="AC1014" s="48"/>
      <c r="AD1014" s="48"/>
    </row>
    <row r="1015">
      <c r="A1015" s="48"/>
      <c r="B1015" s="48"/>
      <c r="C1015" s="48"/>
      <c r="D1015" s="48"/>
      <c r="E1015" s="48"/>
      <c r="F1015" s="422"/>
      <c r="G1015" s="422"/>
      <c r="H1015" s="48"/>
      <c r="I1015" s="48"/>
      <c r="J1015" s="48"/>
      <c r="K1015" s="48"/>
      <c r="L1015" s="48"/>
      <c r="M1015" s="48"/>
      <c r="N1015" s="48"/>
      <c r="O1015" s="48"/>
      <c r="P1015" s="48"/>
      <c r="Q1015" s="48"/>
      <c r="R1015" s="48"/>
      <c r="S1015" s="48"/>
      <c r="T1015" s="48"/>
      <c r="U1015" s="48"/>
      <c r="V1015" s="48"/>
      <c r="W1015" s="48"/>
      <c r="X1015" s="48"/>
      <c r="Y1015" s="48"/>
      <c r="Z1015" s="48"/>
      <c r="AA1015" s="48"/>
      <c r="AB1015" s="48"/>
      <c r="AC1015" s="48"/>
      <c r="AD1015" s="48"/>
    </row>
    <row r="1016">
      <c r="A1016" s="48"/>
      <c r="B1016" s="48"/>
      <c r="C1016" s="48"/>
      <c r="D1016" s="48"/>
      <c r="E1016" s="48"/>
      <c r="F1016" s="422"/>
      <c r="G1016" s="422"/>
      <c r="H1016" s="48"/>
      <c r="I1016" s="48"/>
      <c r="J1016" s="48"/>
      <c r="K1016" s="48"/>
      <c r="L1016" s="48"/>
      <c r="M1016" s="48"/>
      <c r="N1016" s="48"/>
      <c r="O1016" s="48"/>
      <c r="P1016" s="48"/>
      <c r="Q1016" s="48"/>
      <c r="R1016" s="48"/>
      <c r="S1016" s="48"/>
      <c r="T1016" s="48"/>
      <c r="U1016" s="48"/>
      <c r="V1016" s="48"/>
      <c r="W1016" s="48"/>
      <c r="X1016" s="48"/>
      <c r="Y1016" s="48"/>
      <c r="Z1016" s="48"/>
      <c r="AA1016" s="48"/>
      <c r="AB1016" s="48"/>
      <c r="AC1016" s="48"/>
      <c r="AD1016" s="48"/>
    </row>
    <row r="1017">
      <c r="A1017" s="48"/>
      <c r="B1017" s="48"/>
      <c r="C1017" s="48"/>
      <c r="D1017" s="48"/>
      <c r="E1017" s="48"/>
      <c r="F1017" s="422"/>
      <c r="G1017" s="422"/>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row>
    <row r="1018">
      <c r="A1018" s="48"/>
      <c r="B1018" s="48"/>
      <c r="C1018" s="48"/>
      <c r="D1018" s="48"/>
      <c r="E1018" s="48"/>
      <c r="F1018" s="422"/>
      <c r="G1018" s="422"/>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row>
    <row r="1019">
      <c r="A1019" s="48"/>
      <c r="B1019" s="48"/>
      <c r="C1019" s="48"/>
      <c r="D1019" s="48"/>
      <c r="E1019" s="48"/>
      <c r="F1019" s="422"/>
      <c r="G1019" s="422"/>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row>
    <row r="1020">
      <c r="A1020" s="48"/>
      <c r="B1020" s="48"/>
      <c r="C1020" s="48"/>
      <c r="D1020" s="48"/>
      <c r="E1020" s="48"/>
      <c r="F1020" s="422"/>
      <c r="G1020" s="422"/>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row>
    <row r="1021">
      <c r="A1021" s="48"/>
      <c r="B1021" s="48"/>
      <c r="C1021" s="48"/>
      <c r="D1021" s="48"/>
      <c r="E1021" s="48"/>
      <c r="F1021" s="422"/>
      <c r="G1021" s="422"/>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row>
    <row r="1022">
      <c r="A1022" s="48"/>
      <c r="B1022" s="48"/>
      <c r="C1022" s="48"/>
      <c r="D1022" s="48"/>
      <c r="E1022" s="48"/>
      <c r="F1022" s="422"/>
      <c r="G1022" s="422"/>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row>
    <row r="1023">
      <c r="A1023" s="48"/>
      <c r="B1023" s="48"/>
      <c r="C1023" s="48"/>
      <c r="D1023" s="48"/>
      <c r="E1023" s="48"/>
      <c r="F1023" s="422"/>
      <c r="G1023" s="422"/>
      <c r="H1023" s="48"/>
      <c r="I1023" s="48"/>
      <c r="J1023" s="48"/>
      <c r="K1023" s="48"/>
      <c r="L1023" s="48"/>
      <c r="M1023" s="48"/>
      <c r="N1023" s="48"/>
      <c r="O1023" s="48"/>
      <c r="P1023" s="48"/>
      <c r="Q1023" s="48"/>
      <c r="R1023" s="48"/>
      <c r="S1023" s="48"/>
      <c r="T1023" s="48"/>
      <c r="U1023" s="48"/>
      <c r="V1023" s="48"/>
      <c r="W1023" s="48"/>
      <c r="X1023" s="48"/>
      <c r="Y1023" s="48"/>
      <c r="Z1023" s="48"/>
      <c r="AA1023" s="48"/>
      <c r="AB1023" s="48"/>
      <c r="AC1023" s="48"/>
      <c r="AD1023" s="48"/>
    </row>
    <row r="1024">
      <c r="A1024" s="48"/>
      <c r="B1024" s="48"/>
      <c r="C1024" s="48"/>
      <c r="D1024" s="48"/>
      <c r="E1024" s="48"/>
      <c r="F1024" s="422"/>
      <c r="G1024" s="422"/>
      <c r="H1024" s="48"/>
      <c r="I1024" s="48"/>
      <c r="J1024" s="48"/>
      <c r="K1024" s="48"/>
      <c r="L1024" s="48"/>
      <c r="M1024" s="48"/>
      <c r="N1024" s="48"/>
      <c r="O1024" s="48"/>
      <c r="P1024" s="48"/>
      <c r="Q1024" s="48"/>
      <c r="R1024" s="48"/>
      <c r="S1024" s="48"/>
      <c r="T1024" s="48"/>
      <c r="U1024" s="48"/>
      <c r="V1024" s="48"/>
      <c r="W1024" s="48"/>
      <c r="X1024" s="48"/>
      <c r="Y1024" s="48"/>
      <c r="Z1024" s="48"/>
      <c r="AA1024" s="48"/>
      <c r="AB1024" s="48"/>
      <c r="AC1024" s="48"/>
      <c r="AD1024" s="48"/>
    </row>
    <row r="1025">
      <c r="A1025" s="48"/>
      <c r="B1025" s="48"/>
      <c r="C1025" s="48"/>
      <c r="D1025" s="48"/>
      <c r="E1025" s="48"/>
      <c r="F1025" s="422"/>
      <c r="G1025" s="422"/>
      <c r="H1025" s="48"/>
      <c r="I1025" s="48"/>
      <c r="J1025" s="48"/>
      <c r="K1025" s="48"/>
      <c r="L1025" s="48"/>
      <c r="M1025" s="48"/>
      <c r="N1025" s="48"/>
      <c r="O1025" s="48"/>
      <c r="P1025" s="48"/>
      <c r="Q1025" s="48"/>
      <c r="R1025" s="48"/>
      <c r="S1025" s="48"/>
      <c r="T1025" s="48"/>
      <c r="U1025" s="48"/>
      <c r="V1025" s="48"/>
      <c r="W1025" s="48"/>
      <c r="X1025" s="48"/>
      <c r="Y1025" s="48"/>
      <c r="Z1025" s="48"/>
      <c r="AA1025" s="48"/>
      <c r="AB1025" s="48"/>
      <c r="AC1025" s="48"/>
      <c r="AD1025" s="48"/>
    </row>
    <row r="1026">
      <c r="A1026" s="48"/>
      <c r="B1026" s="48"/>
      <c r="C1026" s="48"/>
      <c r="D1026" s="48"/>
      <c r="E1026" s="48"/>
      <c r="F1026" s="422"/>
      <c r="G1026" s="422"/>
      <c r="H1026" s="48"/>
      <c r="I1026" s="48"/>
      <c r="J1026" s="48"/>
      <c r="K1026" s="48"/>
      <c r="L1026" s="48"/>
      <c r="M1026" s="48"/>
      <c r="N1026" s="48"/>
      <c r="O1026" s="48"/>
      <c r="P1026" s="48"/>
      <c r="Q1026" s="48"/>
      <c r="R1026" s="48"/>
      <c r="S1026" s="48"/>
      <c r="T1026" s="48"/>
      <c r="U1026" s="48"/>
      <c r="V1026" s="48"/>
      <c r="W1026" s="48"/>
      <c r="X1026" s="48"/>
      <c r="Y1026" s="48"/>
      <c r="Z1026" s="48"/>
      <c r="AA1026" s="48"/>
      <c r="AB1026" s="48"/>
      <c r="AC1026" s="48"/>
      <c r="AD1026" s="48"/>
    </row>
    <row r="1027">
      <c r="A1027" s="48"/>
      <c r="B1027" s="48"/>
      <c r="C1027" s="48"/>
      <c r="D1027" s="48"/>
      <c r="E1027" s="48"/>
      <c r="F1027" s="422"/>
      <c r="G1027" s="422"/>
      <c r="H1027" s="48"/>
      <c r="I1027" s="48"/>
      <c r="J1027" s="48"/>
      <c r="K1027" s="48"/>
      <c r="L1027" s="48"/>
      <c r="M1027" s="48"/>
      <c r="N1027" s="48"/>
      <c r="O1027" s="48"/>
      <c r="P1027" s="48"/>
      <c r="Q1027" s="48"/>
      <c r="R1027" s="48"/>
      <c r="S1027" s="48"/>
      <c r="T1027" s="48"/>
      <c r="U1027" s="48"/>
      <c r="V1027" s="48"/>
      <c r="W1027" s="48"/>
      <c r="X1027" s="48"/>
      <c r="Y1027" s="48"/>
      <c r="Z1027" s="48"/>
      <c r="AA1027" s="48"/>
      <c r="AB1027" s="48"/>
      <c r="AC1027" s="48"/>
      <c r="AD1027" s="48"/>
    </row>
    <row r="1028">
      <c r="A1028" s="48"/>
      <c r="B1028" s="48"/>
      <c r="C1028" s="48"/>
      <c r="D1028" s="48"/>
      <c r="E1028" s="48"/>
      <c r="F1028" s="422"/>
      <c r="G1028" s="422"/>
      <c r="H1028" s="48"/>
      <c r="I1028" s="48"/>
      <c r="J1028" s="48"/>
      <c r="K1028" s="48"/>
      <c r="L1028" s="48"/>
      <c r="M1028" s="48"/>
      <c r="N1028" s="48"/>
      <c r="O1028" s="48"/>
      <c r="P1028" s="48"/>
      <c r="Q1028" s="48"/>
      <c r="R1028" s="48"/>
      <c r="S1028" s="48"/>
      <c r="T1028" s="48"/>
      <c r="U1028" s="48"/>
      <c r="V1028" s="48"/>
      <c r="W1028" s="48"/>
      <c r="X1028" s="48"/>
      <c r="Y1028" s="48"/>
      <c r="Z1028" s="48"/>
      <c r="AA1028" s="48"/>
      <c r="AB1028" s="48"/>
      <c r="AC1028" s="48"/>
      <c r="AD1028" s="48"/>
    </row>
    <row r="1029">
      <c r="A1029" s="48"/>
      <c r="B1029" s="48"/>
      <c r="C1029" s="48"/>
      <c r="D1029" s="48"/>
      <c r="E1029" s="48"/>
      <c r="F1029" s="422"/>
      <c r="G1029" s="422"/>
      <c r="H1029" s="48"/>
      <c r="I1029" s="48"/>
      <c r="J1029" s="48"/>
      <c r="K1029" s="48"/>
      <c r="L1029" s="48"/>
      <c r="M1029" s="48"/>
      <c r="N1029" s="48"/>
      <c r="O1029" s="48"/>
      <c r="P1029" s="48"/>
      <c r="Q1029" s="48"/>
      <c r="R1029" s="48"/>
      <c r="S1029" s="48"/>
      <c r="T1029" s="48"/>
      <c r="U1029" s="48"/>
      <c r="V1029" s="48"/>
      <c r="W1029" s="48"/>
      <c r="X1029" s="48"/>
      <c r="Y1029" s="48"/>
      <c r="Z1029" s="48"/>
      <c r="AA1029" s="48"/>
      <c r="AB1029" s="48"/>
      <c r="AC1029" s="48"/>
      <c r="AD1029" s="48"/>
    </row>
    <row r="1030">
      <c r="A1030" s="48"/>
      <c r="B1030" s="48"/>
      <c r="C1030" s="48"/>
      <c r="D1030" s="48"/>
      <c r="E1030" s="48"/>
      <c r="F1030" s="422"/>
      <c r="G1030" s="422"/>
      <c r="H1030" s="48"/>
      <c r="I1030" s="48"/>
      <c r="J1030" s="48"/>
      <c r="K1030" s="48"/>
      <c r="L1030" s="48"/>
      <c r="M1030" s="48"/>
      <c r="N1030" s="48"/>
      <c r="O1030" s="48"/>
      <c r="P1030" s="48"/>
      <c r="Q1030" s="48"/>
      <c r="R1030" s="48"/>
      <c r="S1030" s="48"/>
      <c r="T1030" s="48"/>
      <c r="U1030" s="48"/>
      <c r="V1030" s="48"/>
      <c r="W1030" s="48"/>
      <c r="X1030" s="48"/>
      <c r="Y1030" s="48"/>
      <c r="Z1030" s="48"/>
      <c r="AA1030" s="48"/>
      <c r="AB1030" s="48"/>
      <c r="AC1030" s="48"/>
      <c r="AD1030" s="48"/>
    </row>
    <row r="1031">
      <c r="A1031" s="48"/>
      <c r="B1031" s="48"/>
      <c r="C1031" s="48"/>
      <c r="D1031" s="48"/>
      <c r="E1031" s="48"/>
      <c r="F1031" s="422"/>
      <c r="G1031" s="422"/>
      <c r="H1031" s="48"/>
      <c r="I1031" s="48"/>
      <c r="J1031" s="48"/>
      <c r="K1031" s="48"/>
      <c r="L1031" s="48"/>
      <c r="M1031" s="48"/>
      <c r="N1031" s="48"/>
      <c r="O1031" s="48"/>
      <c r="P1031" s="48"/>
      <c r="Q1031" s="48"/>
      <c r="R1031" s="48"/>
      <c r="S1031" s="48"/>
      <c r="T1031" s="48"/>
      <c r="U1031" s="48"/>
      <c r="V1031" s="48"/>
      <c r="W1031" s="48"/>
      <c r="X1031" s="48"/>
      <c r="Y1031" s="48"/>
      <c r="Z1031" s="48"/>
      <c r="AA1031" s="48"/>
      <c r="AB1031" s="48"/>
      <c r="AC1031" s="48"/>
      <c r="AD1031" s="48"/>
    </row>
    <row r="1032">
      <c r="A1032" s="48"/>
      <c r="B1032" s="48"/>
      <c r="C1032" s="48"/>
      <c r="D1032" s="48"/>
      <c r="E1032" s="48"/>
      <c r="F1032" s="422"/>
      <c r="G1032" s="422"/>
      <c r="H1032" s="48"/>
      <c r="I1032" s="48"/>
      <c r="J1032" s="48"/>
      <c r="K1032" s="48"/>
      <c r="L1032" s="48"/>
      <c r="M1032" s="48"/>
      <c r="N1032" s="48"/>
      <c r="O1032" s="48"/>
      <c r="P1032" s="48"/>
      <c r="Q1032" s="48"/>
      <c r="R1032" s="48"/>
      <c r="S1032" s="48"/>
      <c r="T1032" s="48"/>
      <c r="U1032" s="48"/>
      <c r="V1032" s="48"/>
      <c r="W1032" s="48"/>
      <c r="X1032" s="48"/>
      <c r="Y1032" s="48"/>
      <c r="Z1032" s="48"/>
      <c r="AA1032" s="48"/>
      <c r="AB1032" s="48"/>
      <c r="AC1032" s="48"/>
      <c r="AD1032" s="48"/>
    </row>
    <row r="1033">
      <c r="A1033" s="48"/>
      <c r="B1033" s="48"/>
      <c r="C1033" s="48"/>
      <c r="D1033" s="48"/>
      <c r="E1033" s="48"/>
      <c r="F1033" s="422"/>
      <c r="G1033" s="422"/>
      <c r="H1033" s="48"/>
      <c r="I1033" s="48"/>
      <c r="J1033" s="48"/>
      <c r="K1033" s="48"/>
      <c r="L1033" s="48"/>
      <c r="M1033" s="48"/>
      <c r="N1033" s="48"/>
      <c r="O1033" s="48"/>
      <c r="P1033" s="48"/>
      <c r="Q1033" s="48"/>
      <c r="R1033" s="48"/>
      <c r="S1033" s="48"/>
      <c r="T1033" s="48"/>
      <c r="U1033" s="48"/>
      <c r="V1033" s="48"/>
      <c r="W1033" s="48"/>
      <c r="X1033" s="48"/>
      <c r="Y1033" s="48"/>
      <c r="Z1033" s="48"/>
      <c r="AA1033" s="48"/>
      <c r="AB1033" s="48"/>
      <c r="AC1033" s="48"/>
      <c r="AD1033" s="48"/>
    </row>
    <row r="1034">
      <c r="A1034" s="48"/>
      <c r="B1034" s="48"/>
      <c r="C1034" s="48"/>
      <c r="D1034" s="48"/>
      <c r="E1034" s="48"/>
      <c r="F1034" s="422"/>
      <c r="G1034" s="422"/>
      <c r="H1034" s="48"/>
      <c r="I1034" s="48"/>
      <c r="J1034" s="48"/>
      <c r="K1034" s="48"/>
      <c r="L1034" s="48"/>
      <c r="M1034" s="48"/>
      <c r="N1034" s="48"/>
      <c r="O1034" s="48"/>
      <c r="P1034" s="48"/>
      <c r="Q1034" s="48"/>
      <c r="R1034" s="48"/>
      <c r="S1034" s="48"/>
      <c r="T1034" s="48"/>
      <c r="U1034" s="48"/>
      <c r="V1034" s="48"/>
      <c r="W1034" s="48"/>
      <c r="X1034" s="48"/>
      <c r="Y1034" s="48"/>
      <c r="Z1034" s="48"/>
      <c r="AA1034" s="48"/>
      <c r="AB1034" s="48"/>
      <c r="AC1034" s="48"/>
      <c r="AD1034" s="48"/>
    </row>
  </sheetData>
  <conditionalFormatting sqref="A21:A45">
    <cfRule type="colorScale" priority="1">
      <colorScale>
        <cfvo type="min"/>
        <cfvo type="max"/>
        <color rgb="FFFFFFFF"/>
        <color rgb="FFFFD666"/>
      </colorScale>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63"/>
    <col customWidth="1" min="3" max="3" width="8.88"/>
    <col customWidth="1" min="4" max="12" width="7.63"/>
  </cols>
  <sheetData>
    <row r="1">
      <c r="A1" s="748" t="s">
        <v>880</v>
      </c>
      <c r="B1" s="748" t="s">
        <v>2305</v>
      </c>
      <c r="C1" s="374" t="s">
        <v>2306</v>
      </c>
      <c r="D1" s="749" t="s">
        <v>37</v>
      </c>
      <c r="E1" s="750" t="s">
        <v>18</v>
      </c>
      <c r="F1" s="751" t="s">
        <v>13</v>
      </c>
      <c r="G1" s="752" t="s">
        <v>35</v>
      </c>
      <c r="H1" s="753" t="s">
        <v>8</v>
      </c>
      <c r="I1" s="754" t="s">
        <v>39</v>
      </c>
      <c r="J1" s="755" t="s">
        <v>22</v>
      </c>
      <c r="K1" s="756" t="s">
        <v>2307</v>
      </c>
      <c r="L1" s="410" t="s">
        <v>1771</v>
      </c>
      <c r="M1" s="435" t="s">
        <v>2308</v>
      </c>
      <c r="N1" s="757" t="s">
        <v>2309</v>
      </c>
      <c r="O1" s="459"/>
      <c r="P1" s="459"/>
      <c r="Q1" s="459"/>
      <c r="R1" s="459"/>
      <c r="S1" s="459"/>
      <c r="T1" s="459"/>
      <c r="U1" s="459"/>
      <c r="V1" s="459"/>
      <c r="W1" s="459"/>
      <c r="X1" s="459"/>
      <c r="Y1" s="459"/>
      <c r="Z1" s="459"/>
    </row>
    <row r="2">
      <c r="A2" s="758" t="s">
        <v>2310</v>
      </c>
      <c r="B2" s="759"/>
      <c r="C2" s="760"/>
      <c r="D2" s="761"/>
      <c r="E2" s="762"/>
      <c r="F2" s="762"/>
      <c r="G2" s="762"/>
      <c r="H2" s="761"/>
      <c r="I2" s="762"/>
      <c r="J2" s="762"/>
      <c r="K2" s="762"/>
      <c r="L2" s="761"/>
      <c r="M2" s="763"/>
      <c r="N2" s="8" t="s">
        <v>2311</v>
      </c>
    </row>
    <row r="3">
      <c r="A3" s="764" t="s">
        <v>2312</v>
      </c>
      <c r="B3" s="764" t="s">
        <v>1571</v>
      </c>
      <c r="C3" s="765">
        <v>1.5</v>
      </c>
      <c r="D3" s="90">
        <v>1.0</v>
      </c>
      <c r="E3" s="276"/>
      <c r="F3" s="276"/>
      <c r="G3" s="276"/>
      <c r="H3" s="90">
        <v>1.0</v>
      </c>
      <c r="I3" s="276"/>
      <c r="J3" s="276"/>
      <c r="K3" s="276"/>
      <c r="L3" s="90">
        <v>40.0</v>
      </c>
      <c r="M3" s="766"/>
      <c r="N3" s="36" t="s">
        <v>2313</v>
      </c>
    </row>
    <row r="4">
      <c r="A4" s="764" t="s">
        <v>2314</v>
      </c>
      <c r="B4" s="764" t="s">
        <v>1579</v>
      </c>
      <c r="C4" s="765">
        <v>1.5</v>
      </c>
      <c r="D4" s="276"/>
      <c r="E4" s="276"/>
      <c r="F4" s="276"/>
      <c r="G4" s="276"/>
      <c r="H4" s="90">
        <v>2.0</v>
      </c>
      <c r="I4" s="276"/>
      <c r="J4" s="276"/>
      <c r="K4" s="276"/>
      <c r="L4" s="90">
        <v>40.0</v>
      </c>
      <c r="M4" s="766"/>
    </row>
    <row r="5">
      <c r="A5" s="764" t="s">
        <v>2315</v>
      </c>
      <c r="B5" s="764" t="s">
        <v>1576</v>
      </c>
      <c r="C5" s="765">
        <v>1.5</v>
      </c>
      <c r="D5" s="276"/>
      <c r="E5" s="276"/>
      <c r="F5" s="90">
        <v>1.0</v>
      </c>
      <c r="G5" s="276"/>
      <c r="H5" s="90">
        <v>1.0</v>
      </c>
      <c r="I5" s="276"/>
      <c r="J5" s="276"/>
      <c r="K5" s="276"/>
      <c r="L5" s="90">
        <v>40.0</v>
      </c>
      <c r="M5" s="766"/>
    </row>
    <row r="6">
      <c r="A6" s="764" t="s">
        <v>2316</v>
      </c>
      <c r="B6" s="764" t="s">
        <v>1574</v>
      </c>
      <c r="C6" s="765">
        <v>1.5</v>
      </c>
      <c r="D6" s="276"/>
      <c r="E6" s="90">
        <v>1.0</v>
      </c>
      <c r="F6" s="276"/>
      <c r="G6" s="276"/>
      <c r="H6" s="90">
        <v>1.0</v>
      </c>
      <c r="I6" s="276"/>
      <c r="J6" s="276"/>
      <c r="K6" s="276"/>
      <c r="L6" s="90">
        <v>40.0</v>
      </c>
      <c r="M6" s="764" t="s">
        <v>2317</v>
      </c>
    </row>
    <row r="7">
      <c r="A7" s="764" t="s">
        <v>2318</v>
      </c>
      <c r="B7" s="764" t="s">
        <v>1587</v>
      </c>
      <c r="C7" s="765">
        <v>2.0</v>
      </c>
      <c r="D7" s="276"/>
      <c r="E7" s="276"/>
      <c r="F7" s="276"/>
      <c r="G7" s="276"/>
      <c r="H7" s="90">
        <v>1.0</v>
      </c>
      <c r="I7" s="276"/>
      <c r="J7" s="276"/>
      <c r="K7" s="90">
        <v>20.0</v>
      </c>
      <c r="L7" s="90">
        <v>60.0</v>
      </c>
      <c r="M7" s="766"/>
    </row>
    <row r="8">
      <c r="A8" s="764" t="s">
        <v>2319</v>
      </c>
      <c r="B8" s="764" t="s">
        <v>1584</v>
      </c>
      <c r="C8" s="765">
        <v>2.0</v>
      </c>
      <c r="D8" s="276"/>
      <c r="E8" s="276"/>
      <c r="F8" s="276"/>
      <c r="G8" s="276"/>
      <c r="H8" s="90">
        <v>1.0</v>
      </c>
      <c r="I8" s="276"/>
      <c r="J8" s="276"/>
      <c r="K8" s="90">
        <v>20.0</v>
      </c>
      <c r="L8" s="90">
        <v>60.0</v>
      </c>
      <c r="M8" s="764" t="s">
        <v>2320</v>
      </c>
    </row>
    <row r="9">
      <c r="A9" s="764" t="s">
        <v>2321</v>
      </c>
      <c r="B9" s="764" t="s">
        <v>1590</v>
      </c>
      <c r="C9" s="765">
        <v>2.0</v>
      </c>
      <c r="D9" s="276"/>
      <c r="E9" s="276"/>
      <c r="F9" s="276"/>
      <c r="G9" s="276"/>
      <c r="H9" s="90">
        <v>1.0</v>
      </c>
      <c r="I9" s="276"/>
      <c r="J9" s="276"/>
      <c r="K9" s="90">
        <v>20.0</v>
      </c>
      <c r="L9" s="90">
        <v>60.0</v>
      </c>
      <c r="M9" s="764" t="s">
        <v>2322</v>
      </c>
    </row>
    <row r="10">
      <c r="A10" s="764" t="s">
        <v>2323</v>
      </c>
      <c r="B10" s="764" t="s">
        <v>1582</v>
      </c>
      <c r="C10" s="765">
        <v>2.0</v>
      </c>
      <c r="D10" s="276"/>
      <c r="E10" s="276"/>
      <c r="F10" s="276"/>
      <c r="G10" s="276"/>
      <c r="H10" s="90">
        <v>1.0</v>
      </c>
      <c r="I10" s="276"/>
      <c r="J10" s="276"/>
      <c r="K10" s="90">
        <v>20.0</v>
      </c>
      <c r="L10" s="90">
        <v>60.0</v>
      </c>
      <c r="M10" s="764" t="s">
        <v>2324</v>
      </c>
    </row>
    <row r="11">
      <c r="A11" s="758" t="s">
        <v>2325</v>
      </c>
      <c r="B11" s="759"/>
      <c r="C11" s="760"/>
      <c r="D11" s="761"/>
      <c r="E11" s="762"/>
      <c r="F11" s="762"/>
      <c r="G11" s="762"/>
      <c r="H11" s="761"/>
      <c r="I11" s="762"/>
      <c r="J11" s="762"/>
      <c r="K11" s="761"/>
      <c r="L11" s="761"/>
      <c r="M11" s="763"/>
    </row>
    <row r="12">
      <c r="A12" s="764" t="s">
        <v>2326</v>
      </c>
      <c r="B12" s="764" t="s">
        <v>2327</v>
      </c>
      <c r="C12" s="765">
        <v>1.0</v>
      </c>
      <c r="D12" s="90">
        <v>2.0</v>
      </c>
      <c r="E12" s="276"/>
      <c r="F12" s="276"/>
      <c r="G12" s="276"/>
      <c r="H12" s="90">
        <v>2.0</v>
      </c>
      <c r="I12" s="276"/>
      <c r="J12" s="276"/>
      <c r="K12" s="90">
        <v>40.0</v>
      </c>
      <c r="L12" s="90">
        <v>40.0</v>
      </c>
      <c r="M12" s="766"/>
    </row>
    <row r="13">
      <c r="A13" s="764" t="s">
        <v>2328</v>
      </c>
      <c r="B13" s="764" t="s">
        <v>2327</v>
      </c>
      <c r="C13" s="765">
        <v>1.0</v>
      </c>
      <c r="D13" s="90">
        <v>3.0</v>
      </c>
      <c r="E13" s="276"/>
      <c r="F13" s="276"/>
      <c r="G13" s="276"/>
      <c r="H13" s="90" t="s">
        <v>2329</v>
      </c>
      <c r="I13" s="276"/>
      <c r="J13" s="276"/>
      <c r="K13" s="90">
        <v>60.0</v>
      </c>
      <c r="L13" s="90">
        <v>60.0</v>
      </c>
      <c r="M13" s="766"/>
    </row>
    <row r="14">
      <c r="A14" s="764" t="s">
        <v>2330</v>
      </c>
      <c r="B14" s="764" t="s">
        <v>2327</v>
      </c>
      <c r="C14" s="765">
        <v>1.0</v>
      </c>
      <c r="D14" s="90">
        <v>4.0</v>
      </c>
      <c r="E14" s="276"/>
      <c r="F14" s="276"/>
      <c r="G14" s="276"/>
      <c r="H14" s="90" t="s">
        <v>2331</v>
      </c>
      <c r="I14" s="276"/>
      <c r="J14" s="276"/>
      <c r="K14" s="90">
        <v>80.0</v>
      </c>
      <c r="L14" s="90">
        <v>80.0</v>
      </c>
      <c r="M14" s="766"/>
    </row>
    <row r="15">
      <c r="A15" s="764" t="s">
        <v>2332</v>
      </c>
      <c r="B15" s="764" t="s">
        <v>2333</v>
      </c>
      <c r="C15" s="765">
        <v>1.0</v>
      </c>
      <c r="D15" s="276"/>
      <c r="E15" s="276"/>
      <c r="F15" s="276"/>
      <c r="G15" s="90">
        <v>2.0</v>
      </c>
      <c r="H15" s="90">
        <v>2.0</v>
      </c>
      <c r="I15" s="276"/>
      <c r="J15" s="276"/>
      <c r="K15" s="90">
        <v>40.0</v>
      </c>
      <c r="L15" s="90">
        <v>40.0</v>
      </c>
      <c r="M15" s="766" t="str">
        <f>"+1 Religion Opinion"</f>
        <v>+1 Religion Opinion</v>
      </c>
    </row>
    <row r="16">
      <c r="A16" s="764" t="s">
        <v>2334</v>
      </c>
      <c r="B16" s="764" t="s">
        <v>2333</v>
      </c>
      <c r="C16" s="765">
        <v>1.0</v>
      </c>
      <c r="D16" s="276"/>
      <c r="E16" s="276"/>
      <c r="F16" s="276"/>
      <c r="G16" s="90">
        <v>3.0</v>
      </c>
      <c r="H16" s="90">
        <v>3.0</v>
      </c>
      <c r="I16" s="90">
        <v>0.5</v>
      </c>
      <c r="J16" s="276"/>
      <c r="K16" s="90">
        <v>60.0</v>
      </c>
      <c r="L16" s="90">
        <v>60.0</v>
      </c>
      <c r="M16" s="766" t="str">
        <f>"+2 Religion Opinion"</f>
        <v>+2 Religion Opinion</v>
      </c>
    </row>
    <row r="17">
      <c r="A17" s="764" t="s">
        <v>2335</v>
      </c>
      <c r="B17" s="764" t="s">
        <v>2333</v>
      </c>
      <c r="C17" s="765">
        <v>1.0</v>
      </c>
      <c r="D17" s="276"/>
      <c r="E17" s="276"/>
      <c r="F17" s="276"/>
      <c r="G17" s="90">
        <v>4.0</v>
      </c>
      <c r="H17" s="90">
        <v>4.0</v>
      </c>
      <c r="I17" s="90">
        <v>1.0</v>
      </c>
      <c r="J17" s="276"/>
      <c r="K17" s="90">
        <v>80.0</v>
      </c>
      <c r="L17" s="90">
        <v>80.0</v>
      </c>
      <c r="M17" s="766" t="str">
        <f>"+3 Religion Opinion"</f>
        <v>+3 Religion Opinion</v>
      </c>
    </row>
    <row r="18">
      <c r="A18" s="764" t="s">
        <v>2336</v>
      </c>
      <c r="B18" s="764" t="s">
        <v>1739</v>
      </c>
      <c r="C18" s="765">
        <v>1.0</v>
      </c>
      <c r="D18" s="276"/>
      <c r="E18" s="276"/>
      <c r="F18" s="276"/>
      <c r="G18" s="90">
        <v>4.0</v>
      </c>
      <c r="H18" s="90">
        <v>2.0</v>
      </c>
      <c r="I18" s="276"/>
      <c r="J18" s="276"/>
      <c r="K18" s="90">
        <v>40.0</v>
      </c>
      <c r="L18" s="90">
        <v>40.0</v>
      </c>
      <c r="M18" s="766"/>
    </row>
    <row r="19">
      <c r="A19" s="764" t="s">
        <v>2337</v>
      </c>
      <c r="B19" s="764" t="s">
        <v>1739</v>
      </c>
      <c r="C19" s="765">
        <v>1.0</v>
      </c>
      <c r="D19" s="276"/>
      <c r="E19" s="276"/>
      <c r="F19" s="90" t="s">
        <v>2338</v>
      </c>
      <c r="G19" s="90">
        <v>6.0</v>
      </c>
      <c r="H19" s="90">
        <v>3.0</v>
      </c>
      <c r="I19" s="276"/>
      <c r="J19" s="276"/>
      <c r="K19" s="90">
        <v>60.0</v>
      </c>
      <c r="L19" s="90">
        <v>60.0</v>
      </c>
      <c r="M19" s="766"/>
    </row>
    <row r="20">
      <c r="A20" s="764" t="s">
        <v>2339</v>
      </c>
      <c r="B20" s="764" t="s">
        <v>1739</v>
      </c>
      <c r="C20" s="765">
        <v>1.0</v>
      </c>
      <c r="D20" s="276"/>
      <c r="E20" s="276"/>
      <c r="F20" s="90" t="s">
        <v>2340</v>
      </c>
      <c r="G20" s="90">
        <v>8.0</v>
      </c>
      <c r="H20" s="90">
        <v>4.0</v>
      </c>
      <c r="I20" s="276"/>
      <c r="J20" s="276"/>
      <c r="K20" s="90">
        <v>80.0</v>
      </c>
      <c r="L20" s="90">
        <v>80.0</v>
      </c>
      <c r="M20" s="766"/>
    </row>
    <row r="21">
      <c r="A21" s="764" t="s">
        <v>2341</v>
      </c>
      <c r="B21" s="764" t="s">
        <v>1743</v>
      </c>
      <c r="C21" s="765">
        <v>1.0</v>
      </c>
      <c r="D21" s="276"/>
      <c r="E21" s="276"/>
      <c r="F21" s="276"/>
      <c r="G21" s="276"/>
      <c r="H21" s="90">
        <v>2.0</v>
      </c>
      <c r="I21" s="276"/>
      <c r="J21" s="276"/>
      <c r="K21" s="90">
        <v>40.0</v>
      </c>
      <c r="L21" s="90">
        <v>40.0</v>
      </c>
      <c r="M21" s="764" t="s">
        <v>2342</v>
      </c>
    </row>
    <row r="22">
      <c r="A22" s="764" t="s">
        <v>2343</v>
      </c>
      <c r="B22" s="764" t="s">
        <v>1743</v>
      </c>
      <c r="C22" s="765">
        <v>1.0</v>
      </c>
      <c r="D22" s="276"/>
      <c r="E22" s="90" t="s">
        <v>2344</v>
      </c>
      <c r="F22" s="276"/>
      <c r="G22" s="276"/>
      <c r="H22" s="90">
        <v>3.0</v>
      </c>
      <c r="I22" s="276"/>
      <c r="J22" s="276"/>
      <c r="K22" s="90">
        <v>60.0</v>
      </c>
      <c r="L22" s="90">
        <v>60.0</v>
      </c>
      <c r="M22" s="764" t="s">
        <v>2345</v>
      </c>
    </row>
    <row r="23">
      <c r="A23" s="764" t="s">
        <v>2346</v>
      </c>
      <c r="B23" s="764" t="s">
        <v>1743</v>
      </c>
      <c r="C23" s="765">
        <v>1.0</v>
      </c>
      <c r="D23" s="276"/>
      <c r="E23" s="90" t="s">
        <v>2347</v>
      </c>
      <c r="F23" s="276"/>
      <c r="G23" s="276"/>
      <c r="H23" s="90">
        <v>4.0</v>
      </c>
      <c r="I23" s="276"/>
      <c r="J23" s="276"/>
      <c r="K23" s="90">
        <v>80.0</v>
      </c>
      <c r="L23" s="90">
        <v>80.0</v>
      </c>
      <c r="M23" s="764" t="s">
        <v>2348</v>
      </c>
    </row>
    <row r="24">
      <c r="A24" s="764" t="s">
        <v>2349</v>
      </c>
      <c r="B24" s="764" t="s">
        <v>1747</v>
      </c>
      <c r="C24" s="765">
        <v>1.0</v>
      </c>
      <c r="D24" s="276"/>
      <c r="E24" s="276"/>
      <c r="F24" s="276"/>
      <c r="G24" s="276"/>
      <c r="H24" s="90">
        <v>2.0</v>
      </c>
      <c r="I24" s="276"/>
      <c r="J24" s="90" t="s">
        <v>2350</v>
      </c>
      <c r="K24" s="90">
        <v>40.0</v>
      </c>
      <c r="L24" s="90">
        <v>40.0</v>
      </c>
      <c r="M24" s="766" t="str">
        <f>"+1 Religion Opinion"</f>
        <v>+1 Religion Opinion</v>
      </c>
    </row>
    <row r="25">
      <c r="A25" s="764" t="s">
        <v>2351</v>
      </c>
      <c r="B25" s="764" t="s">
        <v>1747</v>
      </c>
      <c r="C25" s="765">
        <v>1.0</v>
      </c>
      <c r="D25" s="276"/>
      <c r="E25" s="276"/>
      <c r="F25" s="276"/>
      <c r="G25" s="276"/>
      <c r="H25" s="90">
        <v>3.0</v>
      </c>
      <c r="I25" s="90">
        <v>0.5</v>
      </c>
      <c r="J25" s="90" t="s">
        <v>2352</v>
      </c>
      <c r="K25" s="90">
        <v>60.0</v>
      </c>
      <c r="L25" s="90">
        <v>60.0</v>
      </c>
      <c r="M25" s="766" t="str">
        <f>"+2 Religion Opinion"</f>
        <v>+2 Religion Opinion</v>
      </c>
    </row>
    <row r="26">
      <c r="A26" s="764" t="s">
        <v>2353</v>
      </c>
      <c r="B26" s="764" t="s">
        <v>1747</v>
      </c>
      <c r="C26" s="765">
        <v>1.0</v>
      </c>
      <c r="D26" s="276"/>
      <c r="E26" s="276"/>
      <c r="F26" s="276"/>
      <c r="G26" s="276"/>
      <c r="H26" s="90">
        <v>4.0</v>
      </c>
      <c r="I26" s="90">
        <v>1.0</v>
      </c>
      <c r="J26" s="90" t="s">
        <v>2354</v>
      </c>
      <c r="K26" s="90">
        <v>80.0</v>
      </c>
      <c r="L26" s="90">
        <v>80.0</v>
      </c>
      <c r="M26" s="766" t="str">
        <f>"+3 Religion Opinion"</f>
        <v>+3 Religion Opinion</v>
      </c>
    </row>
    <row r="27">
      <c r="A27" s="764" t="s">
        <v>2355</v>
      </c>
      <c r="B27" s="764" t="s">
        <v>1640</v>
      </c>
      <c r="C27" s="765">
        <v>1.0</v>
      </c>
      <c r="D27" s="276"/>
      <c r="E27" s="276"/>
      <c r="F27" s="276"/>
      <c r="G27" s="90">
        <v>3.0</v>
      </c>
      <c r="H27" s="90">
        <v>2.0</v>
      </c>
      <c r="I27" s="276"/>
      <c r="J27" s="276"/>
      <c r="K27" s="90">
        <v>40.0</v>
      </c>
      <c r="L27" s="90">
        <v>40.0</v>
      </c>
      <c r="M27" s="766"/>
    </row>
    <row r="28">
      <c r="A28" s="764" t="s">
        <v>2356</v>
      </c>
      <c r="B28" s="764" t="s">
        <v>1640</v>
      </c>
      <c r="C28" s="765">
        <v>1.0</v>
      </c>
      <c r="D28" s="276"/>
      <c r="E28" s="276"/>
      <c r="F28" s="90" t="s">
        <v>2344</v>
      </c>
      <c r="G28" s="90">
        <v>4.0</v>
      </c>
      <c r="H28" s="90">
        <v>3.0</v>
      </c>
      <c r="I28" s="276"/>
      <c r="J28" s="276"/>
      <c r="K28" s="90">
        <v>60.0</v>
      </c>
      <c r="L28" s="90">
        <v>60.0</v>
      </c>
      <c r="M28" s="766"/>
    </row>
    <row r="29">
      <c r="A29" s="764" t="s">
        <v>2357</v>
      </c>
      <c r="B29" s="764" t="s">
        <v>1640</v>
      </c>
      <c r="C29" s="765">
        <v>1.0</v>
      </c>
      <c r="D29" s="276"/>
      <c r="E29" s="276"/>
      <c r="F29" s="90" t="s">
        <v>2347</v>
      </c>
      <c r="G29" s="90">
        <v>5.0</v>
      </c>
      <c r="H29" s="90">
        <v>4.0</v>
      </c>
      <c r="I29" s="276"/>
      <c r="J29" s="276"/>
      <c r="K29" s="90">
        <v>80.0</v>
      </c>
      <c r="L29" s="90">
        <v>80.0</v>
      </c>
      <c r="M29" s="766"/>
    </row>
    <row r="30">
      <c r="A30" s="764" t="s">
        <v>2358</v>
      </c>
      <c r="B30" s="764" t="s">
        <v>1602</v>
      </c>
      <c r="C30" s="765">
        <v>1.0</v>
      </c>
      <c r="D30" s="276"/>
      <c r="E30" s="276"/>
      <c r="F30" s="276"/>
      <c r="G30" s="276"/>
      <c r="H30" s="90">
        <v>2.0</v>
      </c>
      <c r="I30" s="276"/>
      <c r="J30" s="90">
        <v>20.0</v>
      </c>
      <c r="K30" s="90">
        <v>40.0</v>
      </c>
      <c r="L30" s="90">
        <v>40.0</v>
      </c>
      <c r="M30" s="766"/>
    </row>
    <row r="31">
      <c r="A31" s="764" t="s">
        <v>2359</v>
      </c>
      <c r="B31" s="764" t="s">
        <v>1602</v>
      </c>
      <c r="C31" s="765">
        <v>1.0</v>
      </c>
      <c r="D31" s="90" t="s">
        <v>2338</v>
      </c>
      <c r="E31" s="276"/>
      <c r="F31" s="276"/>
      <c r="G31" s="276"/>
      <c r="H31" s="90">
        <v>3.0</v>
      </c>
      <c r="I31" s="276"/>
      <c r="J31" s="90">
        <v>30.0</v>
      </c>
      <c r="K31" s="90">
        <v>60.0</v>
      </c>
      <c r="L31" s="90">
        <v>60.0</v>
      </c>
      <c r="M31" s="766"/>
    </row>
    <row r="32">
      <c r="A32" s="764" t="s">
        <v>2360</v>
      </c>
      <c r="B32" s="764" t="s">
        <v>1602</v>
      </c>
      <c r="C32" s="765">
        <v>1.0</v>
      </c>
      <c r="D32" s="90" t="s">
        <v>2340</v>
      </c>
      <c r="E32" s="276"/>
      <c r="F32" s="276"/>
      <c r="G32" s="276"/>
      <c r="H32" s="90">
        <v>4.0</v>
      </c>
      <c r="I32" s="276"/>
      <c r="J32" s="90">
        <v>40.0</v>
      </c>
      <c r="K32" s="90">
        <v>80.0</v>
      </c>
      <c r="L32" s="90">
        <v>80.0</v>
      </c>
      <c r="M32" s="766"/>
    </row>
    <row r="33">
      <c r="A33" s="764" t="s">
        <v>2361</v>
      </c>
      <c r="B33" s="764" t="s">
        <v>1621</v>
      </c>
      <c r="C33" s="765">
        <v>1.0</v>
      </c>
      <c r="D33" s="276"/>
      <c r="E33" s="276"/>
      <c r="F33" s="276"/>
      <c r="G33" s="276"/>
      <c r="H33" s="90">
        <v>4.0</v>
      </c>
      <c r="I33" s="276"/>
      <c r="J33" s="276"/>
      <c r="K33" s="90">
        <v>40.0</v>
      </c>
      <c r="L33" s="90">
        <v>40.0</v>
      </c>
      <c r="M33" s="766"/>
    </row>
    <row r="34">
      <c r="A34" s="764" t="s">
        <v>2362</v>
      </c>
      <c r="B34" s="764" t="s">
        <v>1621</v>
      </c>
      <c r="C34" s="765">
        <v>1.0</v>
      </c>
      <c r="D34" s="276"/>
      <c r="E34" s="276"/>
      <c r="F34" s="276"/>
      <c r="G34" s="90" t="s">
        <v>2347</v>
      </c>
      <c r="H34" s="90">
        <v>6.0</v>
      </c>
      <c r="I34" s="276"/>
      <c r="J34" s="276"/>
      <c r="K34" s="90">
        <v>60.0</v>
      </c>
      <c r="L34" s="90">
        <v>60.0</v>
      </c>
      <c r="M34" s="766"/>
    </row>
    <row r="35">
      <c r="A35" s="764" t="s">
        <v>2363</v>
      </c>
      <c r="B35" s="764" t="s">
        <v>1621</v>
      </c>
      <c r="C35" s="765">
        <v>1.0</v>
      </c>
      <c r="D35" s="276"/>
      <c r="E35" s="276"/>
      <c r="F35" s="276"/>
      <c r="G35" s="90" t="s">
        <v>2364</v>
      </c>
      <c r="H35" s="90">
        <v>8.0</v>
      </c>
      <c r="I35" s="276"/>
      <c r="J35" s="276"/>
      <c r="K35" s="90">
        <v>80.0</v>
      </c>
      <c r="L35" s="90">
        <v>80.0</v>
      </c>
      <c r="M35" s="766"/>
    </row>
    <row r="36">
      <c r="A36" s="764" t="s">
        <v>2365</v>
      </c>
      <c r="B36" s="764" t="s">
        <v>1627</v>
      </c>
      <c r="C36" s="765">
        <v>1.0</v>
      </c>
      <c r="D36" s="276"/>
      <c r="E36" s="276"/>
      <c r="F36" s="90">
        <v>2.0</v>
      </c>
      <c r="G36" s="276"/>
      <c r="H36" s="90">
        <v>2.0</v>
      </c>
      <c r="I36" s="276"/>
      <c r="J36" s="276"/>
      <c r="K36" s="90">
        <v>40.0</v>
      </c>
      <c r="L36" s="90">
        <v>40.0</v>
      </c>
      <c r="M36" s="766"/>
    </row>
    <row r="37">
      <c r="A37" s="764" t="s">
        <v>2366</v>
      </c>
      <c r="B37" s="764" t="s">
        <v>1627</v>
      </c>
      <c r="C37" s="765">
        <v>1.0</v>
      </c>
      <c r="D37" s="276"/>
      <c r="E37" s="276"/>
      <c r="F37" s="90">
        <v>3.0</v>
      </c>
      <c r="G37" s="276"/>
      <c r="H37" s="90">
        <v>3.0</v>
      </c>
      <c r="I37" s="276"/>
      <c r="J37" s="90" t="s">
        <v>2347</v>
      </c>
      <c r="K37" s="90">
        <v>60.0</v>
      </c>
      <c r="L37" s="90">
        <v>60.0</v>
      </c>
      <c r="M37" s="766"/>
    </row>
    <row r="38">
      <c r="A38" s="764" t="s">
        <v>2367</v>
      </c>
      <c r="B38" s="764" t="s">
        <v>1627</v>
      </c>
      <c r="C38" s="765">
        <v>1.0</v>
      </c>
      <c r="D38" s="276"/>
      <c r="E38" s="276"/>
      <c r="F38" s="90">
        <v>4.0</v>
      </c>
      <c r="G38" s="276"/>
      <c r="H38" s="90">
        <v>4.0</v>
      </c>
      <c r="I38" s="276"/>
      <c r="J38" s="90" t="s">
        <v>2364</v>
      </c>
      <c r="K38" s="90">
        <v>80.0</v>
      </c>
      <c r="L38" s="90">
        <v>80.0</v>
      </c>
      <c r="M38" s="766"/>
    </row>
    <row r="39">
      <c r="A39" s="764" t="s">
        <v>2368</v>
      </c>
      <c r="B39" s="764" t="s">
        <v>2369</v>
      </c>
      <c r="C39" s="765">
        <v>1.0</v>
      </c>
      <c r="D39" s="276"/>
      <c r="E39" s="90">
        <v>2.0</v>
      </c>
      <c r="F39" s="276"/>
      <c r="G39" s="276"/>
      <c r="H39" s="90">
        <v>2.0</v>
      </c>
      <c r="I39" s="276"/>
      <c r="J39" s="276"/>
      <c r="K39" s="90">
        <v>40.0</v>
      </c>
      <c r="L39" s="90">
        <v>40.0</v>
      </c>
      <c r="M39" s="766"/>
    </row>
    <row r="40">
      <c r="A40" s="764" t="s">
        <v>2370</v>
      </c>
      <c r="B40" s="764" t="s">
        <v>2369</v>
      </c>
      <c r="C40" s="765">
        <v>1.0</v>
      </c>
      <c r="D40" s="276"/>
      <c r="E40" s="90">
        <v>3.0</v>
      </c>
      <c r="F40" s="276"/>
      <c r="G40" s="276"/>
      <c r="H40" s="90">
        <v>3.0</v>
      </c>
      <c r="I40" s="276"/>
      <c r="J40" s="276"/>
      <c r="K40" s="90">
        <v>60.0</v>
      </c>
      <c r="L40" s="90">
        <v>60.0</v>
      </c>
      <c r="M40" s="766" t="str">
        <f>"+20 XP for new Units"</f>
        <v>+20 XP for new Units</v>
      </c>
    </row>
    <row r="41">
      <c r="A41" s="764" t="s">
        <v>2371</v>
      </c>
      <c r="B41" s="764" t="s">
        <v>2369</v>
      </c>
      <c r="C41" s="765">
        <v>1.0</v>
      </c>
      <c r="D41" s="276"/>
      <c r="E41" s="90">
        <v>4.0</v>
      </c>
      <c r="F41" s="276"/>
      <c r="G41" s="276"/>
      <c r="H41" s="90">
        <v>4.0</v>
      </c>
      <c r="I41" s="276"/>
      <c r="J41" s="276"/>
      <c r="K41" s="90">
        <v>80.0</v>
      </c>
      <c r="L41" s="90">
        <v>80.0</v>
      </c>
      <c r="M41" s="766" t="str">
        <f>"+50 XP for new Units"</f>
        <v>+50 XP for new Units</v>
      </c>
    </row>
    <row r="46">
      <c r="C46" s="8" t="s">
        <v>2372</v>
      </c>
    </row>
    <row r="47">
      <c r="C47" s="8" t="s">
        <v>2373</v>
      </c>
    </row>
    <row r="49">
      <c r="C49" s="8" t="s">
        <v>2374</v>
      </c>
    </row>
    <row r="50">
      <c r="C50" s="8" t="s">
        <v>2375</v>
      </c>
    </row>
    <row r="51">
      <c r="C51" s="8" t="s">
        <v>2376</v>
      </c>
    </row>
    <row r="52">
      <c r="C52" s="8" t="s">
        <v>2377</v>
      </c>
    </row>
    <row r="53">
      <c r="C53" s="8" t="s">
        <v>2378</v>
      </c>
    </row>
    <row r="55">
      <c r="C55" s="8" t="s">
        <v>2379</v>
      </c>
    </row>
    <row r="56">
      <c r="C56" s="8" t="s">
        <v>2375</v>
      </c>
    </row>
    <row r="57">
      <c r="C57" s="8" t="s">
        <v>2380</v>
      </c>
    </row>
    <row r="58">
      <c r="C58" s="8" t="s">
        <v>2381</v>
      </c>
    </row>
    <row r="59">
      <c r="C59" s="8" t="s">
        <v>2382</v>
      </c>
    </row>
  </sheetData>
  <hyperlinks>
    <hyperlink r:id="rId1" ref="N3"/>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21.88"/>
    <col customWidth="1" min="4" max="4" width="18.38"/>
    <col customWidth="1" min="5" max="5" width="70.0"/>
  </cols>
  <sheetData>
    <row r="2">
      <c r="B2" s="767" t="s">
        <v>2383</v>
      </c>
      <c r="C2" s="435" t="s">
        <v>617</v>
      </c>
      <c r="D2" s="768" t="s">
        <v>2384</v>
      </c>
      <c r="E2" s="435" t="s">
        <v>2385</v>
      </c>
    </row>
    <row r="3">
      <c r="B3" s="769" t="s">
        <v>13</v>
      </c>
      <c r="C3" s="770" t="s">
        <v>2386</v>
      </c>
      <c r="D3" s="771" t="s">
        <v>2386</v>
      </c>
      <c r="E3" s="772" t="s">
        <v>2386</v>
      </c>
    </row>
    <row r="4">
      <c r="B4" s="773" t="s">
        <v>18</v>
      </c>
      <c r="C4" s="774" t="s">
        <v>2387</v>
      </c>
      <c r="D4" s="775" t="s">
        <v>2388</v>
      </c>
      <c r="E4" s="776" t="s">
        <v>2389</v>
      </c>
    </row>
    <row r="5">
      <c r="B5" s="777" t="s">
        <v>593</v>
      </c>
      <c r="C5" s="778" t="s">
        <v>2390</v>
      </c>
      <c r="D5" s="779" t="s">
        <v>2391</v>
      </c>
      <c r="E5" s="780" t="s">
        <v>2392</v>
      </c>
    </row>
    <row r="6">
      <c r="B6" s="781" t="s">
        <v>2393</v>
      </c>
      <c r="C6" s="778" t="s">
        <v>2394</v>
      </c>
      <c r="D6" s="779" t="s">
        <v>2395</v>
      </c>
      <c r="E6" s="780" t="s">
        <v>2396</v>
      </c>
    </row>
    <row r="7" ht="31.5" customHeight="1">
      <c r="B7" s="782" t="s">
        <v>39</v>
      </c>
      <c r="C7" s="783" t="s">
        <v>2397</v>
      </c>
      <c r="D7" s="784" t="s">
        <v>2398</v>
      </c>
      <c r="E7" s="785" t="s">
        <v>2399</v>
      </c>
    </row>
    <row r="9">
      <c r="B9" s="786" t="s">
        <v>2400</v>
      </c>
    </row>
    <row r="11">
      <c r="B11" s="8" t="s">
        <v>2401</v>
      </c>
    </row>
    <row r="12">
      <c r="B12" s="8" t="s">
        <v>2402</v>
      </c>
    </row>
    <row r="13">
      <c r="B13" s="8" t="s">
        <v>2403</v>
      </c>
    </row>
    <row r="14">
      <c r="B14" s="8" t="s">
        <v>2404</v>
      </c>
    </row>
    <row r="16">
      <c r="B16" s="8" t="s">
        <v>2405</v>
      </c>
    </row>
    <row r="17">
      <c r="B17" s="8" t="s">
        <v>2406</v>
      </c>
    </row>
    <row r="18">
      <c r="B18" s="8" t="s">
        <v>2407</v>
      </c>
    </row>
    <row r="19">
      <c r="B19" s="8" t="s">
        <v>2408</v>
      </c>
    </row>
    <row r="20">
      <c r="B20" s="8" t="s">
        <v>2409</v>
      </c>
    </row>
    <row r="22">
      <c r="B22" s="8" t="s">
        <v>2410</v>
      </c>
    </row>
    <row r="23">
      <c r="B23" s="8" t="s">
        <v>2411</v>
      </c>
    </row>
    <row r="24">
      <c r="B24" s="8" t="s">
        <v>2412</v>
      </c>
    </row>
    <row r="26">
      <c r="B26" s="767" t="s">
        <v>2383</v>
      </c>
      <c r="C26" s="495" t="s">
        <v>2413</v>
      </c>
    </row>
    <row r="27">
      <c r="B27" s="769" t="s">
        <v>13</v>
      </c>
      <c r="C27" s="787" t="s">
        <v>2414</v>
      </c>
      <c r="E27" s="8" t="s">
        <v>2415</v>
      </c>
    </row>
    <row r="28">
      <c r="B28" s="773" t="s">
        <v>18</v>
      </c>
      <c r="C28" s="788" t="s">
        <v>2414</v>
      </c>
      <c r="E28" s="4" t="s">
        <v>2416</v>
      </c>
    </row>
    <row r="29">
      <c r="B29" s="777" t="s">
        <v>593</v>
      </c>
      <c r="C29" s="788" t="s">
        <v>2417</v>
      </c>
      <c r="E29" s="4" t="s">
        <v>2418</v>
      </c>
    </row>
    <row r="30">
      <c r="B30" s="781" t="s">
        <v>2393</v>
      </c>
      <c r="C30" s="788" t="s">
        <v>2419</v>
      </c>
      <c r="E30" s="4" t="s">
        <v>2420</v>
      </c>
    </row>
    <row r="31">
      <c r="B31" s="782" t="s">
        <v>39</v>
      </c>
      <c r="C31" s="788" t="s">
        <v>2421</v>
      </c>
      <c r="E31" s="4" t="s">
        <v>2422</v>
      </c>
    </row>
    <row r="32" ht="30.0" customHeight="1">
      <c r="B32" s="789" t="s">
        <v>2423</v>
      </c>
      <c r="C32" s="790" t="s">
        <v>2424</v>
      </c>
      <c r="D32" s="791" t="s">
        <v>2425</v>
      </c>
    </row>
    <row r="35">
      <c r="B35" s="3" t="s">
        <v>2426</v>
      </c>
    </row>
    <row r="36">
      <c r="B36" s="8" t="s">
        <v>2427</v>
      </c>
    </row>
  </sheetData>
  <mergeCells count="1">
    <mergeCell ref="B9:E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9" max="9" width="35.13"/>
    <col customWidth="1" min="10" max="10" width="38.75"/>
  </cols>
  <sheetData>
    <row r="1">
      <c r="A1" s="435"/>
      <c r="B1" s="435"/>
      <c r="C1" s="435"/>
      <c r="D1" s="748" t="s">
        <v>2428</v>
      </c>
      <c r="E1" s="748"/>
      <c r="F1" s="792" t="s">
        <v>2429</v>
      </c>
      <c r="G1" s="748"/>
      <c r="H1" s="748"/>
      <c r="I1" s="374"/>
      <c r="J1" s="2"/>
    </row>
    <row r="2">
      <c r="A2" s="435" t="s">
        <v>1536</v>
      </c>
      <c r="B2" s="435" t="s">
        <v>2430</v>
      </c>
      <c r="C2" s="435" t="s">
        <v>2431</v>
      </c>
      <c r="D2" s="435" t="s">
        <v>2432</v>
      </c>
      <c r="E2" s="435" t="s">
        <v>2433</v>
      </c>
      <c r="F2" s="435" t="s">
        <v>2434</v>
      </c>
      <c r="G2" s="435" t="s">
        <v>2435</v>
      </c>
      <c r="H2" s="435" t="s">
        <v>2436</v>
      </c>
      <c r="I2" s="374" t="s">
        <v>1654</v>
      </c>
      <c r="J2" s="1" t="s">
        <v>1532</v>
      </c>
    </row>
    <row r="3">
      <c r="A3" s="459"/>
      <c r="B3" s="2" t="s">
        <v>2437</v>
      </c>
      <c r="C3" s="2"/>
      <c r="D3" s="34" t="s">
        <v>2432</v>
      </c>
      <c r="E3" s="34" t="s">
        <v>2433</v>
      </c>
      <c r="F3" s="34" t="s">
        <v>2434</v>
      </c>
      <c r="G3" s="34" t="s">
        <v>2435</v>
      </c>
      <c r="H3" s="34" t="s">
        <v>2436</v>
      </c>
      <c r="I3" s="132" t="str">
        <f>"+5% Strength"</f>
        <v>+5% Strength</v>
      </c>
      <c r="J3" s="2"/>
    </row>
    <row r="4">
      <c r="A4" s="459"/>
      <c r="B4" s="2" t="s">
        <v>2438</v>
      </c>
      <c r="C4" s="34" t="s">
        <v>2437</v>
      </c>
      <c r="D4" s="34" t="s">
        <v>2432</v>
      </c>
      <c r="E4" s="34" t="s">
        <v>2433</v>
      </c>
      <c r="F4" s="34" t="s">
        <v>2434</v>
      </c>
      <c r="G4" s="34" t="s">
        <v>2435</v>
      </c>
      <c r="H4" s="34" t="s">
        <v>2436</v>
      </c>
      <c r="I4" s="132" t="str">
        <f>"+10% Strength"</f>
        <v>+10% Strength</v>
      </c>
      <c r="J4" s="2"/>
    </row>
    <row r="5">
      <c r="A5" s="459"/>
      <c r="B5" s="2" t="s">
        <v>2439</v>
      </c>
      <c r="C5" s="34" t="s">
        <v>2438</v>
      </c>
      <c r="D5" s="34" t="s">
        <v>2432</v>
      </c>
      <c r="E5" s="34" t="s">
        <v>2433</v>
      </c>
      <c r="F5" s="34" t="s">
        <v>2434</v>
      </c>
      <c r="G5" s="34" t="s">
        <v>2435</v>
      </c>
      <c r="H5" s="34" t="s">
        <v>2436</v>
      </c>
      <c r="I5" s="132" t="str">
        <f>"+15% Strength"</f>
        <v>+15% Strength</v>
      </c>
      <c r="J5" s="2"/>
    </row>
    <row r="6">
      <c r="A6" s="459"/>
      <c r="B6" s="2" t="s">
        <v>2440</v>
      </c>
      <c r="C6" s="2"/>
      <c r="D6" s="2"/>
      <c r="E6" s="34" t="s">
        <v>2433</v>
      </c>
      <c r="F6" s="2"/>
      <c r="G6" s="2"/>
      <c r="H6" s="34" t="s">
        <v>2436</v>
      </c>
      <c r="I6" s="132" t="str">
        <f>"+10% Attack"</f>
        <v>+10% Attack</v>
      </c>
      <c r="J6" s="2"/>
    </row>
    <row r="7">
      <c r="A7" s="459"/>
      <c r="B7" s="2" t="s">
        <v>2441</v>
      </c>
      <c r="C7" s="34" t="s">
        <v>2440</v>
      </c>
      <c r="D7" s="2"/>
      <c r="E7" s="34" t="s">
        <v>2433</v>
      </c>
      <c r="F7" s="2"/>
      <c r="G7" s="2"/>
      <c r="H7" s="34" t="s">
        <v>2436</v>
      </c>
      <c r="I7" s="132" t="str">
        <f>"+15% Attack"</f>
        <v>+15% Attack</v>
      </c>
      <c r="J7" s="2"/>
    </row>
    <row r="8">
      <c r="A8" s="459"/>
      <c r="B8" s="2" t="s">
        <v>2442</v>
      </c>
      <c r="C8" s="34" t="s">
        <v>2441</v>
      </c>
      <c r="D8" s="2"/>
      <c r="E8" s="34" t="s">
        <v>2433</v>
      </c>
      <c r="F8" s="2"/>
      <c r="G8" s="2"/>
      <c r="H8" s="34" t="s">
        <v>2436</v>
      </c>
      <c r="I8" s="132" t="str">
        <f>"+20% Attack"</f>
        <v>+20% Attack</v>
      </c>
      <c r="J8" s="2"/>
    </row>
    <row r="9">
      <c r="A9" s="459"/>
      <c r="B9" s="2" t="s">
        <v>2443</v>
      </c>
      <c r="C9" s="2"/>
      <c r="D9" s="34" t="s">
        <v>2432</v>
      </c>
      <c r="E9" s="2"/>
      <c r="F9" s="2"/>
      <c r="G9" s="2"/>
      <c r="H9" s="34" t="s">
        <v>2436</v>
      </c>
      <c r="I9" s="132" t="str">
        <f>"+10% Defense"</f>
        <v>+10% Defense</v>
      </c>
      <c r="J9" s="2"/>
    </row>
    <row r="10">
      <c r="A10" s="459"/>
      <c r="B10" s="2" t="s">
        <v>2444</v>
      </c>
      <c r="C10" s="34" t="s">
        <v>2443</v>
      </c>
      <c r="D10" s="34" t="s">
        <v>2432</v>
      </c>
      <c r="E10" s="2"/>
      <c r="F10" s="2"/>
      <c r="G10" s="2"/>
      <c r="H10" s="34" t="s">
        <v>2436</v>
      </c>
      <c r="I10" s="132" t="str">
        <f>"+15% Defense"</f>
        <v>+15% Defense</v>
      </c>
      <c r="J10" s="2"/>
    </row>
    <row r="11">
      <c r="A11" s="459"/>
      <c r="B11" s="2" t="s">
        <v>2445</v>
      </c>
      <c r="C11" s="34" t="s">
        <v>2444</v>
      </c>
      <c r="D11" s="34" t="s">
        <v>2432</v>
      </c>
      <c r="E11" s="2"/>
      <c r="F11" s="2"/>
      <c r="G11" s="2"/>
      <c r="H11" s="34" t="s">
        <v>2436</v>
      </c>
      <c r="I11" s="132" t="str">
        <f>"+20% Defense"</f>
        <v>+20% Defense</v>
      </c>
      <c r="J11" s="2"/>
    </row>
    <row r="12">
      <c r="A12" s="459"/>
      <c r="B12" s="2" t="s">
        <v>2446</v>
      </c>
      <c r="C12" s="2"/>
      <c r="D12" s="34" t="s">
        <v>2432</v>
      </c>
      <c r="E12" s="34" t="s">
        <v>2433</v>
      </c>
      <c r="F12" s="34" t="s">
        <v>2434</v>
      </c>
      <c r="G12" s="34" t="s">
        <v>2435</v>
      </c>
      <c r="H12" s="34" t="s">
        <v>2436</v>
      </c>
      <c r="I12" s="132" t="str">
        <f>"+10% Crit"</f>
        <v>+10% Crit</v>
      </c>
      <c r="J12" s="2"/>
    </row>
    <row r="13">
      <c r="A13" s="459"/>
      <c r="B13" s="2" t="s">
        <v>2447</v>
      </c>
      <c r="C13" s="34" t="s">
        <v>2446</v>
      </c>
      <c r="D13" s="34" t="s">
        <v>2432</v>
      </c>
      <c r="E13" s="34" t="s">
        <v>2433</v>
      </c>
      <c r="F13" s="34" t="s">
        <v>2434</v>
      </c>
      <c r="G13" s="34" t="s">
        <v>2435</v>
      </c>
      <c r="H13" s="34" t="s">
        <v>2436</v>
      </c>
      <c r="I13" s="132" t="str">
        <f>"+15% Crit"</f>
        <v>+15% Crit</v>
      </c>
      <c r="J13" s="2"/>
    </row>
    <row r="14">
      <c r="A14" s="459"/>
      <c r="B14" s="2" t="s">
        <v>2448</v>
      </c>
      <c r="C14" s="34" t="s">
        <v>2447</v>
      </c>
      <c r="D14" s="34" t="s">
        <v>2432</v>
      </c>
      <c r="E14" s="34" t="s">
        <v>2433</v>
      </c>
      <c r="F14" s="34" t="s">
        <v>2434</v>
      </c>
      <c r="G14" s="34" t="s">
        <v>2435</v>
      </c>
      <c r="H14" s="34" t="s">
        <v>2436</v>
      </c>
      <c r="I14" s="132" t="str">
        <f>"+20% Crit"</f>
        <v>+20% Crit</v>
      </c>
      <c r="J14" s="2"/>
    </row>
    <row r="15">
      <c r="A15" s="459"/>
      <c r="B15" s="2" t="s">
        <v>2449</v>
      </c>
      <c r="C15" s="2"/>
      <c r="D15" s="34" t="s">
        <v>2432</v>
      </c>
      <c r="E15" s="2"/>
      <c r="F15" s="2"/>
      <c r="G15" s="2"/>
      <c r="H15" s="34" t="s">
        <v>2436</v>
      </c>
      <c r="I15" s="132" t="str">
        <f>"+3 Vision, +1 Reveal"</f>
        <v>+3 Vision, +1 Reveal</v>
      </c>
      <c r="J15" s="2"/>
    </row>
    <row r="16">
      <c r="A16" s="459"/>
      <c r="B16" s="2" t="s">
        <v>863</v>
      </c>
      <c r="C16" s="34" t="s">
        <v>2449</v>
      </c>
      <c r="D16" s="34" t="s">
        <v>2432</v>
      </c>
      <c r="E16" s="2"/>
      <c r="F16" s="2"/>
      <c r="G16" s="2"/>
      <c r="H16" s="34" t="s">
        <v>2436</v>
      </c>
      <c r="I16" s="132" t="str">
        <f>"+1 Movement"</f>
        <v>+1 Movement</v>
      </c>
      <c r="J16" s="2"/>
    </row>
    <row r="17">
      <c r="A17" s="459"/>
      <c r="B17" s="2" t="s">
        <v>2450</v>
      </c>
      <c r="C17" s="2"/>
      <c r="D17" s="2"/>
      <c r="E17" s="2"/>
      <c r="F17" s="34" t="s">
        <v>2434</v>
      </c>
      <c r="G17" s="2"/>
      <c r="H17" s="2"/>
      <c r="I17" s="105" t="s">
        <v>2451</v>
      </c>
      <c r="J17" s="2"/>
    </row>
    <row r="18">
      <c r="A18" s="459"/>
      <c r="B18" s="2" t="s">
        <v>2452</v>
      </c>
      <c r="C18" s="34" t="s">
        <v>2450</v>
      </c>
      <c r="D18" s="2"/>
      <c r="E18" s="2"/>
      <c r="F18" s="34" t="s">
        <v>2434</v>
      </c>
      <c r="G18" s="2"/>
      <c r="H18" s="2"/>
      <c r="I18" s="132" t="str">
        <f>"+1 Range; not available to Siege"</f>
        <v>+1 Range; not available to Siege</v>
      </c>
      <c r="J18" s="2"/>
    </row>
    <row r="19">
      <c r="A19" s="459"/>
      <c r="B19" s="2" t="s">
        <v>2453</v>
      </c>
      <c r="C19" s="2"/>
      <c r="D19" s="2"/>
      <c r="E19" s="34" t="s">
        <v>2433</v>
      </c>
      <c r="F19" s="2"/>
      <c r="G19" s="2"/>
      <c r="H19" s="34" t="s">
        <v>2436</v>
      </c>
      <c r="I19" s="132" t="str">
        <f>"+50% Attack Across River; +50% Attack when attacking across Land/Water boundaries"</f>
        <v>+50% Attack Across River; +50% Attack when attacking across Land/Water boundaries</v>
      </c>
      <c r="J19" s="2"/>
    </row>
    <row r="20">
      <c r="A20" s="448"/>
      <c r="B20" s="455" t="s">
        <v>2454</v>
      </c>
      <c r="C20" s="2" t="s">
        <v>2453</v>
      </c>
      <c r="D20" s="448"/>
      <c r="E20" s="133"/>
      <c r="F20" s="448"/>
      <c r="G20" s="448"/>
      <c r="H20" s="34" t="s">
        <v>2436</v>
      </c>
      <c r="I20" s="714" t="str">
        <f>"+25% Attack Land/Water combat;
+25% Attack when attacking into Settlment (Cities and Tribal sites)"</f>
        <v>+25% Attack Land/Water combat;
+25% Attack when attacking into Settlment (Cities and Tribal sites)</v>
      </c>
      <c r="J20" s="448"/>
      <c r="K20" s="48"/>
      <c r="L20" s="48"/>
      <c r="M20" s="48"/>
      <c r="N20" s="48"/>
      <c r="O20" s="48"/>
      <c r="P20" s="48"/>
      <c r="Q20" s="48"/>
      <c r="R20" s="48"/>
      <c r="S20" s="48"/>
      <c r="T20" s="48"/>
      <c r="U20" s="48"/>
      <c r="V20" s="48"/>
      <c r="W20" s="48"/>
      <c r="X20" s="48"/>
      <c r="Y20" s="48"/>
      <c r="Z20" s="48"/>
    </row>
    <row r="21">
      <c r="A21" s="459"/>
      <c r="B21" s="2" t="s">
        <v>2455</v>
      </c>
      <c r="C21" s="2"/>
      <c r="D21" s="34" t="s">
        <v>2432</v>
      </c>
      <c r="E21" s="2"/>
      <c r="F21" s="2"/>
      <c r="G21" s="34" t="s">
        <v>2435</v>
      </c>
      <c r="H21" s="34"/>
      <c r="I21" s="132" t="str">
        <f>"+25% Attack when attacking into Urban tiles"</f>
        <v>+25% Attack when attacking into Urban tiles</v>
      </c>
      <c r="J21" s="2"/>
    </row>
    <row r="22">
      <c r="A22" s="459"/>
      <c r="B22" s="2" t="s">
        <v>2456</v>
      </c>
      <c r="C22" s="2"/>
      <c r="D22" s="34" t="s">
        <v>2432</v>
      </c>
      <c r="E22" s="2"/>
      <c r="F22" s="2"/>
      <c r="G22" s="34" t="s">
        <v>2435</v>
      </c>
      <c r="H22" s="2"/>
      <c r="I22" s="132" t="str">
        <f>"+25% Strength when on Urban tiles"</f>
        <v>+25% Strength when on Urban tiles</v>
      </c>
      <c r="J22" s="2"/>
    </row>
    <row r="23">
      <c r="A23" s="459"/>
      <c r="B23" s="2" t="s">
        <v>828</v>
      </c>
      <c r="C23" s="2"/>
      <c r="D23" s="34" t="s">
        <v>2432</v>
      </c>
      <c r="E23" s="34" t="s">
        <v>2433</v>
      </c>
      <c r="F23" s="34" t="s">
        <v>2434</v>
      </c>
      <c r="G23" s="34" t="s">
        <v>2435</v>
      </c>
      <c r="H23" s="34" t="s">
        <v>2436</v>
      </c>
      <c r="I23" s="132" t="str">
        <f>"+10% Strength when this unit is damaged"</f>
        <v>+10% Strength when this unit is damaged</v>
      </c>
      <c r="J23" s="2"/>
    </row>
    <row r="24">
      <c r="A24" s="459"/>
      <c r="B24" s="2" t="s">
        <v>829</v>
      </c>
      <c r="C24" s="2"/>
      <c r="D24" s="34" t="s">
        <v>2432</v>
      </c>
      <c r="E24" s="34" t="s">
        <v>2433</v>
      </c>
      <c r="F24" s="34" t="s">
        <v>2434</v>
      </c>
      <c r="G24" s="34" t="s">
        <v>2435</v>
      </c>
      <c r="H24" s="34" t="s">
        <v>2436</v>
      </c>
      <c r="I24" s="793" t="str">
        <f>"+10% Strength when target unit is damaged"</f>
        <v>+10% Strength when target unit is damaged</v>
      </c>
      <c r="J24" s="2"/>
    </row>
    <row r="25">
      <c r="A25" s="459"/>
      <c r="B25" s="2" t="s">
        <v>826</v>
      </c>
      <c r="C25" s="2"/>
      <c r="D25" s="34" t="s">
        <v>2432</v>
      </c>
      <c r="E25" s="34" t="s">
        <v>2433</v>
      </c>
      <c r="F25" s="34" t="s">
        <v>2434</v>
      </c>
      <c r="G25" s="34" t="s">
        <v>2435</v>
      </c>
      <c r="H25" s="34" t="s">
        <v>2436</v>
      </c>
      <c r="I25" s="132" t="str">
        <f>"+25% Strength vs. any unit with a General"</f>
        <v>+25% Strength vs. any unit with a General</v>
      </c>
      <c r="J25" s="2"/>
    </row>
    <row r="26">
      <c r="A26" s="459"/>
      <c r="B26" s="2" t="s">
        <v>2457</v>
      </c>
      <c r="C26" s="2"/>
      <c r="D26" s="2"/>
      <c r="E26" s="34" t="s">
        <v>2433</v>
      </c>
      <c r="F26" s="34" t="s">
        <v>2434</v>
      </c>
      <c r="G26" s="2"/>
      <c r="H26" s="34"/>
      <c r="I26" s="132" t="str">
        <f>"+25% Strength vs. Tribal Units"</f>
        <v>+25% Strength vs. Tribal Units</v>
      </c>
      <c r="J26" s="34" t="s">
        <v>2458</v>
      </c>
    </row>
    <row r="27">
      <c r="A27" s="459"/>
      <c r="B27" s="2" t="s">
        <v>2459</v>
      </c>
      <c r="C27" s="2"/>
      <c r="D27" s="34" t="s">
        <v>2432</v>
      </c>
      <c r="E27" s="34" t="s">
        <v>2433</v>
      </c>
      <c r="F27" s="34" t="s">
        <v>2434</v>
      </c>
      <c r="G27" s="34" t="s">
        <v>2435</v>
      </c>
      <c r="H27" s="34" t="s">
        <v>2436</v>
      </c>
      <c r="I27" s="132" t="str">
        <f>"+4 HP from Healing action"</f>
        <v>+4 HP from Healing action</v>
      </c>
      <c r="J27" s="2"/>
    </row>
    <row r="28">
      <c r="A28" s="459"/>
      <c r="B28" s="2" t="s">
        <v>2460</v>
      </c>
      <c r="C28" s="34" t="s">
        <v>2459</v>
      </c>
      <c r="D28" s="34" t="s">
        <v>2432</v>
      </c>
      <c r="E28" s="34" t="s">
        <v>2433</v>
      </c>
      <c r="F28" s="34" t="s">
        <v>2434</v>
      </c>
      <c r="G28" s="34" t="s">
        <v>2435</v>
      </c>
      <c r="H28" s="34" t="s">
        <v>2436</v>
      </c>
      <c r="I28" s="132" t="str">
        <f>"+1 HP automatic HP regeneration per turn"</f>
        <v>+1 HP automatic HP regeneration per turn</v>
      </c>
      <c r="J28" s="2"/>
    </row>
    <row r="29">
      <c r="A29" s="459"/>
      <c r="B29" s="2" t="s">
        <v>2461</v>
      </c>
      <c r="C29" s="2"/>
      <c r="D29" s="34" t="s">
        <v>2432</v>
      </c>
      <c r="E29" s="2"/>
      <c r="F29" s="34" t="s">
        <v>2434</v>
      </c>
      <c r="G29" s="2"/>
      <c r="H29" s="2"/>
      <c r="I29" s="132" t="str">
        <f>"+25% Strength when on Hill tiles"</f>
        <v>+25% Strength when on Hill tiles</v>
      </c>
      <c r="J29" s="2"/>
    </row>
    <row r="30">
      <c r="A30" s="459"/>
      <c r="B30" s="2" t="s">
        <v>2462</v>
      </c>
      <c r="C30" s="2"/>
      <c r="D30" s="34" t="s">
        <v>2432</v>
      </c>
      <c r="E30" s="2"/>
      <c r="F30" s="34" t="s">
        <v>2434</v>
      </c>
      <c r="G30" s="2"/>
      <c r="H30" s="2"/>
      <c r="I30" s="132" t="str">
        <f>"+25% Strength when on Forest tiles"</f>
        <v>+25% Strength when on Forest tiles</v>
      </c>
      <c r="J30" s="2"/>
    </row>
    <row r="31">
      <c r="A31" s="459"/>
      <c r="B31" s="2" t="s">
        <v>865</v>
      </c>
      <c r="C31" s="2"/>
      <c r="D31" s="2"/>
      <c r="E31" s="34" t="s">
        <v>2433</v>
      </c>
      <c r="F31" s="34" t="s">
        <v>2434</v>
      </c>
      <c r="G31" s="2"/>
      <c r="H31" s="34" t="s">
        <v>2463</v>
      </c>
      <c r="I31" s="132" t="str">
        <f>"+10% Strength vs. Melee Units"</f>
        <v>+10% Strength vs. Melee Units</v>
      </c>
      <c r="J31" s="2"/>
    </row>
    <row r="32">
      <c r="A32" s="459"/>
      <c r="B32" s="2" t="s">
        <v>2464</v>
      </c>
      <c r="C32" s="2"/>
      <c r="D32" s="2"/>
      <c r="E32" s="34" t="s">
        <v>2433</v>
      </c>
      <c r="F32" s="34" t="s">
        <v>2434</v>
      </c>
      <c r="G32" s="2"/>
      <c r="H32" s="34" t="s">
        <v>2463</v>
      </c>
      <c r="I32" s="132" t="str">
        <f>"+10% Strength vs. Ranged Units"</f>
        <v>+10% Strength vs. Ranged Units</v>
      </c>
      <c r="J32" s="2"/>
    </row>
    <row r="33">
      <c r="A33" s="459"/>
      <c r="B33" s="2" t="s">
        <v>859</v>
      </c>
      <c r="C33" s="2"/>
      <c r="D33" s="2"/>
      <c r="E33" s="34" t="s">
        <v>2433</v>
      </c>
      <c r="F33" s="34" t="s">
        <v>2434</v>
      </c>
      <c r="G33" s="2"/>
      <c r="H33" s="34" t="s">
        <v>2463</v>
      </c>
      <c r="I33" s="132" t="str">
        <f>"+10% Strength vs. Infantry Units"</f>
        <v>+10% Strength vs. Infantry Units</v>
      </c>
      <c r="J33" s="2"/>
    </row>
    <row r="34">
      <c r="A34" s="459"/>
      <c r="B34" s="2" t="s">
        <v>2465</v>
      </c>
      <c r="C34" s="2"/>
      <c r="D34" s="2"/>
      <c r="E34" s="34" t="s">
        <v>2433</v>
      </c>
      <c r="F34" s="34" t="s">
        <v>2434</v>
      </c>
      <c r="G34" s="2"/>
      <c r="H34" s="34" t="s">
        <v>2463</v>
      </c>
      <c r="I34" s="132" t="str">
        <f>"+25% Strength vs. Mounted Units (including Elephants and Camels)"</f>
        <v>+25% Strength vs. Mounted Units (including Elephants and Camels)</v>
      </c>
      <c r="J34" s="2"/>
    </row>
    <row r="35">
      <c r="A35" s="459"/>
      <c r="B35" s="2" t="s">
        <v>2466</v>
      </c>
      <c r="C35" s="2"/>
      <c r="D35" s="34" t="s">
        <v>2432</v>
      </c>
      <c r="E35" s="2"/>
      <c r="F35" s="2"/>
      <c r="G35" s="2"/>
      <c r="H35" s="2"/>
      <c r="I35" s="132" t="str">
        <f>"+25% Strength vs. Siege and Ship Units"</f>
        <v>+25% Strength vs. Siege and Ship Units</v>
      </c>
      <c r="J35" s="2"/>
    </row>
    <row r="36">
      <c r="A36" s="459"/>
      <c r="B36" s="2" t="s">
        <v>2467</v>
      </c>
      <c r="C36" s="512" t="s">
        <v>2468</v>
      </c>
      <c r="I36" s="105" t="s">
        <v>2469</v>
      </c>
      <c r="J36" s="2"/>
    </row>
    <row r="37">
      <c r="A37" s="459"/>
      <c r="B37" s="2" t="s">
        <v>2470</v>
      </c>
      <c r="C37" s="2"/>
      <c r="D37" s="2"/>
      <c r="E37" s="2"/>
      <c r="F37" s="2"/>
      <c r="G37" s="2"/>
      <c r="H37" s="34" t="s">
        <v>2436</v>
      </c>
      <c r="I37" s="105" t="s">
        <v>2471</v>
      </c>
      <c r="J37" s="2"/>
    </row>
    <row r="38">
      <c r="A38" s="459"/>
      <c r="B38" s="2" t="s">
        <v>2472</v>
      </c>
      <c r="C38" s="2"/>
      <c r="D38" s="2"/>
      <c r="E38" s="2"/>
      <c r="F38" s="2"/>
      <c r="G38" s="2"/>
      <c r="H38" s="34" t="s">
        <v>2436</v>
      </c>
      <c r="I38" s="105" t="s">
        <v>2473</v>
      </c>
      <c r="J38" s="2"/>
    </row>
    <row r="39">
      <c r="A39" s="459"/>
      <c r="B39" s="2" t="s">
        <v>2474</v>
      </c>
      <c r="C39" s="2"/>
      <c r="D39" s="2"/>
      <c r="E39" s="2"/>
      <c r="F39" s="2"/>
      <c r="G39" s="2"/>
      <c r="H39" s="34" t="s">
        <v>2436</v>
      </c>
      <c r="I39" s="132" t="str">
        <f>"+20% Strength on Ocean Tiles"</f>
        <v>+20% Strength on Ocean Tiles</v>
      </c>
      <c r="J39" s="2"/>
    </row>
    <row r="40">
      <c r="A40" s="459"/>
      <c r="B40" s="2" t="s">
        <v>2475</v>
      </c>
      <c r="C40" s="2"/>
      <c r="D40" s="2"/>
      <c r="E40" s="2"/>
      <c r="F40" s="2"/>
      <c r="G40" s="2"/>
      <c r="H40" s="34" t="s">
        <v>2436</v>
      </c>
      <c r="I40" s="105" t="s">
        <v>2476</v>
      </c>
      <c r="J40" s="2"/>
    </row>
    <row r="41">
      <c r="A41" s="459"/>
      <c r="B41" s="2" t="s">
        <v>2477</v>
      </c>
      <c r="C41" s="2"/>
      <c r="D41" s="2"/>
      <c r="E41" s="2"/>
      <c r="F41" s="2"/>
      <c r="G41" s="2"/>
      <c r="H41" s="34" t="s">
        <v>2436</v>
      </c>
      <c r="I41" s="132" t="str">
        <f>"+10% against Ships, pushes target Water Units back"</f>
        <v>+10% against Ships, pushes target Water Units back</v>
      </c>
      <c r="J41" s="2"/>
    </row>
    <row r="42">
      <c r="A42" s="446"/>
      <c r="B42" s="455" t="s">
        <v>2478</v>
      </c>
      <c r="C42" s="448"/>
      <c r="D42" s="448"/>
      <c r="E42" s="448"/>
      <c r="F42" s="448"/>
      <c r="G42" s="448"/>
      <c r="H42" s="34" t="s">
        <v>2436</v>
      </c>
      <c r="I42" s="461" t="str">
        <f>"+1 Fatigue Limit, Ignore ZOC"</f>
        <v>+1 Fatigue Limit, Ignore ZOC</v>
      </c>
      <c r="J42" s="448"/>
      <c r="K42" s="48"/>
      <c r="L42" s="48"/>
      <c r="M42" s="48"/>
      <c r="N42" s="48"/>
      <c r="O42" s="48"/>
      <c r="P42" s="48"/>
      <c r="Q42" s="48"/>
      <c r="R42" s="48"/>
      <c r="S42" s="48"/>
      <c r="T42" s="48"/>
      <c r="U42" s="48"/>
      <c r="V42" s="48"/>
      <c r="W42" s="48"/>
      <c r="X42" s="48"/>
      <c r="Y42" s="48"/>
      <c r="Z42" s="48"/>
    </row>
    <row r="43">
      <c r="A43" s="459"/>
      <c r="B43" s="2" t="s">
        <v>2479</v>
      </c>
      <c r="C43" s="2"/>
      <c r="D43" s="2"/>
      <c r="E43" s="2"/>
      <c r="F43" s="2"/>
      <c r="G43" s="2"/>
      <c r="H43" s="34" t="s">
        <v>2436</v>
      </c>
      <c r="I43" s="132" t="str">
        <f>"+1 Water Control Range (when Anchored)"</f>
        <v>+1 Water Control Range (when Anchored)</v>
      </c>
      <c r="J43" s="2"/>
    </row>
    <row r="44">
      <c r="A44" s="459"/>
      <c r="B44" s="2" t="s">
        <v>2480</v>
      </c>
      <c r="C44" s="512" t="s">
        <v>2481</v>
      </c>
      <c r="I44" s="132" t="str">
        <f>"+25% Attack from Flanking"</f>
        <v>+25% Attack from Flanking</v>
      </c>
      <c r="J44" s="2"/>
    </row>
    <row r="45">
      <c r="A45" s="459"/>
      <c r="B45" s="2" t="s">
        <v>2482</v>
      </c>
      <c r="C45" s="512" t="s">
        <v>2483</v>
      </c>
      <c r="I45" s="132" t="str">
        <f>"+20% Strength from Own Territory"</f>
        <v>+20% Strength from Own Territory</v>
      </c>
      <c r="J45" s="2"/>
    </row>
    <row r="46">
      <c r="A46" s="276"/>
      <c r="I46" s="55"/>
    </row>
    <row r="47">
      <c r="A47" s="276"/>
      <c r="B47" s="794" t="s">
        <v>2484</v>
      </c>
      <c r="I47" s="55"/>
    </row>
    <row r="48">
      <c r="A48" s="459"/>
      <c r="B48" s="2" t="s">
        <v>2485</v>
      </c>
      <c r="C48" s="512" t="s">
        <v>2486</v>
      </c>
      <c r="I48" s="132" t="str">
        <f>"+20% Strength"</f>
        <v>+20% Strength</v>
      </c>
      <c r="J48" s="34" t="s">
        <v>2487</v>
      </c>
    </row>
    <row r="49">
      <c r="A49" s="276"/>
      <c r="I49" s="55"/>
    </row>
    <row r="50">
      <c r="A50" s="276"/>
      <c r="I50" s="55"/>
    </row>
    <row r="51">
      <c r="A51" s="276"/>
      <c r="I51" s="55"/>
    </row>
    <row r="52">
      <c r="A52" s="276"/>
      <c r="I52" s="55"/>
    </row>
    <row r="53">
      <c r="A53" s="276"/>
      <c r="I53" s="55"/>
      <c r="K53" s="795"/>
    </row>
    <row r="54">
      <c r="A54" s="276"/>
      <c r="I54" s="55"/>
    </row>
    <row r="55">
      <c r="A55" s="276"/>
      <c r="I55" s="55"/>
    </row>
    <row r="56">
      <c r="A56" s="276"/>
      <c r="I56" s="55"/>
    </row>
    <row r="57">
      <c r="A57" s="276"/>
      <c r="I57" s="55"/>
    </row>
    <row r="58">
      <c r="A58" s="276"/>
      <c r="I58" s="55"/>
    </row>
    <row r="59">
      <c r="A59" s="276"/>
      <c r="I59" s="55"/>
    </row>
    <row r="60">
      <c r="A60" s="276"/>
      <c r="I60" s="55"/>
    </row>
    <row r="61">
      <c r="A61" s="276"/>
      <c r="I61" s="55"/>
    </row>
    <row r="62">
      <c r="A62" s="276"/>
      <c r="I62" s="55"/>
    </row>
    <row r="63">
      <c r="A63" s="276"/>
      <c r="I63" s="55"/>
    </row>
    <row r="64">
      <c r="A64" s="276"/>
      <c r="I64" s="55"/>
    </row>
    <row r="65">
      <c r="A65" s="276"/>
      <c r="I65" s="55"/>
    </row>
    <row r="66">
      <c r="A66" s="276"/>
      <c r="I66" s="55"/>
    </row>
    <row r="67">
      <c r="A67" s="276"/>
      <c r="I67" s="55"/>
    </row>
    <row r="68">
      <c r="A68" s="276"/>
      <c r="I68" s="55"/>
    </row>
    <row r="69">
      <c r="A69" s="276"/>
      <c r="I69" s="55"/>
    </row>
    <row r="70">
      <c r="A70" s="276"/>
      <c r="I70" s="55"/>
    </row>
    <row r="71">
      <c r="A71" s="276"/>
      <c r="I71" s="55"/>
    </row>
    <row r="72">
      <c r="A72" s="276"/>
      <c r="I72" s="55"/>
    </row>
    <row r="73">
      <c r="A73" s="276"/>
      <c r="I73" s="55"/>
    </row>
    <row r="74">
      <c r="A74" s="276"/>
      <c r="I74" s="55"/>
    </row>
    <row r="75">
      <c r="A75" s="276"/>
      <c r="I75" s="55"/>
    </row>
    <row r="76">
      <c r="A76" s="276"/>
      <c r="I76" s="55"/>
    </row>
    <row r="77">
      <c r="A77" s="276"/>
      <c r="I77" s="55"/>
    </row>
    <row r="78">
      <c r="A78" s="276"/>
      <c r="I78" s="55"/>
    </row>
    <row r="79">
      <c r="A79" s="276"/>
      <c r="I79" s="55"/>
    </row>
    <row r="80">
      <c r="A80" s="276"/>
      <c r="I80" s="55"/>
    </row>
    <row r="81">
      <c r="A81" s="276"/>
      <c r="I81" s="55"/>
    </row>
    <row r="82">
      <c r="A82" s="276"/>
      <c r="I82" s="55"/>
    </row>
    <row r="83">
      <c r="A83" s="276"/>
      <c r="I83" s="55"/>
    </row>
    <row r="84">
      <c r="A84" s="276"/>
      <c r="I84" s="55"/>
    </row>
    <row r="85">
      <c r="A85" s="276"/>
      <c r="I85" s="55"/>
    </row>
    <row r="86">
      <c r="A86" s="276"/>
      <c r="I86" s="55"/>
    </row>
    <row r="87">
      <c r="A87" s="276"/>
      <c r="I87" s="55"/>
    </row>
    <row r="88">
      <c r="A88" s="276"/>
      <c r="I88" s="55"/>
    </row>
    <row r="89">
      <c r="A89" s="276"/>
      <c r="I89" s="55"/>
    </row>
    <row r="90">
      <c r="A90" s="276"/>
      <c r="I90" s="55"/>
    </row>
    <row r="91">
      <c r="A91" s="276"/>
      <c r="I91" s="55"/>
    </row>
    <row r="92">
      <c r="A92" s="276"/>
      <c r="I92" s="55"/>
    </row>
    <row r="93">
      <c r="A93" s="276"/>
      <c r="I93" s="55"/>
    </row>
    <row r="94">
      <c r="A94" s="276"/>
      <c r="I94" s="55"/>
    </row>
    <row r="95">
      <c r="A95" s="276"/>
      <c r="I95" s="55"/>
    </row>
    <row r="96">
      <c r="A96" s="276"/>
      <c r="I96" s="55"/>
    </row>
    <row r="97">
      <c r="A97" s="276"/>
      <c r="I97" s="55"/>
    </row>
    <row r="98">
      <c r="A98" s="276"/>
      <c r="I98" s="55"/>
    </row>
    <row r="99">
      <c r="A99" s="276"/>
      <c r="I99" s="55"/>
    </row>
    <row r="100">
      <c r="A100" s="276"/>
      <c r="I100" s="55"/>
    </row>
    <row r="101">
      <c r="A101" s="276"/>
      <c r="I101" s="55"/>
    </row>
    <row r="102">
      <c r="A102" s="276"/>
      <c r="I102" s="55"/>
    </row>
    <row r="103">
      <c r="A103" s="276"/>
      <c r="I103" s="55"/>
    </row>
    <row r="104">
      <c r="A104" s="276"/>
      <c r="I104" s="55"/>
    </row>
    <row r="105">
      <c r="A105" s="276"/>
      <c r="I105" s="55"/>
    </row>
    <row r="106">
      <c r="A106" s="276"/>
      <c r="I106" s="55"/>
    </row>
    <row r="107">
      <c r="A107" s="276"/>
      <c r="I107" s="55"/>
    </row>
    <row r="108">
      <c r="A108" s="276"/>
      <c r="I108" s="55"/>
    </row>
    <row r="109">
      <c r="A109" s="276"/>
      <c r="I109" s="55"/>
    </row>
    <row r="110">
      <c r="A110" s="276"/>
      <c r="I110" s="55"/>
    </row>
    <row r="111">
      <c r="A111" s="276"/>
      <c r="I111" s="55"/>
    </row>
    <row r="112">
      <c r="A112" s="276"/>
      <c r="I112" s="55"/>
    </row>
    <row r="113">
      <c r="A113" s="276"/>
      <c r="I113" s="55"/>
    </row>
    <row r="114">
      <c r="A114" s="276"/>
      <c r="I114" s="55"/>
    </row>
    <row r="115">
      <c r="A115" s="276"/>
      <c r="I115" s="55"/>
    </row>
    <row r="116">
      <c r="A116" s="276"/>
      <c r="I116" s="55"/>
    </row>
    <row r="117">
      <c r="A117" s="276"/>
      <c r="I117" s="55"/>
    </row>
    <row r="118">
      <c r="A118" s="276"/>
      <c r="I118" s="55"/>
    </row>
    <row r="119">
      <c r="A119" s="276"/>
      <c r="I119" s="55"/>
    </row>
    <row r="120">
      <c r="A120" s="276"/>
      <c r="I120" s="55"/>
    </row>
    <row r="121">
      <c r="A121" s="276"/>
      <c r="I121" s="55"/>
    </row>
    <row r="122">
      <c r="A122" s="276"/>
      <c r="I122" s="55"/>
    </row>
    <row r="123">
      <c r="A123" s="276"/>
      <c r="I123" s="55"/>
    </row>
    <row r="124">
      <c r="A124" s="276"/>
      <c r="I124" s="55"/>
    </row>
    <row r="125">
      <c r="A125" s="276"/>
      <c r="I125" s="55"/>
    </row>
    <row r="126">
      <c r="A126" s="276"/>
      <c r="I126" s="55"/>
    </row>
    <row r="127">
      <c r="A127" s="276"/>
      <c r="I127" s="55"/>
    </row>
    <row r="128">
      <c r="A128" s="276"/>
      <c r="I128" s="55"/>
    </row>
    <row r="129">
      <c r="A129" s="276"/>
      <c r="I129" s="55"/>
    </row>
    <row r="130">
      <c r="A130" s="276"/>
      <c r="I130" s="55"/>
    </row>
    <row r="131">
      <c r="A131" s="276"/>
      <c r="I131" s="55"/>
    </row>
    <row r="132">
      <c r="A132" s="276"/>
      <c r="I132" s="55"/>
    </row>
    <row r="133">
      <c r="A133" s="276"/>
      <c r="I133" s="55"/>
    </row>
    <row r="134">
      <c r="A134" s="276"/>
      <c r="I134" s="55"/>
    </row>
    <row r="135">
      <c r="A135" s="276"/>
      <c r="I135" s="55"/>
    </row>
    <row r="136">
      <c r="A136" s="276"/>
      <c r="I136" s="55"/>
    </row>
    <row r="137">
      <c r="A137" s="276"/>
      <c r="I137" s="55"/>
    </row>
    <row r="138">
      <c r="A138" s="276"/>
      <c r="I138" s="55"/>
    </row>
    <row r="139">
      <c r="A139" s="276"/>
      <c r="I139" s="55"/>
    </row>
    <row r="140">
      <c r="A140" s="276"/>
      <c r="I140" s="55"/>
    </row>
    <row r="141">
      <c r="A141" s="276"/>
      <c r="I141" s="55"/>
    </row>
    <row r="142">
      <c r="A142" s="276"/>
      <c r="I142" s="55"/>
    </row>
    <row r="143">
      <c r="A143" s="276"/>
      <c r="I143" s="55"/>
    </row>
    <row r="144">
      <c r="A144" s="276"/>
      <c r="I144" s="55"/>
    </row>
    <row r="145">
      <c r="A145" s="276"/>
      <c r="I145" s="55"/>
    </row>
    <row r="146">
      <c r="A146" s="276"/>
      <c r="I146" s="55"/>
    </row>
    <row r="147">
      <c r="A147" s="276"/>
      <c r="I147" s="55"/>
    </row>
    <row r="148">
      <c r="A148" s="276"/>
      <c r="I148" s="55"/>
    </row>
    <row r="149">
      <c r="A149" s="276"/>
      <c r="I149" s="55"/>
    </row>
    <row r="150">
      <c r="A150" s="276"/>
      <c r="I150" s="55"/>
    </row>
    <row r="151">
      <c r="A151" s="276"/>
      <c r="I151" s="55"/>
    </row>
    <row r="152">
      <c r="A152" s="276"/>
      <c r="I152" s="55"/>
    </row>
    <row r="153">
      <c r="A153" s="276"/>
      <c r="I153" s="55"/>
    </row>
    <row r="154">
      <c r="A154" s="276"/>
      <c r="I154" s="55"/>
    </row>
    <row r="155">
      <c r="A155" s="276"/>
      <c r="I155" s="55"/>
    </row>
    <row r="156">
      <c r="A156" s="276"/>
      <c r="I156" s="55"/>
    </row>
    <row r="157">
      <c r="A157" s="276"/>
      <c r="I157" s="55"/>
    </row>
    <row r="158">
      <c r="A158" s="276"/>
      <c r="I158" s="55"/>
    </row>
    <row r="159">
      <c r="A159" s="276"/>
      <c r="I159" s="55"/>
    </row>
    <row r="160">
      <c r="A160" s="276"/>
      <c r="I160" s="55"/>
    </row>
    <row r="161">
      <c r="A161" s="276"/>
      <c r="I161" s="55"/>
    </row>
    <row r="162">
      <c r="A162" s="276"/>
      <c r="I162" s="55"/>
    </row>
    <row r="163">
      <c r="A163" s="276"/>
      <c r="I163" s="55"/>
    </row>
    <row r="164">
      <c r="A164" s="276"/>
      <c r="I164" s="55"/>
    </row>
    <row r="165">
      <c r="A165" s="276"/>
      <c r="I165" s="55"/>
    </row>
    <row r="166">
      <c r="A166" s="276"/>
      <c r="I166" s="55"/>
    </row>
    <row r="167">
      <c r="A167" s="276"/>
      <c r="I167" s="55"/>
    </row>
    <row r="168">
      <c r="A168" s="276"/>
      <c r="I168" s="55"/>
    </row>
    <row r="169">
      <c r="A169" s="276"/>
      <c r="I169" s="55"/>
    </row>
    <row r="170">
      <c r="A170" s="276"/>
      <c r="I170" s="55"/>
    </row>
    <row r="171">
      <c r="A171" s="276"/>
      <c r="I171" s="55"/>
    </row>
    <row r="172">
      <c r="A172" s="276"/>
      <c r="I172" s="55"/>
    </row>
    <row r="173">
      <c r="A173" s="276"/>
      <c r="I173" s="55"/>
    </row>
    <row r="174">
      <c r="A174" s="276"/>
      <c r="I174" s="55"/>
    </row>
    <row r="175">
      <c r="A175" s="276"/>
      <c r="I175" s="55"/>
    </row>
    <row r="176">
      <c r="A176" s="276"/>
      <c r="I176" s="55"/>
    </row>
    <row r="177">
      <c r="A177" s="276"/>
      <c r="I177" s="55"/>
    </row>
    <row r="178">
      <c r="A178" s="276"/>
      <c r="I178" s="55"/>
    </row>
    <row r="179">
      <c r="A179" s="276"/>
      <c r="I179" s="55"/>
    </row>
    <row r="180">
      <c r="A180" s="276"/>
      <c r="I180" s="55"/>
    </row>
    <row r="181">
      <c r="A181" s="276"/>
      <c r="I181" s="55"/>
    </row>
    <row r="182">
      <c r="A182" s="276"/>
      <c r="I182" s="55"/>
    </row>
    <row r="183">
      <c r="A183" s="276"/>
      <c r="I183" s="55"/>
    </row>
    <row r="184">
      <c r="A184" s="276"/>
      <c r="I184" s="55"/>
    </row>
    <row r="185">
      <c r="A185" s="276"/>
      <c r="I185" s="55"/>
    </row>
    <row r="186">
      <c r="A186" s="276"/>
      <c r="I186" s="55"/>
    </row>
    <row r="187">
      <c r="A187" s="276"/>
      <c r="I187" s="55"/>
    </row>
    <row r="188">
      <c r="A188" s="276"/>
      <c r="I188" s="55"/>
    </row>
    <row r="189">
      <c r="A189" s="276"/>
      <c r="I189" s="55"/>
    </row>
    <row r="190">
      <c r="A190" s="276"/>
      <c r="I190" s="55"/>
    </row>
    <row r="191">
      <c r="A191" s="276"/>
      <c r="I191" s="55"/>
    </row>
    <row r="192">
      <c r="A192" s="276"/>
      <c r="I192" s="55"/>
    </row>
    <row r="193">
      <c r="A193" s="276"/>
      <c r="I193" s="55"/>
    </row>
    <row r="194">
      <c r="A194" s="276"/>
      <c r="I194" s="55"/>
    </row>
    <row r="195">
      <c r="A195" s="276"/>
      <c r="I195" s="55"/>
    </row>
    <row r="196">
      <c r="A196" s="276"/>
      <c r="I196" s="55"/>
    </row>
    <row r="197">
      <c r="A197" s="276"/>
      <c r="I197" s="55"/>
    </row>
    <row r="198">
      <c r="A198" s="276"/>
      <c r="I198" s="55"/>
    </row>
    <row r="199">
      <c r="A199" s="276"/>
      <c r="I199" s="55"/>
    </row>
    <row r="200">
      <c r="A200" s="276"/>
      <c r="I200" s="55"/>
    </row>
    <row r="201">
      <c r="A201" s="276"/>
      <c r="I201" s="55"/>
    </row>
    <row r="202">
      <c r="A202" s="276"/>
      <c r="I202" s="55"/>
    </row>
    <row r="203">
      <c r="A203" s="276"/>
      <c r="I203" s="55"/>
    </row>
    <row r="204">
      <c r="A204" s="276"/>
      <c r="I204" s="55"/>
    </row>
    <row r="205">
      <c r="A205" s="276"/>
      <c r="I205" s="55"/>
    </row>
    <row r="206">
      <c r="A206" s="276"/>
      <c r="I206" s="55"/>
    </row>
    <row r="207">
      <c r="A207" s="276"/>
      <c r="I207" s="55"/>
    </row>
    <row r="208">
      <c r="A208" s="276"/>
      <c r="I208" s="55"/>
    </row>
    <row r="209">
      <c r="A209" s="276"/>
      <c r="I209" s="55"/>
    </row>
    <row r="210">
      <c r="A210" s="276"/>
      <c r="I210" s="55"/>
    </row>
    <row r="211">
      <c r="A211" s="276"/>
      <c r="I211" s="55"/>
    </row>
    <row r="212">
      <c r="A212" s="276"/>
      <c r="I212" s="55"/>
    </row>
    <row r="213">
      <c r="A213" s="276"/>
      <c r="I213" s="55"/>
    </row>
    <row r="214">
      <c r="A214" s="276"/>
      <c r="I214" s="55"/>
    </row>
    <row r="215">
      <c r="A215" s="276"/>
      <c r="I215" s="55"/>
    </row>
    <row r="216">
      <c r="A216" s="276"/>
      <c r="I216" s="55"/>
    </row>
    <row r="217">
      <c r="A217" s="276"/>
      <c r="I217" s="55"/>
    </row>
    <row r="218">
      <c r="A218" s="276"/>
      <c r="I218" s="55"/>
    </row>
    <row r="219">
      <c r="A219" s="276"/>
      <c r="I219" s="55"/>
    </row>
    <row r="220">
      <c r="A220" s="276"/>
      <c r="I220" s="55"/>
    </row>
    <row r="221">
      <c r="A221" s="276"/>
      <c r="I221" s="55"/>
    </row>
    <row r="222">
      <c r="A222" s="276"/>
      <c r="I222" s="55"/>
    </row>
    <row r="223">
      <c r="A223" s="276"/>
      <c r="I223" s="55"/>
    </row>
    <row r="224">
      <c r="A224" s="276"/>
      <c r="I224" s="55"/>
    </row>
    <row r="225">
      <c r="A225" s="276"/>
      <c r="I225" s="55"/>
    </row>
    <row r="226">
      <c r="A226" s="276"/>
      <c r="I226" s="55"/>
    </row>
    <row r="227">
      <c r="A227" s="276"/>
      <c r="I227" s="55"/>
    </row>
    <row r="228">
      <c r="A228" s="276"/>
      <c r="I228" s="55"/>
    </row>
    <row r="229">
      <c r="A229" s="276"/>
      <c r="I229" s="55"/>
    </row>
    <row r="230">
      <c r="A230" s="276"/>
      <c r="I230" s="55"/>
    </row>
    <row r="231">
      <c r="A231" s="276"/>
      <c r="I231" s="55"/>
    </row>
    <row r="232">
      <c r="A232" s="276"/>
      <c r="I232" s="55"/>
    </row>
    <row r="233">
      <c r="A233" s="276"/>
      <c r="I233" s="55"/>
    </row>
    <row r="234">
      <c r="A234" s="276"/>
      <c r="I234" s="55"/>
    </row>
    <row r="235">
      <c r="A235" s="276"/>
      <c r="I235" s="55"/>
    </row>
    <row r="236">
      <c r="A236" s="276"/>
      <c r="I236" s="55"/>
    </row>
    <row r="237">
      <c r="A237" s="276"/>
      <c r="I237" s="55"/>
    </row>
    <row r="238">
      <c r="A238" s="276"/>
      <c r="I238" s="55"/>
    </row>
    <row r="239">
      <c r="A239" s="276"/>
      <c r="I239" s="55"/>
    </row>
    <row r="240">
      <c r="A240" s="276"/>
      <c r="I240" s="55"/>
    </row>
    <row r="241">
      <c r="A241" s="276"/>
      <c r="I241" s="55"/>
    </row>
    <row r="242">
      <c r="A242" s="276"/>
      <c r="I242" s="55"/>
    </row>
    <row r="243">
      <c r="A243" s="276"/>
      <c r="I243" s="55"/>
    </row>
    <row r="244">
      <c r="A244" s="276"/>
      <c r="I244" s="55"/>
    </row>
    <row r="245">
      <c r="A245" s="276"/>
      <c r="I245" s="55"/>
    </row>
    <row r="246">
      <c r="A246" s="276"/>
      <c r="I246" s="55"/>
    </row>
    <row r="247">
      <c r="A247" s="276"/>
      <c r="I247" s="55"/>
    </row>
    <row r="248">
      <c r="A248" s="276"/>
      <c r="I248" s="55"/>
    </row>
    <row r="249">
      <c r="A249" s="276"/>
      <c r="I249" s="55"/>
    </row>
    <row r="250">
      <c r="A250" s="276"/>
      <c r="I250" s="55"/>
    </row>
    <row r="251">
      <c r="A251" s="276"/>
      <c r="I251" s="55"/>
    </row>
    <row r="252">
      <c r="A252" s="276"/>
      <c r="I252" s="55"/>
    </row>
    <row r="253">
      <c r="A253" s="276"/>
      <c r="I253" s="55"/>
    </row>
    <row r="254">
      <c r="A254" s="276"/>
      <c r="I254" s="55"/>
    </row>
    <row r="255">
      <c r="A255" s="276"/>
      <c r="I255" s="55"/>
    </row>
    <row r="256">
      <c r="A256" s="276"/>
      <c r="I256" s="55"/>
    </row>
    <row r="257">
      <c r="A257" s="276"/>
      <c r="I257" s="55"/>
    </row>
    <row r="258">
      <c r="A258" s="276"/>
      <c r="I258" s="55"/>
    </row>
    <row r="259">
      <c r="A259" s="276"/>
      <c r="I259" s="55"/>
    </row>
    <row r="260">
      <c r="A260" s="276"/>
      <c r="I260" s="55"/>
    </row>
    <row r="261">
      <c r="A261" s="276"/>
      <c r="I261" s="55"/>
    </row>
    <row r="262">
      <c r="A262" s="276"/>
      <c r="I262" s="55"/>
    </row>
    <row r="263">
      <c r="A263" s="276"/>
      <c r="I263" s="55"/>
    </row>
    <row r="264">
      <c r="A264" s="276"/>
      <c r="I264" s="55"/>
    </row>
    <row r="265">
      <c r="A265" s="276"/>
      <c r="I265" s="55"/>
    </row>
    <row r="266">
      <c r="A266" s="276"/>
      <c r="I266" s="55"/>
    </row>
    <row r="267">
      <c r="A267" s="276"/>
      <c r="I267" s="55"/>
    </row>
    <row r="268">
      <c r="A268" s="276"/>
      <c r="I268" s="55"/>
    </row>
    <row r="269">
      <c r="A269" s="276"/>
      <c r="I269" s="55"/>
    </row>
    <row r="270">
      <c r="A270" s="276"/>
      <c r="I270" s="55"/>
    </row>
    <row r="271">
      <c r="A271" s="276"/>
      <c r="I271" s="55"/>
    </row>
    <row r="272">
      <c r="A272" s="276"/>
      <c r="I272" s="55"/>
    </row>
    <row r="273">
      <c r="A273" s="276"/>
      <c r="I273" s="55"/>
    </row>
    <row r="274">
      <c r="A274" s="276"/>
      <c r="I274" s="55"/>
    </row>
    <row r="275">
      <c r="A275" s="276"/>
      <c r="I275" s="55"/>
    </row>
    <row r="276">
      <c r="A276" s="276"/>
      <c r="I276" s="55"/>
    </row>
    <row r="277">
      <c r="A277" s="276"/>
      <c r="I277" s="55"/>
    </row>
    <row r="278">
      <c r="A278" s="276"/>
      <c r="I278" s="55"/>
    </row>
    <row r="279">
      <c r="A279" s="276"/>
      <c r="I279" s="55"/>
    </row>
    <row r="280">
      <c r="A280" s="276"/>
      <c r="I280" s="55"/>
    </row>
    <row r="281">
      <c r="A281" s="276"/>
      <c r="I281" s="55"/>
    </row>
    <row r="282">
      <c r="A282" s="276"/>
      <c r="I282" s="55"/>
    </row>
    <row r="283">
      <c r="A283" s="276"/>
      <c r="I283" s="55"/>
    </row>
    <row r="284">
      <c r="A284" s="276"/>
      <c r="I284" s="55"/>
    </row>
    <row r="285">
      <c r="A285" s="276"/>
      <c r="I285" s="55"/>
    </row>
    <row r="286">
      <c r="A286" s="276"/>
      <c r="I286" s="55"/>
    </row>
    <row r="287">
      <c r="A287" s="276"/>
      <c r="I287" s="55"/>
    </row>
    <row r="288">
      <c r="A288" s="276"/>
      <c r="I288" s="55"/>
    </row>
    <row r="289">
      <c r="A289" s="276"/>
      <c r="I289" s="55"/>
    </row>
    <row r="290">
      <c r="A290" s="276"/>
      <c r="I290" s="55"/>
    </row>
    <row r="291">
      <c r="A291" s="276"/>
      <c r="I291" s="55"/>
    </row>
    <row r="292">
      <c r="A292" s="276"/>
      <c r="I292" s="55"/>
    </row>
    <row r="293">
      <c r="A293" s="276"/>
      <c r="I293" s="55"/>
    </row>
    <row r="294">
      <c r="A294" s="276"/>
      <c r="I294" s="55"/>
    </row>
    <row r="295">
      <c r="A295" s="276"/>
      <c r="I295" s="55"/>
    </row>
    <row r="296">
      <c r="A296" s="276"/>
      <c r="I296" s="55"/>
    </row>
    <row r="297">
      <c r="A297" s="276"/>
      <c r="I297" s="55"/>
    </row>
    <row r="298">
      <c r="A298" s="276"/>
      <c r="I298" s="55"/>
    </row>
    <row r="299">
      <c r="A299" s="276"/>
      <c r="I299" s="55"/>
    </row>
    <row r="300">
      <c r="A300" s="276"/>
      <c r="I300" s="55"/>
    </row>
    <row r="301">
      <c r="A301" s="276"/>
      <c r="I301" s="55"/>
    </row>
    <row r="302">
      <c r="A302" s="276"/>
      <c r="I302" s="55"/>
    </row>
    <row r="303">
      <c r="A303" s="276"/>
      <c r="I303" s="55"/>
    </row>
    <row r="304">
      <c r="A304" s="276"/>
      <c r="I304" s="55"/>
    </row>
    <row r="305">
      <c r="A305" s="276"/>
      <c r="I305" s="55"/>
    </row>
    <row r="306">
      <c r="A306" s="276"/>
      <c r="I306" s="55"/>
    </row>
    <row r="307">
      <c r="A307" s="276"/>
      <c r="I307" s="55"/>
    </row>
    <row r="308">
      <c r="A308" s="276"/>
      <c r="I308" s="55"/>
    </row>
    <row r="309">
      <c r="A309" s="276"/>
      <c r="I309" s="55"/>
    </row>
    <row r="310">
      <c r="A310" s="276"/>
      <c r="I310" s="55"/>
    </row>
    <row r="311">
      <c r="A311" s="276"/>
      <c r="I311" s="55"/>
    </row>
    <row r="312">
      <c r="A312" s="276"/>
      <c r="I312" s="55"/>
    </row>
    <row r="313">
      <c r="A313" s="276"/>
      <c r="I313" s="55"/>
    </row>
    <row r="314">
      <c r="A314" s="276"/>
      <c r="I314" s="55"/>
    </row>
    <row r="315">
      <c r="A315" s="276"/>
      <c r="I315" s="55"/>
    </row>
    <row r="316">
      <c r="A316" s="276"/>
      <c r="I316" s="55"/>
    </row>
    <row r="317">
      <c r="A317" s="276"/>
      <c r="I317" s="55"/>
    </row>
    <row r="318">
      <c r="A318" s="276"/>
      <c r="I318" s="55"/>
    </row>
    <row r="319">
      <c r="A319" s="276"/>
      <c r="I319" s="55"/>
    </row>
    <row r="320">
      <c r="A320" s="276"/>
      <c r="I320" s="55"/>
    </row>
    <row r="321">
      <c r="A321" s="276"/>
      <c r="I321" s="55"/>
    </row>
    <row r="322">
      <c r="A322" s="276"/>
      <c r="I322" s="55"/>
    </row>
    <row r="323">
      <c r="A323" s="276"/>
      <c r="I323" s="55"/>
    </row>
    <row r="324">
      <c r="A324" s="276"/>
      <c r="I324" s="55"/>
    </row>
    <row r="325">
      <c r="A325" s="276"/>
      <c r="I325" s="55"/>
    </row>
    <row r="326">
      <c r="A326" s="276"/>
      <c r="I326" s="55"/>
    </row>
    <row r="327">
      <c r="A327" s="276"/>
      <c r="I327" s="55"/>
    </row>
    <row r="328">
      <c r="A328" s="276"/>
      <c r="I328" s="55"/>
    </row>
    <row r="329">
      <c r="A329" s="276"/>
      <c r="I329" s="55"/>
    </row>
    <row r="330">
      <c r="A330" s="276"/>
      <c r="I330" s="55"/>
    </row>
    <row r="331">
      <c r="A331" s="276"/>
      <c r="I331" s="55"/>
    </row>
    <row r="332">
      <c r="A332" s="276"/>
      <c r="I332" s="55"/>
    </row>
    <row r="333">
      <c r="A333" s="276"/>
      <c r="I333" s="55"/>
    </row>
    <row r="334">
      <c r="A334" s="276"/>
      <c r="I334" s="55"/>
    </row>
    <row r="335">
      <c r="A335" s="276"/>
      <c r="I335" s="55"/>
    </row>
    <row r="336">
      <c r="A336" s="276"/>
      <c r="I336" s="55"/>
    </row>
    <row r="337">
      <c r="A337" s="276"/>
      <c r="I337" s="55"/>
    </row>
    <row r="338">
      <c r="A338" s="276"/>
      <c r="I338" s="55"/>
    </row>
    <row r="339">
      <c r="A339" s="276"/>
      <c r="I339" s="55"/>
    </row>
    <row r="340">
      <c r="A340" s="276"/>
      <c r="I340" s="55"/>
    </row>
    <row r="341">
      <c r="A341" s="276"/>
      <c r="I341" s="55"/>
    </row>
    <row r="342">
      <c r="A342" s="276"/>
      <c r="I342" s="55"/>
    </row>
    <row r="343">
      <c r="A343" s="276"/>
      <c r="I343" s="55"/>
    </row>
    <row r="344">
      <c r="A344" s="276"/>
      <c r="I344" s="55"/>
    </row>
    <row r="345">
      <c r="A345" s="276"/>
      <c r="I345" s="55"/>
    </row>
    <row r="346">
      <c r="A346" s="276"/>
      <c r="I346" s="55"/>
    </row>
    <row r="347">
      <c r="A347" s="276"/>
      <c r="I347" s="55"/>
    </row>
    <row r="348">
      <c r="A348" s="276"/>
      <c r="I348" s="55"/>
    </row>
    <row r="349">
      <c r="A349" s="276"/>
      <c r="I349" s="55"/>
    </row>
    <row r="350">
      <c r="A350" s="276"/>
      <c r="I350" s="55"/>
    </row>
    <row r="351">
      <c r="A351" s="276"/>
      <c r="I351" s="55"/>
    </row>
    <row r="352">
      <c r="A352" s="276"/>
      <c r="I352" s="55"/>
    </row>
    <row r="353">
      <c r="A353" s="276"/>
      <c r="I353" s="55"/>
    </row>
    <row r="354">
      <c r="A354" s="276"/>
      <c r="I354" s="55"/>
    </row>
    <row r="355">
      <c r="A355" s="276"/>
      <c r="I355" s="55"/>
    </row>
    <row r="356">
      <c r="A356" s="276"/>
      <c r="I356" s="55"/>
    </row>
    <row r="357">
      <c r="A357" s="276"/>
      <c r="I357" s="55"/>
    </row>
    <row r="358">
      <c r="A358" s="276"/>
      <c r="I358" s="55"/>
    </row>
    <row r="359">
      <c r="A359" s="276"/>
      <c r="I359" s="55"/>
    </row>
    <row r="360">
      <c r="A360" s="276"/>
      <c r="I360" s="55"/>
    </row>
    <row r="361">
      <c r="A361" s="276"/>
      <c r="I361" s="55"/>
    </row>
    <row r="362">
      <c r="A362" s="276"/>
      <c r="I362" s="55"/>
    </row>
    <row r="363">
      <c r="A363" s="276"/>
      <c r="I363" s="55"/>
    </row>
    <row r="364">
      <c r="A364" s="276"/>
      <c r="I364" s="55"/>
    </row>
    <row r="365">
      <c r="A365" s="276"/>
      <c r="I365" s="55"/>
    </row>
    <row r="366">
      <c r="A366" s="276"/>
      <c r="I366" s="55"/>
    </row>
    <row r="367">
      <c r="A367" s="276"/>
      <c r="I367" s="55"/>
    </row>
    <row r="368">
      <c r="A368" s="276"/>
      <c r="I368" s="55"/>
    </row>
    <row r="369">
      <c r="A369" s="276"/>
      <c r="I369" s="55"/>
    </row>
    <row r="370">
      <c r="A370" s="276"/>
      <c r="I370" s="55"/>
    </row>
    <row r="371">
      <c r="A371" s="276"/>
      <c r="I371" s="55"/>
    </row>
    <row r="372">
      <c r="A372" s="276"/>
      <c r="I372" s="55"/>
    </row>
    <row r="373">
      <c r="A373" s="276"/>
      <c r="I373" s="55"/>
    </row>
    <row r="374">
      <c r="A374" s="276"/>
      <c r="I374" s="55"/>
    </row>
    <row r="375">
      <c r="A375" s="276"/>
      <c r="I375" s="55"/>
    </row>
    <row r="376">
      <c r="A376" s="276"/>
      <c r="I376" s="55"/>
    </row>
    <row r="377">
      <c r="A377" s="276"/>
      <c r="I377" s="55"/>
    </row>
    <row r="378">
      <c r="A378" s="276"/>
      <c r="I378" s="55"/>
    </row>
    <row r="379">
      <c r="A379" s="276"/>
      <c r="I379" s="55"/>
    </row>
    <row r="380">
      <c r="A380" s="276"/>
      <c r="I380" s="55"/>
    </row>
    <row r="381">
      <c r="A381" s="276"/>
      <c r="I381" s="55"/>
    </row>
    <row r="382">
      <c r="A382" s="276"/>
      <c r="I382" s="55"/>
    </row>
    <row r="383">
      <c r="A383" s="276"/>
      <c r="I383" s="55"/>
    </row>
    <row r="384">
      <c r="A384" s="276"/>
      <c r="I384" s="55"/>
    </row>
    <row r="385">
      <c r="A385" s="276"/>
      <c r="I385" s="55"/>
    </row>
    <row r="386">
      <c r="A386" s="276"/>
      <c r="I386" s="55"/>
    </row>
    <row r="387">
      <c r="A387" s="276"/>
      <c r="I387" s="55"/>
    </row>
    <row r="388">
      <c r="A388" s="276"/>
      <c r="I388" s="55"/>
    </row>
    <row r="389">
      <c r="A389" s="276"/>
      <c r="I389" s="55"/>
    </row>
    <row r="390">
      <c r="A390" s="276"/>
      <c r="I390" s="55"/>
    </row>
    <row r="391">
      <c r="A391" s="276"/>
      <c r="I391" s="55"/>
    </row>
    <row r="392">
      <c r="A392" s="276"/>
      <c r="I392" s="55"/>
    </row>
    <row r="393">
      <c r="A393" s="276"/>
      <c r="I393" s="55"/>
    </row>
    <row r="394">
      <c r="A394" s="276"/>
      <c r="I394" s="55"/>
    </row>
    <row r="395">
      <c r="A395" s="276"/>
      <c r="I395" s="55"/>
    </row>
    <row r="396">
      <c r="A396" s="276"/>
      <c r="I396" s="55"/>
    </row>
    <row r="397">
      <c r="A397" s="276"/>
      <c r="I397" s="55"/>
    </row>
    <row r="398">
      <c r="A398" s="276"/>
      <c r="I398" s="55"/>
    </row>
    <row r="399">
      <c r="A399" s="276"/>
      <c r="I399" s="55"/>
    </row>
    <row r="400">
      <c r="A400" s="276"/>
      <c r="I400" s="55"/>
    </row>
    <row r="401">
      <c r="A401" s="276"/>
      <c r="I401" s="55"/>
    </row>
    <row r="402">
      <c r="A402" s="276"/>
      <c r="I402" s="55"/>
    </row>
    <row r="403">
      <c r="A403" s="276"/>
      <c r="I403" s="55"/>
    </row>
    <row r="404">
      <c r="A404" s="276"/>
      <c r="I404" s="55"/>
    </row>
    <row r="405">
      <c r="A405" s="276"/>
      <c r="I405" s="55"/>
    </row>
    <row r="406">
      <c r="A406" s="276"/>
      <c r="I406" s="55"/>
    </row>
    <row r="407">
      <c r="A407" s="276"/>
      <c r="I407" s="55"/>
    </row>
    <row r="408">
      <c r="A408" s="276"/>
      <c r="I408" s="55"/>
    </row>
    <row r="409">
      <c r="A409" s="276"/>
      <c r="I409" s="55"/>
    </row>
    <row r="410">
      <c r="A410" s="276"/>
      <c r="I410" s="55"/>
    </row>
    <row r="411">
      <c r="A411" s="276"/>
      <c r="I411" s="55"/>
    </row>
    <row r="412">
      <c r="A412" s="276"/>
      <c r="I412" s="55"/>
    </row>
    <row r="413">
      <c r="A413" s="276"/>
      <c r="I413" s="55"/>
    </row>
    <row r="414">
      <c r="A414" s="276"/>
      <c r="I414" s="55"/>
    </row>
    <row r="415">
      <c r="A415" s="276"/>
      <c r="I415" s="55"/>
    </row>
    <row r="416">
      <c r="A416" s="276"/>
      <c r="I416" s="55"/>
    </row>
    <row r="417">
      <c r="A417" s="276"/>
      <c r="I417" s="55"/>
    </row>
    <row r="418">
      <c r="A418" s="276"/>
      <c r="I418" s="55"/>
    </row>
    <row r="419">
      <c r="A419" s="276"/>
      <c r="I419" s="55"/>
    </row>
    <row r="420">
      <c r="A420" s="276"/>
      <c r="I420" s="55"/>
    </row>
    <row r="421">
      <c r="A421" s="276"/>
      <c r="I421" s="55"/>
    </row>
    <row r="422">
      <c r="A422" s="276"/>
      <c r="I422" s="55"/>
    </row>
    <row r="423">
      <c r="A423" s="276"/>
      <c r="I423" s="55"/>
    </row>
    <row r="424">
      <c r="A424" s="276"/>
      <c r="I424" s="55"/>
    </row>
    <row r="425">
      <c r="A425" s="276"/>
      <c r="I425" s="55"/>
    </row>
    <row r="426">
      <c r="A426" s="276"/>
      <c r="I426" s="55"/>
    </row>
    <row r="427">
      <c r="A427" s="276"/>
      <c r="I427" s="55"/>
    </row>
    <row r="428">
      <c r="A428" s="276"/>
      <c r="I428" s="55"/>
    </row>
    <row r="429">
      <c r="A429" s="276"/>
      <c r="I429" s="55"/>
    </row>
    <row r="430">
      <c r="A430" s="276"/>
      <c r="I430" s="55"/>
    </row>
    <row r="431">
      <c r="A431" s="276"/>
      <c r="I431" s="55"/>
    </row>
    <row r="432">
      <c r="A432" s="276"/>
      <c r="I432" s="55"/>
    </row>
    <row r="433">
      <c r="A433" s="276"/>
      <c r="I433" s="55"/>
    </row>
    <row r="434">
      <c r="A434" s="276"/>
      <c r="I434" s="55"/>
    </row>
    <row r="435">
      <c r="A435" s="276"/>
      <c r="I435" s="55"/>
    </row>
    <row r="436">
      <c r="A436" s="276"/>
      <c r="I436" s="55"/>
    </row>
    <row r="437">
      <c r="A437" s="276"/>
      <c r="I437" s="55"/>
    </row>
    <row r="438">
      <c r="A438" s="276"/>
      <c r="I438" s="55"/>
    </row>
    <row r="439">
      <c r="A439" s="276"/>
      <c r="I439" s="55"/>
    </row>
    <row r="440">
      <c r="A440" s="276"/>
      <c r="I440" s="55"/>
    </row>
    <row r="441">
      <c r="A441" s="276"/>
      <c r="I441" s="55"/>
    </row>
    <row r="442">
      <c r="A442" s="276"/>
      <c r="I442" s="55"/>
    </row>
    <row r="443">
      <c r="A443" s="276"/>
      <c r="I443" s="55"/>
    </row>
    <row r="444">
      <c r="A444" s="276"/>
      <c r="I444" s="55"/>
    </row>
    <row r="445">
      <c r="A445" s="276"/>
      <c r="I445" s="55"/>
    </row>
    <row r="446">
      <c r="A446" s="276"/>
      <c r="I446" s="55"/>
    </row>
    <row r="447">
      <c r="A447" s="276"/>
      <c r="I447" s="55"/>
    </row>
    <row r="448">
      <c r="A448" s="276"/>
      <c r="I448" s="55"/>
    </row>
    <row r="449">
      <c r="A449" s="276"/>
      <c r="I449" s="55"/>
    </row>
    <row r="450">
      <c r="A450" s="276"/>
      <c r="I450" s="55"/>
    </row>
    <row r="451">
      <c r="A451" s="276"/>
      <c r="I451" s="55"/>
    </row>
    <row r="452">
      <c r="A452" s="276"/>
      <c r="I452" s="55"/>
    </row>
    <row r="453">
      <c r="A453" s="276"/>
      <c r="I453" s="55"/>
    </row>
    <row r="454">
      <c r="A454" s="276"/>
      <c r="I454" s="55"/>
    </row>
    <row r="455">
      <c r="A455" s="276"/>
      <c r="I455" s="55"/>
    </row>
    <row r="456">
      <c r="A456" s="276"/>
      <c r="I456" s="55"/>
    </row>
    <row r="457">
      <c r="A457" s="276"/>
      <c r="I457" s="55"/>
    </row>
    <row r="458">
      <c r="A458" s="276"/>
      <c r="I458" s="55"/>
    </row>
    <row r="459">
      <c r="A459" s="276"/>
      <c r="I459" s="55"/>
    </row>
    <row r="460">
      <c r="A460" s="276"/>
      <c r="I460" s="55"/>
    </row>
    <row r="461">
      <c r="A461" s="276"/>
      <c r="I461" s="55"/>
    </row>
    <row r="462">
      <c r="A462" s="276"/>
      <c r="I462" s="55"/>
    </row>
    <row r="463">
      <c r="A463" s="276"/>
      <c r="I463" s="55"/>
    </row>
    <row r="464">
      <c r="A464" s="276"/>
      <c r="I464" s="55"/>
    </row>
    <row r="465">
      <c r="A465" s="276"/>
      <c r="I465" s="55"/>
    </row>
    <row r="466">
      <c r="A466" s="276"/>
      <c r="I466" s="55"/>
    </row>
    <row r="467">
      <c r="A467" s="276"/>
      <c r="I467" s="55"/>
    </row>
    <row r="468">
      <c r="A468" s="276"/>
      <c r="I468" s="55"/>
    </row>
    <row r="469">
      <c r="A469" s="276"/>
      <c r="I469" s="55"/>
    </row>
    <row r="470">
      <c r="A470" s="276"/>
      <c r="I470" s="55"/>
    </row>
    <row r="471">
      <c r="A471" s="276"/>
      <c r="I471" s="55"/>
    </row>
    <row r="472">
      <c r="A472" s="276"/>
      <c r="I472" s="55"/>
    </row>
    <row r="473">
      <c r="A473" s="276"/>
      <c r="I473" s="55"/>
    </row>
    <row r="474">
      <c r="A474" s="276"/>
      <c r="I474" s="55"/>
    </row>
    <row r="475">
      <c r="A475" s="276"/>
      <c r="I475" s="55"/>
    </row>
    <row r="476">
      <c r="A476" s="276"/>
      <c r="I476" s="55"/>
    </row>
    <row r="477">
      <c r="A477" s="276"/>
      <c r="I477" s="55"/>
    </row>
    <row r="478">
      <c r="A478" s="276"/>
      <c r="I478" s="55"/>
    </row>
    <row r="479">
      <c r="A479" s="276"/>
      <c r="I479" s="55"/>
    </row>
    <row r="480">
      <c r="A480" s="276"/>
      <c r="I480" s="55"/>
    </row>
    <row r="481">
      <c r="A481" s="276"/>
      <c r="I481" s="55"/>
    </row>
    <row r="482">
      <c r="A482" s="276"/>
      <c r="I482" s="55"/>
    </row>
    <row r="483">
      <c r="A483" s="276"/>
      <c r="I483" s="55"/>
    </row>
    <row r="484">
      <c r="A484" s="276"/>
      <c r="I484" s="55"/>
    </row>
    <row r="485">
      <c r="A485" s="276"/>
      <c r="I485" s="55"/>
    </row>
    <row r="486">
      <c r="A486" s="276"/>
      <c r="I486" s="55"/>
    </row>
    <row r="487">
      <c r="A487" s="276"/>
      <c r="I487" s="55"/>
    </row>
    <row r="488">
      <c r="A488" s="276"/>
      <c r="I488" s="55"/>
    </row>
    <row r="489">
      <c r="A489" s="276"/>
      <c r="I489" s="55"/>
    </row>
    <row r="490">
      <c r="A490" s="276"/>
      <c r="I490" s="55"/>
    </row>
    <row r="491">
      <c r="A491" s="276"/>
      <c r="I491" s="55"/>
    </row>
    <row r="492">
      <c r="A492" s="276"/>
      <c r="I492" s="55"/>
    </row>
    <row r="493">
      <c r="A493" s="276"/>
      <c r="I493" s="55"/>
    </row>
    <row r="494">
      <c r="A494" s="276"/>
      <c r="I494" s="55"/>
    </row>
    <row r="495">
      <c r="A495" s="276"/>
      <c r="I495" s="55"/>
    </row>
    <row r="496">
      <c r="A496" s="276"/>
      <c r="I496" s="55"/>
    </row>
    <row r="497">
      <c r="A497" s="276"/>
      <c r="I497" s="55"/>
    </row>
    <row r="498">
      <c r="A498" s="276"/>
      <c r="I498" s="55"/>
    </row>
    <row r="499">
      <c r="A499" s="276"/>
      <c r="I499" s="55"/>
    </row>
    <row r="500">
      <c r="A500" s="276"/>
      <c r="I500" s="55"/>
    </row>
    <row r="501">
      <c r="A501" s="276"/>
      <c r="I501" s="55"/>
    </row>
    <row r="502">
      <c r="A502" s="276"/>
      <c r="I502" s="55"/>
    </row>
    <row r="503">
      <c r="A503" s="276"/>
      <c r="I503" s="55"/>
    </row>
    <row r="504">
      <c r="A504" s="276"/>
      <c r="I504" s="55"/>
    </row>
    <row r="505">
      <c r="A505" s="276"/>
      <c r="I505" s="55"/>
    </row>
    <row r="506">
      <c r="A506" s="276"/>
      <c r="I506" s="55"/>
    </row>
    <row r="507">
      <c r="A507" s="276"/>
      <c r="I507" s="55"/>
    </row>
    <row r="508">
      <c r="A508" s="276"/>
      <c r="I508" s="55"/>
    </row>
    <row r="509">
      <c r="A509" s="276"/>
      <c r="I509" s="55"/>
    </row>
    <row r="510">
      <c r="A510" s="276"/>
      <c r="I510" s="55"/>
    </row>
    <row r="511">
      <c r="A511" s="276"/>
      <c r="I511" s="55"/>
    </row>
    <row r="512">
      <c r="A512" s="276"/>
      <c r="I512" s="55"/>
    </row>
    <row r="513">
      <c r="A513" s="276"/>
      <c r="I513" s="55"/>
    </row>
    <row r="514">
      <c r="A514" s="276"/>
      <c r="I514" s="55"/>
    </row>
    <row r="515">
      <c r="A515" s="276"/>
      <c r="I515" s="55"/>
    </row>
    <row r="516">
      <c r="A516" s="276"/>
      <c r="I516" s="55"/>
    </row>
    <row r="517">
      <c r="A517" s="276"/>
      <c r="I517" s="55"/>
    </row>
    <row r="518">
      <c r="A518" s="276"/>
      <c r="I518" s="55"/>
    </row>
    <row r="519">
      <c r="A519" s="276"/>
      <c r="I519" s="55"/>
    </row>
    <row r="520">
      <c r="A520" s="276"/>
      <c r="I520" s="55"/>
    </row>
    <row r="521">
      <c r="A521" s="276"/>
      <c r="I521" s="55"/>
    </row>
    <row r="522">
      <c r="A522" s="276"/>
      <c r="I522" s="55"/>
    </row>
    <row r="523">
      <c r="A523" s="276"/>
      <c r="I523" s="55"/>
    </row>
    <row r="524">
      <c r="A524" s="276"/>
      <c r="I524" s="55"/>
    </row>
    <row r="525">
      <c r="A525" s="276"/>
      <c r="I525" s="55"/>
    </row>
    <row r="526">
      <c r="A526" s="276"/>
      <c r="I526" s="55"/>
    </row>
    <row r="527">
      <c r="A527" s="276"/>
      <c r="I527" s="55"/>
    </row>
    <row r="528">
      <c r="A528" s="276"/>
      <c r="I528" s="55"/>
    </row>
    <row r="529">
      <c r="A529" s="276"/>
      <c r="I529" s="55"/>
    </row>
    <row r="530">
      <c r="A530" s="276"/>
      <c r="I530" s="55"/>
    </row>
    <row r="531">
      <c r="A531" s="276"/>
      <c r="I531" s="55"/>
    </row>
    <row r="532">
      <c r="A532" s="276"/>
      <c r="I532" s="55"/>
    </row>
    <row r="533">
      <c r="A533" s="276"/>
      <c r="I533" s="55"/>
    </row>
    <row r="534">
      <c r="A534" s="276"/>
      <c r="I534" s="55"/>
    </row>
    <row r="535">
      <c r="A535" s="276"/>
      <c r="I535" s="55"/>
    </row>
    <row r="536">
      <c r="A536" s="276"/>
      <c r="I536" s="55"/>
    </row>
    <row r="537">
      <c r="A537" s="276"/>
      <c r="I537" s="55"/>
    </row>
    <row r="538">
      <c r="A538" s="276"/>
      <c r="I538" s="55"/>
    </row>
    <row r="539">
      <c r="A539" s="276"/>
      <c r="I539" s="55"/>
    </row>
    <row r="540">
      <c r="A540" s="276"/>
      <c r="I540" s="55"/>
    </row>
    <row r="541">
      <c r="A541" s="276"/>
      <c r="I541" s="55"/>
    </row>
    <row r="542">
      <c r="A542" s="276"/>
      <c r="I542" s="55"/>
    </row>
    <row r="543">
      <c r="A543" s="276"/>
      <c r="I543" s="55"/>
    </row>
    <row r="544">
      <c r="A544" s="276"/>
      <c r="I544" s="55"/>
    </row>
    <row r="545">
      <c r="A545" s="276"/>
      <c r="I545" s="55"/>
    </row>
    <row r="546">
      <c r="A546" s="276"/>
      <c r="I546" s="55"/>
    </row>
    <row r="547">
      <c r="A547" s="276"/>
      <c r="I547" s="55"/>
    </row>
    <row r="548">
      <c r="A548" s="276"/>
      <c r="I548" s="55"/>
    </row>
    <row r="549">
      <c r="A549" s="276"/>
      <c r="I549" s="55"/>
    </row>
    <row r="550">
      <c r="A550" s="276"/>
      <c r="I550" s="55"/>
    </row>
    <row r="551">
      <c r="A551" s="276"/>
      <c r="I551" s="55"/>
    </row>
    <row r="552">
      <c r="A552" s="276"/>
      <c r="I552" s="55"/>
    </row>
    <row r="553">
      <c r="A553" s="276"/>
      <c r="I553" s="55"/>
    </row>
    <row r="554">
      <c r="A554" s="276"/>
      <c r="I554" s="55"/>
    </row>
    <row r="555">
      <c r="A555" s="276"/>
      <c r="I555" s="55"/>
    </row>
    <row r="556">
      <c r="A556" s="276"/>
      <c r="I556" s="55"/>
    </row>
    <row r="557">
      <c r="A557" s="276"/>
      <c r="I557" s="55"/>
    </row>
    <row r="558">
      <c r="A558" s="276"/>
      <c r="I558" s="55"/>
    </row>
    <row r="559">
      <c r="A559" s="276"/>
      <c r="I559" s="55"/>
    </row>
    <row r="560">
      <c r="A560" s="276"/>
      <c r="I560" s="55"/>
    </row>
    <row r="561">
      <c r="A561" s="276"/>
      <c r="I561" s="55"/>
    </row>
    <row r="562">
      <c r="A562" s="276"/>
      <c r="I562" s="55"/>
    </row>
    <row r="563">
      <c r="A563" s="276"/>
      <c r="I563" s="55"/>
    </row>
    <row r="564">
      <c r="A564" s="276"/>
      <c r="I564" s="55"/>
    </row>
    <row r="565">
      <c r="A565" s="276"/>
      <c r="I565" s="55"/>
    </row>
    <row r="566">
      <c r="A566" s="276"/>
      <c r="I566" s="55"/>
    </row>
    <row r="567">
      <c r="A567" s="276"/>
      <c r="I567" s="55"/>
    </row>
    <row r="568">
      <c r="A568" s="276"/>
      <c r="I568" s="55"/>
    </row>
    <row r="569">
      <c r="A569" s="276"/>
      <c r="I569" s="55"/>
    </row>
    <row r="570">
      <c r="A570" s="276"/>
      <c r="I570" s="55"/>
    </row>
    <row r="571">
      <c r="A571" s="276"/>
      <c r="I571" s="55"/>
    </row>
    <row r="572">
      <c r="A572" s="276"/>
      <c r="I572" s="55"/>
    </row>
    <row r="573">
      <c r="A573" s="276"/>
      <c r="I573" s="55"/>
    </row>
    <row r="574">
      <c r="A574" s="276"/>
      <c r="I574" s="55"/>
    </row>
    <row r="575">
      <c r="A575" s="276"/>
      <c r="I575" s="55"/>
    </row>
    <row r="576">
      <c r="A576" s="276"/>
      <c r="I576" s="55"/>
    </row>
    <row r="577">
      <c r="A577" s="276"/>
      <c r="I577" s="55"/>
    </row>
    <row r="578">
      <c r="A578" s="276"/>
      <c r="I578" s="55"/>
    </row>
    <row r="579">
      <c r="A579" s="276"/>
      <c r="I579" s="55"/>
    </row>
    <row r="580">
      <c r="A580" s="276"/>
      <c r="I580" s="55"/>
    </row>
    <row r="581">
      <c r="A581" s="276"/>
      <c r="I581" s="55"/>
    </row>
    <row r="582">
      <c r="A582" s="276"/>
      <c r="I582" s="55"/>
    </row>
    <row r="583">
      <c r="A583" s="276"/>
      <c r="I583" s="55"/>
    </row>
    <row r="584">
      <c r="A584" s="276"/>
      <c r="I584" s="55"/>
    </row>
    <row r="585">
      <c r="A585" s="276"/>
      <c r="I585" s="55"/>
    </row>
    <row r="586">
      <c r="A586" s="276"/>
      <c r="I586" s="55"/>
    </row>
    <row r="587">
      <c r="A587" s="276"/>
      <c r="I587" s="55"/>
    </row>
    <row r="588">
      <c r="A588" s="276"/>
      <c r="I588" s="55"/>
    </row>
    <row r="589">
      <c r="A589" s="276"/>
      <c r="I589" s="55"/>
    </row>
    <row r="590">
      <c r="A590" s="276"/>
      <c r="I590" s="55"/>
    </row>
    <row r="591">
      <c r="A591" s="276"/>
      <c r="I591" s="55"/>
    </row>
    <row r="592">
      <c r="A592" s="276"/>
      <c r="I592" s="55"/>
    </row>
    <row r="593">
      <c r="A593" s="276"/>
      <c r="I593" s="55"/>
    </row>
    <row r="594">
      <c r="A594" s="276"/>
      <c r="I594" s="55"/>
    </row>
    <row r="595">
      <c r="A595" s="276"/>
      <c r="I595" s="55"/>
    </row>
    <row r="596">
      <c r="A596" s="276"/>
      <c r="I596" s="55"/>
    </row>
    <row r="597">
      <c r="A597" s="276"/>
      <c r="I597" s="55"/>
    </row>
    <row r="598">
      <c r="A598" s="276"/>
      <c r="I598" s="55"/>
    </row>
    <row r="599">
      <c r="A599" s="276"/>
      <c r="I599" s="55"/>
    </row>
    <row r="600">
      <c r="A600" s="276"/>
      <c r="I600" s="55"/>
    </row>
    <row r="601">
      <c r="A601" s="276"/>
      <c r="I601" s="55"/>
    </row>
    <row r="602">
      <c r="A602" s="276"/>
      <c r="I602" s="55"/>
    </row>
    <row r="603">
      <c r="A603" s="276"/>
      <c r="I603" s="55"/>
    </row>
    <row r="604">
      <c r="A604" s="276"/>
      <c r="I604" s="55"/>
    </row>
    <row r="605">
      <c r="A605" s="276"/>
      <c r="I605" s="55"/>
    </row>
    <row r="606">
      <c r="A606" s="276"/>
      <c r="I606" s="55"/>
    </row>
    <row r="607">
      <c r="A607" s="276"/>
      <c r="I607" s="55"/>
    </row>
    <row r="608">
      <c r="A608" s="276"/>
      <c r="I608" s="55"/>
    </row>
    <row r="609">
      <c r="A609" s="276"/>
      <c r="I609" s="55"/>
    </row>
    <row r="610">
      <c r="A610" s="276"/>
      <c r="I610" s="55"/>
    </row>
    <row r="611">
      <c r="A611" s="276"/>
      <c r="I611" s="55"/>
    </row>
    <row r="612">
      <c r="A612" s="276"/>
      <c r="I612" s="55"/>
    </row>
    <row r="613">
      <c r="A613" s="276"/>
      <c r="I613" s="55"/>
    </row>
    <row r="614">
      <c r="A614" s="276"/>
      <c r="I614" s="55"/>
    </row>
    <row r="615">
      <c r="A615" s="276"/>
      <c r="I615" s="55"/>
    </row>
    <row r="616">
      <c r="A616" s="276"/>
      <c r="I616" s="55"/>
    </row>
    <row r="617">
      <c r="A617" s="276"/>
      <c r="I617" s="55"/>
    </row>
    <row r="618">
      <c r="A618" s="276"/>
      <c r="I618" s="55"/>
    </row>
    <row r="619">
      <c r="A619" s="276"/>
      <c r="I619" s="55"/>
    </row>
    <row r="620">
      <c r="A620" s="276"/>
      <c r="I620" s="55"/>
    </row>
    <row r="621">
      <c r="A621" s="276"/>
      <c r="I621" s="55"/>
    </row>
    <row r="622">
      <c r="A622" s="276"/>
      <c r="I622" s="55"/>
    </row>
    <row r="623">
      <c r="A623" s="276"/>
      <c r="I623" s="55"/>
    </row>
    <row r="624">
      <c r="A624" s="276"/>
      <c r="I624" s="55"/>
    </row>
    <row r="625">
      <c r="A625" s="276"/>
      <c r="I625" s="55"/>
    </row>
    <row r="626">
      <c r="A626" s="276"/>
      <c r="I626" s="55"/>
    </row>
    <row r="627">
      <c r="A627" s="276"/>
      <c r="I627" s="55"/>
    </row>
    <row r="628">
      <c r="A628" s="276"/>
      <c r="I628" s="55"/>
    </row>
    <row r="629">
      <c r="A629" s="276"/>
      <c r="I629" s="55"/>
    </row>
    <row r="630">
      <c r="A630" s="276"/>
      <c r="I630" s="55"/>
    </row>
    <row r="631">
      <c r="A631" s="276"/>
      <c r="I631" s="55"/>
    </row>
    <row r="632">
      <c r="A632" s="276"/>
      <c r="I632" s="55"/>
    </row>
    <row r="633">
      <c r="A633" s="276"/>
      <c r="I633" s="55"/>
    </row>
    <row r="634">
      <c r="A634" s="276"/>
      <c r="I634" s="55"/>
    </row>
    <row r="635">
      <c r="A635" s="276"/>
      <c r="I635" s="55"/>
    </row>
    <row r="636">
      <c r="A636" s="276"/>
      <c r="I636" s="55"/>
    </row>
    <row r="637">
      <c r="A637" s="276"/>
      <c r="I637" s="55"/>
    </row>
    <row r="638">
      <c r="A638" s="276"/>
      <c r="I638" s="55"/>
    </row>
    <row r="639">
      <c r="A639" s="276"/>
      <c r="I639" s="55"/>
    </row>
    <row r="640">
      <c r="A640" s="276"/>
      <c r="I640" s="55"/>
    </row>
    <row r="641">
      <c r="A641" s="276"/>
      <c r="I641" s="55"/>
    </row>
    <row r="642">
      <c r="A642" s="276"/>
      <c r="I642" s="55"/>
    </row>
    <row r="643">
      <c r="A643" s="276"/>
      <c r="I643" s="55"/>
    </row>
    <row r="644">
      <c r="A644" s="276"/>
      <c r="I644" s="55"/>
    </row>
    <row r="645">
      <c r="A645" s="276"/>
      <c r="I645" s="55"/>
    </row>
    <row r="646">
      <c r="A646" s="276"/>
      <c r="I646" s="55"/>
    </row>
    <row r="647">
      <c r="A647" s="276"/>
      <c r="I647" s="55"/>
    </row>
    <row r="648">
      <c r="A648" s="276"/>
      <c r="I648" s="55"/>
    </row>
    <row r="649">
      <c r="A649" s="276"/>
      <c r="I649" s="55"/>
    </row>
    <row r="650">
      <c r="A650" s="276"/>
      <c r="I650" s="55"/>
    </row>
    <row r="651">
      <c r="A651" s="276"/>
      <c r="I651" s="55"/>
    </row>
    <row r="652">
      <c r="A652" s="276"/>
      <c r="I652" s="55"/>
    </row>
    <row r="653">
      <c r="A653" s="276"/>
      <c r="I653" s="55"/>
    </row>
    <row r="654">
      <c r="A654" s="276"/>
      <c r="I654" s="55"/>
    </row>
    <row r="655">
      <c r="A655" s="276"/>
      <c r="I655" s="55"/>
    </row>
    <row r="656">
      <c r="A656" s="276"/>
      <c r="I656" s="55"/>
    </row>
    <row r="657">
      <c r="A657" s="276"/>
      <c r="I657" s="55"/>
    </row>
    <row r="658">
      <c r="A658" s="276"/>
      <c r="I658" s="55"/>
    </row>
    <row r="659">
      <c r="A659" s="276"/>
      <c r="I659" s="55"/>
    </row>
    <row r="660">
      <c r="A660" s="276"/>
      <c r="I660" s="55"/>
    </row>
    <row r="661">
      <c r="A661" s="276"/>
      <c r="I661" s="55"/>
    </row>
    <row r="662">
      <c r="A662" s="276"/>
      <c r="I662" s="55"/>
    </row>
    <row r="663">
      <c r="A663" s="276"/>
      <c r="I663" s="55"/>
    </row>
    <row r="664">
      <c r="A664" s="276"/>
      <c r="I664" s="55"/>
    </row>
    <row r="665">
      <c r="A665" s="276"/>
      <c r="I665" s="55"/>
    </row>
    <row r="666">
      <c r="A666" s="276"/>
      <c r="I666" s="55"/>
    </row>
    <row r="667">
      <c r="A667" s="276"/>
      <c r="I667" s="55"/>
    </row>
    <row r="668">
      <c r="A668" s="276"/>
      <c r="I668" s="55"/>
    </row>
    <row r="669">
      <c r="A669" s="276"/>
      <c r="I669" s="55"/>
    </row>
    <row r="670">
      <c r="A670" s="276"/>
      <c r="I670" s="55"/>
    </row>
    <row r="671">
      <c r="A671" s="276"/>
      <c r="I671" s="55"/>
    </row>
    <row r="672">
      <c r="A672" s="276"/>
      <c r="I672" s="55"/>
    </row>
    <row r="673">
      <c r="A673" s="276"/>
      <c r="I673" s="55"/>
    </row>
    <row r="674">
      <c r="A674" s="276"/>
      <c r="I674" s="55"/>
    </row>
    <row r="675">
      <c r="A675" s="276"/>
      <c r="I675" s="55"/>
    </row>
    <row r="676">
      <c r="A676" s="276"/>
      <c r="I676" s="55"/>
    </row>
    <row r="677">
      <c r="A677" s="276"/>
      <c r="I677" s="55"/>
    </row>
    <row r="678">
      <c r="A678" s="276"/>
      <c r="I678" s="55"/>
    </row>
    <row r="679">
      <c r="A679" s="276"/>
      <c r="I679" s="55"/>
    </row>
    <row r="680">
      <c r="A680" s="276"/>
      <c r="I680" s="55"/>
    </row>
    <row r="681">
      <c r="A681" s="276"/>
      <c r="I681" s="55"/>
    </row>
    <row r="682">
      <c r="A682" s="276"/>
      <c r="I682" s="55"/>
    </row>
    <row r="683">
      <c r="A683" s="276"/>
      <c r="I683" s="55"/>
    </row>
    <row r="684">
      <c r="A684" s="276"/>
      <c r="I684" s="55"/>
    </row>
    <row r="685">
      <c r="A685" s="276"/>
      <c r="I685" s="55"/>
    </row>
    <row r="686">
      <c r="A686" s="276"/>
      <c r="I686" s="55"/>
    </row>
    <row r="687">
      <c r="A687" s="276"/>
      <c r="I687" s="55"/>
    </row>
    <row r="688">
      <c r="A688" s="276"/>
      <c r="I688" s="55"/>
    </row>
    <row r="689">
      <c r="A689" s="276"/>
      <c r="I689" s="55"/>
    </row>
    <row r="690">
      <c r="A690" s="276"/>
      <c r="I690" s="55"/>
    </row>
    <row r="691">
      <c r="A691" s="276"/>
      <c r="I691" s="55"/>
    </row>
    <row r="692">
      <c r="A692" s="276"/>
      <c r="I692" s="55"/>
    </row>
    <row r="693">
      <c r="A693" s="276"/>
      <c r="I693" s="55"/>
    </row>
    <row r="694">
      <c r="A694" s="276"/>
      <c r="I694" s="55"/>
    </row>
    <row r="695">
      <c r="A695" s="276"/>
      <c r="I695" s="55"/>
    </row>
    <row r="696">
      <c r="A696" s="276"/>
      <c r="I696" s="55"/>
    </row>
    <row r="697">
      <c r="A697" s="276"/>
      <c r="I697" s="55"/>
    </row>
    <row r="698">
      <c r="A698" s="276"/>
      <c r="I698" s="55"/>
    </row>
    <row r="699">
      <c r="A699" s="276"/>
      <c r="I699" s="55"/>
    </row>
    <row r="700">
      <c r="A700" s="276"/>
      <c r="I700" s="55"/>
    </row>
    <row r="701">
      <c r="A701" s="276"/>
      <c r="I701" s="55"/>
    </row>
    <row r="702">
      <c r="A702" s="276"/>
      <c r="I702" s="55"/>
    </row>
    <row r="703">
      <c r="A703" s="276"/>
      <c r="I703" s="55"/>
    </row>
    <row r="704">
      <c r="A704" s="276"/>
      <c r="I704" s="55"/>
    </row>
    <row r="705">
      <c r="A705" s="276"/>
      <c r="I705" s="55"/>
    </row>
    <row r="706">
      <c r="A706" s="276"/>
      <c r="I706" s="55"/>
    </row>
    <row r="707">
      <c r="A707" s="276"/>
      <c r="I707" s="55"/>
    </row>
    <row r="708">
      <c r="A708" s="276"/>
      <c r="I708" s="55"/>
    </row>
    <row r="709">
      <c r="A709" s="276"/>
      <c r="I709" s="55"/>
    </row>
    <row r="710">
      <c r="A710" s="276"/>
      <c r="I710" s="55"/>
    </row>
    <row r="711">
      <c r="A711" s="276"/>
      <c r="I711" s="55"/>
    </row>
    <row r="712">
      <c r="A712" s="276"/>
      <c r="I712" s="55"/>
    </row>
    <row r="713">
      <c r="A713" s="276"/>
      <c r="I713" s="55"/>
    </row>
    <row r="714">
      <c r="A714" s="276"/>
      <c r="I714" s="55"/>
    </row>
    <row r="715">
      <c r="A715" s="276"/>
      <c r="I715" s="55"/>
    </row>
    <row r="716">
      <c r="A716" s="276"/>
      <c r="I716" s="55"/>
    </row>
    <row r="717">
      <c r="A717" s="276"/>
      <c r="I717" s="55"/>
    </row>
    <row r="718">
      <c r="A718" s="276"/>
      <c r="I718" s="55"/>
    </row>
    <row r="719">
      <c r="A719" s="276"/>
      <c r="I719" s="55"/>
    </row>
    <row r="720">
      <c r="A720" s="276"/>
      <c r="I720" s="55"/>
    </row>
    <row r="721">
      <c r="A721" s="276"/>
      <c r="I721" s="55"/>
    </row>
    <row r="722">
      <c r="A722" s="276"/>
      <c r="I722" s="55"/>
    </row>
    <row r="723">
      <c r="A723" s="276"/>
      <c r="I723" s="55"/>
    </row>
    <row r="724">
      <c r="A724" s="276"/>
      <c r="I724" s="55"/>
    </row>
    <row r="725">
      <c r="A725" s="276"/>
      <c r="I725" s="55"/>
    </row>
    <row r="726">
      <c r="A726" s="276"/>
      <c r="I726" s="55"/>
    </row>
    <row r="727">
      <c r="A727" s="276"/>
      <c r="I727" s="55"/>
    </row>
    <row r="728">
      <c r="A728" s="276"/>
      <c r="I728" s="55"/>
    </row>
    <row r="729">
      <c r="A729" s="276"/>
      <c r="I729" s="55"/>
    </row>
    <row r="730">
      <c r="A730" s="276"/>
      <c r="I730" s="55"/>
    </row>
    <row r="731">
      <c r="A731" s="276"/>
      <c r="I731" s="55"/>
    </row>
    <row r="732">
      <c r="A732" s="276"/>
      <c r="I732" s="55"/>
    </row>
    <row r="733">
      <c r="A733" s="276"/>
      <c r="I733" s="55"/>
    </row>
    <row r="734">
      <c r="A734" s="276"/>
      <c r="I734" s="55"/>
    </row>
    <row r="735">
      <c r="A735" s="276"/>
      <c r="I735" s="55"/>
    </row>
    <row r="736">
      <c r="A736" s="276"/>
      <c r="I736" s="55"/>
    </row>
    <row r="737">
      <c r="A737" s="276"/>
      <c r="I737" s="55"/>
    </row>
    <row r="738">
      <c r="A738" s="276"/>
      <c r="I738" s="55"/>
    </row>
    <row r="739">
      <c r="A739" s="276"/>
      <c r="I739" s="55"/>
    </row>
    <row r="740">
      <c r="A740" s="276"/>
      <c r="I740" s="55"/>
    </row>
    <row r="741">
      <c r="A741" s="276"/>
      <c r="I741" s="55"/>
    </row>
    <row r="742">
      <c r="A742" s="276"/>
      <c r="I742" s="55"/>
    </row>
    <row r="743">
      <c r="A743" s="276"/>
      <c r="I743" s="55"/>
    </row>
    <row r="744">
      <c r="A744" s="276"/>
      <c r="I744" s="55"/>
    </row>
    <row r="745">
      <c r="A745" s="276"/>
      <c r="I745" s="55"/>
    </row>
    <row r="746">
      <c r="A746" s="276"/>
      <c r="I746" s="55"/>
    </row>
    <row r="747">
      <c r="A747" s="276"/>
      <c r="I747" s="55"/>
    </row>
    <row r="748">
      <c r="A748" s="276"/>
      <c r="I748" s="55"/>
    </row>
    <row r="749">
      <c r="A749" s="276"/>
      <c r="I749" s="55"/>
    </row>
    <row r="750">
      <c r="A750" s="276"/>
      <c r="I750" s="55"/>
    </row>
    <row r="751">
      <c r="A751" s="276"/>
      <c r="I751" s="55"/>
    </row>
    <row r="752">
      <c r="A752" s="276"/>
      <c r="I752" s="55"/>
    </row>
    <row r="753">
      <c r="A753" s="276"/>
      <c r="I753" s="55"/>
    </row>
    <row r="754">
      <c r="A754" s="276"/>
      <c r="I754" s="55"/>
    </row>
    <row r="755">
      <c r="A755" s="276"/>
      <c r="I755" s="55"/>
    </row>
    <row r="756">
      <c r="A756" s="276"/>
      <c r="I756" s="55"/>
    </row>
    <row r="757">
      <c r="A757" s="276"/>
      <c r="I757" s="55"/>
    </row>
    <row r="758">
      <c r="A758" s="276"/>
      <c r="I758" s="55"/>
    </row>
    <row r="759">
      <c r="A759" s="276"/>
      <c r="I759" s="55"/>
    </row>
    <row r="760">
      <c r="A760" s="276"/>
      <c r="I760" s="55"/>
    </row>
    <row r="761">
      <c r="A761" s="276"/>
      <c r="I761" s="55"/>
    </row>
    <row r="762">
      <c r="A762" s="276"/>
      <c r="I762" s="55"/>
    </row>
    <row r="763">
      <c r="A763" s="276"/>
      <c r="I763" s="55"/>
    </row>
    <row r="764">
      <c r="A764" s="276"/>
      <c r="I764" s="55"/>
    </row>
    <row r="765">
      <c r="A765" s="276"/>
      <c r="I765" s="55"/>
    </row>
    <row r="766">
      <c r="A766" s="276"/>
      <c r="I766" s="55"/>
    </row>
    <row r="767">
      <c r="A767" s="276"/>
      <c r="I767" s="55"/>
    </row>
    <row r="768">
      <c r="A768" s="276"/>
      <c r="I768" s="55"/>
    </row>
    <row r="769">
      <c r="A769" s="276"/>
      <c r="I769" s="55"/>
    </row>
    <row r="770">
      <c r="A770" s="276"/>
      <c r="I770" s="55"/>
    </row>
    <row r="771">
      <c r="A771" s="276"/>
      <c r="I771" s="55"/>
    </row>
    <row r="772">
      <c r="A772" s="276"/>
      <c r="I772" s="55"/>
    </row>
    <row r="773">
      <c r="A773" s="276"/>
      <c r="I773" s="55"/>
    </row>
    <row r="774">
      <c r="A774" s="276"/>
      <c r="I774" s="55"/>
    </row>
    <row r="775">
      <c r="A775" s="276"/>
      <c r="I775" s="55"/>
    </row>
    <row r="776">
      <c r="A776" s="276"/>
      <c r="I776" s="55"/>
    </row>
    <row r="777">
      <c r="A777" s="276"/>
      <c r="I777" s="55"/>
    </row>
    <row r="778">
      <c r="A778" s="276"/>
      <c r="I778" s="55"/>
    </row>
    <row r="779">
      <c r="A779" s="276"/>
      <c r="I779" s="55"/>
    </row>
    <row r="780">
      <c r="A780" s="276"/>
      <c r="I780" s="55"/>
    </row>
    <row r="781">
      <c r="A781" s="276"/>
      <c r="I781" s="55"/>
    </row>
    <row r="782">
      <c r="A782" s="276"/>
      <c r="I782" s="55"/>
    </row>
    <row r="783">
      <c r="A783" s="276"/>
      <c r="I783" s="55"/>
    </row>
    <row r="784">
      <c r="A784" s="276"/>
      <c r="I784" s="55"/>
    </row>
    <row r="785">
      <c r="A785" s="276"/>
      <c r="I785" s="55"/>
    </row>
    <row r="786">
      <c r="A786" s="276"/>
      <c r="I786" s="55"/>
    </row>
    <row r="787">
      <c r="A787" s="276"/>
      <c r="I787" s="55"/>
    </row>
    <row r="788">
      <c r="A788" s="276"/>
      <c r="I788" s="55"/>
    </row>
    <row r="789">
      <c r="A789" s="276"/>
      <c r="I789" s="55"/>
    </row>
    <row r="790">
      <c r="A790" s="276"/>
      <c r="I790" s="55"/>
    </row>
    <row r="791">
      <c r="A791" s="276"/>
      <c r="I791" s="55"/>
    </row>
    <row r="792">
      <c r="A792" s="276"/>
      <c r="I792" s="55"/>
    </row>
    <row r="793">
      <c r="A793" s="276"/>
      <c r="I793" s="55"/>
    </row>
    <row r="794">
      <c r="A794" s="276"/>
      <c r="I794" s="55"/>
    </row>
    <row r="795">
      <c r="A795" s="276"/>
      <c r="I795" s="55"/>
    </row>
    <row r="796">
      <c r="A796" s="276"/>
      <c r="I796" s="55"/>
    </row>
    <row r="797">
      <c r="A797" s="276"/>
      <c r="I797" s="55"/>
    </row>
    <row r="798">
      <c r="A798" s="276"/>
      <c r="I798" s="55"/>
    </row>
    <row r="799">
      <c r="A799" s="276"/>
      <c r="I799" s="55"/>
    </row>
    <row r="800">
      <c r="A800" s="276"/>
      <c r="I800" s="55"/>
    </row>
    <row r="801">
      <c r="A801" s="276"/>
      <c r="I801" s="55"/>
    </row>
    <row r="802">
      <c r="A802" s="276"/>
      <c r="I802" s="55"/>
    </row>
    <row r="803">
      <c r="A803" s="276"/>
      <c r="I803" s="55"/>
    </row>
    <row r="804">
      <c r="A804" s="276"/>
      <c r="I804" s="55"/>
    </row>
    <row r="805">
      <c r="A805" s="276"/>
      <c r="I805" s="55"/>
    </row>
    <row r="806">
      <c r="A806" s="276"/>
      <c r="I806" s="55"/>
    </row>
    <row r="807">
      <c r="A807" s="276"/>
      <c r="I807" s="55"/>
    </row>
    <row r="808">
      <c r="A808" s="276"/>
      <c r="I808" s="55"/>
    </row>
    <row r="809">
      <c r="A809" s="276"/>
      <c r="I809" s="55"/>
    </row>
    <row r="810">
      <c r="A810" s="276"/>
      <c r="I810" s="55"/>
    </row>
    <row r="811">
      <c r="A811" s="276"/>
      <c r="I811" s="55"/>
    </row>
    <row r="812">
      <c r="A812" s="276"/>
      <c r="I812" s="55"/>
    </row>
    <row r="813">
      <c r="A813" s="276"/>
      <c r="I813" s="55"/>
    </row>
    <row r="814">
      <c r="A814" s="276"/>
      <c r="I814" s="55"/>
    </row>
    <row r="815">
      <c r="A815" s="276"/>
      <c r="I815" s="55"/>
    </row>
    <row r="816">
      <c r="A816" s="276"/>
      <c r="I816" s="55"/>
    </row>
    <row r="817">
      <c r="A817" s="276"/>
      <c r="I817" s="55"/>
    </row>
    <row r="818">
      <c r="A818" s="276"/>
      <c r="I818" s="55"/>
    </row>
    <row r="819">
      <c r="A819" s="276"/>
      <c r="I819" s="55"/>
    </row>
    <row r="820">
      <c r="A820" s="276"/>
      <c r="I820" s="55"/>
    </row>
    <row r="821">
      <c r="A821" s="276"/>
      <c r="I821" s="55"/>
    </row>
    <row r="822">
      <c r="A822" s="276"/>
      <c r="I822" s="55"/>
    </row>
    <row r="823">
      <c r="A823" s="276"/>
      <c r="I823" s="55"/>
    </row>
    <row r="824">
      <c r="A824" s="276"/>
      <c r="I824" s="55"/>
    </row>
    <row r="825">
      <c r="A825" s="276"/>
      <c r="I825" s="55"/>
    </row>
    <row r="826">
      <c r="A826" s="276"/>
      <c r="I826" s="55"/>
    </row>
    <row r="827">
      <c r="A827" s="276"/>
      <c r="I827" s="55"/>
    </row>
    <row r="828">
      <c r="A828" s="276"/>
      <c r="I828" s="55"/>
    </row>
    <row r="829">
      <c r="A829" s="276"/>
      <c r="I829" s="55"/>
    </row>
    <row r="830">
      <c r="A830" s="276"/>
      <c r="I830" s="55"/>
    </row>
    <row r="831">
      <c r="A831" s="276"/>
      <c r="I831" s="55"/>
    </row>
    <row r="832">
      <c r="A832" s="276"/>
      <c r="I832" s="55"/>
    </row>
    <row r="833">
      <c r="A833" s="276"/>
      <c r="I833" s="55"/>
    </row>
    <row r="834">
      <c r="A834" s="276"/>
      <c r="I834" s="55"/>
    </row>
    <row r="835">
      <c r="A835" s="276"/>
      <c r="I835" s="55"/>
    </row>
    <row r="836">
      <c r="A836" s="276"/>
      <c r="I836" s="55"/>
    </row>
    <row r="837">
      <c r="A837" s="276"/>
      <c r="I837" s="55"/>
    </row>
    <row r="838">
      <c r="A838" s="276"/>
      <c r="I838" s="55"/>
    </row>
    <row r="839">
      <c r="A839" s="276"/>
      <c r="I839" s="55"/>
    </row>
    <row r="840">
      <c r="A840" s="276"/>
      <c r="I840" s="55"/>
    </row>
    <row r="841">
      <c r="A841" s="276"/>
      <c r="I841" s="55"/>
    </row>
    <row r="842">
      <c r="A842" s="276"/>
      <c r="I842" s="55"/>
    </row>
    <row r="843">
      <c r="A843" s="276"/>
      <c r="I843" s="55"/>
    </row>
    <row r="844">
      <c r="A844" s="276"/>
      <c r="I844" s="55"/>
    </row>
    <row r="845">
      <c r="A845" s="276"/>
      <c r="I845" s="55"/>
    </row>
    <row r="846">
      <c r="A846" s="276"/>
      <c r="I846" s="55"/>
    </row>
    <row r="847">
      <c r="A847" s="276"/>
      <c r="I847" s="55"/>
    </row>
    <row r="848">
      <c r="A848" s="276"/>
      <c r="I848" s="55"/>
    </row>
    <row r="849">
      <c r="A849" s="276"/>
      <c r="I849" s="55"/>
    </row>
    <row r="850">
      <c r="A850" s="276"/>
      <c r="I850" s="55"/>
    </row>
    <row r="851">
      <c r="A851" s="276"/>
      <c r="I851" s="55"/>
    </row>
    <row r="852">
      <c r="A852" s="276"/>
      <c r="I852" s="55"/>
    </row>
    <row r="853">
      <c r="A853" s="276"/>
      <c r="I853" s="55"/>
    </row>
    <row r="854">
      <c r="A854" s="276"/>
      <c r="I854" s="55"/>
    </row>
    <row r="855">
      <c r="A855" s="276"/>
      <c r="I855" s="55"/>
    </row>
    <row r="856">
      <c r="A856" s="276"/>
      <c r="I856" s="55"/>
    </row>
    <row r="857">
      <c r="A857" s="276"/>
      <c r="I857" s="55"/>
    </row>
    <row r="858">
      <c r="A858" s="276"/>
      <c r="I858" s="55"/>
    </row>
    <row r="859">
      <c r="A859" s="276"/>
      <c r="I859" s="55"/>
    </row>
    <row r="860">
      <c r="A860" s="276"/>
      <c r="I860" s="55"/>
    </row>
    <row r="861">
      <c r="A861" s="276"/>
      <c r="I861" s="55"/>
    </row>
    <row r="862">
      <c r="A862" s="276"/>
      <c r="I862" s="55"/>
    </row>
    <row r="863">
      <c r="A863" s="276"/>
      <c r="I863" s="55"/>
    </row>
    <row r="864">
      <c r="A864" s="276"/>
      <c r="I864" s="55"/>
    </row>
    <row r="865">
      <c r="A865" s="276"/>
      <c r="I865" s="55"/>
    </row>
    <row r="866">
      <c r="A866" s="276"/>
      <c r="I866" s="55"/>
    </row>
    <row r="867">
      <c r="A867" s="276"/>
      <c r="I867" s="55"/>
    </row>
    <row r="868">
      <c r="A868" s="276"/>
      <c r="I868" s="55"/>
    </row>
    <row r="869">
      <c r="A869" s="276"/>
      <c r="I869" s="55"/>
    </row>
    <row r="870">
      <c r="A870" s="276"/>
      <c r="I870" s="55"/>
    </row>
    <row r="871">
      <c r="A871" s="276"/>
      <c r="I871" s="55"/>
    </row>
    <row r="872">
      <c r="A872" s="276"/>
      <c r="I872" s="55"/>
    </row>
    <row r="873">
      <c r="A873" s="276"/>
      <c r="I873" s="55"/>
    </row>
    <row r="874">
      <c r="A874" s="276"/>
      <c r="I874" s="55"/>
    </row>
    <row r="875">
      <c r="A875" s="276"/>
      <c r="I875" s="55"/>
    </row>
    <row r="876">
      <c r="A876" s="276"/>
      <c r="I876" s="55"/>
    </row>
    <row r="877">
      <c r="A877" s="276"/>
      <c r="I877" s="55"/>
    </row>
    <row r="878">
      <c r="A878" s="276"/>
      <c r="I878" s="55"/>
    </row>
    <row r="879">
      <c r="A879" s="276"/>
      <c r="I879" s="55"/>
    </row>
    <row r="880">
      <c r="A880" s="276"/>
      <c r="I880" s="55"/>
    </row>
    <row r="881">
      <c r="A881" s="276"/>
      <c r="I881" s="55"/>
    </row>
    <row r="882">
      <c r="A882" s="276"/>
      <c r="I882" s="55"/>
    </row>
    <row r="883">
      <c r="A883" s="276"/>
      <c r="I883" s="55"/>
    </row>
    <row r="884">
      <c r="A884" s="276"/>
      <c r="I884" s="55"/>
    </row>
    <row r="885">
      <c r="A885" s="276"/>
      <c r="I885" s="55"/>
    </row>
    <row r="886">
      <c r="A886" s="276"/>
      <c r="I886" s="55"/>
    </row>
    <row r="887">
      <c r="A887" s="276"/>
      <c r="I887" s="55"/>
    </row>
    <row r="888">
      <c r="A888" s="276"/>
      <c r="I888" s="55"/>
    </row>
    <row r="889">
      <c r="A889" s="276"/>
      <c r="I889" s="55"/>
    </row>
    <row r="890">
      <c r="A890" s="276"/>
      <c r="I890" s="55"/>
    </row>
    <row r="891">
      <c r="A891" s="276"/>
      <c r="I891" s="55"/>
    </row>
    <row r="892">
      <c r="A892" s="276"/>
      <c r="I892" s="55"/>
    </row>
    <row r="893">
      <c r="A893" s="276"/>
      <c r="I893" s="55"/>
    </row>
    <row r="894">
      <c r="A894" s="276"/>
      <c r="I894" s="55"/>
    </row>
    <row r="895">
      <c r="A895" s="276"/>
      <c r="I895" s="55"/>
    </row>
    <row r="896">
      <c r="A896" s="276"/>
      <c r="I896" s="55"/>
    </row>
    <row r="897">
      <c r="A897" s="276"/>
      <c r="I897" s="55"/>
    </row>
    <row r="898">
      <c r="A898" s="276"/>
      <c r="I898" s="55"/>
    </row>
    <row r="899">
      <c r="A899" s="276"/>
      <c r="I899" s="55"/>
    </row>
    <row r="900">
      <c r="A900" s="276"/>
      <c r="I900" s="55"/>
    </row>
    <row r="901">
      <c r="A901" s="276"/>
      <c r="I901" s="55"/>
    </row>
    <row r="902">
      <c r="A902" s="276"/>
      <c r="I902" s="55"/>
    </row>
    <row r="903">
      <c r="A903" s="276"/>
      <c r="I903" s="55"/>
    </row>
    <row r="904">
      <c r="A904" s="276"/>
      <c r="I904" s="55"/>
    </row>
    <row r="905">
      <c r="A905" s="276"/>
      <c r="I905" s="55"/>
    </row>
    <row r="906">
      <c r="A906" s="276"/>
      <c r="I906" s="55"/>
    </row>
    <row r="907">
      <c r="A907" s="276"/>
      <c r="I907" s="55"/>
    </row>
    <row r="908">
      <c r="A908" s="276"/>
      <c r="I908" s="55"/>
    </row>
    <row r="909">
      <c r="A909" s="276"/>
      <c r="I909" s="55"/>
    </row>
    <row r="910">
      <c r="A910" s="276"/>
      <c r="I910" s="55"/>
    </row>
    <row r="911">
      <c r="A911" s="276"/>
      <c r="I911" s="55"/>
    </row>
    <row r="912">
      <c r="A912" s="276"/>
      <c r="I912" s="55"/>
    </row>
    <row r="913">
      <c r="A913" s="276"/>
      <c r="I913" s="55"/>
    </row>
    <row r="914">
      <c r="A914" s="276"/>
      <c r="I914" s="55"/>
    </row>
    <row r="915">
      <c r="A915" s="276"/>
      <c r="I915" s="55"/>
    </row>
    <row r="916">
      <c r="A916" s="276"/>
      <c r="I916" s="55"/>
    </row>
    <row r="917">
      <c r="A917" s="276"/>
      <c r="I917" s="55"/>
    </row>
    <row r="918">
      <c r="A918" s="276"/>
      <c r="I918" s="55"/>
    </row>
    <row r="919">
      <c r="A919" s="276"/>
      <c r="I919" s="55"/>
    </row>
    <row r="920">
      <c r="A920" s="276"/>
      <c r="I920" s="55"/>
    </row>
    <row r="921">
      <c r="A921" s="276"/>
      <c r="I921" s="55"/>
    </row>
    <row r="922">
      <c r="A922" s="276"/>
      <c r="I922" s="55"/>
    </row>
    <row r="923">
      <c r="A923" s="276"/>
      <c r="I923" s="55"/>
    </row>
    <row r="924">
      <c r="A924" s="276"/>
      <c r="I924" s="55"/>
    </row>
    <row r="925">
      <c r="A925" s="276"/>
      <c r="I925" s="55"/>
    </row>
    <row r="926">
      <c r="A926" s="276"/>
      <c r="I926" s="55"/>
    </row>
    <row r="927">
      <c r="A927" s="276"/>
      <c r="I927" s="55"/>
    </row>
    <row r="928">
      <c r="A928" s="276"/>
      <c r="I928" s="55"/>
    </row>
    <row r="929">
      <c r="A929" s="276"/>
      <c r="I929" s="55"/>
    </row>
    <row r="930">
      <c r="A930" s="276"/>
      <c r="I930" s="55"/>
    </row>
    <row r="931">
      <c r="A931" s="276"/>
      <c r="I931" s="55"/>
    </row>
    <row r="932">
      <c r="A932" s="276"/>
      <c r="I932" s="55"/>
    </row>
    <row r="933">
      <c r="A933" s="276"/>
      <c r="I933" s="55"/>
    </row>
    <row r="934">
      <c r="A934" s="276"/>
      <c r="I934" s="55"/>
    </row>
    <row r="935">
      <c r="A935" s="276"/>
      <c r="I935" s="55"/>
    </row>
    <row r="936">
      <c r="A936" s="276"/>
      <c r="I936" s="55"/>
    </row>
    <row r="937">
      <c r="A937" s="276"/>
      <c r="I937" s="55"/>
    </row>
    <row r="938">
      <c r="A938" s="276"/>
      <c r="I938" s="55"/>
    </row>
    <row r="939">
      <c r="A939" s="276"/>
      <c r="I939" s="55"/>
    </row>
    <row r="940">
      <c r="A940" s="276"/>
      <c r="I940" s="55"/>
    </row>
    <row r="941">
      <c r="A941" s="276"/>
      <c r="I941" s="55"/>
    </row>
    <row r="942">
      <c r="A942" s="276"/>
      <c r="I942" s="55"/>
    </row>
    <row r="943">
      <c r="A943" s="276"/>
      <c r="I943" s="55"/>
    </row>
    <row r="944">
      <c r="A944" s="276"/>
      <c r="I944" s="55"/>
    </row>
    <row r="945">
      <c r="A945" s="276"/>
      <c r="I945" s="55"/>
    </row>
    <row r="946">
      <c r="A946" s="276"/>
      <c r="I946" s="55"/>
    </row>
    <row r="947">
      <c r="A947" s="276"/>
      <c r="I947" s="55"/>
    </row>
    <row r="948">
      <c r="A948" s="276"/>
      <c r="I948" s="55"/>
    </row>
    <row r="949">
      <c r="A949" s="276"/>
      <c r="I949" s="55"/>
    </row>
    <row r="950">
      <c r="A950" s="276"/>
      <c r="I950" s="55"/>
    </row>
    <row r="951">
      <c r="A951" s="276"/>
      <c r="I951" s="55"/>
    </row>
    <row r="952">
      <c r="A952" s="276"/>
      <c r="I952" s="55"/>
    </row>
    <row r="953">
      <c r="A953" s="276"/>
      <c r="I953" s="55"/>
    </row>
    <row r="954">
      <c r="A954" s="276"/>
      <c r="I954" s="55"/>
    </row>
    <row r="955">
      <c r="A955" s="276"/>
      <c r="I955" s="55"/>
    </row>
    <row r="956">
      <c r="A956" s="276"/>
      <c r="I956" s="55"/>
    </row>
    <row r="957">
      <c r="A957" s="276"/>
      <c r="I957" s="55"/>
    </row>
    <row r="958">
      <c r="A958" s="276"/>
      <c r="I958" s="55"/>
    </row>
    <row r="959">
      <c r="A959" s="276"/>
      <c r="I959" s="55"/>
    </row>
    <row r="960">
      <c r="A960" s="276"/>
      <c r="I960" s="55"/>
    </row>
    <row r="961">
      <c r="A961" s="276"/>
      <c r="I961" s="55"/>
    </row>
    <row r="962">
      <c r="A962" s="276"/>
      <c r="I962" s="55"/>
    </row>
    <row r="963">
      <c r="A963" s="276"/>
      <c r="I963" s="55"/>
    </row>
    <row r="964">
      <c r="A964" s="276"/>
      <c r="I964" s="55"/>
    </row>
    <row r="965">
      <c r="A965" s="276"/>
      <c r="I965" s="55"/>
    </row>
    <row r="966">
      <c r="A966" s="276"/>
      <c r="I966" s="55"/>
    </row>
    <row r="967">
      <c r="A967" s="276"/>
      <c r="I967" s="55"/>
    </row>
    <row r="968">
      <c r="A968" s="276"/>
      <c r="I968" s="55"/>
    </row>
    <row r="969">
      <c r="A969" s="276"/>
      <c r="I969" s="55"/>
    </row>
    <row r="970">
      <c r="A970" s="276"/>
      <c r="I970" s="55"/>
    </row>
    <row r="971">
      <c r="A971" s="276"/>
      <c r="I971" s="55"/>
    </row>
    <row r="972">
      <c r="A972" s="276"/>
      <c r="I972" s="55"/>
    </row>
    <row r="973">
      <c r="A973" s="276"/>
      <c r="I973" s="55"/>
    </row>
    <row r="974">
      <c r="A974" s="276"/>
      <c r="I974" s="55"/>
    </row>
    <row r="975">
      <c r="A975" s="276"/>
      <c r="I975" s="55"/>
    </row>
    <row r="976">
      <c r="A976" s="276"/>
      <c r="I976" s="55"/>
    </row>
    <row r="977">
      <c r="A977" s="276"/>
      <c r="I977" s="55"/>
    </row>
    <row r="978">
      <c r="A978" s="276"/>
      <c r="I978" s="55"/>
    </row>
    <row r="979">
      <c r="A979" s="276"/>
      <c r="I979" s="55"/>
    </row>
    <row r="980">
      <c r="A980" s="276"/>
      <c r="I980" s="55"/>
    </row>
    <row r="981">
      <c r="A981" s="276"/>
      <c r="I981" s="55"/>
    </row>
    <row r="982">
      <c r="A982" s="276"/>
      <c r="I982" s="55"/>
    </row>
    <row r="983">
      <c r="A983" s="276"/>
      <c r="I983" s="55"/>
    </row>
    <row r="984">
      <c r="A984" s="276"/>
      <c r="I984" s="55"/>
    </row>
    <row r="985">
      <c r="A985" s="276"/>
      <c r="I985" s="55"/>
    </row>
    <row r="986">
      <c r="A986" s="276"/>
      <c r="I986" s="55"/>
    </row>
    <row r="987">
      <c r="A987" s="276"/>
      <c r="I987" s="55"/>
    </row>
    <row r="988">
      <c r="A988" s="276"/>
      <c r="I988" s="55"/>
    </row>
    <row r="989">
      <c r="A989" s="276"/>
      <c r="I989" s="55"/>
    </row>
    <row r="990">
      <c r="A990" s="276"/>
      <c r="I990" s="55"/>
    </row>
    <row r="991">
      <c r="A991" s="276"/>
      <c r="I991" s="55"/>
    </row>
    <row r="992">
      <c r="A992" s="276"/>
      <c r="I992" s="55"/>
    </row>
    <row r="993">
      <c r="A993" s="276"/>
      <c r="I993" s="55"/>
    </row>
    <row r="994">
      <c r="A994" s="276"/>
      <c r="I994" s="55"/>
    </row>
    <row r="995">
      <c r="A995" s="276"/>
      <c r="I995" s="55"/>
    </row>
    <row r="996">
      <c r="A996" s="276"/>
      <c r="I996" s="55"/>
    </row>
    <row r="997">
      <c r="A997" s="276"/>
      <c r="I997" s="55"/>
    </row>
    <row r="998">
      <c r="A998" s="276"/>
      <c r="I998" s="55"/>
    </row>
    <row r="999">
      <c r="A999" s="276"/>
      <c r="I999" s="55"/>
    </row>
    <row r="1000">
      <c r="A1000" s="276"/>
      <c r="I1000" s="55"/>
    </row>
    <row r="1001">
      <c r="A1001" s="276"/>
      <c r="I1001" s="55"/>
    </row>
    <row r="1002">
      <c r="A1002" s="276"/>
      <c r="I1002" s="55"/>
    </row>
    <row r="1003">
      <c r="A1003" s="276"/>
      <c r="I1003" s="55"/>
    </row>
  </sheetData>
  <mergeCells count="4">
    <mergeCell ref="C36:H36"/>
    <mergeCell ref="C44:H44"/>
    <mergeCell ref="C45:H45"/>
    <mergeCell ref="C48:H4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5" width="3.13"/>
  </cols>
  <sheetData>
    <row r="1">
      <c r="A1" s="8" t="s">
        <v>2488</v>
      </c>
      <c r="B1" s="8"/>
      <c r="T1" s="8" t="s">
        <v>2489</v>
      </c>
    </row>
    <row r="2">
      <c r="A2" s="8" t="s">
        <v>2490</v>
      </c>
      <c r="B2" s="8"/>
      <c r="T2" s="8" t="s">
        <v>2491</v>
      </c>
    </row>
    <row r="3">
      <c r="A3" s="8" t="s">
        <v>2492</v>
      </c>
      <c r="B3" s="8"/>
      <c r="T3" s="8" t="s">
        <v>2493</v>
      </c>
    </row>
    <row r="4">
      <c r="A4" s="8"/>
      <c r="B4" s="8"/>
    </row>
    <row r="5">
      <c r="A5" s="8"/>
      <c r="B5" s="8" t="s">
        <v>2494</v>
      </c>
    </row>
    <row r="6">
      <c r="A6" s="8"/>
      <c r="B6" s="8" t="s">
        <v>2495</v>
      </c>
      <c r="AU6" s="8" t="s">
        <v>2496</v>
      </c>
    </row>
    <row r="7">
      <c r="A7" s="8"/>
      <c r="B7" s="8"/>
    </row>
    <row r="8">
      <c r="A8" s="8" t="s">
        <v>2497</v>
      </c>
      <c r="B8" s="796" t="s">
        <v>2498</v>
      </c>
      <c r="C8" s="797"/>
      <c r="D8" s="797"/>
      <c r="E8" s="797"/>
      <c r="F8" s="797"/>
      <c r="G8" s="797"/>
      <c r="H8" s="797"/>
      <c r="I8" s="797"/>
      <c r="J8" s="797"/>
      <c r="K8" s="797"/>
      <c r="L8" s="797"/>
      <c r="M8" s="797"/>
      <c r="N8" s="797"/>
      <c r="O8" s="797"/>
      <c r="P8" s="797"/>
      <c r="Q8" s="797"/>
      <c r="R8" s="797"/>
      <c r="S8" s="797"/>
      <c r="T8" s="797"/>
      <c r="U8" s="797"/>
      <c r="V8" s="797"/>
      <c r="W8" s="797"/>
      <c r="X8" s="797"/>
      <c r="Y8" s="797"/>
      <c r="Z8" s="797"/>
      <c r="AA8" s="797"/>
      <c r="AE8" s="797"/>
      <c r="AF8" s="797"/>
      <c r="AG8" s="797"/>
      <c r="BB8" s="798" t="s">
        <v>2499</v>
      </c>
    </row>
    <row r="9">
      <c r="A9" s="8" t="s">
        <v>2500</v>
      </c>
      <c r="B9" s="799">
        <v>3.0</v>
      </c>
      <c r="C9" s="799">
        <v>4.0</v>
      </c>
      <c r="D9" s="800">
        <v>4.2</v>
      </c>
      <c r="E9" s="800">
        <v>4.4</v>
      </c>
      <c r="F9" s="799">
        <v>4.6</v>
      </c>
      <c r="G9" s="800">
        <v>4.8</v>
      </c>
      <c r="H9" s="800">
        <v>5.0</v>
      </c>
      <c r="I9" s="800">
        <v>5.2</v>
      </c>
      <c r="J9" s="799">
        <v>5.25</v>
      </c>
      <c r="K9" s="800">
        <v>5.4</v>
      </c>
      <c r="L9" s="800">
        <v>5.5</v>
      </c>
      <c r="M9" s="800">
        <v>5.6</v>
      </c>
      <c r="N9" s="800">
        <v>5.75</v>
      </c>
      <c r="O9" s="799">
        <v>5.8</v>
      </c>
      <c r="P9" s="800">
        <v>6.0</v>
      </c>
      <c r="Q9" s="800">
        <v>6.25</v>
      </c>
      <c r="R9" s="800">
        <v>6.3</v>
      </c>
      <c r="S9" s="800">
        <v>6.5</v>
      </c>
      <c r="T9" s="799">
        <v>6.6</v>
      </c>
      <c r="U9" s="800">
        <v>6.75</v>
      </c>
      <c r="V9" s="800">
        <v>6.9</v>
      </c>
      <c r="W9" s="800">
        <v>7.0</v>
      </c>
      <c r="X9" s="800">
        <v>7.2</v>
      </c>
      <c r="Y9" s="800">
        <v>7.25</v>
      </c>
      <c r="Z9" s="800">
        <v>7.5</v>
      </c>
      <c r="AA9" s="800">
        <v>7.8</v>
      </c>
      <c r="AB9" s="800">
        <v>8.0</v>
      </c>
      <c r="AC9" s="800">
        <v>8.1</v>
      </c>
      <c r="AD9" s="800">
        <v>8.4</v>
      </c>
      <c r="AE9" s="801">
        <v>8.7</v>
      </c>
      <c r="AF9" s="801">
        <v>8.75</v>
      </c>
      <c r="AG9" s="801">
        <v>8.8</v>
      </c>
      <c r="AH9" s="801">
        <v>9.0</v>
      </c>
      <c r="AI9" s="801">
        <v>9.2</v>
      </c>
      <c r="AJ9" s="801">
        <v>9.6</v>
      </c>
      <c r="AK9" s="801">
        <v>10.0</v>
      </c>
      <c r="AL9" s="801">
        <v>10.4</v>
      </c>
      <c r="AM9" s="801">
        <v>10.5</v>
      </c>
      <c r="AN9" s="801">
        <v>10.8</v>
      </c>
      <c r="AO9" s="801">
        <v>11.0</v>
      </c>
      <c r="AP9" s="801">
        <v>11.2</v>
      </c>
      <c r="AQ9" s="801">
        <v>11.5</v>
      </c>
      <c r="AR9" s="801">
        <v>11.6</v>
      </c>
      <c r="AS9" s="801">
        <v>12.0</v>
      </c>
      <c r="AT9" s="801">
        <v>12.5</v>
      </c>
      <c r="AU9" s="801">
        <v>13.0</v>
      </c>
      <c r="AV9" s="801">
        <v>13.5</v>
      </c>
      <c r="AW9" s="801">
        <v>14.0</v>
      </c>
      <c r="AX9" s="801">
        <v>14.5</v>
      </c>
      <c r="AY9" s="801">
        <v>15.0</v>
      </c>
      <c r="AZ9" s="801">
        <v>16.0</v>
      </c>
      <c r="BA9" s="801">
        <v>17.5</v>
      </c>
      <c r="BB9" s="801">
        <v>20.0</v>
      </c>
      <c r="BC9" s="801">
        <v>22.5</v>
      </c>
      <c r="BD9" s="801">
        <v>25.0</v>
      </c>
      <c r="BE9" s="801">
        <v>27.5</v>
      </c>
      <c r="BF9" s="801">
        <v>30.0</v>
      </c>
      <c r="BG9" s="802">
        <v>40.0</v>
      </c>
      <c r="BH9" s="802">
        <v>50.0</v>
      </c>
      <c r="BI9" s="802">
        <v>60.0</v>
      </c>
      <c r="BJ9" s="802">
        <v>70.0</v>
      </c>
      <c r="BK9" s="802">
        <v>80.0</v>
      </c>
      <c r="BL9" s="802">
        <v>90.0</v>
      </c>
      <c r="BM9" s="802">
        <v>100.0</v>
      </c>
    </row>
    <row r="10">
      <c r="A10" s="803">
        <v>3.0</v>
      </c>
      <c r="B10" s="285">
        <f t="shared" ref="B10:BM10" si="1">IF(IF($A10&gt;B$9,ROUNDUP(($A10/B$9)*6,0),ROUNDDOWN(($A10/B$9)*6,0))&gt;20,20,IF(IF($A10&gt;B$9,ROUNDUP(($A10/B$9)*6,0),ROUNDDOWN(($A10/B$9)*6,0))&lt;1,1,IF($A10&gt;B$9,ROUNDUP(($A10/B$9)*6,0),ROUNDDOWN(($A10/B$9)*6,0))))</f>
        <v>6</v>
      </c>
      <c r="C10" s="285">
        <f t="shared" si="1"/>
        <v>4</v>
      </c>
      <c r="D10" s="285">
        <f t="shared" si="1"/>
        <v>4</v>
      </c>
      <c r="E10" s="285">
        <f t="shared" si="1"/>
        <v>4</v>
      </c>
      <c r="F10" s="285">
        <f t="shared" si="1"/>
        <v>3</v>
      </c>
      <c r="G10" s="285">
        <f t="shared" si="1"/>
        <v>3</v>
      </c>
      <c r="H10" s="285">
        <f t="shared" si="1"/>
        <v>3</v>
      </c>
      <c r="I10" s="285">
        <f t="shared" si="1"/>
        <v>3</v>
      </c>
      <c r="J10" s="285">
        <f t="shared" si="1"/>
        <v>3</v>
      </c>
      <c r="K10" s="285">
        <f t="shared" si="1"/>
        <v>3</v>
      </c>
      <c r="L10" s="285">
        <f t="shared" si="1"/>
        <v>3</v>
      </c>
      <c r="M10" s="285">
        <f t="shared" si="1"/>
        <v>3</v>
      </c>
      <c r="N10" s="285">
        <f t="shared" si="1"/>
        <v>3</v>
      </c>
      <c r="O10" s="285">
        <f t="shared" si="1"/>
        <v>3</v>
      </c>
      <c r="P10" s="285">
        <f t="shared" si="1"/>
        <v>3</v>
      </c>
      <c r="Q10" s="285">
        <f t="shared" si="1"/>
        <v>2</v>
      </c>
      <c r="R10" s="285">
        <f t="shared" si="1"/>
        <v>2</v>
      </c>
      <c r="S10" s="285">
        <f t="shared" si="1"/>
        <v>2</v>
      </c>
      <c r="T10" s="285">
        <f t="shared" si="1"/>
        <v>2</v>
      </c>
      <c r="U10" s="285">
        <f t="shared" si="1"/>
        <v>2</v>
      </c>
      <c r="V10" s="285">
        <f t="shared" si="1"/>
        <v>2</v>
      </c>
      <c r="W10" s="285">
        <f t="shared" si="1"/>
        <v>2</v>
      </c>
      <c r="X10" s="285">
        <f t="shared" si="1"/>
        <v>2</v>
      </c>
      <c r="Y10" s="285">
        <f t="shared" si="1"/>
        <v>2</v>
      </c>
      <c r="Z10" s="285">
        <f t="shared" si="1"/>
        <v>2</v>
      </c>
      <c r="AA10" s="285">
        <f t="shared" si="1"/>
        <v>2</v>
      </c>
      <c r="AB10" s="285">
        <f t="shared" si="1"/>
        <v>2</v>
      </c>
      <c r="AC10" s="285">
        <f t="shared" si="1"/>
        <v>2</v>
      </c>
      <c r="AD10" s="285">
        <f t="shared" si="1"/>
        <v>2</v>
      </c>
      <c r="AE10" s="285">
        <f t="shared" si="1"/>
        <v>2</v>
      </c>
      <c r="AF10" s="285">
        <f t="shared" si="1"/>
        <v>2</v>
      </c>
      <c r="AG10" s="285">
        <f t="shared" si="1"/>
        <v>2</v>
      </c>
      <c r="AH10" s="285">
        <f t="shared" si="1"/>
        <v>2</v>
      </c>
      <c r="AI10" s="285">
        <f t="shared" si="1"/>
        <v>1</v>
      </c>
      <c r="AJ10" s="285">
        <f t="shared" si="1"/>
        <v>1</v>
      </c>
      <c r="AK10" s="285">
        <f t="shared" si="1"/>
        <v>1</v>
      </c>
      <c r="AL10" s="285">
        <f t="shared" si="1"/>
        <v>1</v>
      </c>
      <c r="AM10" s="285">
        <f t="shared" si="1"/>
        <v>1</v>
      </c>
      <c r="AN10" s="285">
        <f t="shared" si="1"/>
        <v>1</v>
      </c>
      <c r="AO10" s="285">
        <f t="shared" si="1"/>
        <v>1</v>
      </c>
      <c r="AP10" s="285">
        <f t="shared" si="1"/>
        <v>1</v>
      </c>
      <c r="AQ10" s="285">
        <f t="shared" si="1"/>
        <v>1</v>
      </c>
      <c r="AR10" s="285">
        <f t="shared" si="1"/>
        <v>1</v>
      </c>
      <c r="AS10" s="285">
        <f t="shared" si="1"/>
        <v>1</v>
      </c>
      <c r="AT10" s="285">
        <f t="shared" si="1"/>
        <v>1</v>
      </c>
      <c r="AU10" s="285">
        <f t="shared" si="1"/>
        <v>1</v>
      </c>
      <c r="AV10" s="285">
        <f t="shared" si="1"/>
        <v>1</v>
      </c>
      <c r="AW10" s="285">
        <f t="shared" si="1"/>
        <v>1</v>
      </c>
      <c r="AX10" s="285">
        <f t="shared" si="1"/>
        <v>1</v>
      </c>
      <c r="AY10" s="285">
        <f t="shared" si="1"/>
        <v>1</v>
      </c>
      <c r="AZ10" s="285">
        <f t="shared" si="1"/>
        <v>1</v>
      </c>
      <c r="BA10" s="285">
        <f t="shared" si="1"/>
        <v>1</v>
      </c>
      <c r="BB10" s="285">
        <f t="shared" si="1"/>
        <v>1</v>
      </c>
      <c r="BC10" s="285">
        <f t="shared" si="1"/>
        <v>1</v>
      </c>
      <c r="BD10" s="285">
        <f t="shared" si="1"/>
        <v>1</v>
      </c>
      <c r="BE10" s="285">
        <f t="shared" si="1"/>
        <v>1</v>
      </c>
      <c r="BF10" s="285">
        <f t="shared" si="1"/>
        <v>1</v>
      </c>
      <c r="BG10" s="285">
        <f t="shared" si="1"/>
        <v>1</v>
      </c>
      <c r="BH10" s="285">
        <f t="shared" si="1"/>
        <v>1</v>
      </c>
      <c r="BI10" s="285">
        <f t="shared" si="1"/>
        <v>1</v>
      </c>
      <c r="BJ10" s="285">
        <f t="shared" si="1"/>
        <v>1</v>
      </c>
      <c r="BK10" s="285">
        <f t="shared" si="1"/>
        <v>1</v>
      </c>
      <c r="BL10" s="285">
        <f t="shared" si="1"/>
        <v>1</v>
      </c>
      <c r="BM10" s="285">
        <f t="shared" si="1"/>
        <v>1</v>
      </c>
    </row>
    <row r="11">
      <c r="A11" s="803">
        <v>4.0</v>
      </c>
      <c r="B11" s="285">
        <f t="shared" ref="B11:BM11" si="2">IF(IF($A11&gt;B$9,ROUNDUP(($A11/B$9)*6,0),ROUNDDOWN(($A11/B$9)*6,0))&gt;20,20,IF(IF($A11&gt;B$9,ROUNDUP(($A11/B$9)*6,0),ROUNDDOWN(($A11/B$9)*6,0))&lt;1,1,IF($A11&gt;B$9,ROUNDUP(($A11/B$9)*6,0),ROUNDDOWN(($A11/B$9)*6,0))))</f>
        <v>8</v>
      </c>
      <c r="C11" s="285">
        <f t="shared" si="2"/>
        <v>6</v>
      </c>
      <c r="D11" s="285">
        <f t="shared" si="2"/>
        <v>5</v>
      </c>
      <c r="E11" s="285">
        <f t="shared" si="2"/>
        <v>5</v>
      </c>
      <c r="F11" s="285">
        <f t="shared" si="2"/>
        <v>5</v>
      </c>
      <c r="G11" s="285">
        <f t="shared" si="2"/>
        <v>5</v>
      </c>
      <c r="H11" s="285">
        <f t="shared" si="2"/>
        <v>4</v>
      </c>
      <c r="I11" s="285">
        <f t="shared" si="2"/>
        <v>4</v>
      </c>
      <c r="J11" s="285">
        <f t="shared" si="2"/>
        <v>4</v>
      </c>
      <c r="K11" s="285">
        <f t="shared" si="2"/>
        <v>4</v>
      </c>
      <c r="L11" s="285">
        <f t="shared" si="2"/>
        <v>4</v>
      </c>
      <c r="M11" s="285">
        <f t="shared" si="2"/>
        <v>4</v>
      </c>
      <c r="N11" s="285">
        <f t="shared" si="2"/>
        <v>4</v>
      </c>
      <c r="O11" s="285">
        <f t="shared" si="2"/>
        <v>4</v>
      </c>
      <c r="P11" s="285">
        <f t="shared" si="2"/>
        <v>4</v>
      </c>
      <c r="Q11" s="285">
        <f t="shared" si="2"/>
        <v>3</v>
      </c>
      <c r="R11" s="285">
        <f t="shared" si="2"/>
        <v>3</v>
      </c>
      <c r="S11" s="285">
        <f t="shared" si="2"/>
        <v>3</v>
      </c>
      <c r="T11" s="285">
        <f t="shared" si="2"/>
        <v>3</v>
      </c>
      <c r="U11" s="285">
        <f t="shared" si="2"/>
        <v>3</v>
      </c>
      <c r="V11" s="285">
        <f t="shared" si="2"/>
        <v>3</v>
      </c>
      <c r="W11" s="285">
        <f t="shared" si="2"/>
        <v>3</v>
      </c>
      <c r="X11" s="285">
        <f t="shared" si="2"/>
        <v>3</v>
      </c>
      <c r="Y11" s="285">
        <f t="shared" si="2"/>
        <v>3</v>
      </c>
      <c r="Z11" s="285">
        <f t="shared" si="2"/>
        <v>3</v>
      </c>
      <c r="AA11" s="285">
        <f t="shared" si="2"/>
        <v>3</v>
      </c>
      <c r="AB11" s="285">
        <f t="shared" si="2"/>
        <v>3</v>
      </c>
      <c r="AC11" s="285">
        <f t="shared" si="2"/>
        <v>2</v>
      </c>
      <c r="AD11" s="285">
        <f t="shared" si="2"/>
        <v>2</v>
      </c>
      <c r="AE11" s="285">
        <f t="shared" si="2"/>
        <v>2</v>
      </c>
      <c r="AF11" s="285">
        <f t="shared" si="2"/>
        <v>2</v>
      </c>
      <c r="AG11" s="285">
        <f t="shared" si="2"/>
        <v>2</v>
      </c>
      <c r="AH11" s="285">
        <f t="shared" si="2"/>
        <v>2</v>
      </c>
      <c r="AI11" s="285">
        <f t="shared" si="2"/>
        <v>2</v>
      </c>
      <c r="AJ11" s="285">
        <f t="shared" si="2"/>
        <v>2</v>
      </c>
      <c r="AK11" s="285">
        <f t="shared" si="2"/>
        <v>2</v>
      </c>
      <c r="AL11" s="285">
        <f t="shared" si="2"/>
        <v>2</v>
      </c>
      <c r="AM11" s="285">
        <f t="shared" si="2"/>
        <v>2</v>
      </c>
      <c r="AN11" s="285">
        <f t="shared" si="2"/>
        <v>2</v>
      </c>
      <c r="AO11" s="285">
        <f t="shared" si="2"/>
        <v>2</v>
      </c>
      <c r="AP11" s="285">
        <f t="shared" si="2"/>
        <v>2</v>
      </c>
      <c r="AQ11" s="285">
        <f t="shared" si="2"/>
        <v>2</v>
      </c>
      <c r="AR11" s="285">
        <f t="shared" si="2"/>
        <v>2</v>
      </c>
      <c r="AS11" s="285">
        <f t="shared" si="2"/>
        <v>2</v>
      </c>
      <c r="AT11" s="285">
        <f t="shared" si="2"/>
        <v>1</v>
      </c>
      <c r="AU11" s="285">
        <f t="shared" si="2"/>
        <v>1</v>
      </c>
      <c r="AV11" s="285">
        <f t="shared" si="2"/>
        <v>1</v>
      </c>
      <c r="AW11" s="285">
        <f t="shared" si="2"/>
        <v>1</v>
      </c>
      <c r="AX11" s="285">
        <f t="shared" si="2"/>
        <v>1</v>
      </c>
      <c r="AY11" s="285">
        <f t="shared" si="2"/>
        <v>1</v>
      </c>
      <c r="AZ11" s="285">
        <f t="shared" si="2"/>
        <v>1</v>
      </c>
      <c r="BA11" s="285">
        <f t="shared" si="2"/>
        <v>1</v>
      </c>
      <c r="BB11" s="285">
        <f t="shared" si="2"/>
        <v>1</v>
      </c>
      <c r="BC11" s="285">
        <f t="shared" si="2"/>
        <v>1</v>
      </c>
      <c r="BD11" s="285">
        <f t="shared" si="2"/>
        <v>1</v>
      </c>
      <c r="BE11" s="285">
        <f t="shared" si="2"/>
        <v>1</v>
      </c>
      <c r="BF11" s="285">
        <f t="shared" si="2"/>
        <v>1</v>
      </c>
      <c r="BG11" s="285">
        <f t="shared" si="2"/>
        <v>1</v>
      </c>
      <c r="BH11" s="285">
        <f t="shared" si="2"/>
        <v>1</v>
      </c>
      <c r="BI11" s="285">
        <f t="shared" si="2"/>
        <v>1</v>
      </c>
      <c r="BJ11" s="285">
        <f t="shared" si="2"/>
        <v>1</v>
      </c>
      <c r="BK11" s="285">
        <f t="shared" si="2"/>
        <v>1</v>
      </c>
      <c r="BL11" s="285">
        <f t="shared" si="2"/>
        <v>1</v>
      </c>
      <c r="BM11" s="285">
        <f t="shared" si="2"/>
        <v>1</v>
      </c>
    </row>
    <row r="12">
      <c r="A12" s="803">
        <v>4.2</v>
      </c>
      <c r="B12" s="285">
        <f t="shared" ref="B12:BM12" si="3">IF(IF($A12&gt;B$9,ROUNDUP(($A12/B$9)*6,0),ROUNDDOWN(($A12/B$9)*6,0))&gt;20,20,IF(IF($A12&gt;B$9,ROUNDUP(($A12/B$9)*6,0),ROUNDDOWN(($A12/B$9)*6,0))&lt;1,1,IF($A12&gt;B$9,ROUNDUP(($A12/B$9)*6,0),ROUNDDOWN(($A12/B$9)*6,0))))</f>
        <v>9</v>
      </c>
      <c r="C12" s="285">
        <f t="shared" si="3"/>
        <v>7</v>
      </c>
      <c r="D12" s="285">
        <f t="shared" si="3"/>
        <v>6</v>
      </c>
      <c r="E12" s="285">
        <f t="shared" si="3"/>
        <v>5</v>
      </c>
      <c r="F12" s="285">
        <f t="shared" si="3"/>
        <v>5</v>
      </c>
      <c r="G12" s="285">
        <f t="shared" si="3"/>
        <v>5</v>
      </c>
      <c r="H12" s="285">
        <f t="shared" si="3"/>
        <v>5</v>
      </c>
      <c r="I12" s="285">
        <f t="shared" si="3"/>
        <v>4</v>
      </c>
      <c r="J12" s="285">
        <f t="shared" si="3"/>
        <v>4</v>
      </c>
      <c r="K12" s="285">
        <f t="shared" si="3"/>
        <v>4</v>
      </c>
      <c r="L12" s="285">
        <f t="shared" si="3"/>
        <v>4</v>
      </c>
      <c r="M12" s="285">
        <f t="shared" si="3"/>
        <v>4</v>
      </c>
      <c r="N12" s="285">
        <f t="shared" si="3"/>
        <v>4</v>
      </c>
      <c r="O12" s="285">
        <f t="shared" si="3"/>
        <v>4</v>
      </c>
      <c r="P12" s="285">
        <f t="shared" si="3"/>
        <v>4</v>
      </c>
      <c r="Q12" s="285">
        <f t="shared" si="3"/>
        <v>4</v>
      </c>
      <c r="R12" s="285">
        <f t="shared" si="3"/>
        <v>4</v>
      </c>
      <c r="S12" s="285">
        <f t="shared" si="3"/>
        <v>3</v>
      </c>
      <c r="T12" s="285">
        <f t="shared" si="3"/>
        <v>3</v>
      </c>
      <c r="U12" s="285">
        <f t="shared" si="3"/>
        <v>3</v>
      </c>
      <c r="V12" s="285">
        <f t="shared" si="3"/>
        <v>3</v>
      </c>
      <c r="W12" s="285">
        <f t="shared" si="3"/>
        <v>3</v>
      </c>
      <c r="X12" s="285">
        <f t="shared" si="3"/>
        <v>3</v>
      </c>
      <c r="Y12" s="285">
        <f t="shared" si="3"/>
        <v>3</v>
      </c>
      <c r="Z12" s="285">
        <f t="shared" si="3"/>
        <v>3</v>
      </c>
      <c r="AA12" s="285">
        <f t="shared" si="3"/>
        <v>3</v>
      </c>
      <c r="AB12" s="285">
        <f t="shared" si="3"/>
        <v>3</v>
      </c>
      <c r="AC12" s="285">
        <f t="shared" si="3"/>
        <v>3</v>
      </c>
      <c r="AD12" s="285">
        <f t="shared" si="3"/>
        <v>3</v>
      </c>
      <c r="AE12" s="285">
        <f t="shared" si="3"/>
        <v>2</v>
      </c>
      <c r="AF12" s="285">
        <f t="shared" si="3"/>
        <v>2</v>
      </c>
      <c r="AG12" s="285">
        <f t="shared" si="3"/>
        <v>2</v>
      </c>
      <c r="AH12" s="285">
        <f t="shared" si="3"/>
        <v>2</v>
      </c>
      <c r="AI12" s="285">
        <f t="shared" si="3"/>
        <v>2</v>
      </c>
      <c r="AJ12" s="285">
        <f t="shared" si="3"/>
        <v>2</v>
      </c>
      <c r="AK12" s="285">
        <f t="shared" si="3"/>
        <v>2</v>
      </c>
      <c r="AL12" s="285">
        <f t="shared" si="3"/>
        <v>2</v>
      </c>
      <c r="AM12" s="285">
        <f t="shared" si="3"/>
        <v>2</v>
      </c>
      <c r="AN12" s="285">
        <f t="shared" si="3"/>
        <v>2</v>
      </c>
      <c r="AO12" s="285">
        <f t="shared" si="3"/>
        <v>2</v>
      </c>
      <c r="AP12" s="285">
        <f t="shared" si="3"/>
        <v>2</v>
      </c>
      <c r="AQ12" s="285">
        <f t="shared" si="3"/>
        <v>2</v>
      </c>
      <c r="AR12" s="285">
        <f t="shared" si="3"/>
        <v>2</v>
      </c>
      <c r="AS12" s="285">
        <f t="shared" si="3"/>
        <v>2</v>
      </c>
      <c r="AT12" s="285">
        <f t="shared" si="3"/>
        <v>2</v>
      </c>
      <c r="AU12" s="285">
        <f t="shared" si="3"/>
        <v>1</v>
      </c>
      <c r="AV12" s="285">
        <f t="shared" si="3"/>
        <v>1</v>
      </c>
      <c r="AW12" s="285">
        <f t="shared" si="3"/>
        <v>1</v>
      </c>
      <c r="AX12" s="285">
        <f t="shared" si="3"/>
        <v>1</v>
      </c>
      <c r="AY12" s="285">
        <f t="shared" si="3"/>
        <v>1</v>
      </c>
      <c r="AZ12" s="285">
        <f t="shared" si="3"/>
        <v>1</v>
      </c>
      <c r="BA12" s="285">
        <f t="shared" si="3"/>
        <v>1</v>
      </c>
      <c r="BB12" s="285">
        <f t="shared" si="3"/>
        <v>1</v>
      </c>
      <c r="BC12" s="285">
        <f t="shared" si="3"/>
        <v>1</v>
      </c>
      <c r="BD12" s="285">
        <f t="shared" si="3"/>
        <v>1</v>
      </c>
      <c r="BE12" s="285">
        <f t="shared" si="3"/>
        <v>1</v>
      </c>
      <c r="BF12" s="285">
        <f t="shared" si="3"/>
        <v>1</v>
      </c>
      <c r="BG12" s="285">
        <f t="shared" si="3"/>
        <v>1</v>
      </c>
      <c r="BH12" s="285">
        <f t="shared" si="3"/>
        <v>1</v>
      </c>
      <c r="BI12" s="285">
        <f t="shared" si="3"/>
        <v>1</v>
      </c>
      <c r="BJ12" s="285">
        <f t="shared" si="3"/>
        <v>1</v>
      </c>
      <c r="BK12" s="285">
        <f t="shared" si="3"/>
        <v>1</v>
      </c>
      <c r="BL12" s="285">
        <f t="shared" si="3"/>
        <v>1</v>
      </c>
      <c r="BM12" s="285">
        <f t="shared" si="3"/>
        <v>1</v>
      </c>
    </row>
    <row r="13">
      <c r="A13" s="803">
        <v>4.4</v>
      </c>
      <c r="B13" s="285">
        <f t="shared" ref="B13:BM13" si="4">IF(IF($A13&gt;B$9,ROUNDUP(($A13/B$9)*6,0),ROUNDDOWN(($A13/B$9)*6,0))&gt;20,20,IF(IF($A13&gt;B$9,ROUNDUP(($A13/B$9)*6,0),ROUNDDOWN(($A13/B$9)*6,0))&lt;1,1,IF($A13&gt;B$9,ROUNDUP(($A13/B$9)*6,0),ROUNDDOWN(($A13/B$9)*6,0))))</f>
        <v>9</v>
      </c>
      <c r="C13" s="285">
        <f t="shared" si="4"/>
        <v>7</v>
      </c>
      <c r="D13" s="285">
        <f t="shared" si="4"/>
        <v>7</v>
      </c>
      <c r="E13" s="285">
        <f t="shared" si="4"/>
        <v>6</v>
      </c>
      <c r="F13" s="285">
        <f t="shared" si="4"/>
        <v>5</v>
      </c>
      <c r="G13" s="285">
        <f t="shared" si="4"/>
        <v>5</v>
      </c>
      <c r="H13" s="285">
        <f t="shared" si="4"/>
        <v>5</v>
      </c>
      <c r="I13" s="285">
        <f t="shared" si="4"/>
        <v>5</v>
      </c>
      <c r="J13" s="285">
        <f t="shared" si="4"/>
        <v>5</v>
      </c>
      <c r="K13" s="285">
        <f t="shared" si="4"/>
        <v>4</v>
      </c>
      <c r="L13" s="285">
        <f t="shared" si="4"/>
        <v>4</v>
      </c>
      <c r="M13" s="285">
        <f t="shared" si="4"/>
        <v>4</v>
      </c>
      <c r="N13" s="285">
        <f t="shared" si="4"/>
        <v>4</v>
      </c>
      <c r="O13" s="285">
        <f t="shared" si="4"/>
        <v>4</v>
      </c>
      <c r="P13" s="285">
        <f t="shared" si="4"/>
        <v>4</v>
      </c>
      <c r="Q13" s="285">
        <f t="shared" si="4"/>
        <v>4</v>
      </c>
      <c r="R13" s="285">
        <f t="shared" si="4"/>
        <v>4</v>
      </c>
      <c r="S13" s="285">
        <f t="shared" si="4"/>
        <v>4</v>
      </c>
      <c r="T13" s="285">
        <f t="shared" si="4"/>
        <v>4</v>
      </c>
      <c r="U13" s="285">
        <f t="shared" si="4"/>
        <v>3</v>
      </c>
      <c r="V13" s="285">
        <f t="shared" si="4"/>
        <v>3</v>
      </c>
      <c r="W13" s="285">
        <f t="shared" si="4"/>
        <v>3</v>
      </c>
      <c r="X13" s="285">
        <f t="shared" si="4"/>
        <v>3</v>
      </c>
      <c r="Y13" s="285">
        <f t="shared" si="4"/>
        <v>3</v>
      </c>
      <c r="Z13" s="285">
        <f t="shared" si="4"/>
        <v>3</v>
      </c>
      <c r="AA13" s="285">
        <f t="shared" si="4"/>
        <v>3</v>
      </c>
      <c r="AB13" s="285">
        <f t="shared" si="4"/>
        <v>3</v>
      </c>
      <c r="AC13" s="285">
        <f t="shared" si="4"/>
        <v>3</v>
      </c>
      <c r="AD13" s="285">
        <f t="shared" si="4"/>
        <v>3</v>
      </c>
      <c r="AE13" s="285">
        <f t="shared" si="4"/>
        <v>3</v>
      </c>
      <c r="AF13" s="285">
        <f t="shared" si="4"/>
        <v>3</v>
      </c>
      <c r="AG13" s="285">
        <f t="shared" si="4"/>
        <v>3</v>
      </c>
      <c r="AH13" s="285">
        <f t="shared" si="4"/>
        <v>2</v>
      </c>
      <c r="AI13" s="285">
        <f t="shared" si="4"/>
        <v>2</v>
      </c>
      <c r="AJ13" s="285">
        <f t="shared" si="4"/>
        <v>2</v>
      </c>
      <c r="AK13" s="285">
        <f t="shared" si="4"/>
        <v>2</v>
      </c>
      <c r="AL13" s="285">
        <f t="shared" si="4"/>
        <v>2</v>
      </c>
      <c r="AM13" s="285">
        <f t="shared" si="4"/>
        <v>2</v>
      </c>
      <c r="AN13" s="285">
        <f t="shared" si="4"/>
        <v>2</v>
      </c>
      <c r="AO13" s="285">
        <f t="shared" si="4"/>
        <v>2</v>
      </c>
      <c r="AP13" s="285">
        <f t="shared" si="4"/>
        <v>2</v>
      </c>
      <c r="AQ13" s="285">
        <f t="shared" si="4"/>
        <v>2</v>
      </c>
      <c r="AR13" s="285">
        <f t="shared" si="4"/>
        <v>2</v>
      </c>
      <c r="AS13" s="285">
        <f t="shared" si="4"/>
        <v>2</v>
      </c>
      <c r="AT13" s="285">
        <f t="shared" si="4"/>
        <v>2</v>
      </c>
      <c r="AU13" s="285">
        <f t="shared" si="4"/>
        <v>2</v>
      </c>
      <c r="AV13" s="285">
        <f t="shared" si="4"/>
        <v>1</v>
      </c>
      <c r="AW13" s="285">
        <f t="shared" si="4"/>
        <v>1</v>
      </c>
      <c r="AX13" s="285">
        <f t="shared" si="4"/>
        <v>1</v>
      </c>
      <c r="AY13" s="285">
        <f t="shared" si="4"/>
        <v>1</v>
      </c>
      <c r="AZ13" s="285">
        <f t="shared" si="4"/>
        <v>1</v>
      </c>
      <c r="BA13" s="285">
        <f t="shared" si="4"/>
        <v>1</v>
      </c>
      <c r="BB13" s="285">
        <f t="shared" si="4"/>
        <v>1</v>
      </c>
      <c r="BC13" s="285">
        <f t="shared" si="4"/>
        <v>1</v>
      </c>
      <c r="BD13" s="285">
        <f t="shared" si="4"/>
        <v>1</v>
      </c>
      <c r="BE13" s="285">
        <f t="shared" si="4"/>
        <v>1</v>
      </c>
      <c r="BF13" s="285">
        <f t="shared" si="4"/>
        <v>1</v>
      </c>
      <c r="BG13" s="285">
        <f t="shared" si="4"/>
        <v>1</v>
      </c>
      <c r="BH13" s="285">
        <f t="shared" si="4"/>
        <v>1</v>
      </c>
      <c r="BI13" s="285">
        <f t="shared" si="4"/>
        <v>1</v>
      </c>
      <c r="BJ13" s="285">
        <f t="shared" si="4"/>
        <v>1</v>
      </c>
      <c r="BK13" s="285">
        <f t="shared" si="4"/>
        <v>1</v>
      </c>
      <c r="BL13" s="285">
        <f t="shared" si="4"/>
        <v>1</v>
      </c>
      <c r="BM13" s="285">
        <f t="shared" si="4"/>
        <v>1</v>
      </c>
    </row>
    <row r="14">
      <c r="A14" s="803">
        <v>4.6</v>
      </c>
      <c r="B14" s="285">
        <f t="shared" ref="B14:BM14" si="5">IF(IF($A14&gt;B$9,ROUNDUP(($A14/B$9)*6,0),ROUNDDOWN(($A14/B$9)*6,0))&gt;20,20,IF(IF($A14&gt;B$9,ROUNDUP(($A14/B$9)*6,0),ROUNDDOWN(($A14/B$9)*6,0))&lt;1,1,IF($A14&gt;B$9,ROUNDUP(($A14/B$9)*6,0),ROUNDDOWN(($A14/B$9)*6,0))))</f>
        <v>10</v>
      </c>
      <c r="C14" s="285">
        <f t="shared" si="5"/>
        <v>7</v>
      </c>
      <c r="D14" s="285">
        <f t="shared" si="5"/>
        <v>7</v>
      </c>
      <c r="E14" s="285">
        <f t="shared" si="5"/>
        <v>7</v>
      </c>
      <c r="F14" s="285">
        <f t="shared" si="5"/>
        <v>6</v>
      </c>
      <c r="G14" s="285">
        <f t="shared" si="5"/>
        <v>5</v>
      </c>
      <c r="H14" s="285">
        <f t="shared" si="5"/>
        <v>5</v>
      </c>
      <c r="I14" s="285">
        <f t="shared" si="5"/>
        <v>5</v>
      </c>
      <c r="J14" s="285">
        <f t="shared" si="5"/>
        <v>5</v>
      </c>
      <c r="K14" s="285">
        <f t="shared" si="5"/>
        <v>5</v>
      </c>
      <c r="L14" s="285">
        <f t="shared" si="5"/>
        <v>5</v>
      </c>
      <c r="M14" s="285">
        <f t="shared" si="5"/>
        <v>4</v>
      </c>
      <c r="N14" s="285">
        <f t="shared" si="5"/>
        <v>4</v>
      </c>
      <c r="O14" s="285">
        <f t="shared" si="5"/>
        <v>4</v>
      </c>
      <c r="P14" s="285">
        <f t="shared" si="5"/>
        <v>4</v>
      </c>
      <c r="Q14" s="285">
        <f t="shared" si="5"/>
        <v>4</v>
      </c>
      <c r="R14" s="285">
        <f t="shared" si="5"/>
        <v>4</v>
      </c>
      <c r="S14" s="285">
        <f t="shared" si="5"/>
        <v>4</v>
      </c>
      <c r="T14" s="285">
        <f t="shared" si="5"/>
        <v>4</v>
      </c>
      <c r="U14" s="285">
        <f t="shared" si="5"/>
        <v>4</v>
      </c>
      <c r="V14" s="285">
        <f t="shared" si="5"/>
        <v>4</v>
      </c>
      <c r="W14" s="285">
        <f t="shared" si="5"/>
        <v>3</v>
      </c>
      <c r="X14" s="285">
        <f t="shared" si="5"/>
        <v>3</v>
      </c>
      <c r="Y14" s="285">
        <f t="shared" si="5"/>
        <v>3</v>
      </c>
      <c r="Z14" s="285">
        <f t="shared" si="5"/>
        <v>3</v>
      </c>
      <c r="AA14" s="285">
        <f t="shared" si="5"/>
        <v>3</v>
      </c>
      <c r="AB14" s="285">
        <f t="shared" si="5"/>
        <v>3</v>
      </c>
      <c r="AC14" s="285">
        <f t="shared" si="5"/>
        <v>3</v>
      </c>
      <c r="AD14" s="285">
        <f t="shared" si="5"/>
        <v>3</v>
      </c>
      <c r="AE14" s="285">
        <f t="shared" si="5"/>
        <v>3</v>
      </c>
      <c r="AF14" s="285">
        <f t="shared" si="5"/>
        <v>3</v>
      </c>
      <c r="AG14" s="285">
        <f t="shared" si="5"/>
        <v>3</v>
      </c>
      <c r="AH14" s="285">
        <f t="shared" si="5"/>
        <v>3</v>
      </c>
      <c r="AI14" s="285">
        <f t="shared" si="5"/>
        <v>3</v>
      </c>
      <c r="AJ14" s="285">
        <f t="shared" si="5"/>
        <v>2</v>
      </c>
      <c r="AK14" s="285">
        <f t="shared" si="5"/>
        <v>2</v>
      </c>
      <c r="AL14" s="285">
        <f t="shared" si="5"/>
        <v>2</v>
      </c>
      <c r="AM14" s="285">
        <f t="shared" si="5"/>
        <v>2</v>
      </c>
      <c r="AN14" s="285">
        <f t="shared" si="5"/>
        <v>2</v>
      </c>
      <c r="AO14" s="285">
        <f t="shared" si="5"/>
        <v>2</v>
      </c>
      <c r="AP14" s="285">
        <f t="shared" si="5"/>
        <v>2</v>
      </c>
      <c r="AQ14" s="285">
        <f t="shared" si="5"/>
        <v>2</v>
      </c>
      <c r="AR14" s="285">
        <f t="shared" si="5"/>
        <v>2</v>
      </c>
      <c r="AS14" s="285">
        <f t="shared" si="5"/>
        <v>2</v>
      </c>
      <c r="AT14" s="285">
        <f t="shared" si="5"/>
        <v>2</v>
      </c>
      <c r="AU14" s="285">
        <f t="shared" si="5"/>
        <v>2</v>
      </c>
      <c r="AV14" s="285">
        <f t="shared" si="5"/>
        <v>2</v>
      </c>
      <c r="AW14" s="285">
        <f t="shared" si="5"/>
        <v>1</v>
      </c>
      <c r="AX14" s="285">
        <f t="shared" si="5"/>
        <v>1</v>
      </c>
      <c r="AY14" s="285">
        <f t="shared" si="5"/>
        <v>1</v>
      </c>
      <c r="AZ14" s="285">
        <f t="shared" si="5"/>
        <v>1</v>
      </c>
      <c r="BA14" s="285">
        <f t="shared" si="5"/>
        <v>1</v>
      </c>
      <c r="BB14" s="285">
        <f t="shared" si="5"/>
        <v>1</v>
      </c>
      <c r="BC14" s="285">
        <f t="shared" si="5"/>
        <v>1</v>
      </c>
      <c r="BD14" s="285">
        <f t="shared" si="5"/>
        <v>1</v>
      </c>
      <c r="BE14" s="285">
        <f t="shared" si="5"/>
        <v>1</v>
      </c>
      <c r="BF14" s="285">
        <f t="shared" si="5"/>
        <v>1</v>
      </c>
      <c r="BG14" s="285">
        <f t="shared" si="5"/>
        <v>1</v>
      </c>
      <c r="BH14" s="285">
        <f t="shared" si="5"/>
        <v>1</v>
      </c>
      <c r="BI14" s="285">
        <f t="shared" si="5"/>
        <v>1</v>
      </c>
      <c r="BJ14" s="285">
        <f t="shared" si="5"/>
        <v>1</v>
      </c>
      <c r="BK14" s="285">
        <f t="shared" si="5"/>
        <v>1</v>
      </c>
      <c r="BL14" s="285">
        <f t="shared" si="5"/>
        <v>1</v>
      </c>
      <c r="BM14" s="285">
        <f t="shared" si="5"/>
        <v>1</v>
      </c>
    </row>
    <row r="15">
      <c r="A15" s="803">
        <v>4.8</v>
      </c>
      <c r="B15" s="285">
        <f t="shared" ref="B15:BM15" si="6">IF(IF($A15&gt;B$9,ROUNDUP(($A15/B$9)*6,0),ROUNDDOWN(($A15/B$9)*6,0))&gt;20,20,IF(IF($A15&gt;B$9,ROUNDUP(($A15/B$9)*6,0),ROUNDDOWN(($A15/B$9)*6,0))&lt;1,1,IF($A15&gt;B$9,ROUNDUP(($A15/B$9)*6,0),ROUNDDOWN(($A15/B$9)*6,0))))</f>
        <v>10</v>
      </c>
      <c r="C15" s="285">
        <f t="shared" si="6"/>
        <v>8</v>
      </c>
      <c r="D15" s="285">
        <f t="shared" si="6"/>
        <v>7</v>
      </c>
      <c r="E15" s="285">
        <f t="shared" si="6"/>
        <v>7</v>
      </c>
      <c r="F15" s="285">
        <f t="shared" si="6"/>
        <v>7</v>
      </c>
      <c r="G15" s="285">
        <f t="shared" si="6"/>
        <v>6</v>
      </c>
      <c r="H15" s="285">
        <f t="shared" si="6"/>
        <v>5</v>
      </c>
      <c r="I15" s="285">
        <f t="shared" si="6"/>
        <v>5</v>
      </c>
      <c r="J15" s="285">
        <f t="shared" si="6"/>
        <v>5</v>
      </c>
      <c r="K15" s="285">
        <f t="shared" si="6"/>
        <v>5</v>
      </c>
      <c r="L15" s="285">
        <f t="shared" si="6"/>
        <v>5</v>
      </c>
      <c r="M15" s="285">
        <f t="shared" si="6"/>
        <v>5</v>
      </c>
      <c r="N15" s="285">
        <f t="shared" si="6"/>
        <v>5</v>
      </c>
      <c r="O15" s="285">
        <f t="shared" si="6"/>
        <v>4</v>
      </c>
      <c r="P15" s="285">
        <f t="shared" si="6"/>
        <v>4</v>
      </c>
      <c r="Q15" s="285">
        <f t="shared" si="6"/>
        <v>4</v>
      </c>
      <c r="R15" s="285">
        <f t="shared" si="6"/>
        <v>4</v>
      </c>
      <c r="S15" s="285">
        <f t="shared" si="6"/>
        <v>4</v>
      </c>
      <c r="T15" s="285">
        <f t="shared" si="6"/>
        <v>4</v>
      </c>
      <c r="U15" s="285">
        <f t="shared" si="6"/>
        <v>4</v>
      </c>
      <c r="V15" s="285">
        <f t="shared" si="6"/>
        <v>4</v>
      </c>
      <c r="W15" s="285">
        <f t="shared" si="6"/>
        <v>4</v>
      </c>
      <c r="X15" s="285">
        <f t="shared" si="6"/>
        <v>4</v>
      </c>
      <c r="Y15" s="285">
        <f t="shared" si="6"/>
        <v>3</v>
      </c>
      <c r="Z15" s="285">
        <f t="shared" si="6"/>
        <v>3</v>
      </c>
      <c r="AA15" s="285">
        <f t="shared" si="6"/>
        <v>3</v>
      </c>
      <c r="AB15" s="285">
        <f t="shared" si="6"/>
        <v>3</v>
      </c>
      <c r="AC15" s="285">
        <f t="shared" si="6"/>
        <v>3</v>
      </c>
      <c r="AD15" s="285">
        <f t="shared" si="6"/>
        <v>3</v>
      </c>
      <c r="AE15" s="285">
        <f t="shared" si="6"/>
        <v>3</v>
      </c>
      <c r="AF15" s="285">
        <f t="shared" si="6"/>
        <v>3</v>
      </c>
      <c r="AG15" s="285">
        <f t="shared" si="6"/>
        <v>3</v>
      </c>
      <c r="AH15" s="285">
        <f t="shared" si="6"/>
        <v>3</v>
      </c>
      <c r="AI15" s="285">
        <f t="shared" si="6"/>
        <v>3</v>
      </c>
      <c r="AJ15" s="285">
        <f t="shared" si="6"/>
        <v>3</v>
      </c>
      <c r="AK15" s="285">
        <f t="shared" si="6"/>
        <v>2</v>
      </c>
      <c r="AL15" s="285">
        <f t="shared" si="6"/>
        <v>2</v>
      </c>
      <c r="AM15" s="285">
        <f t="shared" si="6"/>
        <v>2</v>
      </c>
      <c r="AN15" s="285">
        <f t="shared" si="6"/>
        <v>2</v>
      </c>
      <c r="AO15" s="285">
        <f t="shared" si="6"/>
        <v>2</v>
      </c>
      <c r="AP15" s="285">
        <f t="shared" si="6"/>
        <v>2</v>
      </c>
      <c r="AQ15" s="285">
        <f t="shared" si="6"/>
        <v>2</v>
      </c>
      <c r="AR15" s="285">
        <f t="shared" si="6"/>
        <v>2</v>
      </c>
      <c r="AS15" s="285">
        <f t="shared" si="6"/>
        <v>2</v>
      </c>
      <c r="AT15" s="285">
        <f t="shared" si="6"/>
        <v>2</v>
      </c>
      <c r="AU15" s="285">
        <f t="shared" si="6"/>
        <v>2</v>
      </c>
      <c r="AV15" s="285">
        <f t="shared" si="6"/>
        <v>2</v>
      </c>
      <c r="AW15" s="285">
        <f t="shared" si="6"/>
        <v>2</v>
      </c>
      <c r="AX15" s="285">
        <f t="shared" si="6"/>
        <v>1</v>
      </c>
      <c r="AY15" s="285">
        <f t="shared" si="6"/>
        <v>1</v>
      </c>
      <c r="AZ15" s="285">
        <f t="shared" si="6"/>
        <v>1</v>
      </c>
      <c r="BA15" s="285">
        <f t="shared" si="6"/>
        <v>1</v>
      </c>
      <c r="BB15" s="285">
        <f t="shared" si="6"/>
        <v>1</v>
      </c>
      <c r="BC15" s="285">
        <f t="shared" si="6"/>
        <v>1</v>
      </c>
      <c r="BD15" s="285">
        <f t="shared" si="6"/>
        <v>1</v>
      </c>
      <c r="BE15" s="285">
        <f t="shared" si="6"/>
        <v>1</v>
      </c>
      <c r="BF15" s="285">
        <f t="shared" si="6"/>
        <v>1</v>
      </c>
      <c r="BG15" s="285">
        <f t="shared" si="6"/>
        <v>1</v>
      </c>
      <c r="BH15" s="285">
        <f t="shared" si="6"/>
        <v>1</v>
      </c>
      <c r="BI15" s="285">
        <f t="shared" si="6"/>
        <v>1</v>
      </c>
      <c r="BJ15" s="285">
        <f t="shared" si="6"/>
        <v>1</v>
      </c>
      <c r="BK15" s="285">
        <f t="shared" si="6"/>
        <v>1</v>
      </c>
      <c r="BL15" s="285">
        <f t="shared" si="6"/>
        <v>1</v>
      </c>
      <c r="BM15" s="285">
        <f t="shared" si="6"/>
        <v>1</v>
      </c>
    </row>
    <row r="16">
      <c r="A16" s="803">
        <v>5.0</v>
      </c>
      <c r="B16" s="285">
        <f t="shared" ref="B16:BM16" si="7">IF(IF($A16&gt;B$9,ROUNDUP(($A16/B$9)*6,0),ROUNDDOWN(($A16/B$9)*6,0))&gt;20,20,IF(IF($A16&gt;B$9,ROUNDUP(($A16/B$9)*6,0),ROUNDDOWN(($A16/B$9)*6,0))&lt;1,1,IF($A16&gt;B$9,ROUNDUP(($A16/B$9)*6,0),ROUNDDOWN(($A16/B$9)*6,0))))</f>
        <v>10</v>
      </c>
      <c r="C16" s="285">
        <f t="shared" si="7"/>
        <v>8</v>
      </c>
      <c r="D16" s="285">
        <f t="shared" si="7"/>
        <v>8</v>
      </c>
      <c r="E16" s="285">
        <f t="shared" si="7"/>
        <v>7</v>
      </c>
      <c r="F16" s="285">
        <f t="shared" si="7"/>
        <v>7</v>
      </c>
      <c r="G16" s="285">
        <f t="shared" si="7"/>
        <v>7</v>
      </c>
      <c r="H16" s="285">
        <f t="shared" si="7"/>
        <v>6</v>
      </c>
      <c r="I16" s="285">
        <f t="shared" si="7"/>
        <v>5</v>
      </c>
      <c r="J16" s="285">
        <f t="shared" si="7"/>
        <v>5</v>
      </c>
      <c r="K16" s="285">
        <f t="shared" si="7"/>
        <v>5</v>
      </c>
      <c r="L16" s="285">
        <f t="shared" si="7"/>
        <v>5</v>
      </c>
      <c r="M16" s="285">
        <f t="shared" si="7"/>
        <v>5</v>
      </c>
      <c r="N16" s="285">
        <f t="shared" si="7"/>
        <v>5</v>
      </c>
      <c r="O16" s="285">
        <f t="shared" si="7"/>
        <v>5</v>
      </c>
      <c r="P16" s="285">
        <f t="shared" si="7"/>
        <v>5</v>
      </c>
      <c r="Q16" s="285">
        <f t="shared" si="7"/>
        <v>4</v>
      </c>
      <c r="R16" s="285">
        <f t="shared" si="7"/>
        <v>4</v>
      </c>
      <c r="S16" s="285">
        <f t="shared" si="7"/>
        <v>4</v>
      </c>
      <c r="T16" s="285">
        <f t="shared" si="7"/>
        <v>4</v>
      </c>
      <c r="U16" s="285">
        <f t="shared" si="7"/>
        <v>4</v>
      </c>
      <c r="V16" s="285">
        <f t="shared" si="7"/>
        <v>4</v>
      </c>
      <c r="W16" s="285">
        <f t="shared" si="7"/>
        <v>4</v>
      </c>
      <c r="X16" s="285">
        <f t="shared" si="7"/>
        <v>4</v>
      </c>
      <c r="Y16" s="285">
        <f t="shared" si="7"/>
        <v>4</v>
      </c>
      <c r="Z16" s="285">
        <f t="shared" si="7"/>
        <v>4</v>
      </c>
      <c r="AA16" s="285">
        <f t="shared" si="7"/>
        <v>3</v>
      </c>
      <c r="AB16" s="285">
        <f t="shared" si="7"/>
        <v>3</v>
      </c>
      <c r="AC16" s="285">
        <f t="shared" si="7"/>
        <v>3</v>
      </c>
      <c r="AD16" s="285">
        <f t="shared" si="7"/>
        <v>3</v>
      </c>
      <c r="AE16" s="285">
        <f t="shared" si="7"/>
        <v>3</v>
      </c>
      <c r="AF16" s="285">
        <f t="shared" si="7"/>
        <v>3</v>
      </c>
      <c r="AG16" s="285">
        <f t="shared" si="7"/>
        <v>3</v>
      </c>
      <c r="AH16" s="285">
        <f t="shared" si="7"/>
        <v>3</v>
      </c>
      <c r="AI16" s="285">
        <f t="shared" si="7"/>
        <v>3</v>
      </c>
      <c r="AJ16" s="285">
        <f t="shared" si="7"/>
        <v>3</v>
      </c>
      <c r="AK16" s="285">
        <f t="shared" si="7"/>
        <v>3</v>
      </c>
      <c r="AL16" s="285">
        <f t="shared" si="7"/>
        <v>2</v>
      </c>
      <c r="AM16" s="285">
        <f t="shared" si="7"/>
        <v>2</v>
      </c>
      <c r="AN16" s="285">
        <f t="shared" si="7"/>
        <v>2</v>
      </c>
      <c r="AO16" s="285">
        <f t="shared" si="7"/>
        <v>2</v>
      </c>
      <c r="AP16" s="285">
        <f t="shared" si="7"/>
        <v>2</v>
      </c>
      <c r="AQ16" s="285">
        <f t="shared" si="7"/>
        <v>2</v>
      </c>
      <c r="AR16" s="285">
        <f t="shared" si="7"/>
        <v>2</v>
      </c>
      <c r="AS16" s="285">
        <f t="shared" si="7"/>
        <v>2</v>
      </c>
      <c r="AT16" s="285">
        <f t="shared" si="7"/>
        <v>2</v>
      </c>
      <c r="AU16" s="285">
        <f t="shared" si="7"/>
        <v>2</v>
      </c>
      <c r="AV16" s="285">
        <f t="shared" si="7"/>
        <v>2</v>
      </c>
      <c r="AW16" s="285">
        <f t="shared" si="7"/>
        <v>2</v>
      </c>
      <c r="AX16" s="285">
        <f t="shared" si="7"/>
        <v>2</v>
      </c>
      <c r="AY16" s="285">
        <f t="shared" si="7"/>
        <v>2</v>
      </c>
      <c r="AZ16" s="285">
        <f t="shared" si="7"/>
        <v>1</v>
      </c>
      <c r="BA16" s="285">
        <f t="shared" si="7"/>
        <v>1</v>
      </c>
      <c r="BB16" s="285">
        <f t="shared" si="7"/>
        <v>1</v>
      </c>
      <c r="BC16" s="285">
        <f t="shared" si="7"/>
        <v>1</v>
      </c>
      <c r="BD16" s="285">
        <f t="shared" si="7"/>
        <v>1</v>
      </c>
      <c r="BE16" s="285">
        <f t="shared" si="7"/>
        <v>1</v>
      </c>
      <c r="BF16" s="285">
        <f t="shared" si="7"/>
        <v>1</v>
      </c>
      <c r="BG16" s="285">
        <f t="shared" si="7"/>
        <v>1</v>
      </c>
      <c r="BH16" s="285">
        <f t="shared" si="7"/>
        <v>1</v>
      </c>
      <c r="BI16" s="285">
        <f t="shared" si="7"/>
        <v>1</v>
      </c>
      <c r="BJ16" s="285">
        <f t="shared" si="7"/>
        <v>1</v>
      </c>
      <c r="BK16" s="285">
        <f t="shared" si="7"/>
        <v>1</v>
      </c>
      <c r="BL16" s="285">
        <f t="shared" si="7"/>
        <v>1</v>
      </c>
      <c r="BM16" s="285">
        <f t="shared" si="7"/>
        <v>1</v>
      </c>
    </row>
    <row r="17">
      <c r="A17" s="803">
        <v>5.2</v>
      </c>
      <c r="B17" s="285">
        <f t="shared" ref="B17:BM17" si="8">IF(IF($A17&gt;B$9,ROUNDUP(($A17/B$9)*6,0),ROUNDDOWN(($A17/B$9)*6,0))&gt;20,20,IF(IF($A17&gt;B$9,ROUNDUP(($A17/B$9)*6,0),ROUNDDOWN(($A17/B$9)*6,0))&lt;1,1,IF($A17&gt;B$9,ROUNDUP(($A17/B$9)*6,0),ROUNDDOWN(($A17/B$9)*6,0))))</f>
        <v>11</v>
      </c>
      <c r="C17" s="285">
        <f t="shared" si="8"/>
        <v>8</v>
      </c>
      <c r="D17" s="285">
        <f t="shared" si="8"/>
        <v>8</v>
      </c>
      <c r="E17" s="285">
        <f t="shared" si="8"/>
        <v>8</v>
      </c>
      <c r="F17" s="285">
        <f t="shared" si="8"/>
        <v>7</v>
      </c>
      <c r="G17" s="285">
        <f t="shared" si="8"/>
        <v>7</v>
      </c>
      <c r="H17" s="285">
        <f t="shared" si="8"/>
        <v>7</v>
      </c>
      <c r="I17" s="285">
        <f t="shared" si="8"/>
        <v>6</v>
      </c>
      <c r="J17" s="285">
        <f t="shared" si="8"/>
        <v>5</v>
      </c>
      <c r="K17" s="285">
        <f t="shared" si="8"/>
        <v>5</v>
      </c>
      <c r="L17" s="285">
        <f t="shared" si="8"/>
        <v>5</v>
      </c>
      <c r="M17" s="285">
        <f t="shared" si="8"/>
        <v>5</v>
      </c>
      <c r="N17" s="285">
        <f t="shared" si="8"/>
        <v>5</v>
      </c>
      <c r="O17" s="285">
        <f t="shared" si="8"/>
        <v>5</v>
      </c>
      <c r="P17" s="285">
        <f t="shared" si="8"/>
        <v>5</v>
      </c>
      <c r="Q17" s="285">
        <f t="shared" si="8"/>
        <v>4</v>
      </c>
      <c r="R17" s="285">
        <f t="shared" si="8"/>
        <v>4</v>
      </c>
      <c r="S17" s="285">
        <f t="shared" si="8"/>
        <v>4</v>
      </c>
      <c r="T17" s="285">
        <f t="shared" si="8"/>
        <v>4</v>
      </c>
      <c r="U17" s="285">
        <f t="shared" si="8"/>
        <v>4</v>
      </c>
      <c r="V17" s="285">
        <f t="shared" si="8"/>
        <v>4</v>
      </c>
      <c r="W17" s="285">
        <f t="shared" si="8"/>
        <v>4</v>
      </c>
      <c r="X17" s="285">
        <f t="shared" si="8"/>
        <v>4</v>
      </c>
      <c r="Y17" s="285">
        <f t="shared" si="8"/>
        <v>4</v>
      </c>
      <c r="Z17" s="285">
        <f t="shared" si="8"/>
        <v>4</v>
      </c>
      <c r="AA17" s="285">
        <f t="shared" si="8"/>
        <v>4</v>
      </c>
      <c r="AB17" s="285">
        <f t="shared" si="8"/>
        <v>3</v>
      </c>
      <c r="AC17" s="285">
        <f t="shared" si="8"/>
        <v>3</v>
      </c>
      <c r="AD17" s="285">
        <f t="shared" si="8"/>
        <v>3</v>
      </c>
      <c r="AE17" s="285">
        <f t="shared" si="8"/>
        <v>3</v>
      </c>
      <c r="AF17" s="285">
        <f t="shared" si="8"/>
        <v>3</v>
      </c>
      <c r="AG17" s="285">
        <f t="shared" si="8"/>
        <v>3</v>
      </c>
      <c r="AH17" s="285">
        <f t="shared" si="8"/>
        <v>3</v>
      </c>
      <c r="AI17" s="285">
        <f t="shared" si="8"/>
        <v>3</v>
      </c>
      <c r="AJ17" s="285">
        <f t="shared" si="8"/>
        <v>3</v>
      </c>
      <c r="AK17" s="285">
        <f t="shared" si="8"/>
        <v>3</v>
      </c>
      <c r="AL17" s="285">
        <f t="shared" si="8"/>
        <v>3</v>
      </c>
      <c r="AM17" s="285">
        <f t="shared" si="8"/>
        <v>2</v>
      </c>
      <c r="AN17" s="285">
        <f t="shared" si="8"/>
        <v>2</v>
      </c>
      <c r="AO17" s="285">
        <f t="shared" si="8"/>
        <v>2</v>
      </c>
      <c r="AP17" s="285">
        <f t="shared" si="8"/>
        <v>2</v>
      </c>
      <c r="AQ17" s="285">
        <f t="shared" si="8"/>
        <v>2</v>
      </c>
      <c r="AR17" s="285">
        <f t="shared" si="8"/>
        <v>2</v>
      </c>
      <c r="AS17" s="285">
        <f t="shared" si="8"/>
        <v>2</v>
      </c>
      <c r="AT17" s="285">
        <f t="shared" si="8"/>
        <v>2</v>
      </c>
      <c r="AU17" s="285">
        <f t="shared" si="8"/>
        <v>2</v>
      </c>
      <c r="AV17" s="285">
        <f t="shared" si="8"/>
        <v>2</v>
      </c>
      <c r="AW17" s="285">
        <f t="shared" si="8"/>
        <v>2</v>
      </c>
      <c r="AX17" s="285">
        <f t="shared" si="8"/>
        <v>2</v>
      </c>
      <c r="AY17" s="285">
        <f t="shared" si="8"/>
        <v>2</v>
      </c>
      <c r="AZ17" s="285">
        <f t="shared" si="8"/>
        <v>1</v>
      </c>
      <c r="BA17" s="285">
        <f t="shared" si="8"/>
        <v>1</v>
      </c>
      <c r="BB17" s="285">
        <f t="shared" si="8"/>
        <v>1</v>
      </c>
      <c r="BC17" s="285">
        <f t="shared" si="8"/>
        <v>1</v>
      </c>
      <c r="BD17" s="285">
        <f t="shared" si="8"/>
        <v>1</v>
      </c>
      <c r="BE17" s="285">
        <f t="shared" si="8"/>
        <v>1</v>
      </c>
      <c r="BF17" s="285">
        <f t="shared" si="8"/>
        <v>1</v>
      </c>
      <c r="BG17" s="285">
        <f t="shared" si="8"/>
        <v>1</v>
      </c>
      <c r="BH17" s="285">
        <f t="shared" si="8"/>
        <v>1</v>
      </c>
      <c r="BI17" s="285">
        <f t="shared" si="8"/>
        <v>1</v>
      </c>
      <c r="BJ17" s="285">
        <f t="shared" si="8"/>
        <v>1</v>
      </c>
      <c r="BK17" s="285">
        <f t="shared" si="8"/>
        <v>1</v>
      </c>
      <c r="BL17" s="285">
        <f t="shared" si="8"/>
        <v>1</v>
      </c>
      <c r="BM17" s="285">
        <f t="shared" si="8"/>
        <v>1</v>
      </c>
    </row>
    <row r="18">
      <c r="A18" s="803">
        <v>5.25</v>
      </c>
      <c r="B18" s="285">
        <f t="shared" ref="B18:BM18" si="9">IF(IF($A18&gt;B$9,ROUNDUP(($A18/B$9)*6,0),ROUNDDOWN(($A18/B$9)*6,0))&gt;20,20,IF(IF($A18&gt;B$9,ROUNDUP(($A18/B$9)*6,0),ROUNDDOWN(($A18/B$9)*6,0))&lt;1,1,IF($A18&gt;B$9,ROUNDUP(($A18/B$9)*6,0),ROUNDDOWN(($A18/B$9)*6,0))))</f>
        <v>11</v>
      </c>
      <c r="C18" s="285">
        <f t="shared" si="9"/>
        <v>8</v>
      </c>
      <c r="D18" s="285">
        <f t="shared" si="9"/>
        <v>8</v>
      </c>
      <c r="E18" s="285">
        <f t="shared" si="9"/>
        <v>8</v>
      </c>
      <c r="F18" s="285">
        <f t="shared" si="9"/>
        <v>7</v>
      </c>
      <c r="G18" s="285">
        <f t="shared" si="9"/>
        <v>7</v>
      </c>
      <c r="H18" s="285">
        <f t="shared" si="9"/>
        <v>7</v>
      </c>
      <c r="I18" s="285">
        <f t="shared" si="9"/>
        <v>7</v>
      </c>
      <c r="J18" s="285">
        <f t="shared" si="9"/>
        <v>6</v>
      </c>
      <c r="K18" s="285">
        <f t="shared" si="9"/>
        <v>5</v>
      </c>
      <c r="L18" s="285">
        <f t="shared" si="9"/>
        <v>5</v>
      </c>
      <c r="M18" s="285">
        <f t="shared" si="9"/>
        <v>5</v>
      </c>
      <c r="N18" s="285">
        <f t="shared" si="9"/>
        <v>5</v>
      </c>
      <c r="O18" s="285">
        <f t="shared" si="9"/>
        <v>5</v>
      </c>
      <c r="P18" s="285">
        <f t="shared" si="9"/>
        <v>5</v>
      </c>
      <c r="Q18" s="285">
        <f t="shared" si="9"/>
        <v>5</v>
      </c>
      <c r="R18" s="285">
        <f t="shared" si="9"/>
        <v>5</v>
      </c>
      <c r="S18" s="285">
        <f t="shared" si="9"/>
        <v>4</v>
      </c>
      <c r="T18" s="285">
        <f t="shared" si="9"/>
        <v>4</v>
      </c>
      <c r="U18" s="285">
        <f t="shared" si="9"/>
        <v>4</v>
      </c>
      <c r="V18" s="285">
        <f t="shared" si="9"/>
        <v>4</v>
      </c>
      <c r="W18" s="285">
        <f t="shared" si="9"/>
        <v>4</v>
      </c>
      <c r="X18" s="285">
        <f t="shared" si="9"/>
        <v>4</v>
      </c>
      <c r="Y18" s="285">
        <f t="shared" si="9"/>
        <v>4</v>
      </c>
      <c r="Z18" s="285">
        <f t="shared" si="9"/>
        <v>4</v>
      </c>
      <c r="AA18" s="285">
        <f t="shared" si="9"/>
        <v>4</v>
      </c>
      <c r="AB18" s="285">
        <f t="shared" si="9"/>
        <v>3</v>
      </c>
      <c r="AC18" s="285">
        <f t="shared" si="9"/>
        <v>3</v>
      </c>
      <c r="AD18" s="285">
        <f t="shared" si="9"/>
        <v>3</v>
      </c>
      <c r="AE18" s="285">
        <f t="shared" si="9"/>
        <v>3</v>
      </c>
      <c r="AF18" s="285">
        <f t="shared" si="9"/>
        <v>3</v>
      </c>
      <c r="AG18" s="285">
        <f t="shared" si="9"/>
        <v>3</v>
      </c>
      <c r="AH18" s="285">
        <f t="shared" si="9"/>
        <v>3</v>
      </c>
      <c r="AI18" s="285">
        <f t="shared" si="9"/>
        <v>3</v>
      </c>
      <c r="AJ18" s="285">
        <f t="shared" si="9"/>
        <v>3</v>
      </c>
      <c r="AK18" s="285">
        <f t="shared" si="9"/>
        <v>3</v>
      </c>
      <c r="AL18" s="285">
        <f t="shared" si="9"/>
        <v>3</v>
      </c>
      <c r="AM18" s="285">
        <f t="shared" si="9"/>
        <v>3</v>
      </c>
      <c r="AN18" s="285">
        <f t="shared" si="9"/>
        <v>2</v>
      </c>
      <c r="AO18" s="285">
        <f t="shared" si="9"/>
        <v>2</v>
      </c>
      <c r="AP18" s="285">
        <f t="shared" si="9"/>
        <v>2</v>
      </c>
      <c r="AQ18" s="285">
        <f t="shared" si="9"/>
        <v>2</v>
      </c>
      <c r="AR18" s="285">
        <f t="shared" si="9"/>
        <v>2</v>
      </c>
      <c r="AS18" s="285">
        <f t="shared" si="9"/>
        <v>2</v>
      </c>
      <c r="AT18" s="285">
        <f t="shared" si="9"/>
        <v>2</v>
      </c>
      <c r="AU18" s="285">
        <f t="shared" si="9"/>
        <v>2</v>
      </c>
      <c r="AV18" s="285">
        <f t="shared" si="9"/>
        <v>2</v>
      </c>
      <c r="AW18" s="285">
        <f t="shared" si="9"/>
        <v>2</v>
      </c>
      <c r="AX18" s="285">
        <f t="shared" si="9"/>
        <v>2</v>
      </c>
      <c r="AY18" s="285">
        <f t="shared" si="9"/>
        <v>2</v>
      </c>
      <c r="AZ18" s="285">
        <f t="shared" si="9"/>
        <v>1</v>
      </c>
      <c r="BA18" s="285">
        <f t="shared" si="9"/>
        <v>1</v>
      </c>
      <c r="BB18" s="285">
        <f t="shared" si="9"/>
        <v>1</v>
      </c>
      <c r="BC18" s="285">
        <f t="shared" si="9"/>
        <v>1</v>
      </c>
      <c r="BD18" s="285">
        <f t="shared" si="9"/>
        <v>1</v>
      </c>
      <c r="BE18" s="285">
        <f t="shared" si="9"/>
        <v>1</v>
      </c>
      <c r="BF18" s="285">
        <f t="shared" si="9"/>
        <v>1</v>
      </c>
      <c r="BG18" s="285">
        <f t="shared" si="9"/>
        <v>1</v>
      </c>
      <c r="BH18" s="285">
        <f t="shared" si="9"/>
        <v>1</v>
      </c>
      <c r="BI18" s="285">
        <f t="shared" si="9"/>
        <v>1</v>
      </c>
      <c r="BJ18" s="285">
        <f t="shared" si="9"/>
        <v>1</v>
      </c>
      <c r="BK18" s="285">
        <f t="shared" si="9"/>
        <v>1</v>
      </c>
      <c r="BL18" s="285">
        <f t="shared" si="9"/>
        <v>1</v>
      </c>
      <c r="BM18" s="285">
        <f t="shared" si="9"/>
        <v>1</v>
      </c>
    </row>
    <row r="19">
      <c r="A19" s="803">
        <v>5.4</v>
      </c>
      <c r="B19" s="285">
        <f t="shared" ref="B19:BM19" si="10">IF(IF($A19&gt;B$9,ROUNDUP(($A19/B$9)*6,0),ROUNDDOWN(($A19/B$9)*6,0))&gt;20,20,IF(IF($A19&gt;B$9,ROUNDUP(($A19/B$9)*6,0),ROUNDDOWN(($A19/B$9)*6,0))&lt;1,1,IF($A19&gt;B$9,ROUNDUP(($A19/B$9)*6,0),ROUNDDOWN(($A19/B$9)*6,0))))</f>
        <v>11</v>
      </c>
      <c r="C19" s="285">
        <f t="shared" si="10"/>
        <v>9</v>
      </c>
      <c r="D19" s="285">
        <f t="shared" si="10"/>
        <v>8</v>
      </c>
      <c r="E19" s="285">
        <f t="shared" si="10"/>
        <v>8</v>
      </c>
      <c r="F19" s="285">
        <f t="shared" si="10"/>
        <v>8</v>
      </c>
      <c r="G19" s="285">
        <f t="shared" si="10"/>
        <v>7</v>
      </c>
      <c r="H19" s="285">
        <f t="shared" si="10"/>
        <v>7</v>
      </c>
      <c r="I19" s="285">
        <f t="shared" si="10"/>
        <v>7</v>
      </c>
      <c r="J19" s="285">
        <f t="shared" si="10"/>
        <v>7</v>
      </c>
      <c r="K19" s="285">
        <f t="shared" si="10"/>
        <v>6</v>
      </c>
      <c r="L19" s="285">
        <f t="shared" si="10"/>
        <v>5</v>
      </c>
      <c r="M19" s="285">
        <f t="shared" si="10"/>
        <v>5</v>
      </c>
      <c r="N19" s="285">
        <f t="shared" si="10"/>
        <v>5</v>
      </c>
      <c r="O19" s="285">
        <f t="shared" si="10"/>
        <v>5</v>
      </c>
      <c r="P19" s="285">
        <f t="shared" si="10"/>
        <v>5</v>
      </c>
      <c r="Q19" s="285">
        <f t="shared" si="10"/>
        <v>5</v>
      </c>
      <c r="R19" s="285">
        <f t="shared" si="10"/>
        <v>5</v>
      </c>
      <c r="S19" s="285">
        <f t="shared" si="10"/>
        <v>4</v>
      </c>
      <c r="T19" s="285">
        <f t="shared" si="10"/>
        <v>4</v>
      </c>
      <c r="U19" s="285">
        <f t="shared" si="10"/>
        <v>4</v>
      </c>
      <c r="V19" s="285">
        <f t="shared" si="10"/>
        <v>4</v>
      </c>
      <c r="W19" s="285">
        <f t="shared" si="10"/>
        <v>4</v>
      </c>
      <c r="X19" s="285">
        <f t="shared" si="10"/>
        <v>4</v>
      </c>
      <c r="Y19" s="285">
        <f t="shared" si="10"/>
        <v>4</v>
      </c>
      <c r="Z19" s="285">
        <f t="shared" si="10"/>
        <v>4</v>
      </c>
      <c r="AA19" s="285">
        <f t="shared" si="10"/>
        <v>4</v>
      </c>
      <c r="AB19" s="285">
        <f t="shared" si="10"/>
        <v>4</v>
      </c>
      <c r="AC19" s="285">
        <f t="shared" si="10"/>
        <v>4</v>
      </c>
      <c r="AD19" s="285">
        <f t="shared" si="10"/>
        <v>3</v>
      </c>
      <c r="AE19" s="285">
        <f t="shared" si="10"/>
        <v>3</v>
      </c>
      <c r="AF19" s="285">
        <f t="shared" si="10"/>
        <v>3</v>
      </c>
      <c r="AG19" s="285">
        <f t="shared" si="10"/>
        <v>3</v>
      </c>
      <c r="AH19" s="285">
        <f t="shared" si="10"/>
        <v>3</v>
      </c>
      <c r="AI19" s="285">
        <f t="shared" si="10"/>
        <v>3</v>
      </c>
      <c r="AJ19" s="285">
        <f t="shared" si="10"/>
        <v>3</v>
      </c>
      <c r="AK19" s="285">
        <f t="shared" si="10"/>
        <v>3</v>
      </c>
      <c r="AL19" s="285">
        <f t="shared" si="10"/>
        <v>3</v>
      </c>
      <c r="AM19" s="285">
        <f t="shared" si="10"/>
        <v>3</v>
      </c>
      <c r="AN19" s="285">
        <f t="shared" si="10"/>
        <v>3</v>
      </c>
      <c r="AO19" s="285">
        <f t="shared" si="10"/>
        <v>2</v>
      </c>
      <c r="AP19" s="285">
        <f t="shared" si="10"/>
        <v>2</v>
      </c>
      <c r="AQ19" s="285">
        <f t="shared" si="10"/>
        <v>2</v>
      </c>
      <c r="AR19" s="285">
        <f t="shared" si="10"/>
        <v>2</v>
      </c>
      <c r="AS19" s="285">
        <f t="shared" si="10"/>
        <v>2</v>
      </c>
      <c r="AT19" s="285">
        <f t="shared" si="10"/>
        <v>2</v>
      </c>
      <c r="AU19" s="285">
        <f t="shared" si="10"/>
        <v>2</v>
      </c>
      <c r="AV19" s="285">
        <f t="shared" si="10"/>
        <v>2</v>
      </c>
      <c r="AW19" s="285">
        <f t="shared" si="10"/>
        <v>2</v>
      </c>
      <c r="AX19" s="285">
        <f t="shared" si="10"/>
        <v>2</v>
      </c>
      <c r="AY19" s="285">
        <f t="shared" si="10"/>
        <v>2</v>
      </c>
      <c r="AZ19" s="285">
        <f t="shared" si="10"/>
        <v>2</v>
      </c>
      <c r="BA19" s="285">
        <f t="shared" si="10"/>
        <v>1</v>
      </c>
      <c r="BB19" s="285">
        <f t="shared" si="10"/>
        <v>1</v>
      </c>
      <c r="BC19" s="285">
        <f t="shared" si="10"/>
        <v>1</v>
      </c>
      <c r="BD19" s="285">
        <f t="shared" si="10"/>
        <v>1</v>
      </c>
      <c r="BE19" s="285">
        <f t="shared" si="10"/>
        <v>1</v>
      </c>
      <c r="BF19" s="285">
        <f t="shared" si="10"/>
        <v>1</v>
      </c>
      <c r="BG19" s="285">
        <f t="shared" si="10"/>
        <v>1</v>
      </c>
      <c r="BH19" s="285">
        <f t="shared" si="10"/>
        <v>1</v>
      </c>
      <c r="BI19" s="285">
        <f t="shared" si="10"/>
        <v>1</v>
      </c>
      <c r="BJ19" s="285">
        <f t="shared" si="10"/>
        <v>1</v>
      </c>
      <c r="BK19" s="285">
        <f t="shared" si="10"/>
        <v>1</v>
      </c>
      <c r="BL19" s="285">
        <f t="shared" si="10"/>
        <v>1</v>
      </c>
      <c r="BM19" s="285">
        <f t="shared" si="10"/>
        <v>1</v>
      </c>
    </row>
    <row r="20">
      <c r="A20" s="803">
        <v>5.5</v>
      </c>
      <c r="B20" s="285">
        <f t="shared" ref="B20:BM20" si="11">IF(IF($A20&gt;B$9,ROUNDUP(($A20/B$9)*6,0),ROUNDDOWN(($A20/B$9)*6,0))&gt;20,20,IF(IF($A20&gt;B$9,ROUNDUP(($A20/B$9)*6,0),ROUNDDOWN(($A20/B$9)*6,0))&lt;1,1,IF($A20&gt;B$9,ROUNDUP(($A20/B$9)*6,0),ROUNDDOWN(($A20/B$9)*6,0))))</f>
        <v>11</v>
      </c>
      <c r="C20" s="285">
        <f t="shared" si="11"/>
        <v>9</v>
      </c>
      <c r="D20" s="285">
        <f t="shared" si="11"/>
        <v>8</v>
      </c>
      <c r="E20" s="285">
        <f t="shared" si="11"/>
        <v>8</v>
      </c>
      <c r="F20" s="285">
        <f t="shared" si="11"/>
        <v>8</v>
      </c>
      <c r="G20" s="285">
        <f t="shared" si="11"/>
        <v>7</v>
      </c>
      <c r="H20" s="285">
        <f t="shared" si="11"/>
        <v>7</v>
      </c>
      <c r="I20" s="285">
        <f t="shared" si="11"/>
        <v>7</v>
      </c>
      <c r="J20" s="285">
        <f t="shared" si="11"/>
        <v>7</v>
      </c>
      <c r="K20" s="285">
        <f t="shared" si="11"/>
        <v>7</v>
      </c>
      <c r="L20" s="285">
        <f t="shared" si="11"/>
        <v>6</v>
      </c>
      <c r="M20" s="285">
        <f t="shared" si="11"/>
        <v>5</v>
      </c>
      <c r="N20" s="285">
        <f t="shared" si="11"/>
        <v>5</v>
      </c>
      <c r="O20" s="285">
        <f t="shared" si="11"/>
        <v>5</v>
      </c>
      <c r="P20" s="285">
        <f t="shared" si="11"/>
        <v>5</v>
      </c>
      <c r="Q20" s="285">
        <f t="shared" si="11"/>
        <v>5</v>
      </c>
      <c r="R20" s="285">
        <f t="shared" si="11"/>
        <v>5</v>
      </c>
      <c r="S20" s="285">
        <f t="shared" si="11"/>
        <v>5</v>
      </c>
      <c r="T20" s="285">
        <f t="shared" si="11"/>
        <v>5</v>
      </c>
      <c r="U20" s="285">
        <f t="shared" si="11"/>
        <v>4</v>
      </c>
      <c r="V20" s="285">
        <f t="shared" si="11"/>
        <v>4</v>
      </c>
      <c r="W20" s="285">
        <f t="shared" si="11"/>
        <v>4</v>
      </c>
      <c r="X20" s="285">
        <f t="shared" si="11"/>
        <v>4</v>
      </c>
      <c r="Y20" s="285">
        <f t="shared" si="11"/>
        <v>4</v>
      </c>
      <c r="Z20" s="285">
        <f t="shared" si="11"/>
        <v>4</v>
      </c>
      <c r="AA20" s="285">
        <f t="shared" si="11"/>
        <v>4</v>
      </c>
      <c r="AB20" s="285">
        <f t="shared" si="11"/>
        <v>4</v>
      </c>
      <c r="AC20" s="285">
        <f t="shared" si="11"/>
        <v>4</v>
      </c>
      <c r="AD20" s="285">
        <f t="shared" si="11"/>
        <v>3</v>
      </c>
      <c r="AE20" s="285">
        <f t="shared" si="11"/>
        <v>3</v>
      </c>
      <c r="AF20" s="285">
        <f t="shared" si="11"/>
        <v>3</v>
      </c>
      <c r="AG20" s="285">
        <f t="shared" si="11"/>
        <v>3</v>
      </c>
      <c r="AH20" s="285">
        <f t="shared" si="11"/>
        <v>3</v>
      </c>
      <c r="AI20" s="285">
        <f t="shared" si="11"/>
        <v>3</v>
      </c>
      <c r="AJ20" s="285">
        <f t="shared" si="11"/>
        <v>3</v>
      </c>
      <c r="AK20" s="285">
        <f t="shared" si="11"/>
        <v>3</v>
      </c>
      <c r="AL20" s="285">
        <f t="shared" si="11"/>
        <v>3</v>
      </c>
      <c r="AM20" s="285">
        <f t="shared" si="11"/>
        <v>3</v>
      </c>
      <c r="AN20" s="285">
        <f t="shared" si="11"/>
        <v>3</v>
      </c>
      <c r="AO20" s="285">
        <f t="shared" si="11"/>
        <v>3</v>
      </c>
      <c r="AP20" s="285">
        <f t="shared" si="11"/>
        <v>2</v>
      </c>
      <c r="AQ20" s="285">
        <f t="shared" si="11"/>
        <v>2</v>
      </c>
      <c r="AR20" s="285">
        <f t="shared" si="11"/>
        <v>2</v>
      </c>
      <c r="AS20" s="285">
        <f t="shared" si="11"/>
        <v>2</v>
      </c>
      <c r="AT20" s="285">
        <f t="shared" si="11"/>
        <v>2</v>
      </c>
      <c r="AU20" s="285">
        <f t="shared" si="11"/>
        <v>2</v>
      </c>
      <c r="AV20" s="285">
        <f t="shared" si="11"/>
        <v>2</v>
      </c>
      <c r="AW20" s="285">
        <f t="shared" si="11"/>
        <v>2</v>
      </c>
      <c r="AX20" s="285">
        <f t="shared" si="11"/>
        <v>2</v>
      </c>
      <c r="AY20" s="285">
        <f t="shared" si="11"/>
        <v>2</v>
      </c>
      <c r="AZ20" s="285">
        <f t="shared" si="11"/>
        <v>2</v>
      </c>
      <c r="BA20" s="285">
        <f t="shared" si="11"/>
        <v>1</v>
      </c>
      <c r="BB20" s="285">
        <f t="shared" si="11"/>
        <v>1</v>
      </c>
      <c r="BC20" s="285">
        <f t="shared" si="11"/>
        <v>1</v>
      </c>
      <c r="BD20" s="285">
        <f t="shared" si="11"/>
        <v>1</v>
      </c>
      <c r="BE20" s="285">
        <f t="shared" si="11"/>
        <v>1</v>
      </c>
      <c r="BF20" s="285">
        <f t="shared" si="11"/>
        <v>1</v>
      </c>
      <c r="BG20" s="285">
        <f t="shared" si="11"/>
        <v>1</v>
      </c>
      <c r="BH20" s="285">
        <f t="shared" si="11"/>
        <v>1</v>
      </c>
      <c r="BI20" s="285">
        <f t="shared" si="11"/>
        <v>1</v>
      </c>
      <c r="BJ20" s="285">
        <f t="shared" si="11"/>
        <v>1</v>
      </c>
      <c r="BK20" s="285">
        <f t="shared" si="11"/>
        <v>1</v>
      </c>
      <c r="BL20" s="285">
        <f t="shared" si="11"/>
        <v>1</v>
      </c>
      <c r="BM20" s="285">
        <f t="shared" si="11"/>
        <v>1</v>
      </c>
    </row>
    <row r="21">
      <c r="A21" s="803">
        <v>5.6</v>
      </c>
      <c r="B21" s="285">
        <f t="shared" ref="B21:BM21" si="12">IF(IF($A21&gt;B$9,ROUNDUP(($A21/B$9)*6,0),ROUNDDOWN(($A21/B$9)*6,0))&gt;20,20,IF(IF($A21&gt;B$9,ROUNDUP(($A21/B$9)*6,0),ROUNDDOWN(($A21/B$9)*6,0))&lt;1,1,IF($A21&gt;B$9,ROUNDUP(($A21/B$9)*6,0),ROUNDDOWN(($A21/B$9)*6,0))))</f>
        <v>12</v>
      </c>
      <c r="C21" s="285">
        <f t="shared" si="12"/>
        <v>9</v>
      </c>
      <c r="D21" s="285">
        <f t="shared" si="12"/>
        <v>8</v>
      </c>
      <c r="E21" s="285">
        <f t="shared" si="12"/>
        <v>8</v>
      </c>
      <c r="F21" s="285">
        <f t="shared" si="12"/>
        <v>8</v>
      </c>
      <c r="G21" s="285">
        <f t="shared" si="12"/>
        <v>7</v>
      </c>
      <c r="H21" s="285">
        <f t="shared" si="12"/>
        <v>7</v>
      </c>
      <c r="I21" s="285">
        <f t="shared" si="12"/>
        <v>7</v>
      </c>
      <c r="J21" s="285">
        <f t="shared" si="12"/>
        <v>7</v>
      </c>
      <c r="K21" s="285">
        <f t="shared" si="12"/>
        <v>7</v>
      </c>
      <c r="L21" s="285">
        <f t="shared" si="12"/>
        <v>7</v>
      </c>
      <c r="M21" s="285">
        <f t="shared" si="12"/>
        <v>6</v>
      </c>
      <c r="N21" s="285">
        <f t="shared" si="12"/>
        <v>5</v>
      </c>
      <c r="O21" s="285">
        <f t="shared" si="12"/>
        <v>5</v>
      </c>
      <c r="P21" s="285">
        <f t="shared" si="12"/>
        <v>5</v>
      </c>
      <c r="Q21" s="285">
        <f t="shared" si="12"/>
        <v>5</v>
      </c>
      <c r="R21" s="285">
        <f t="shared" si="12"/>
        <v>5</v>
      </c>
      <c r="S21" s="285">
        <f t="shared" si="12"/>
        <v>5</v>
      </c>
      <c r="T21" s="285">
        <f t="shared" si="12"/>
        <v>5</v>
      </c>
      <c r="U21" s="285">
        <f t="shared" si="12"/>
        <v>4</v>
      </c>
      <c r="V21" s="285">
        <f t="shared" si="12"/>
        <v>4</v>
      </c>
      <c r="W21" s="285">
        <f t="shared" si="12"/>
        <v>4</v>
      </c>
      <c r="X21" s="285">
        <f t="shared" si="12"/>
        <v>4</v>
      </c>
      <c r="Y21" s="285">
        <f t="shared" si="12"/>
        <v>4</v>
      </c>
      <c r="Z21" s="285">
        <f t="shared" si="12"/>
        <v>4</v>
      </c>
      <c r="AA21" s="285">
        <f t="shared" si="12"/>
        <v>4</v>
      </c>
      <c r="AB21" s="285">
        <f t="shared" si="12"/>
        <v>4</v>
      </c>
      <c r="AC21" s="285">
        <f t="shared" si="12"/>
        <v>4</v>
      </c>
      <c r="AD21" s="285">
        <f t="shared" si="12"/>
        <v>4</v>
      </c>
      <c r="AE21" s="285">
        <f t="shared" si="12"/>
        <v>3</v>
      </c>
      <c r="AF21" s="285">
        <f t="shared" si="12"/>
        <v>3</v>
      </c>
      <c r="AG21" s="285">
        <f t="shared" si="12"/>
        <v>3</v>
      </c>
      <c r="AH21" s="285">
        <f t="shared" si="12"/>
        <v>3</v>
      </c>
      <c r="AI21" s="285">
        <f t="shared" si="12"/>
        <v>3</v>
      </c>
      <c r="AJ21" s="285">
        <f t="shared" si="12"/>
        <v>3</v>
      </c>
      <c r="AK21" s="285">
        <f t="shared" si="12"/>
        <v>3</v>
      </c>
      <c r="AL21" s="285">
        <f t="shared" si="12"/>
        <v>3</v>
      </c>
      <c r="AM21" s="285">
        <f t="shared" si="12"/>
        <v>3</v>
      </c>
      <c r="AN21" s="285">
        <f t="shared" si="12"/>
        <v>3</v>
      </c>
      <c r="AO21" s="285">
        <f t="shared" si="12"/>
        <v>3</v>
      </c>
      <c r="AP21" s="285">
        <f t="shared" si="12"/>
        <v>3</v>
      </c>
      <c r="AQ21" s="285">
        <f t="shared" si="12"/>
        <v>2</v>
      </c>
      <c r="AR21" s="285">
        <f t="shared" si="12"/>
        <v>2</v>
      </c>
      <c r="AS21" s="285">
        <f t="shared" si="12"/>
        <v>2</v>
      </c>
      <c r="AT21" s="285">
        <f t="shared" si="12"/>
        <v>2</v>
      </c>
      <c r="AU21" s="285">
        <f t="shared" si="12"/>
        <v>2</v>
      </c>
      <c r="AV21" s="285">
        <f t="shared" si="12"/>
        <v>2</v>
      </c>
      <c r="AW21" s="285">
        <f t="shared" si="12"/>
        <v>2</v>
      </c>
      <c r="AX21" s="285">
        <f t="shared" si="12"/>
        <v>2</v>
      </c>
      <c r="AY21" s="285">
        <f t="shared" si="12"/>
        <v>2</v>
      </c>
      <c r="AZ21" s="285">
        <f t="shared" si="12"/>
        <v>2</v>
      </c>
      <c r="BA21" s="285">
        <f t="shared" si="12"/>
        <v>1</v>
      </c>
      <c r="BB21" s="285">
        <f t="shared" si="12"/>
        <v>1</v>
      </c>
      <c r="BC21" s="285">
        <f t="shared" si="12"/>
        <v>1</v>
      </c>
      <c r="BD21" s="285">
        <f t="shared" si="12"/>
        <v>1</v>
      </c>
      <c r="BE21" s="285">
        <f t="shared" si="12"/>
        <v>1</v>
      </c>
      <c r="BF21" s="285">
        <f t="shared" si="12"/>
        <v>1</v>
      </c>
      <c r="BG21" s="285">
        <f t="shared" si="12"/>
        <v>1</v>
      </c>
      <c r="BH21" s="285">
        <f t="shared" si="12"/>
        <v>1</v>
      </c>
      <c r="BI21" s="285">
        <f t="shared" si="12"/>
        <v>1</v>
      </c>
      <c r="BJ21" s="285">
        <f t="shared" si="12"/>
        <v>1</v>
      </c>
      <c r="BK21" s="285">
        <f t="shared" si="12"/>
        <v>1</v>
      </c>
      <c r="BL21" s="285">
        <f t="shared" si="12"/>
        <v>1</v>
      </c>
      <c r="BM21" s="285">
        <f t="shared" si="12"/>
        <v>1</v>
      </c>
    </row>
    <row r="22">
      <c r="A22" s="803">
        <v>5.75</v>
      </c>
      <c r="B22" s="285">
        <f t="shared" ref="B22:BM22" si="13">IF(IF($A22&gt;B$9,ROUNDUP(($A22/B$9)*6,0),ROUNDDOWN(($A22/B$9)*6,0))&gt;20,20,IF(IF($A22&gt;B$9,ROUNDUP(($A22/B$9)*6,0),ROUNDDOWN(($A22/B$9)*6,0))&lt;1,1,IF($A22&gt;B$9,ROUNDUP(($A22/B$9)*6,0),ROUNDDOWN(($A22/B$9)*6,0))))</f>
        <v>12</v>
      </c>
      <c r="C22" s="285">
        <f t="shared" si="13"/>
        <v>9</v>
      </c>
      <c r="D22" s="285">
        <f t="shared" si="13"/>
        <v>9</v>
      </c>
      <c r="E22" s="285">
        <f t="shared" si="13"/>
        <v>8</v>
      </c>
      <c r="F22" s="285">
        <f t="shared" si="13"/>
        <v>8</v>
      </c>
      <c r="G22" s="285">
        <f t="shared" si="13"/>
        <v>8</v>
      </c>
      <c r="H22" s="285">
        <f t="shared" si="13"/>
        <v>7</v>
      </c>
      <c r="I22" s="285">
        <f t="shared" si="13"/>
        <v>7</v>
      </c>
      <c r="J22" s="285">
        <f t="shared" si="13"/>
        <v>7</v>
      </c>
      <c r="K22" s="285">
        <f t="shared" si="13"/>
        <v>7</v>
      </c>
      <c r="L22" s="285">
        <f t="shared" si="13"/>
        <v>7</v>
      </c>
      <c r="M22" s="285">
        <f t="shared" si="13"/>
        <v>7</v>
      </c>
      <c r="N22" s="285">
        <f t="shared" si="13"/>
        <v>6</v>
      </c>
      <c r="O22" s="285">
        <f t="shared" si="13"/>
        <v>5</v>
      </c>
      <c r="P22" s="285">
        <f t="shared" si="13"/>
        <v>5</v>
      </c>
      <c r="Q22" s="285">
        <f t="shared" si="13"/>
        <v>5</v>
      </c>
      <c r="R22" s="285">
        <f t="shared" si="13"/>
        <v>5</v>
      </c>
      <c r="S22" s="285">
        <f t="shared" si="13"/>
        <v>5</v>
      </c>
      <c r="T22" s="285">
        <f t="shared" si="13"/>
        <v>5</v>
      </c>
      <c r="U22" s="285">
        <f t="shared" si="13"/>
        <v>5</v>
      </c>
      <c r="V22" s="285">
        <f t="shared" si="13"/>
        <v>5</v>
      </c>
      <c r="W22" s="285">
        <f t="shared" si="13"/>
        <v>4</v>
      </c>
      <c r="X22" s="285">
        <f t="shared" si="13"/>
        <v>4</v>
      </c>
      <c r="Y22" s="285">
        <f t="shared" si="13"/>
        <v>4</v>
      </c>
      <c r="Z22" s="285">
        <f t="shared" si="13"/>
        <v>4</v>
      </c>
      <c r="AA22" s="285">
        <f t="shared" si="13"/>
        <v>4</v>
      </c>
      <c r="AB22" s="285">
        <f t="shared" si="13"/>
        <v>4</v>
      </c>
      <c r="AC22" s="285">
        <f t="shared" si="13"/>
        <v>4</v>
      </c>
      <c r="AD22" s="285">
        <f t="shared" si="13"/>
        <v>4</v>
      </c>
      <c r="AE22" s="285">
        <f t="shared" si="13"/>
        <v>3</v>
      </c>
      <c r="AF22" s="285">
        <f t="shared" si="13"/>
        <v>3</v>
      </c>
      <c r="AG22" s="285">
        <f t="shared" si="13"/>
        <v>3</v>
      </c>
      <c r="AH22" s="285">
        <f t="shared" si="13"/>
        <v>3</v>
      </c>
      <c r="AI22" s="285">
        <f t="shared" si="13"/>
        <v>3</v>
      </c>
      <c r="AJ22" s="285">
        <f t="shared" si="13"/>
        <v>3</v>
      </c>
      <c r="AK22" s="285">
        <f t="shared" si="13"/>
        <v>3</v>
      </c>
      <c r="AL22" s="285">
        <f t="shared" si="13"/>
        <v>3</v>
      </c>
      <c r="AM22" s="285">
        <f t="shared" si="13"/>
        <v>3</v>
      </c>
      <c r="AN22" s="285">
        <f t="shared" si="13"/>
        <v>3</v>
      </c>
      <c r="AO22" s="285">
        <f t="shared" si="13"/>
        <v>3</v>
      </c>
      <c r="AP22" s="285">
        <f t="shared" si="13"/>
        <v>3</v>
      </c>
      <c r="AQ22" s="285">
        <f t="shared" si="13"/>
        <v>3</v>
      </c>
      <c r="AR22" s="285">
        <f t="shared" si="13"/>
        <v>2</v>
      </c>
      <c r="AS22" s="285">
        <f t="shared" si="13"/>
        <v>2</v>
      </c>
      <c r="AT22" s="285">
        <f t="shared" si="13"/>
        <v>2</v>
      </c>
      <c r="AU22" s="285">
        <f t="shared" si="13"/>
        <v>2</v>
      </c>
      <c r="AV22" s="285">
        <f t="shared" si="13"/>
        <v>2</v>
      </c>
      <c r="AW22" s="285">
        <f t="shared" si="13"/>
        <v>2</v>
      </c>
      <c r="AX22" s="285">
        <f t="shared" si="13"/>
        <v>2</v>
      </c>
      <c r="AY22" s="285">
        <f t="shared" si="13"/>
        <v>2</v>
      </c>
      <c r="AZ22" s="285">
        <f t="shared" si="13"/>
        <v>2</v>
      </c>
      <c r="BA22" s="285">
        <f t="shared" si="13"/>
        <v>1</v>
      </c>
      <c r="BB22" s="285">
        <f t="shared" si="13"/>
        <v>1</v>
      </c>
      <c r="BC22" s="285">
        <f t="shared" si="13"/>
        <v>1</v>
      </c>
      <c r="BD22" s="285">
        <f t="shared" si="13"/>
        <v>1</v>
      </c>
      <c r="BE22" s="285">
        <f t="shared" si="13"/>
        <v>1</v>
      </c>
      <c r="BF22" s="285">
        <f t="shared" si="13"/>
        <v>1</v>
      </c>
      <c r="BG22" s="285">
        <f t="shared" si="13"/>
        <v>1</v>
      </c>
      <c r="BH22" s="285">
        <f t="shared" si="13"/>
        <v>1</v>
      </c>
      <c r="BI22" s="285">
        <f t="shared" si="13"/>
        <v>1</v>
      </c>
      <c r="BJ22" s="285">
        <f t="shared" si="13"/>
        <v>1</v>
      </c>
      <c r="BK22" s="285">
        <f t="shared" si="13"/>
        <v>1</v>
      </c>
      <c r="BL22" s="285">
        <f t="shared" si="13"/>
        <v>1</v>
      </c>
      <c r="BM22" s="285">
        <f t="shared" si="13"/>
        <v>1</v>
      </c>
    </row>
    <row r="23">
      <c r="A23" s="803">
        <v>5.8</v>
      </c>
      <c r="B23" s="285">
        <f t="shared" ref="B23:BM23" si="14">IF(IF($A23&gt;B$9,ROUNDUP(($A23/B$9)*6,0),ROUNDDOWN(($A23/B$9)*6,0))&gt;20,20,IF(IF($A23&gt;B$9,ROUNDUP(($A23/B$9)*6,0),ROUNDDOWN(($A23/B$9)*6,0))&lt;1,1,IF($A23&gt;B$9,ROUNDUP(($A23/B$9)*6,0),ROUNDDOWN(($A23/B$9)*6,0))))</f>
        <v>12</v>
      </c>
      <c r="C23" s="285">
        <f t="shared" si="14"/>
        <v>9</v>
      </c>
      <c r="D23" s="285">
        <f t="shared" si="14"/>
        <v>9</v>
      </c>
      <c r="E23" s="285">
        <f t="shared" si="14"/>
        <v>8</v>
      </c>
      <c r="F23" s="285">
        <f t="shared" si="14"/>
        <v>8</v>
      </c>
      <c r="G23" s="285">
        <f t="shared" si="14"/>
        <v>8</v>
      </c>
      <c r="H23" s="285">
        <f t="shared" si="14"/>
        <v>7</v>
      </c>
      <c r="I23" s="285">
        <f t="shared" si="14"/>
        <v>7</v>
      </c>
      <c r="J23" s="285">
        <f t="shared" si="14"/>
        <v>7</v>
      </c>
      <c r="K23" s="285">
        <f t="shared" si="14"/>
        <v>7</v>
      </c>
      <c r="L23" s="285">
        <f t="shared" si="14"/>
        <v>7</v>
      </c>
      <c r="M23" s="285">
        <f t="shared" si="14"/>
        <v>7</v>
      </c>
      <c r="N23" s="285">
        <f t="shared" si="14"/>
        <v>7</v>
      </c>
      <c r="O23" s="285">
        <f t="shared" si="14"/>
        <v>6</v>
      </c>
      <c r="P23" s="285">
        <f t="shared" si="14"/>
        <v>5</v>
      </c>
      <c r="Q23" s="285">
        <f t="shared" si="14"/>
        <v>5</v>
      </c>
      <c r="R23" s="285">
        <f t="shared" si="14"/>
        <v>5</v>
      </c>
      <c r="S23" s="285">
        <f t="shared" si="14"/>
        <v>5</v>
      </c>
      <c r="T23" s="285">
        <f t="shared" si="14"/>
        <v>5</v>
      </c>
      <c r="U23" s="285">
        <f t="shared" si="14"/>
        <v>5</v>
      </c>
      <c r="V23" s="285">
        <f t="shared" si="14"/>
        <v>5</v>
      </c>
      <c r="W23" s="285">
        <f t="shared" si="14"/>
        <v>4</v>
      </c>
      <c r="X23" s="285">
        <f t="shared" si="14"/>
        <v>4</v>
      </c>
      <c r="Y23" s="285">
        <f t="shared" si="14"/>
        <v>4</v>
      </c>
      <c r="Z23" s="285">
        <f t="shared" si="14"/>
        <v>4</v>
      </c>
      <c r="AA23" s="285">
        <f t="shared" si="14"/>
        <v>4</v>
      </c>
      <c r="AB23" s="285">
        <f t="shared" si="14"/>
        <v>4</v>
      </c>
      <c r="AC23" s="285">
        <f t="shared" si="14"/>
        <v>4</v>
      </c>
      <c r="AD23" s="285">
        <f t="shared" si="14"/>
        <v>4</v>
      </c>
      <c r="AE23" s="285">
        <f t="shared" si="14"/>
        <v>4</v>
      </c>
      <c r="AF23" s="285">
        <f t="shared" si="14"/>
        <v>3</v>
      </c>
      <c r="AG23" s="285">
        <f t="shared" si="14"/>
        <v>3</v>
      </c>
      <c r="AH23" s="285">
        <f t="shared" si="14"/>
        <v>3</v>
      </c>
      <c r="AI23" s="285">
        <f t="shared" si="14"/>
        <v>3</v>
      </c>
      <c r="AJ23" s="285">
        <f t="shared" si="14"/>
        <v>3</v>
      </c>
      <c r="AK23" s="285">
        <f t="shared" si="14"/>
        <v>3</v>
      </c>
      <c r="AL23" s="285">
        <f t="shared" si="14"/>
        <v>3</v>
      </c>
      <c r="AM23" s="285">
        <f t="shared" si="14"/>
        <v>3</v>
      </c>
      <c r="AN23" s="285">
        <f t="shared" si="14"/>
        <v>3</v>
      </c>
      <c r="AO23" s="285">
        <f t="shared" si="14"/>
        <v>3</v>
      </c>
      <c r="AP23" s="285">
        <f t="shared" si="14"/>
        <v>3</v>
      </c>
      <c r="AQ23" s="285">
        <f t="shared" si="14"/>
        <v>3</v>
      </c>
      <c r="AR23" s="285">
        <f t="shared" si="14"/>
        <v>3</v>
      </c>
      <c r="AS23" s="285">
        <f t="shared" si="14"/>
        <v>2</v>
      </c>
      <c r="AT23" s="285">
        <f t="shared" si="14"/>
        <v>2</v>
      </c>
      <c r="AU23" s="285">
        <f t="shared" si="14"/>
        <v>2</v>
      </c>
      <c r="AV23" s="285">
        <f t="shared" si="14"/>
        <v>2</v>
      </c>
      <c r="AW23" s="285">
        <f t="shared" si="14"/>
        <v>2</v>
      </c>
      <c r="AX23" s="285">
        <f t="shared" si="14"/>
        <v>2</v>
      </c>
      <c r="AY23" s="285">
        <f t="shared" si="14"/>
        <v>2</v>
      </c>
      <c r="AZ23" s="285">
        <f t="shared" si="14"/>
        <v>2</v>
      </c>
      <c r="BA23" s="285">
        <f t="shared" si="14"/>
        <v>1</v>
      </c>
      <c r="BB23" s="285">
        <f t="shared" si="14"/>
        <v>1</v>
      </c>
      <c r="BC23" s="285">
        <f t="shared" si="14"/>
        <v>1</v>
      </c>
      <c r="BD23" s="285">
        <f t="shared" si="14"/>
        <v>1</v>
      </c>
      <c r="BE23" s="285">
        <f t="shared" si="14"/>
        <v>1</v>
      </c>
      <c r="BF23" s="285">
        <f t="shared" si="14"/>
        <v>1</v>
      </c>
      <c r="BG23" s="285">
        <f t="shared" si="14"/>
        <v>1</v>
      </c>
      <c r="BH23" s="285">
        <f t="shared" si="14"/>
        <v>1</v>
      </c>
      <c r="BI23" s="285">
        <f t="shared" si="14"/>
        <v>1</v>
      </c>
      <c r="BJ23" s="285">
        <f t="shared" si="14"/>
        <v>1</v>
      </c>
      <c r="BK23" s="285">
        <f t="shared" si="14"/>
        <v>1</v>
      </c>
      <c r="BL23" s="285">
        <f t="shared" si="14"/>
        <v>1</v>
      </c>
      <c r="BM23" s="285">
        <f t="shared" si="14"/>
        <v>1</v>
      </c>
    </row>
    <row r="24">
      <c r="A24" s="803">
        <v>6.0</v>
      </c>
      <c r="B24" s="285">
        <f t="shared" ref="B24:BM24" si="15">IF(IF($A24&gt;B$9,ROUNDUP(($A24/B$9)*6,0),ROUNDDOWN(($A24/B$9)*6,0))&gt;20,20,IF(IF($A24&gt;B$9,ROUNDUP(($A24/B$9)*6,0),ROUNDDOWN(($A24/B$9)*6,0))&lt;1,1,IF($A24&gt;B$9,ROUNDUP(($A24/B$9)*6,0),ROUNDDOWN(($A24/B$9)*6,0))))</f>
        <v>12</v>
      </c>
      <c r="C24" s="285">
        <f t="shared" si="15"/>
        <v>9</v>
      </c>
      <c r="D24" s="285">
        <f t="shared" si="15"/>
        <v>9</v>
      </c>
      <c r="E24" s="285">
        <f t="shared" si="15"/>
        <v>9</v>
      </c>
      <c r="F24" s="285">
        <f t="shared" si="15"/>
        <v>8</v>
      </c>
      <c r="G24" s="285">
        <f t="shared" si="15"/>
        <v>8</v>
      </c>
      <c r="H24" s="285">
        <f t="shared" si="15"/>
        <v>8</v>
      </c>
      <c r="I24" s="285">
        <f t="shared" si="15"/>
        <v>7</v>
      </c>
      <c r="J24" s="285">
        <f t="shared" si="15"/>
        <v>7</v>
      </c>
      <c r="K24" s="285">
        <f t="shared" si="15"/>
        <v>7</v>
      </c>
      <c r="L24" s="285">
        <f t="shared" si="15"/>
        <v>7</v>
      </c>
      <c r="M24" s="285">
        <f t="shared" si="15"/>
        <v>7</v>
      </c>
      <c r="N24" s="285">
        <f t="shared" si="15"/>
        <v>7</v>
      </c>
      <c r="O24" s="285">
        <f t="shared" si="15"/>
        <v>7</v>
      </c>
      <c r="P24" s="285">
        <f t="shared" si="15"/>
        <v>6</v>
      </c>
      <c r="Q24" s="285">
        <f t="shared" si="15"/>
        <v>5</v>
      </c>
      <c r="R24" s="285">
        <f t="shared" si="15"/>
        <v>5</v>
      </c>
      <c r="S24" s="285">
        <f t="shared" si="15"/>
        <v>5</v>
      </c>
      <c r="T24" s="285">
        <f t="shared" si="15"/>
        <v>5</v>
      </c>
      <c r="U24" s="285">
        <f t="shared" si="15"/>
        <v>5</v>
      </c>
      <c r="V24" s="285">
        <f t="shared" si="15"/>
        <v>5</v>
      </c>
      <c r="W24" s="285">
        <f t="shared" si="15"/>
        <v>5</v>
      </c>
      <c r="X24" s="285">
        <f t="shared" si="15"/>
        <v>5</v>
      </c>
      <c r="Y24" s="285">
        <f t="shared" si="15"/>
        <v>4</v>
      </c>
      <c r="Z24" s="285">
        <f t="shared" si="15"/>
        <v>4</v>
      </c>
      <c r="AA24" s="285">
        <f t="shared" si="15"/>
        <v>4</v>
      </c>
      <c r="AB24" s="285">
        <f t="shared" si="15"/>
        <v>4</v>
      </c>
      <c r="AC24" s="285">
        <f t="shared" si="15"/>
        <v>4</v>
      </c>
      <c r="AD24" s="285">
        <f t="shared" si="15"/>
        <v>4</v>
      </c>
      <c r="AE24" s="285">
        <f t="shared" si="15"/>
        <v>4</v>
      </c>
      <c r="AF24" s="285">
        <f t="shared" si="15"/>
        <v>4</v>
      </c>
      <c r="AG24" s="285">
        <f t="shared" si="15"/>
        <v>4</v>
      </c>
      <c r="AH24" s="285">
        <f t="shared" si="15"/>
        <v>4</v>
      </c>
      <c r="AI24" s="285">
        <f t="shared" si="15"/>
        <v>3</v>
      </c>
      <c r="AJ24" s="285">
        <f t="shared" si="15"/>
        <v>3</v>
      </c>
      <c r="AK24" s="285">
        <f t="shared" si="15"/>
        <v>3</v>
      </c>
      <c r="AL24" s="285">
        <f t="shared" si="15"/>
        <v>3</v>
      </c>
      <c r="AM24" s="285">
        <f t="shared" si="15"/>
        <v>3</v>
      </c>
      <c r="AN24" s="285">
        <f t="shared" si="15"/>
        <v>3</v>
      </c>
      <c r="AO24" s="285">
        <f t="shared" si="15"/>
        <v>3</v>
      </c>
      <c r="AP24" s="285">
        <f t="shared" si="15"/>
        <v>3</v>
      </c>
      <c r="AQ24" s="285">
        <f t="shared" si="15"/>
        <v>3</v>
      </c>
      <c r="AR24" s="285">
        <f t="shared" si="15"/>
        <v>3</v>
      </c>
      <c r="AS24" s="285">
        <f t="shared" si="15"/>
        <v>3</v>
      </c>
      <c r="AT24" s="285">
        <f t="shared" si="15"/>
        <v>2</v>
      </c>
      <c r="AU24" s="285">
        <f t="shared" si="15"/>
        <v>2</v>
      </c>
      <c r="AV24" s="285">
        <f t="shared" si="15"/>
        <v>2</v>
      </c>
      <c r="AW24" s="285">
        <f t="shared" si="15"/>
        <v>2</v>
      </c>
      <c r="AX24" s="285">
        <f t="shared" si="15"/>
        <v>2</v>
      </c>
      <c r="AY24" s="285">
        <f t="shared" si="15"/>
        <v>2</v>
      </c>
      <c r="AZ24" s="285">
        <f t="shared" si="15"/>
        <v>2</v>
      </c>
      <c r="BA24" s="285">
        <f t="shared" si="15"/>
        <v>2</v>
      </c>
      <c r="BB24" s="285">
        <f t="shared" si="15"/>
        <v>1</v>
      </c>
      <c r="BC24" s="285">
        <f t="shared" si="15"/>
        <v>1</v>
      </c>
      <c r="BD24" s="285">
        <f t="shared" si="15"/>
        <v>1</v>
      </c>
      <c r="BE24" s="285">
        <f t="shared" si="15"/>
        <v>1</v>
      </c>
      <c r="BF24" s="285">
        <f t="shared" si="15"/>
        <v>1</v>
      </c>
      <c r="BG24" s="285">
        <f t="shared" si="15"/>
        <v>1</v>
      </c>
      <c r="BH24" s="285">
        <f t="shared" si="15"/>
        <v>1</v>
      </c>
      <c r="BI24" s="285">
        <f t="shared" si="15"/>
        <v>1</v>
      </c>
      <c r="BJ24" s="285">
        <f t="shared" si="15"/>
        <v>1</v>
      </c>
      <c r="BK24" s="285">
        <f t="shared" si="15"/>
        <v>1</v>
      </c>
      <c r="BL24" s="285">
        <f t="shared" si="15"/>
        <v>1</v>
      </c>
      <c r="BM24" s="285">
        <f t="shared" si="15"/>
        <v>1</v>
      </c>
    </row>
    <row r="25">
      <c r="A25" s="803">
        <v>6.25</v>
      </c>
      <c r="B25" s="285">
        <f t="shared" ref="B25:BM25" si="16">IF(IF($A25&gt;B$9,ROUNDUP(($A25/B$9)*6,0),ROUNDDOWN(($A25/B$9)*6,0))&gt;20,20,IF(IF($A25&gt;B$9,ROUNDUP(($A25/B$9)*6,0),ROUNDDOWN(($A25/B$9)*6,0))&lt;1,1,IF($A25&gt;B$9,ROUNDUP(($A25/B$9)*6,0),ROUNDDOWN(($A25/B$9)*6,0))))</f>
        <v>13</v>
      </c>
      <c r="C25" s="285">
        <f t="shared" si="16"/>
        <v>10</v>
      </c>
      <c r="D25" s="285">
        <f t="shared" si="16"/>
        <v>9</v>
      </c>
      <c r="E25" s="285">
        <f t="shared" si="16"/>
        <v>9</v>
      </c>
      <c r="F25" s="285">
        <f t="shared" si="16"/>
        <v>9</v>
      </c>
      <c r="G25" s="285">
        <f t="shared" si="16"/>
        <v>8</v>
      </c>
      <c r="H25" s="285">
        <f t="shared" si="16"/>
        <v>8</v>
      </c>
      <c r="I25" s="285">
        <f t="shared" si="16"/>
        <v>8</v>
      </c>
      <c r="J25" s="285">
        <f t="shared" si="16"/>
        <v>8</v>
      </c>
      <c r="K25" s="285">
        <f t="shared" si="16"/>
        <v>7</v>
      </c>
      <c r="L25" s="285">
        <f t="shared" si="16"/>
        <v>7</v>
      </c>
      <c r="M25" s="285">
        <f t="shared" si="16"/>
        <v>7</v>
      </c>
      <c r="N25" s="285">
        <f t="shared" si="16"/>
        <v>7</v>
      </c>
      <c r="O25" s="285">
        <f t="shared" si="16"/>
        <v>7</v>
      </c>
      <c r="P25" s="285">
        <f t="shared" si="16"/>
        <v>7</v>
      </c>
      <c r="Q25" s="285">
        <f t="shared" si="16"/>
        <v>6</v>
      </c>
      <c r="R25" s="285">
        <f t="shared" si="16"/>
        <v>5</v>
      </c>
      <c r="S25" s="285">
        <f t="shared" si="16"/>
        <v>5</v>
      </c>
      <c r="T25" s="285">
        <f t="shared" si="16"/>
        <v>5</v>
      </c>
      <c r="U25" s="285">
        <f t="shared" si="16"/>
        <v>5</v>
      </c>
      <c r="V25" s="285">
        <f t="shared" si="16"/>
        <v>5</v>
      </c>
      <c r="W25" s="285">
        <f t="shared" si="16"/>
        <v>5</v>
      </c>
      <c r="X25" s="285">
        <f t="shared" si="16"/>
        <v>5</v>
      </c>
      <c r="Y25" s="285">
        <f t="shared" si="16"/>
        <v>5</v>
      </c>
      <c r="Z25" s="285">
        <f t="shared" si="16"/>
        <v>5</v>
      </c>
      <c r="AA25" s="285">
        <f t="shared" si="16"/>
        <v>4</v>
      </c>
      <c r="AB25" s="285">
        <f t="shared" si="16"/>
        <v>4</v>
      </c>
      <c r="AC25" s="285">
        <f t="shared" si="16"/>
        <v>4</v>
      </c>
      <c r="AD25" s="285">
        <f t="shared" si="16"/>
        <v>4</v>
      </c>
      <c r="AE25" s="285">
        <f t="shared" si="16"/>
        <v>4</v>
      </c>
      <c r="AF25" s="285">
        <f t="shared" si="16"/>
        <v>4</v>
      </c>
      <c r="AG25" s="285">
        <f t="shared" si="16"/>
        <v>4</v>
      </c>
      <c r="AH25" s="285">
        <f t="shared" si="16"/>
        <v>4</v>
      </c>
      <c r="AI25" s="285">
        <f t="shared" si="16"/>
        <v>4</v>
      </c>
      <c r="AJ25" s="285">
        <f t="shared" si="16"/>
        <v>3</v>
      </c>
      <c r="AK25" s="285">
        <f t="shared" si="16"/>
        <v>3</v>
      </c>
      <c r="AL25" s="285">
        <f t="shared" si="16"/>
        <v>3</v>
      </c>
      <c r="AM25" s="285">
        <f t="shared" si="16"/>
        <v>3</v>
      </c>
      <c r="AN25" s="285">
        <f t="shared" si="16"/>
        <v>3</v>
      </c>
      <c r="AO25" s="285">
        <f t="shared" si="16"/>
        <v>3</v>
      </c>
      <c r="AP25" s="285">
        <f t="shared" si="16"/>
        <v>3</v>
      </c>
      <c r="AQ25" s="285">
        <f t="shared" si="16"/>
        <v>3</v>
      </c>
      <c r="AR25" s="285">
        <f t="shared" si="16"/>
        <v>3</v>
      </c>
      <c r="AS25" s="285">
        <f t="shared" si="16"/>
        <v>3</v>
      </c>
      <c r="AT25" s="285">
        <f t="shared" si="16"/>
        <v>3</v>
      </c>
      <c r="AU25" s="285">
        <f t="shared" si="16"/>
        <v>2</v>
      </c>
      <c r="AV25" s="285">
        <f t="shared" si="16"/>
        <v>2</v>
      </c>
      <c r="AW25" s="285">
        <f t="shared" si="16"/>
        <v>2</v>
      </c>
      <c r="AX25" s="285">
        <f t="shared" si="16"/>
        <v>2</v>
      </c>
      <c r="AY25" s="285">
        <f t="shared" si="16"/>
        <v>2</v>
      </c>
      <c r="AZ25" s="285">
        <f t="shared" si="16"/>
        <v>2</v>
      </c>
      <c r="BA25" s="285">
        <f t="shared" si="16"/>
        <v>2</v>
      </c>
      <c r="BB25" s="285">
        <f t="shared" si="16"/>
        <v>1</v>
      </c>
      <c r="BC25" s="285">
        <f t="shared" si="16"/>
        <v>1</v>
      </c>
      <c r="BD25" s="285">
        <f t="shared" si="16"/>
        <v>1</v>
      </c>
      <c r="BE25" s="285">
        <f t="shared" si="16"/>
        <v>1</v>
      </c>
      <c r="BF25" s="285">
        <f t="shared" si="16"/>
        <v>1</v>
      </c>
      <c r="BG25" s="285">
        <f t="shared" si="16"/>
        <v>1</v>
      </c>
      <c r="BH25" s="285">
        <f t="shared" si="16"/>
        <v>1</v>
      </c>
      <c r="BI25" s="285">
        <f t="shared" si="16"/>
        <v>1</v>
      </c>
      <c r="BJ25" s="285">
        <f t="shared" si="16"/>
        <v>1</v>
      </c>
      <c r="BK25" s="285">
        <f t="shared" si="16"/>
        <v>1</v>
      </c>
      <c r="BL25" s="285">
        <f t="shared" si="16"/>
        <v>1</v>
      </c>
      <c r="BM25" s="285">
        <f t="shared" si="16"/>
        <v>1</v>
      </c>
    </row>
    <row r="26">
      <c r="A26" s="803">
        <v>6.3</v>
      </c>
      <c r="B26" s="285">
        <f t="shared" ref="B26:BM26" si="17">IF(IF($A26&gt;B$9,ROUNDUP(($A26/B$9)*6,0),ROUNDDOWN(($A26/B$9)*6,0))&gt;20,20,IF(IF($A26&gt;B$9,ROUNDUP(($A26/B$9)*6,0),ROUNDDOWN(($A26/B$9)*6,0))&lt;1,1,IF($A26&gt;B$9,ROUNDUP(($A26/B$9)*6,0),ROUNDDOWN(($A26/B$9)*6,0))))</f>
        <v>13</v>
      </c>
      <c r="C26" s="285">
        <f t="shared" si="17"/>
        <v>10</v>
      </c>
      <c r="D26" s="285">
        <f t="shared" si="17"/>
        <v>9</v>
      </c>
      <c r="E26" s="285">
        <f t="shared" si="17"/>
        <v>9</v>
      </c>
      <c r="F26" s="285">
        <f t="shared" si="17"/>
        <v>9</v>
      </c>
      <c r="G26" s="285">
        <f t="shared" si="17"/>
        <v>8</v>
      </c>
      <c r="H26" s="285">
        <f t="shared" si="17"/>
        <v>8</v>
      </c>
      <c r="I26" s="285">
        <f t="shared" si="17"/>
        <v>8</v>
      </c>
      <c r="J26" s="285">
        <f t="shared" si="17"/>
        <v>8</v>
      </c>
      <c r="K26" s="285">
        <f t="shared" si="17"/>
        <v>7</v>
      </c>
      <c r="L26" s="285">
        <f t="shared" si="17"/>
        <v>7</v>
      </c>
      <c r="M26" s="285">
        <f t="shared" si="17"/>
        <v>7</v>
      </c>
      <c r="N26" s="285">
        <f t="shared" si="17"/>
        <v>7</v>
      </c>
      <c r="O26" s="285">
        <f t="shared" si="17"/>
        <v>7</v>
      </c>
      <c r="P26" s="285">
        <f t="shared" si="17"/>
        <v>7</v>
      </c>
      <c r="Q26" s="285">
        <f t="shared" si="17"/>
        <v>7</v>
      </c>
      <c r="R26" s="285">
        <f t="shared" si="17"/>
        <v>6</v>
      </c>
      <c r="S26" s="285">
        <f t="shared" si="17"/>
        <v>5</v>
      </c>
      <c r="T26" s="285">
        <f t="shared" si="17"/>
        <v>5</v>
      </c>
      <c r="U26" s="285">
        <f t="shared" si="17"/>
        <v>5</v>
      </c>
      <c r="V26" s="285">
        <f t="shared" si="17"/>
        <v>5</v>
      </c>
      <c r="W26" s="285">
        <f t="shared" si="17"/>
        <v>5</v>
      </c>
      <c r="X26" s="285">
        <f t="shared" si="17"/>
        <v>5</v>
      </c>
      <c r="Y26" s="285">
        <f t="shared" si="17"/>
        <v>5</v>
      </c>
      <c r="Z26" s="285">
        <f t="shared" si="17"/>
        <v>5</v>
      </c>
      <c r="AA26" s="285">
        <f t="shared" si="17"/>
        <v>4</v>
      </c>
      <c r="AB26" s="285">
        <f t="shared" si="17"/>
        <v>4</v>
      </c>
      <c r="AC26" s="285">
        <f t="shared" si="17"/>
        <v>4</v>
      </c>
      <c r="AD26" s="285">
        <f t="shared" si="17"/>
        <v>4</v>
      </c>
      <c r="AE26" s="285">
        <f t="shared" si="17"/>
        <v>4</v>
      </c>
      <c r="AF26" s="285">
        <f t="shared" si="17"/>
        <v>4</v>
      </c>
      <c r="AG26" s="285">
        <f t="shared" si="17"/>
        <v>4</v>
      </c>
      <c r="AH26" s="285">
        <f t="shared" si="17"/>
        <v>4</v>
      </c>
      <c r="AI26" s="285">
        <f t="shared" si="17"/>
        <v>4</v>
      </c>
      <c r="AJ26" s="285">
        <f t="shared" si="17"/>
        <v>3</v>
      </c>
      <c r="AK26" s="285">
        <f t="shared" si="17"/>
        <v>3</v>
      </c>
      <c r="AL26" s="285">
        <f t="shared" si="17"/>
        <v>3</v>
      </c>
      <c r="AM26" s="285">
        <f t="shared" si="17"/>
        <v>3</v>
      </c>
      <c r="AN26" s="285">
        <f t="shared" si="17"/>
        <v>3</v>
      </c>
      <c r="AO26" s="285">
        <f t="shared" si="17"/>
        <v>3</v>
      </c>
      <c r="AP26" s="285">
        <f t="shared" si="17"/>
        <v>3</v>
      </c>
      <c r="AQ26" s="285">
        <f t="shared" si="17"/>
        <v>3</v>
      </c>
      <c r="AR26" s="285">
        <f t="shared" si="17"/>
        <v>3</v>
      </c>
      <c r="AS26" s="285">
        <f t="shared" si="17"/>
        <v>3</v>
      </c>
      <c r="AT26" s="285">
        <f t="shared" si="17"/>
        <v>3</v>
      </c>
      <c r="AU26" s="285">
        <f t="shared" si="17"/>
        <v>2</v>
      </c>
      <c r="AV26" s="285">
        <f t="shared" si="17"/>
        <v>2</v>
      </c>
      <c r="AW26" s="285">
        <f t="shared" si="17"/>
        <v>2</v>
      </c>
      <c r="AX26" s="285">
        <f t="shared" si="17"/>
        <v>2</v>
      </c>
      <c r="AY26" s="285">
        <f t="shared" si="17"/>
        <v>2</v>
      </c>
      <c r="AZ26" s="285">
        <f t="shared" si="17"/>
        <v>2</v>
      </c>
      <c r="BA26" s="285">
        <f t="shared" si="17"/>
        <v>2</v>
      </c>
      <c r="BB26" s="285">
        <f t="shared" si="17"/>
        <v>1</v>
      </c>
      <c r="BC26" s="285">
        <f t="shared" si="17"/>
        <v>1</v>
      </c>
      <c r="BD26" s="285">
        <f t="shared" si="17"/>
        <v>1</v>
      </c>
      <c r="BE26" s="285">
        <f t="shared" si="17"/>
        <v>1</v>
      </c>
      <c r="BF26" s="285">
        <f t="shared" si="17"/>
        <v>1</v>
      </c>
      <c r="BG26" s="285">
        <f t="shared" si="17"/>
        <v>1</v>
      </c>
      <c r="BH26" s="285">
        <f t="shared" si="17"/>
        <v>1</v>
      </c>
      <c r="BI26" s="285">
        <f t="shared" si="17"/>
        <v>1</v>
      </c>
      <c r="BJ26" s="285">
        <f t="shared" si="17"/>
        <v>1</v>
      </c>
      <c r="BK26" s="285">
        <f t="shared" si="17"/>
        <v>1</v>
      </c>
      <c r="BL26" s="285">
        <f t="shared" si="17"/>
        <v>1</v>
      </c>
      <c r="BM26" s="285">
        <f t="shared" si="17"/>
        <v>1</v>
      </c>
    </row>
    <row r="27">
      <c r="A27" s="803">
        <v>6.5</v>
      </c>
      <c r="B27" s="285">
        <f t="shared" ref="B27:BM27" si="18">IF(IF($A27&gt;B$9,ROUNDUP(($A27/B$9)*6,0),ROUNDDOWN(($A27/B$9)*6,0))&gt;20,20,IF(IF($A27&gt;B$9,ROUNDUP(($A27/B$9)*6,0),ROUNDDOWN(($A27/B$9)*6,0))&lt;1,1,IF($A27&gt;B$9,ROUNDUP(($A27/B$9)*6,0),ROUNDDOWN(($A27/B$9)*6,0))))</f>
        <v>13</v>
      </c>
      <c r="C27" s="285">
        <f t="shared" si="18"/>
        <v>10</v>
      </c>
      <c r="D27" s="285">
        <f t="shared" si="18"/>
        <v>10</v>
      </c>
      <c r="E27" s="285">
        <f t="shared" si="18"/>
        <v>9</v>
      </c>
      <c r="F27" s="285">
        <f t="shared" si="18"/>
        <v>9</v>
      </c>
      <c r="G27" s="285">
        <f t="shared" si="18"/>
        <v>9</v>
      </c>
      <c r="H27" s="285">
        <f t="shared" si="18"/>
        <v>8</v>
      </c>
      <c r="I27" s="285">
        <f t="shared" si="18"/>
        <v>8</v>
      </c>
      <c r="J27" s="285">
        <f t="shared" si="18"/>
        <v>8</v>
      </c>
      <c r="K27" s="285">
        <f t="shared" si="18"/>
        <v>8</v>
      </c>
      <c r="L27" s="285">
        <f t="shared" si="18"/>
        <v>8</v>
      </c>
      <c r="M27" s="285">
        <f t="shared" si="18"/>
        <v>7</v>
      </c>
      <c r="N27" s="285">
        <f t="shared" si="18"/>
        <v>7</v>
      </c>
      <c r="O27" s="285">
        <f t="shared" si="18"/>
        <v>7</v>
      </c>
      <c r="P27" s="285">
        <f t="shared" si="18"/>
        <v>7</v>
      </c>
      <c r="Q27" s="285">
        <f t="shared" si="18"/>
        <v>7</v>
      </c>
      <c r="R27" s="285">
        <f t="shared" si="18"/>
        <v>7</v>
      </c>
      <c r="S27" s="285">
        <f t="shared" si="18"/>
        <v>6</v>
      </c>
      <c r="T27" s="285">
        <f t="shared" si="18"/>
        <v>5</v>
      </c>
      <c r="U27" s="285">
        <f t="shared" si="18"/>
        <v>5</v>
      </c>
      <c r="V27" s="285">
        <f t="shared" si="18"/>
        <v>5</v>
      </c>
      <c r="W27" s="285">
        <f t="shared" si="18"/>
        <v>5</v>
      </c>
      <c r="X27" s="285">
        <f t="shared" si="18"/>
        <v>5</v>
      </c>
      <c r="Y27" s="285">
        <f t="shared" si="18"/>
        <v>5</v>
      </c>
      <c r="Z27" s="285">
        <f t="shared" si="18"/>
        <v>5</v>
      </c>
      <c r="AA27" s="285">
        <f t="shared" si="18"/>
        <v>5</v>
      </c>
      <c r="AB27" s="285">
        <f t="shared" si="18"/>
        <v>4</v>
      </c>
      <c r="AC27" s="285">
        <f t="shared" si="18"/>
        <v>4</v>
      </c>
      <c r="AD27" s="285">
        <f t="shared" si="18"/>
        <v>4</v>
      </c>
      <c r="AE27" s="285">
        <f t="shared" si="18"/>
        <v>4</v>
      </c>
      <c r="AF27" s="285">
        <f t="shared" si="18"/>
        <v>4</v>
      </c>
      <c r="AG27" s="285">
        <f t="shared" si="18"/>
        <v>4</v>
      </c>
      <c r="AH27" s="285">
        <f t="shared" si="18"/>
        <v>4</v>
      </c>
      <c r="AI27" s="285">
        <f t="shared" si="18"/>
        <v>4</v>
      </c>
      <c r="AJ27" s="285">
        <f t="shared" si="18"/>
        <v>4</v>
      </c>
      <c r="AK27" s="285">
        <f t="shared" si="18"/>
        <v>3</v>
      </c>
      <c r="AL27" s="285">
        <f t="shared" si="18"/>
        <v>3</v>
      </c>
      <c r="AM27" s="285">
        <f t="shared" si="18"/>
        <v>3</v>
      </c>
      <c r="AN27" s="285">
        <f t="shared" si="18"/>
        <v>3</v>
      </c>
      <c r="AO27" s="285">
        <f t="shared" si="18"/>
        <v>3</v>
      </c>
      <c r="AP27" s="285">
        <f t="shared" si="18"/>
        <v>3</v>
      </c>
      <c r="AQ27" s="285">
        <f t="shared" si="18"/>
        <v>3</v>
      </c>
      <c r="AR27" s="285">
        <f t="shared" si="18"/>
        <v>3</v>
      </c>
      <c r="AS27" s="285">
        <f t="shared" si="18"/>
        <v>3</v>
      </c>
      <c r="AT27" s="285">
        <f t="shared" si="18"/>
        <v>3</v>
      </c>
      <c r="AU27" s="285">
        <f t="shared" si="18"/>
        <v>3</v>
      </c>
      <c r="AV27" s="285">
        <f t="shared" si="18"/>
        <v>2</v>
      </c>
      <c r="AW27" s="285">
        <f t="shared" si="18"/>
        <v>2</v>
      </c>
      <c r="AX27" s="285">
        <f t="shared" si="18"/>
        <v>2</v>
      </c>
      <c r="AY27" s="285">
        <f t="shared" si="18"/>
        <v>2</v>
      </c>
      <c r="AZ27" s="285">
        <f t="shared" si="18"/>
        <v>2</v>
      </c>
      <c r="BA27" s="285">
        <f t="shared" si="18"/>
        <v>2</v>
      </c>
      <c r="BB27" s="285">
        <f t="shared" si="18"/>
        <v>1</v>
      </c>
      <c r="BC27" s="285">
        <f t="shared" si="18"/>
        <v>1</v>
      </c>
      <c r="BD27" s="285">
        <f t="shared" si="18"/>
        <v>1</v>
      </c>
      <c r="BE27" s="285">
        <f t="shared" si="18"/>
        <v>1</v>
      </c>
      <c r="BF27" s="285">
        <f t="shared" si="18"/>
        <v>1</v>
      </c>
      <c r="BG27" s="285">
        <f t="shared" si="18"/>
        <v>1</v>
      </c>
      <c r="BH27" s="285">
        <f t="shared" si="18"/>
        <v>1</v>
      </c>
      <c r="BI27" s="285">
        <f t="shared" si="18"/>
        <v>1</v>
      </c>
      <c r="BJ27" s="285">
        <f t="shared" si="18"/>
        <v>1</v>
      </c>
      <c r="BK27" s="285">
        <f t="shared" si="18"/>
        <v>1</v>
      </c>
      <c r="BL27" s="285">
        <f t="shared" si="18"/>
        <v>1</v>
      </c>
      <c r="BM27" s="285">
        <f t="shared" si="18"/>
        <v>1</v>
      </c>
    </row>
    <row r="28">
      <c r="A28" s="803">
        <v>6.6</v>
      </c>
      <c r="B28" s="285">
        <f t="shared" ref="B28:BM28" si="19">IF(IF($A28&gt;B$9,ROUNDUP(($A28/B$9)*6,0),ROUNDDOWN(($A28/B$9)*6,0))&gt;20,20,IF(IF($A28&gt;B$9,ROUNDUP(($A28/B$9)*6,0),ROUNDDOWN(($A28/B$9)*6,0))&lt;1,1,IF($A28&gt;B$9,ROUNDUP(($A28/B$9)*6,0),ROUNDDOWN(($A28/B$9)*6,0))))</f>
        <v>14</v>
      </c>
      <c r="C28" s="285">
        <f t="shared" si="19"/>
        <v>10</v>
      </c>
      <c r="D28" s="285">
        <f t="shared" si="19"/>
        <v>10</v>
      </c>
      <c r="E28" s="285">
        <f t="shared" si="19"/>
        <v>9</v>
      </c>
      <c r="F28" s="285">
        <f t="shared" si="19"/>
        <v>9</v>
      </c>
      <c r="G28" s="285">
        <f t="shared" si="19"/>
        <v>9</v>
      </c>
      <c r="H28" s="285">
        <f t="shared" si="19"/>
        <v>8</v>
      </c>
      <c r="I28" s="285">
        <f t="shared" si="19"/>
        <v>8</v>
      </c>
      <c r="J28" s="285">
        <f t="shared" si="19"/>
        <v>8</v>
      </c>
      <c r="K28" s="285">
        <f t="shared" si="19"/>
        <v>8</v>
      </c>
      <c r="L28" s="285">
        <f t="shared" si="19"/>
        <v>8</v>
      </c>
      <c r="M28" s="285">
        <f t="shared" si="19"/>
        <v>8</v>
      </c>
      <c r="N28" s="285">
        <f t="shared" si="19"/>
        <v>7</v>
      </c>
      <c r="O28" s="285">
        <f t="shared" si="19"/>
        <v>7</v>
      </c>
      <c r="P28" s="285">
        <f t="shared" si="19"/>
        <v>7</v>
      </c>
      <c r="Q28" s="285">
        <f t="shared" si="19"/>
        <v>7</v>
      </c>
      <c r="R28" s="285">
        <f t="shared" si="19"/>
        <v>7</v>
      </c>
      <c r="S28" s="285">
        <f t="shared" si="19"/>
        <v>7</v>
      </c>
      <c r="T28" s="285">
        <f t="shared" si="19"/>
        <v>6</v>
      </c>
      <c r="U28" s="285">
        <f t="shared" si="19"/>
        <v>5</v>
      </c>
      <c r="V28" s="285">
        <f t="shared" si="19"/>
        <v>5</v>
      </c>
      <c r="W28" s="285">
        <f t="shared" si="19"/>
        <v>5</v>
      </c>
      <c r="X28" s="285">
        <f t="shared" si="19"/>
        <v>5</v>
      </c>
      <c r="Y28" s="285">
        <f t="shared" si="19"/>
        <v>5</v>
      </c>
      <c r="Z28" s="285">
        <f t="shared" si="19"/>
        <v>5</v>
      </c>
      <c r="AA28" s="285">
        <f t="shared" si="19"/>
        <v>5</v>
      </c>
      <c r="AB28" s="285">
        <f t="shared" si="19"/>
        <v>4</v>
      </c>
      <c r="AC28" s="285">
        <f t="shared" si="19"/>
        <v>4</v>
      </c>
      <c r="AD28" s="285">
        <f t="shared" si="19"/>
        <v>4</v>
      </c>
      <c r="AE28" s="285">
        <f t="shared" si="19"/>
        <v>4</v>
      </c>
      <c r="AF28" s="285">
        <f t="shared" si="19"/>
        <v>4</v>
      </c>
      <c r="AG28" s="285">
        <f t="shared" si="19"/>
        <v>4</v>
      </c>
      <c r="AH28" s="285">
        <f t="shared" si="19"/>
        <v>4</v>
      </c>
      <c r="AI28" s="285">
        <f t="shared" si="19"/>
        <v>4</v>
      </c>
      <c r="AJ28" s="285">
        <f t="shared" si="19"/>
        <v>4</v>
      </c>
      <c r="AK28" s="285">
        <f t="shared" si="19"/>
        <v>3</v>
      </c>
      <c r="AL28" s="285">
        <f t="shared" si="19"/>
        <v>3</v>
      </c>
      <c r="AM28" s="285">
        <f t="shared" si="19"/>
        <v>3</v>
      </c>
      <c r="AN28" s="285">
        <f t="shared" si="19"/>
        <v>3</v>
      </c>
      <c r="AO28" s="285">
        <f t="shared" si="19"/>
        <v>3</v>
      </c>
      <c r="AP28" s="285">
        <f t="shared" si="19"/>
        <v>3</v>
      </c>
      <c r="AQ28" s="285">
        <f t="shared" si="19"/>
        <v>3</v>
      </c>
      <c r="AR28" s="285">
        <f t="shared" si="19"/>
        <v>3</v>
      </c>
      <c r="AS28" s="285">
        <f t="shared" si="19"/>
        <v>3</v>
      </c>
      <c r="AT28" s="285">
        <f t="shared" si="19"/>
        <v>3</v>
      </c>
      <c r="AU28" s="285">
        <f t="shared" si="19"/>
        <v>3</v>
      </c>
      <c r="AV28" s="285">
        <f t="shared" si="19"/>
        <v>2</v>
      </c>
      <c r="AW28" s="285">
        <f t="shared" si="19"/>
        <v>2</v>
      </c>
      <c r="AX28" s="285">
        <f t="shared" si="19"/>
        <v>2</v>
      </c>
      <c r="AY28" s="285">
        <f t="shared" si="19"/>
        <v>2</v>
      </c>
      <c r="AZ28" s="285">
        <f t="shared" si="19"/>
        <v>2</v>
      </c>
      <c r="BA28" s="285">
        <f t="shared" si="19"/>
        <v>2</v>
      </c>
      <c r="BB28" s="285">
        <f t="shared" si="19"/>
        <v>1</v>
      </c>
      <c r="BC28" s="285">
        <f t="shared" si="19"/>
        <v>1</v>
      </c>
      <c r="BD28" s="285">
        <f t="shared" si="19"/>
        <v>1</v>
      </c>
      <c r="BE28" s="285">
        <f t="shared" si="19"/>
        <v>1</v>
      </c>
      <c r="BF28" s="285">
        <f t="shared" si="19"/>
        <v>1</v>
      </c>
      <c r="BG28" s="285">
        <f t="shared" si="19"/>
        <v>1</v>
      </c>
      <c r="BH28" s="285">
        <f t="shared" si="19"/>
        <v>1</v>
      </c>
      <c r="BI28" s="285">
        <f t="shared" si="19"/>
        <v>1</v>
      </c>
      <c r="BJ28" s="285">
        <f t="shared" si="19"/>
        <v>1</v>
      </c>
      <c r="BK28" s="285">
        <f t="shared" si="19"/>
        <v>1</v>
      </c>
      <c r="BL28" s="285">
        <f t="shared" si="19"/>
        <v>1</v>
      </c>
      <c r="BM28" s="285">
        <f t="shared" si="19"/>
        <v>1</v>
      </c>
    </row>
    <row r="29">
      <c r="A29" s="803">
        <v>6.75</v>
      </c>
      <c r="B29" s="285">
        <f t="shared" ref="B29:BM29" si="20">IF(IF($A29&gt;B$9,ROUNDUP(($A29/B$9)*6,0),ROUNDDOWN(($A29/B$9)*6,0))&gt;20,20,IF(IF($A29&gt;B$9,ROUNDUP(($A29/B$9)*6,0),ROUNDDOWN(($A29/B$9)*6,0))&lt;1,1,IF($A29&gt;B$9,ROUNDUP(($A29/B$9)*6,0),ROUNDDOWN(($A29/B$9)*6,0))))</f>
        <v>14</v>
      </c>
      <c r="C29" s="285">
        <f t="shared" si="20"/>
        <v>11</v>
      </c>
      <c r="D29" s="285">
        <f t="shared" si="20"/>
        <v>10</v>
      </c>
      <c r="E29" s="285">
        <f t="shared" si="20"/>
        <v>10</v>
      </c>
      <c r="F29" s="285">
        <f t="shared" si="20"/>
        <v>9</v>
      </c>
      <c r="G29" s="285">
        <f t="shared" si="20"/>
        <v>9</v>
      </c>
      <c r="H29" s="285">
        <f t="shared" si="20"/>
        <v>9</v>
      </c>
      <c r="I29" s="285">
        <f t="shared" si="20"/>
        <v>8</v>
      </c>
      <c r="J29" s="285">
        <f t="shared" si="20"/>
        <v>8</v>
      </c>
      <c r="K29" s="285">
        <f t="shared" si="20"/>
        <v>8</v>
      </c>
      <c r="L29" s="285">
        <f t="shared" si="20"/>
        <v>8</v>
      </c>
      <c r="M29" s="285">
        <f t="shared" si="20"/>
        <v>8</v>
      </c>
      <c r="N29" s="285">
        <f t="shared" si="20"/>
        <v>8</v>
      </c>
      <c r="O29" s="285">
        <f t="shared" si="20"/>
        <v>7</v>
      </c>
      <c r="P29" s="285">
        <f t="shared" si="20"/>
        <v>7</v>
      </c>
      <c r="Q29" s="285">
        <f t="shared" si="20"/>
        <v>7</v>
      </c>
      <c r="R29" s="285">
        <f t="shared" si="20"/>
        <v>7</v>
      </c>
      <c r="S29" s="285">
        <f t="shared" si="20"/>
        <v>7</v>
      </c>
      <c r="T29" s="285">
        <f t="shared" si="20"/>
        <v>7</v>
      </c>
      <c r="U29" s="285">
        <f t="shared" si="20"/>
        <v>6</v>
      </c>
      <c r="V29" s="285">
        <f t="shared" si="20"/>
        <v>5</v>
      </c>
      <c r="W29" s="285">
        <f t="shared" si="20"/>
        <v>5</v>
      </c>
      <c r="X29" s="285">
        <f t="shared" si="20"/>
        <v>5</v>
      </c>
      <c r="Y29" s="285">
        <f t="shared" si="20"/>
        <v>5</v>
      </c>
      <c r="Z29" s="285">
        <f t="shared" si="20"/>
        <v>5</v>
      </c>
      <c r="AA29" s="285">
        <f t="shared" si="20"/>
        <v>5</v>
      </c>
      <c r="AB29" s="285">
        <f t="shared" si="20"/>
        <v>5</v>
      </c>
      <c r="AC29" s="285">
        <f t="shared" si="20"/>
        <v>5</v>
      </c>
      <c r="AD29" s="285">
        <f t="shared" si="20"/>
        <v>4</v>
      </c>
      <c r="AE29" s="285">
        <f t="shared" si="20"/>
        <v>4</v>
      </c>
      <c r="AF29" s="285">
        <f t="shared" si="20"/>
        <v>4</v>
      </c>
      <c r="AG29" s="285">
        <f t="shared" si="20"/>
        <v>4</v>
      </c>
      <c r="AH29" s="285">
        <f t="shared" si="20"/>
        <v>4</v>
      </c>
      <c r="AI29" s="285">
        <f t="shared" si="20"/>
        <v>4</v>
      </c>
      <c r="AJ29" s="285">
        <f t="shared" si="20"/>
        <v>4</v>
      </c>
      <c r="AK29" s="285">
        <f t="shared" si="20"/>
        <v>4</v>
      </c>
      <c r="AL29" s="285">
        <f t="shared" si="20"/>
        <v>3</v>
      </c>
      <c r="AM29" s="285">
        <f t="shared" si="20"/>
        <v>3</v>
      </c>
      <c r="AN29" s="285">
        <f t="shared" si="20"/>
        <v>3</v>
      </c>
      <c r="AO29" s="285">
        <f t="shared" si="20"/>
        <v>3</v>
      </c>
      <c r="AP29" s="285">
        <f t="shared" si="20"/>
        <v>3</v>
      </c>
      <c r="AQ29" s="285">
        <f t="shared" si="20"/>
        <v>3</v>
      </c>
      <c r="AR29" s="285">
        <f t="shared" si="20"/>
        <v>3</v>
      </c>
      <c r="AS29" s="285">
        <f t="shared" si="20"/>
        <v>3</v>
      </c>
      <c r="AT29" s="285">
        <f t="shared" si="20"/>
        <v>3</v>
      </c>
      <c r="AU29" s="285">
        <f t="shared" si="20"/>
        <v>3</v>
      </c>
      <c r="AV29" s="285">
        <f t="shared" si="20"/>
        <v>3</v>
      </c>
      <c r="AW29" s="285">
        <f t="shared" si="20"/>
        <v>2</v>
      </c>
      <c r="AX29" s="285">
        <f t="shared" si="20"/>
        <v>2</v>
      </c>
      <c r="AY29" s="285">
        <f t="shared" si="20"/>
        <v>2</v>
      </c>
      <c r="AZ29" s="285">
        <f t="shared" si="20"/>
        <v>2</v>
      </c>
      <c r="BA29" s="285">
        <f t="shared" si="20"/>
        <v>2</v>
      </c>
      <c r="BB29" s="285">
        <f t="shared" si="20"/>
        <v>2</v>
      </c>
      <c r="BC29" s="285">
        <f t="shared" si="20"/>
        <v>1</v>
      </c>
      <c r="BD29" s="285">
        <f t="shared" si="20"/>
        <v>1</v>
      </c>
      <c r="BE29" s="285">
        <f t="shared" si="20"/>
        <v>1</v>
      </c>
      <c r="BF29" s="285">
        <f t="shared" si="20"/>
        <v>1</v>
      </c>
      <c r="BG29" s="285">
        <f t="shared" si="20"/>
        <v>1</v>
      </c>
      <c r="BH29" s="285">
        <f t="shared" si="20"/>
        <v>1</v>
      </c>
      <c r="BI29" s="285">
        <f t="shared" si="20"/>
        <v>1</v>
      </c>
      <c r="BJ29" s="285">
        <f t="shared" si="20"/>
        <v>1</v>
      </c>
      <c r="BK29" s="285">
        <f t="shared" si="20"/>
        <v>1</v>
      </c>
      <c r="BL29" s="285">
        <f t="shared" si="20"/>
        <v>1</v>
      </c>
      <c r="BM29" s="285">
        <f t="shared" si="20"/>
        <v>1</v>
      </c>
    </row>
    <row r="30">
      <c r="A30" s="803">
        <v>6.9</v>
      </c>
      <c r="B30" s="285">
        <f t="shared" ref="B30:BM30" si="21">IF(IF($A30&gt;B$9,ROUNDUP(($A30/B$9)*6,0),ROUNDDOWN(($A30/B$9)*6,0))&gt;20,20,IF(IF($A30&gt;B$9,ROUNDUP(($A30/B$9)*6,0),ROUNDDOWN(($A30/B$9)*6,0))&lt;1,1,IF($A30&gt;B$9,ROUNDUP(($A30/B$9)*6,0),ROUNDDOWN(($A30/B$9)*6,0))))</f>
        <v>14</v>
      </c>
      <c r="C30" s="285">
        <f t="shared" si="21"/>
        <v>11</v>
      </c>
      <c r="D30" s="285">
        <f t="shared" si="21"/>
        <v>10</v>
      </c>
      <c r="E30" s="285">
        <f t="shared" si="21"/>
        <v>10</v>
      </c>
      <c r="F30" s="285">
        <f t="shared" si="21"/>
        <v>9</v>
      </c>
      <c r="G30" s="285">
        <f t="shared" si="21"/>
        <v>9</v>
      </c>
      <c r="H30" s="285">
        <f t="shared" si="21"/>
        <v>9</v>
      </c>
      <c r="I30" s="285">
        <f t="shared" si="21"/>
        <v>8</v>
      </c>
      <c r="J30" s="285">
        <f t="shared" si="21"/>
        <v>8</v>
      </c>
      <c r="K30" s="285">
        <f t="shared" si="21"/>
        <v>8</v>
      </c>
      <c r="L30" s="285">
        <f t="shared" si="21"/>
        <v>8</v>
      </c>
      <c r="M30" s="285">
        <f t="shared" si="21"/>
        <v>8</v>
      </c>
      <c r="N30" s="285">
        <f t="shared" si="21"/>
        <v>8</v>
      </c>
      <c r="O30" s="285">
        <f t="shared" si="21"/>
        <v>8</v>
      </c>
      <c r="P30" s="285">
        <f t="shared" si="21"/>
        <v>7</v>
      </c>
      <c r="Q30" s="285">
        <f t="shared" si="21"/>
        <v>7</v>
      </c>
      <c r="R30" s="285">
        <f t="shared" si="21"/>
        <v>7</v>
      </c>
      <c r="S30" s="285">
        <f t="shared" si="21"/>
        <v>7</v>
      </c>
      <c r="T30" s="285">
        <f t="shared" si="21"/>
        <v>7</v>
      </c>
      <c r="U30" s="285">
        <f t="shared" si="21"/>
        <v>7</v>
      </c>
      <c r="V30" s="285">
        <f t="shared" si="21"/>
        <v>6</v>
      </c>
      <c r="W30" s="285">
        <f t="shared" si="21"/>
        <v>5</v>
      </c>
      <c r="X30" s="285">
        <f t="shared" si="21"/>
        <v>5</v>
      </c>
      <c r="Y30" s="285">
        <f t="shared" si="21"/>
        <v>5</v>
      </c>
      <c r="Z30" s="285">
        <f t="shared" si="21"/>
        <v>5</v>
      </c>
      <c r="AA30" s="285">
        <f t="shared" si="21"/>
        <v>5</v>
      </c>
      <c r="AB30" s="285">
        <f t="shared" si="21"/>
        <v>5</v>
      </c>
      <c r="AC30" s="285">
        <f t="shared" si="21"/>
        <v>5</v>
      </c>
      <c r="AD30" s="285">
        <f t="shared" si="21"/>
        <v>4</v>
      </c>
      <c r="AE30" s="285">
        <f t="shared" si="21"/>
        <v>4</v>
      </c>
      <c r="AF30" s="285">
        <f t="shared" si="21"/>
        <v>4</v>
      </c>
      <c r="AG30" s="285">
        <f t="shared" si="21"/>
        <v>4</v>
      </c>
      <c r="AH30" s="285">
        <f t="shared" si="21"/>
        <v>4</v>
      </c>
      <c r="AI30" s="285">
        <f t="shared" si="21"/>
        <v>4</v>
      </c>
      <c r="AJ30" s="285">
        <f t="shared" si="21"/>
        <v>4</v>
      </c>
      <c r="AK30" s="285">
        <f t="shared" si="21"/>
        <v>4</v>
      </c>
      <c r="AL30" s="285">
        <f t="shared" si="21"/>
        <v>3</v>
      </c>
      <c r="AM30" s="285">
        <f t="shared" si="21"/>
        <v>3</v>
      </c>
      <c r="AN30" s="285">
        <f t="shared" si="21"/>
        <v>3</v>
      </c>
      <c r="AO30" s="285">
        <f t="shared" si="21"/>
        <v>3</v>
      </c>
      <c r="AP30" s="285">
        <f t="shared" si="21"/>
        <v>3</v>
      </c>
      <c r="AQ30" s="285">
        <f t="shared" si="21"/>
        <v>3</v>
      </c>
      <c r="AR30" s="285">
        <f t="shared" si="21"/>
        <v>3</v>
      </c>
      <c r="AS30" s="285">
        <f t="shared" si="21"/>
        <v>3</v>
      </c>
      <c r="AT30" s="285">
        <f t="shared" si="21"/>
        <v>3</v>
      </c>
      <c r="AU30" s="285">
        <f t="shared" si="21"/>
        <v>3</v>
      </c>
      <c r="AV30" s="285">
        <f t="shared" si="21"/>
        <v>3</v>
      </c>
      <c r="AW30" s="285">
        <f t="shared" si="21"/>
        <v>2</v>
      </c>
      <c r="AX30" s="285">
        <f t="shared" si="21"/>
        <v>2</v>
      </c>
      <c r="AY30" s="285">
        <f t="shared" si="21"/>
        <v>2</v>
      </c>
      <c r="AZ30" s="285">
        <f t="shared" si="21"/>
        <v>2</v>
      </c>
      <c r="BA30" s="285">
        <f t="shared" si="21"/>
        <v>2</v>
      </c>
      <c r="BB30" s="285">
        <f t="shared" si="21"/>
        <v>2</v>
      </c>
      <c r="BC30" s="285">
        <f t="shared" si="21"/>
        <v>1</v>
      </c>
      <c r="BD30" s="285">
        <f t="shared" si="21"/>
        <v>1</v>
      </c>
      <c r="BE30" s="285">
        <f t="shared" si="21"/>
        <v>1</v>
      </c>
      <c r="BF30" s="285">
        <f t="shared" si="21"/>
        <v>1</v>
      </c>
      <c r="BG30" s="285">
        <f t="shared" si="21"/>
        <v>1</v>
      </c>
      <c r="BH30" s="285">
        <f t="shared" si="21"/>
        <v>1</v>
      </c>
      <c r="BI30" s="285">
        <f t="shared" si="21"/>
        <v>1</v>
      </c>
      <c r="BJ30" s="285">
        <f t="shared" si="21"/>
        <v>1</v>
      </c>
      <c r="BK30" s="285">
        <f t="shared" si="21"/>
        <v>1</v>
      </c>
      <c r="BL30" s="285">
        <f t="shared" si="21"/>
        <v>1</v>
      </c>
      <c r="BM30" s="285">
        <f t="shared" si="21"/>
        <v>1</v>
      </c>
    </row>
    <row r="31">
      <c r="A31" s="803">
        <v>7.0</v>
      </c>
      <c r="B31" s="285">
        <f t="shared" ref="B31:BM31" si="22">IF(IF($A31&gt;B$9,ROUNDUP(($A31/B$9)*6,0),ROUNDDOWN(($A31/B$9)*6,0))&gt;20,20,IF(IF($A31&gt;B$9,ROUNDUP(($A31/B$9)*6,0),ROUNDDOWN(($A31/B$9)*6,0))&lt;1,1,IF($A31&gt;B$9,ROUNDUP(($A31/B$9)*6,0),ROUNDDOWN(($A31/B$9)*6,0))))</f>
        <v>14</v>
      </c>
      <c r="C31" s="285">
        <f t="shared" si="22"/>
        <v>11</v>
      </c>
      <c r="D31" s="285">
        <f t="shared" si="22"/>
        <v>10</v>
      </c>
      <c r="E31" s="285">
        <f t="shared" si="22"/>
        <v>10</v>
      </c>
      <c r="F31" s="285">
        <f t="shared" si="22"/>
        <v>10</v>
      </c>
      <c r="G31" s="285">
        <f t="shared" si="22"/>
        <v>9</v>
      </c>
      <c r="H31" s="285">
        <f t="shared" si="22"/>
        <v>9</v>
      </c>
      <c r="I31" s="285">
        <f t="shared" si="22"/>
        <v>9</v>
      </c>
      <c r="J31" s="285">
        <f t="shared" si="22"/>
        <v>8</v>
      </c>
      <c r="K31" s="285">
        <f t="shared" si="22"/>
        <v>8</v>
      </c>
      <c r="L31" s="285">
        <f t="shared" si="22"/>
        <v>8</v>
      </c>
      <c r="M31" s="285">
        <f t="shared" si="22"/>
        <v>8</v>
      </c>
      <c r="N31" s="285">
        <f t="shared" si="22"/>
        <v>8</v>
      </c>
      <c r="O31" s="285">
        <f t="shared" si="22"/>
        <v>8</v>
      </c>
      <c r="P31" s="285">
        <f t="shared" si="22"/>
        <v>7</v>
      </c>
      <c r="Q31" s="285">
        <f t="shared" si="22"/>
        <v>7</v>
      </c>
      <c r="R31" s="285">
        <f t="shared" si="22"/>
        <v>7</v>
      </c>
      <c r="S31" s="285">
        <f t="shared" si="22"/>
        <v>7</v>
      </c>
      <c r="T31" s="285">
        <f t="shared" si="22"/>
        <v>7</v>
      </c>
      <c r="U31" s="285">
        <f t="shared" si="22"/>
        <v>7</v>
      </c>
      <c r="V31" s="285">
        <f t="shared" si="22"/>
        <v>7</v>
      </c>
      <c r="W31" s="285">
        <f t="shared" si="22"/>
        <v>6</v>
      </c>
      <c r="X31" s="285">
        <f t="shared" si="22"/>
        <v>5</v>
      </c>
      <c r="Y31" s="285">
        <f t="shared" si="22"/>
        <v>5</v>
      </c>
      <c r="Z31" s="285">
        <f t="shared" si="22"/>
        <v>5</v>
      </c>
      <c r="AA31" s="285">
        <f t="shared" si="22"/>
        <v>5</v>
      </c>
      <c r="AB31" s="285">
        <f t="shared" si="22"/>
        <v>5</v>
      </c>
      <c r="AC31" s="285">
        <f t="shared" si="22"/>
        <v>5</v>
      </c>
      <c r="AD31" s="285">
        <f t="shared" si="22"/>
        <v>5</v>
      </c>
      <c r="AE31" s="285">
        <f t="shared" si="22"/>
        <v>4</v>
      </c>
      <c r="AF31" s="285">
        <f t="shared" si="22"/>
        <v>4</v>
      </c>
      <c r="AG31" s="285">
        <f t="shared" si="22"/>
        <v>4</v>
      </c>
      <c r="AH31" s="285">
        <f t="shared" si="22"/>
        <v>4</v>
      </c>
      <c r="AI31" s="285">
        <f t="shared" si="22"/>
        <v>4</v>
      </c>
      <c r="AJ31" s="285">
        <f t="shared" si="22"/>
        <v>4</v>
      </c>
      <c r="AK31" s="285">
        <f t="shared" si="22"/>
        <v>4</v>
      </c>
      <c r="AL31" s="285">
        <f t="shared" si="22"/>
        <v>4</v>
      </c>
      <c r="AM31" s="285">
        <f t="shared" si="22"/>
        <v>4</v>
      </c>
      <c r="AN31" s="285">
        <f t="shared" si="22"/>
        <v>3</v>
      </c>
      <c r="AO31" s="285">
        <f t="shared" si="22"/>
        <v>3</v>
      </c>
      <c r="AP31" s="285">
        <f t="shared" si="22"/>
        <v>3</v>
      </c>
      <c r="AQ31" s="285">
        <f t="shared" si="22"/>
        <v>3</v>
      </c>
      <c r="AR31" s="285">
        <f t="shared" si="22"/>
        <v>3</v>
      </c>
      <c r="AS31" s="285">
        <f t="shared" si="22"/>
        <v>3</v>
      </c>
      <c r="AT31" s="285">
        <f t="shared" si="22"/>
        <v>3</v>
      </c>
      <c r="AU31" s="285">
        <f t="shared" si="22"/>
        <v>3</v>
      </c>
      <c r="AV31" s="285">
        <f t="shared" si="22"/>
        <v>3</v>
      </c>
      <c r="AW31" s="285">
        <f t="shared" si="22"/>
        <v>3</v>
      </c>
      <c r="AX31" s="285">
        <f t="shared" si="22"/>
        <v>2</v>
      </c>
      <c r="AY31" s="285">
        <f t="shared" si="22"/>
        <v>2</v>
      </c>
      <c r="AZ31" s="285">
        <f t="shared" si="22"/>
        <v>2</v>
      </c>
      <c r="BA31" s="285">
        <f t="shared" si="22"/>
        <v>2</v>
      </c>
      <c r="BB31" s="285">
        <f t="shared" si="22"/>
        <v>2</v>
      </c>
      <c r="BC31" s="285">
        <f t="shared" si="22"/>
        <v>1</v>
      </c>
      <c r="BD31" s="285">
        <f t="shared" si="22"/>
        <v>1</v>
      </c>
      <c r="BE31" s="285">
        <f t="shared" si="22"/>
        <v>1</v>
      </c>
      <c r="BF31" s="285">
        <f t="shared" si="22"/>
        <v>1</v>
      </c>
      <c r="BG31" s="285">
        <f t="shared" si="22"/>
        <v>1</v>
      </c>
      <c r="BH31" s="285">
        <f t="shared" si="22"/>
        <v>1</v>
      </c>
      <c r="BI31" s="285">
        <f t="shared" si="22"/>
        <v>1</v>
      </c>
      <c r="BJ31" s="285">
        <f t="shared" si="22"/>
        <v>1</v>
      </c>
      <c r="BK31" s="285">
        <f t="shared" si="22"/>
        <v>1</v>
      </c>
      <c r="BL31" s="285">
        <f t="shared" si="22"/>
        <v>1</v>
      </c>
      <c r="BM31" s="285">
        <f t="shared" si="22"/>
        <v>1</v>
      </c>
    </row>
    <row r="32">
      <c r="A32" s="803">
        <v>7.2</v>
      </c>
      <c r="B32" s="285">
        <f t="shared" ref="B32:BM32" si="23">IF(IF($A32&gt;B$9,ROUNDUP(($A32/B$9)*6,0),ROUNDDOWN(($A32/B$9)*6,0))&gt;20,20,IF(IF($A32&gt;B$9,ROUNDUP(($A32/B$9)*6,0),ROUNDDOWN(($A32/B$9)*6,0))&lt;1,1,IF($A32&gt;B$9,ROUNDUP(($A32/B$9)*6,0),ROUNDDOWN(($A32/B$9)*6,0))))</f>
        <v>15</v>
      </c>
      <c r="C32" s="285">
        <f t="shared" si="23"/>
        <v>11</v>
      </c>
      <c r="D32" s="285">
        <f t="shared" si="23"/>
        <v>11</v>
      </c>
      <c r="E32" s="285">
        <f t="shared" si="23"/>
        <v>10</v>
      </c>
      <c r="F32" s="285">
        <f t="shared" si="23"/>
        <v>10</v>
      </c>
      <c r="G32" s="285">
        <f t="shared" si="23"/>
        <v>9</v>
      </c>
      <c r="H32" s="285">
        <f t="shared" si="23"/>
        <v>9</v>
      </c>
      <c r="I32" s="285">
        <f t="shared" si="23"/>
        <v>9</v>
      </c>
      <c r="J32" s="285">
        <f t="shared" si="23"/>
        <v>9</v>
      </c>
      <c r="K32" s="285">
        <f t="shared" si="23"/>
        <v>8</v>
      </c>
      <c r="L32" s="285">
        <f t="shared" si="23"/>
        <v>8</v>
      </c>
      <c r="M32" s="285">
        <f t="shared" si="23"/>
        <v>8</v>
      </c>
      <c r="N32" s="285">
        <f t="shared" si="23"/>
        <v>8</v>
      </c>
      <c r="O32" s="285">
        <f t="shared" si="23"/>
        <v>8</v>
      </c>
      <c r="P32" s="285">
        <f t="shared" si="23"/>
        <v>8</v>
      </c>
      <c r="Q32" s="285">
        <f t="shared" si="23"/>
        <v>7</v>
      </c>
      <c r="R32" s="285">
        <f t="shared" si="23"/>
        <v>7</v>
      </c>
      <c r="S32" s="285">
        <f t="shared" si="23"/>
        <v>7</v>
      </c>
      <c r="T32" s="285">
        <f t="shared" si="23"/>
        <v>7</v>
      </c>
      <c r="U32" s="285">
        <f t="shared" si="23"/>
        <v>7</v>
      </c>
      <c r="V32" s="285">
        <f t="shared" si="23"/>
        <v>7</v>
      </c>
      <c r="W32" s="285">
        <f t="shared" si="23"/>
        <v>7</v>
      </c>
      <c r="X32" s="285">
        <f t="shared" si="23"/>
        <v>6</v>
      </c>
      <c r="Y32" s="285">
        <f t="shared" si="23"/>
        <v>5</v>
      </c>
      <c r="Z32" s="285">
        <f t="shared" si="23"/>
        <v>5</v>
      </c>
      <c r="AA32" s="285">
        <f t="shared" si="23"/>
        <v>5</v>
      </c>
      <c r="AB32" s="285">
        <f t="shared" si="23"/>
        <v>5</v>
      </c>
      <c r="AC32" s="285">
        <f t="shared" si="23"/>
        <v>5</v>
      </c>
      <c r="AD32" s="285">
        <f t="shared" si="23"/>
        <v>5</v>
      </c>
      <c r="AE32" s="285">
        <f t="shared" si="23"/>
        <v>4</v>
      </c>
      <c r="AF32" s="285">
        <f t="shared" si="23"/>
        <v>4</v>
      </c>
      <c r="AG32" s="285">
        <f t="shared" si="23"/>
        <v>4</v>
      </c>
      <c r="AH32" s="285">
        <f t="shared" si="23"/>
        <v>4</v>
      </c>
      <c r="AI32" s="285">
        <f t="shared" si="23"/>
        <v>4</v>
      </c>
      <c r="AJ32" s="285">
        <f t="shared" si="23"/>
        <v>4</v>
      </c>
      <c r="AK32" s="285">
        <f t="shared" si="23"/>
        <v>4</v>
      </c>
      <c r="AL32" s="285">
        <f t="shared" si="23"/>
        <v>4</v>
      </c>
      <c r="AM32" s="285">
        <f t="shared" si="23"/>
        <v>4</v>
      </c>
      <c r="AN32" s="285">
        <f t="shared" si="23"/>
        <v>4</v>
      </c>
      <c r="AO32" s="285">
        <f t="shared" si="23"/>
        <v>3</v>
      </c>
      <c r="AP32" s="285">
        <f t="shared" si="23"/>
        <v>3</v>
      </c>
      <c r="AQ32" s="285">
        <f t="shared" si="23"/>
        <v>3</v>
      </c>
      <c r="AR32" s="285">
        <f t="shared" si="23"/>
        <v>3</v>
      </c>
      <c r="AS32" s="285">
        <f t="shared" si="23"/>
        <v>3</v>
      </c>
      <c r="AT32" s="285">
        <f t="shared" si="23"/>
        <v>3</v>
      </c>
      <c r="AU32" s="285">
        <f t="shared" si="23"/>
        <v>3</v>
      </c>
      <c r="AV32" s="285">
        <f t="shared" si="23"/>
        <v>3</v>
      </c>
      <c r="AW32" s="285">
        <f t="shared" si="23"/>
        <v>3</v>
      </c>
      <c r="AX32" s="285">
        <f t="shared" si="23"/>
        <v>2</v>
      </c>
      <c r="AY32" s="285">
        <f t="shared" si="23"/>
        <v>2</v>
      </c>
      <c r="AZ32" s="285">
        <f t="shared" si="23"/>
        <v>2</v>
      </c>
      <c r="BA32" s="285">
        <f t="shared" si="23"/>
        <v>2</v>
      </c>
      <c r="BB32" s="285">
        <f t="shared" si="23"/>
        <v>2</v>
      </c>
      <c r="BC32" s="285">
        <f t="shared" si="23"/>
        <v>1</v>
      </c>
      <c r="BD32" s="285">
        <f t="shared" si="23"/>
        <v>1</v>
      </c>
      <c r="BE32" s="285">
        <f t="shared" si="23"/>
        <v>1</v>
      </c>
      <c r="BF32" s="285">
        <f t="shared" si="23"/>
        <v>1</v>
      </c>
      <c r="BG32" s="285">
        <f t="shared" si="23"/>
        <v>1</v>
      </c>
      <c r="BH32" s="285">
        <f t="shared" si="23"/>
        <v>1</v>
      </c>
      <c r="BI32" s="285">
        <f t="shared" si="23"/>
        <v>1</v>
      </c>
      <c r="BJ32" s="285">
        <f t="shared" si="23"/>
        <v>1</v>
      </c>
      <c r="BK32" s="285">
        <f t="shared" si="23"/>
        <v>1</v>
      </c>
      <c r="BL32" s="285">
        <f t="shared" si="23"/>
        <v>1</v>
      </c>
      <c r="BM32" s="285">
        <f t="shared" si="23"/>
        <v>1</v>
      </c>
    </row>
    <row r="33">
      <c r="A33" s="803">
        <v>7.25</v>
      </c>
      <c r="B33" s="285">
        <f t="shared" ref="B33:BM33" si="24">IF(IF($A33&gt;B$9,ROUNDUP(($A33/B$9)*6,0),ROUNDDOWN(($A33/B$9)*6,0))&gt;20,20,IF(IF($A33&gt;B$9,ROUNDUP(($A33/B$9)*6,0),ROUNDDOWN(($A33/B$9)*6,0))&lt;1,1,IF($A33&gt;B$9,ROUNDUP(($A33/B$9)*6,0),ROUNDDOWN(($A33/B$9)*6,0))))</f>
        <v>15</v>
      </c>
      <c r="C33" s="285">
        <f t="shared" si="24"/>
        <v>11</v>
      </c>
      <c r="D33" s="285">
        <f t="shared" si="24"/>
        <v>11</v>
      </c>
      <c r="E33" s="285">
        <f t="shared" si="24"/>
        <v>10</v>
      </c>
      <c r="F33" s="285">
        <f t="shared" si="24"/>
        <v>10</v>
      </c>
      <c r="G33" s="285">
        <f t="shared" si="24"/>
        <v>10</v>
      </c>
      <c r="H33" s="285">
        <f t="shared" si="24"/>
        <v>9</v>
      </c>
      <c r="I33" s="285">
        <f t="shared" si="24"/>
        <v>9</v>
      </c>
      <c r="J33" s="285">
        <f t="shared" si="24"/>
        <v>9</v>
      </c>
      <c r="K33" s="285">
        <f t="shared" si="24"/>
        <v>9</v>
      </c>
      <c r="L33" s="285">
        <f t="shared" si="24"/>
        <v>8</v>
      </c>
      <c r="M33" s="285">
        <f t="shared" si="24"/>
        <v>8</v>
      </c>
      <c r="N33" s="285">
        <f t="shared" si="24"/>
        <v>8</v>
      </c>
      <c r="O33" s="285">
        <f t="shared" si="24"/>
        <v>8</v>
      </c>
      <c r="P33" s="285">
        <f t="shared" si="24"/>
        <v>8</v>
      </c>
      <c r="Q33" s="285">
        <f t="shared" si="24"/>
        <v>7</v>
      </c>
      <c r="R33" s="285">
        <f t="shared" si="24"/>
        <v>7</v>
      </c>
      <c r="S33" s="285">
        <f t="shared" si="24"/>
        <v>7</v>
      </c>
      <c r="T33" s="285">
        <f t="shared" si="24"/>
        <v>7</v>
      </c>
      <c r="U33" s="285">
        <f t="shared" si="24"/>
        <v>7</v>
      </c>
      <c r="V33" s="285">
        <f t="shared" si="24"/>
        <v>7</v>
      </c>
      <c r="W33" s="285">
        <f t="shared" si="24"/>
        <v>7</v>
      </c>
      <c r="X33" s="285">
        <f t="shared" si="24"/>
        <v>7</v>
      </c>
      <c r="Y33" s="285">
        <f t="shared" si="24"/>
        <v>6</v>
      </c>
      <c r="Z33" s="285">
        <f t="shared" si="24"/>
        <v>5</v>
      </c>
      <c r="AA33" s="285">
        <f t="shared" si="24"/>
        <v>5</v>
      </c>
      <c r="AB33" s="285">
        <f t="shared" si="24"/>
        <v>5</v>
      </c>
      <c r="AC33" s="285">
        <f t="shared" si="24"/>
        <v>5</v>
      </c>
      <c r="AD33" s="285">
        <f t="shared" si="24"/>
        <v>5</v>
      </c>
      <c r="AE33" s="285">
        <f t="shared" si="24"/>
        <v>5</v>
      </c>
      <c r="AF33" s="285">
        <f t="shared" si="24"/>
        <v>4</v>
      </c>
      <c r="AG33" s="285">
        <f t="shared" si="24"/>
        <v>4</v>
      </c>
      <c r="AH33" s="285">
        <f t="shared" si="24"/>
        <v>4</v>
      </c>
      <c r="AI33" s="285">
        <f t="shared" si="24"/>
        <v>4</v>
      </c>
      <c r="AJ33" s="285">
        <f t="shared" si="24"/>
        <v>4</v>
      </c>
      <c r="AK33" s="285">
        <f t="shared" si="24"/>
        <v>4</v>
      </c>
      <c r="AL33" s="285">
        <f t="shared" si="24"/>
        <v>4</v>
      </c>
      <c r="AM33" s="285">
        <f t="shared" si="24"/>
        <v>4</v>
      </c>
      <c r="AN33" s="285">
        <f t="shared" si="24"/>
        <v>4</v>
      </c>
      <c r="AO33" s="285">
        <f t="shared" si="24"/>
        <v>3</v>
      </c>
      <c r="AP33" s="285">
        <f t="shared" si="24"/>
        <v>3</v>
      </c>
      <c r="AQ33" s="285">
        <f t="shared" si="24"/>
        <v>3</v>
      </c>
      <c r="AR33" s="285">
        <f t="shared" si="24"/>
        <v>3</v>
      </c>
      <c r="AS33" s="285">
        <f t="shared" si="24"/>
        <v>3</v>
      </c>
      <c r="AT33" s="285">
        <f t="shared" si="24"/>
        <v>3</v>
      </c>
      <c r="AU33" s="285">
        <f t="shared" si="24"/>
        <v>3</v>
      </c>
      <c r="AV33" s="285">
        <f t="shared" si="24"/>
        <v>3</v>
      </c>
      <c r="AW33" s="285">
        <f t="shared" si="24"/>
        <v>3</v>
      </c>
      <c r="AX33" s="285">
        <f t="shared" si="24"/>
        <v>3</v>
      </c>
      <c r="AY33" s="285">
        <f t="shared" si="24"/>
        <v>2</v>
      </c>
      <c r="AZ33" s="285">
        <f t="shared" si="24"/>
        <v>2</v>
      </c>
      <c r="BA33" s="285">
        <f t="shared" si="24"/>
        <v>2</v>
      </c>
      <c r="BB33" s="285">
        <f t="shared" si="24"/>
        <v>2</v>
      </c>
      <c r="BC33" s="285">
        <f t="shared" si="24"/>
        <v>1</v>
      </c>
      <c r="BD33" s="285">
        <f t="shared" si="24"/>
        <v>1</v>
      </c>
      <c r="BE33" s="285">
        <f t="shared" si="24"/>
        <v>1</v>
      </c>
      <c r="BF33" s="285">
        <f t="shared" si="24"/>
        <v>1</v>
      </c>
      <c r="BG33" s="285">
        <f t="shared" si="24"/>
        <v>1</v>
      </c>
      <c r="BH33" s="285">
        <f t="shared" si="24"/>
        <v>1</v>
      </c>
      <c r="BI33" s="285">
        <f t="shared" si="24"/>
        <v>1</v>
      </c>
      <c r="BJ33" s="285">
        <f t="shared" si="24"/>
        <v>1</v>
      </c>
      <c r="BK33" s="285">
        <f t="shared" si="24"/>
        <v>1</v>
      </c>
      <c r="BL33" s="285">
        <f t="shared" si="24"/>
        <v>1</v>
      </c>
      <c r="BM33" s="285">
        <f t="shared" si="24"/>
        <v>1</v>
      </c>
    </row>
    <row r="34">
      <c r="A34" s="803">
        <v>7.5</v>
      </c>
      <c r="B34" s="285">
        <f t="shared" ref="B34:BM34" si="25">IF(IF($A34&gt;B$9,ROUNDUP(($A34/B$9)*6,0),ROUNDDOWN(($A34/B$9)*6,0))&gt;20,20,IF(IF($A34&gt;B$9,ROUNDUP(($A34/B$9)*6,0),ROUNDDOWN(($A34/B$9)*6,0))&lt;1,1,IF($A34&gt;B$9,ROUNDUP(($A34/B$9)*6,0),ROUNDDOWN(($A34/B$9)*6,0))))</f>
        <v>15</v>
      </c>
      <c r="C34" s="285">
        <f t="shared" si="25"/>
        <v>12</v>
      </c>
      <c r="D34" s="285">
        <f t="shared" si="25"/>
        <v>11</v>
      </c>
      <c r="E34" s="285">
        <f t="shared" si="25"/>
        <v>11</v>
      </c>
      <c r="F34" s="285">
        <f t="shared" si="25"/>
        <v>10</v>
      </c>
      <c r="G34" s="285">
        <f t="shared" si="25"/>
        <v>10</v>
      </c>
      <c r="H34" s="285">
        <f t="shared" si="25"/>
        <v>9</v>
      </c>
      <c r="I34" s="285">
        <f t="shared" si="25"/>
        <v>9</v>
      </c>
      <c r="J34" s="285">
        <f t="shared" si="25"/>
        <v>9</v>
      </c>
      <c r="K34" s="285">
        <f t="shared" si="25"/>
        <v>9</v>
      </c>
      <c r="L34" s="285">
        <f t="shared" si="25"/>
        <v>9</v>
      </c>
      <c r="M34" s="285">
        <f t="shared" si="25"/>
        <v>9</v>
      </c>
      <c r="N34" s="285">
        <f t="shared" si="25"/>
        <v>8</v>
      </c>
      <c r="O34" s="285">
        <f t="shared" si="25"/>
        <v>8</v>
      </c>
      <c r="P34" s="285">
        <f t="shared" si="25"/>
        <v>8</v>
      </c>
      <c r="Q34" s="285">
        <f t="shared" si="25"/>
        <v>8</v>
      </c>
      <c r="R34" s="285">
        <f t="shared" si="25"/>
        <v>8</v>
      </c>
      <c r="S34" s="285">
        <f t="shared" si="25"/>
        <v>7</v>
      </c>
      <c r="T34" s="285">
        <f t="shared" si="25"/>
        <v>7</v>
      </c>
      <c r="U34" s="285">
        <f t="shared" si="25"/>
        <v>7</v>
      </c>
      <c r="V34" s="285">
        <f t="shared" si="25"/>
        <v>7</v>
      </c>
      <c r="W34" s="285">
        <f t="shared" si="25"/>
        <v>7</v>
      </c>
      <c r="X34" s="285">
        <f t="shared" si="25"/>
        <v>7</v>
      </c>
      <c r="Y34" s="285">
        <f t="shared" si="25"/>
        <v>7</v>
      </c>
      <c r="Z34" s="285">
        <f t="shared" si="25"/>
        <v>6</v>
      </c>
      <c r="AA34" s="285">
        <f t="shared" si="25"/>
        <v>5</v>
      </c>
      <c r="AB34" s="285">
        <f t="shared" si="25"/>
        <v>5</v>
      </c>
      <c r="AC34" s="285">
        <f t="shared" si="25"/>
        <v>5</v>
      </c>
      <c r="AD34" s="285">
        <f t="shared" si="25"/>
        <v>5</v>
      </c>
      <c r="AE34" s="285">
        <f t="shared" si="25"/>
        <v>5</v>
      </c>
      <c r="AF34" s="285">
        <f t="shared" si="25"/>
        <v>5</v>
      </c>
      <c r="AG34" s="285">
        <f t="shared" si="25"/>
        <v>5</v>
      </c>
      <c r="AH34" s="285">
        <f t="shared" si="25"/>
        <v>5</v>
      </c>
      <c r="AI34" s="285">
        <f t="shared" si="25"/>
        <v>4</v>
      </c>
      <c r="AJ34" s="285">
        <f t="shared" si="25"/>
        <v>4</v>
      </c>
      <c r="AK34" s="285">
        <f t="shared" si="25"/>
        <v>4</v>
      </c>
      <c r="AL34" s="285">
        <f t="shared" si="25"/>
        <v>4</v>
      </c>
      <c r="AM34" s="285">
        <f t="shared" si="25"/>
        <v>4</v>
      </c>
      <c r="AN34" s="285">
        <f t="shared" si="25"/>
        <v>4</v>
      </c>
      <c r="AO34" s="285">
        <f t="shared" si="25"/>
        <v>4</v>
      </c>
      <c r="AP34" s="285">
        <f t="shared" si="25"/>
        <v>4</v>
      </c>
      <c r="AQ34" s="285">
        <f t="shared" si="25"/>
        <v>3</v>
      </c>
      <c r="AR34" s="285">
        <f t="shared" si="25"/>
        <v>3</v>
      </c>
      <c r="AS34" s="285">
        <f t="shared" si="25"/>
        <v>3</v>
      </c>
      <c r="AT34" s="285">
        <f t="shared" si="25"/>
        <v>3</v>
      </c>
      <c r="AU34" s="285">
        <f t="shared" si="25"/>
        <v>3</v>
      </c>
      <c r="AV34" s="285">
        <f t="shared" si="25"/>
        <v>3</v>
      </c>
      <c r="AW34" s="285">
        <f t="shared" si="25"/>
        <v>3</v>
      </c>
      <c r="AX34" s="285">
        <f t="shared" si="25"/>
        <v>3</v>
      </c>
      <c r="AY34" s="285">
        <f t="shared" si="25"/>
        <v>3</v>
      </c>
      <c r="AZ34" s="285">
        <f t="shared" si="25"/>
        <v>2</v>
      </c>
      <c r="BA34" s="285">
        <f t="shared" si="25"/>
        <v>2</v>
      </c>
      <c r="BB34" s="285">
        <f t="shared" si="25"/>
        <v>2</v>
      </c>
      <c r="BC34" s="285">
        <f t="shared" si="25"/>
        <v>2</v>
      </c>
      <c r="BD34" s="285">
        <f t="shared" si="25"/>
        <v>1</v>
      </c>
      <c r="BE34" s="285">
        <f t="shared" si="25"/>
        <v>1</v>
      </c>
      <c r="BF34" s="285">
        <f t="shared" si="25"/>
        <v>1</v>
      </c>
      <c r="BG34" s="285">
        <f t="shared" si="25"/>
        <v>1</v>
      </c>
      <c r="BH34" s="285">
        <f t="shared" si="25"/>
        <v>1</v>
      </c>
      <c r="BI34" s="285">
        <f t="shared" si="25"/>
        <v>1</v>
      </c>
      <c r="BJ34" s="285">
        <f t="shared" si="25"/>
        <v>1</v>
      </c>
      <c r="BK34" s="285">
        <f t="shared" si="25"/>
        <v>1</v>
      </c>
      <c r="BL34" s="285">
        <f t="shared" si="25"/>
        <v>1</v>
      </c>
      <c r="BM34" s="285">
        <f t="shared" si="25"/>
        <v>1</v>
      </c>
    </row>
    <row r="35">
      <c r="A35" s="803">
        <v>7.8</v>
      </c>
      <c r="B35" s="285">
        <f t="shared" ref="B35:BM35" si="26">IF(IF($A35&gt;B$9,ROUNDUP(($A35/B$9)*6,0),ROUNDDOWN(($A35/B$9)*6,0))&gt;20,20,IF(IF($A35&gt;B$9,ROUNDUP(($A35/B$9)*6,0),ROUNDDOWN(($A35/B$9)*6,0))&lt;1,1,IF($A35&gt;B$9,ROUNDUP(($A35/B$9)*6,0),ROUNDDOWN(($A35/B$9)*6,0))))</f>
        <v>16</v>
      </c>
      <c r="C35" s="285">
        <f t="shared" si="26"/>
        <v>12</v>
      </c>
      <c r="D35" s="285">
        <f t="shared" si="26"/>
        <v>12</v>
      </c>
      <c r="E35" s="285">
        <f t="shared" si="26"/>
        <v>11</v>
      </c>
      <c r="F35" s="285">
        <f t="shared" si="26"/>
        <v>11</v>
      </c>
      <c r="G35" s="285">
        <f t="shared" si="26"/>
        <v>10</v>
      </c>
      <c r="H35" s="285">
        <f t="shared" si="26"/>
        <v>10</v>
      </c>
      <c r="I35" s="285">
        <f t="shared" si="26"/>
        <v>9</v>
      </c>
      <c r="J35" s="285">
        <f t="shared" si="26"/>
        <v>9</v>
      </c>
      <c r="K35" s="285">
        <f t="shared" si="26"/>
        <v>9</v>
      </c>
      <c r="L35" s="285">
        <f t="shared" si="26"/>
        <v>9</v>
      </c>
      <c r="M35" s="285">
        <f t="shared" si="26"/>
        <v>9</v>
      </c>
      <c r="N35" s="285">
        <f t="shared" si="26"/>
        <v>9</v>
      </c>
      <c r="O35" s="285">
        <f t="shared" si="26"/>
        <v>9</v>
      </c>
      <c r="P35" s="285">
        <f t="shared" si="26"/>
        <v>8</v>
      </c>
      <c r="Q35" s="285">
        <f t="shared" si="26"/>
        <v>8</v>
      </c>
      <c r="R35" s="285">
        <f t="shared" si="26"/>
        <v>8</v>
      </c>
      <c r="S35" s="285">
        <f t="shared" si="26"/>
        <v>8</v>
      </c>
      <c r="T35" s="285">
        <f t="shared" si="26"/>
        <v>8</v>
      </c>
      <c r="U35" s="285">
        <f t="shared" si="26"/>
        <v>7</v>
      </c>
      <c r="V35" s="285">
        <f t="shared" si="26"/>
        <v>7</v>
      </c>
      <c r="W35" s="285">
        <f t="shared" si="26"/>
        <v>7</v>
      </c>
      <c r="X35" s="285">
        <f t="shared" si="26"/>
        <v>7</v>
      </c>
      <c r="Y35" s="285">
        <f t="shared" si="26"/>
        <v>7</v>
      </c>
      <c r="Z35" s="285">
        <f t="shared" si="26"/>
        <v>7</v>
      </c>
      <c r="AA35" s="285">
        <f t="shared" si="26"/>
        <v>6</v>
      </c>
      <c r="AB35" s="285">
        <f t="shared" si="26"/>
        <v>5</v>
      </c>
      <c r="AC35" s="285">
        <f t="shared" si="26"/>
        <v>5</v>
      </c>
      <c r="AD35" s="285">
        <f t="shared" si="26"/>
        <v>5</v>
      </c>
      <c r="AE35" s="285">
        <f t="shared" si="26"/>
        <v>5</v>
      </c>
      <c r="AF35" s="285">
        <f t="shared" si="26"/>
        <v>5</v>
      </c>
      <c r="AG35" s="285">
        <f t="shared" si="26"/>
        <v>5</v>
      </c>
      <c r="AH35" s="285">
        <f t="shared" si="26"/>
        <v>5</v>
      </c>
      <c r="AI35" s="285">
        <f t="shared" si="26"/>
        <v>5</v>
      </c>
      <c r="AJ35" s="285">
        <f t="shared" si="26"/>
        <v>4</v>
      </c>
      <c r="AK35" s="285">
        <f t="shared" si="26"/>
        <v>4</v>
      </c>
      <c r="AL35" s="285">
        <f t="shared" si="26"/>
        <v>4</v>
      </c>
      <c r="AM35" s="285">
        <f t="shared" si="26"/>
        <v>4</v>
      </c>
      <c r="AN35" s="285">
        <f t="shared" si="26"/>
        <v>4</v>
      </c>
      <c r="AO35" s="285">
        <f t="shared" si="26"/>
        <v>4</v>
      </c>
      <c r="AP35" s="285">
        <f t="shared" si="26"/>
        <v>4</v>
      </c>
      <c r="AQ35" s="285">
        <f t="shared" si="26"/>
        <v>4</v>
      </c>
      <c r="AR35" s="285">
        <f t="shared" si="26"/>
        <v>4</v>
      </c>
      <c r="AS35" s="285">
        <f t="shared" si="26"/>
        <v>3</v>
      </c>
      <c r="AT35" s="285">
        <f t="shared" si="26"/>
        <v>3</v>
      </c>
      <c r="AU35" s="285">
        <f t="shared" si="26"/>
        <v>3</v>
      </c>
      <c r="AV35" s="285">
        <f t="shared" si="26"/>
        <v>3</v>
      </c>
      <c r="AW35" s="285">
        <f t="shared" si="26"/>
        <v>3</v>
      </c>
      <c r="AX35" s="285">
        <f t="shared" si="26"/>
        <v>3</v>
      </c>
      <c r="AY35" s="285">
        <f t="shared" si="26"/>
        <v>3</v>
      </c>
      <c r="AZ35" s="285">
        <f t="shared" si="26"/>
        <v>2</v>
      </c>
      <c r="BA35" s="285">
        <f t="shared" si="26"/>
        <v>2</v>
      </c>
      <c r="BB35" s="285">
        <f t="shared" si="26"/>
        <v>2</v>
      </c>
      <c r="BC35" s="285">
        <f t="shared" si="26"/>
        <v>2</v>
      </c>
      <c r="BD35" s="285">
        <f t="shared" si="26"/>
        <v>1</v>
      </c>
      <c r="BE35" s="285">
        <f t="shared" si="26"/>
        <v>1</v>
      </c>
      <c r="BF35" s="285">
        <f t="shared" si="26"/>
        <v>1</v>
      </c>
      <c r="BG35" s="285">
        <f t="shared" si="26"/>
        <v>1</v>
      </c>
      <c r="BH35" s="285">
        <f t="shared" si="26"/>
        <v>1</v>
      </c>
      <c r="BI35" s="285">
        <f t="shared" si="26"/>
        <v>1</v>
      </c>
      <c r="BJ35" s="285">
        <f t="shared" si="26"/>
        <v>1</v>
      </c>
      <c r="BK35" s="285">
        <f t="shared" si="26"/>
        <v>1</v>
      </c>
      <c r="BL35" s="285">
        <f t="shared" si="26"/>
        <v>1</v>
      </c>
      <c r="BM35" s="285">
        <f t="shared" si="26"/>
        <v>1</v>
      </c>
    </row>
    <row r="36">
      <c r="A36" s="803">
        <v>8.0</v>
      </c>
      <c r="B36" s="285">
        <f t="shared" ref="B36:BM36" si="27">IF(IF($A36&gt;B$9,ROUNDUP(($A36/B$9)*6,0),ROUNDDOWN(($A36/B$9)*6,0))&gt;20,20,IF(IF($A36&gt;B$9,ROUNDUP(($A36/B$9)*6,0),ROUNDDOWN(($A36/B$9)*6,0))&lt;1,1,IF($A36&gt;B$9,ROUNDUP(($A36/B$9)*6,0),ROUNDDOWN(($A36/B$9)*6,0))))</f>
        <v>16</v>
      </c>
      <c r="C36" s="285">
        <f t="shared" si="27"/>
        <v>12</v>
      </c>
      <c r="D36" s="285">
        <f t="shared" si="27"/>
        <v>12</v>
      </c>
      <c r="E36" s="285">
        <f t="shared" si="27"/>
        <v>11</v>
      </c>
      <c r="F36" s="285">
        <f t="shared" si="27"/>
        <v>11</v>
      </c>
      <c r="G36" s="285">
        <f t="shared" si="27"/>
        <v>10</v>
      </c>
      <c r="H36" s="285">
        <f t="shared" si="27"/>
        <v>10</v>
      </c>
      <c r="I36" s="285">
        <f t="shared" si="27"/>
        <v>10</v>
      </c>
      <c r="J36" s="285">
        <f t="shared" si="27"/>
        <v>10</v>
      </c>
      <c r="K36" s="285">
        <f t="shared" si="27"/>
        <v>9</v>
      </c>
      <c r="L36" s="285">
        <f t="shared" si="27"/>
        <v>9</v>
      </c>
      <c r="M36" s="285">
        <f t="shared" si="27"/>
        <v>9</v>
      </c>
      <c r="N36" s="285">
        <f t="shared" si="27"/>
        <v>9</v>
      </c>
      <c r="O36" s="285">
        <f t="shared" si="27"/>
        <v>9</v>
      </c>
      <c r="P36" s="285">
        <f t="shared" si="27"/>
        <v>8</v>
      </c>
      <c r="Q36" s="285">
        <f t="shared" si="27"/>
        <v>8</v>
      </c>
      <c r="R36" s="285">
        <f t="shared" si="27"/>
        <v>8</v>
      </c>
      <c r="S36" s="285">
        <f t="shared" si="27"/>
        <v>8</v>
      </c>
      <c r="T36" s="285">
        <f t="shared" si="27"/>
        <v>8</v>
      </c>
      <c r="U36" s="285">
        <f t="shared" si="27"/>
        <v>8</v>
      </c>
      <c r="V36" s="285">
        <f t="shared" si="27"/>
        <v>7</v>
      </c>
      <c r="W36" s="285">
        <f t="shared" si="27"/>
        <v>7</v>
      </c>
      <c r="X36" s="285">
        <f t="shared" si="27"/>
        <v>7</v>
      </c>
      <c r="Y36" s="285">
        <f t="shared" si="27"/>
        <v>7</v>
      </c>
      <c r="Z36" s="285">
        <f t="shared" si="27"/>
        <v>7</v>
      </c>
      <c r="AA36" s="285">
        <f t="shared" si="27"/>
        <v>7</v>
      </c>
      <c r="AB36" s="285">
        <f t="shared" si="27"/>
        <v>6</v>
      </c>
      <c r="AC36" s="285">
        <f t="shared" si="27"/>
        <v>5</v>
      </c>
      <c r="AD36" s="285">
        <f t="shared" si="27"/>
        <v>5</v>
      </c>
      <c r="AE36" s="285">
        <f t="shared" si="27"/>
        <v>5</v>
      </c>
      <c r="AF36" s="285">
        <f t="shared" si="27"/>
        <v>5</v>
      </c>
      <c r="AG36" s="285">
        <f t="shared" si="27"/>
        <v>5</v>
      </c>
      <c r="AH36" s="285">
        <f t="shared" si="27"/>
        <v>5</v>
      </c>
      <c r="AI36" s="285">
        <f t="shared" si="27"/>
        <v>5</v>
      </c>
      <c r="AJ36" s="285">
        <f t="shared" si="27"/>
        <v>5</v>
      </c>
      <c r="AK36" s="285">
        <f t="shared" si="27"/>
        <v>4</v>
      </c>
      <c r="AL36" s="285">
        <f t="shared" si="27"/>
        <v>4</v>
      </c>
      <c r="AM36" s="285">
        <f t="shared" si="27"/>
        <v>4</v>
      </c>
      <c r="AN36" s="285">
        <f t="shared" si="27"/>
        <v>4</v>
      </c>
      <c r="AO36" s="285">
        <f t="shared" si="27"/>
        <v>4</v>
      </c>
      <c r="AP36" s="285">
        <f t="shared" si="27"/>
        <v>4</v>
      </c>
      <c r="AQ36" s="285">
        <f t="shared" si="27"/>
        <v>4</v>
      </c>
      <c r="AR36" s="285">
        <f t="shared" si="27"/>
        <v>4</v>
      </c>
      <c r="AS36" s="285">
        <f t="shared" si="27"/>
        <v>4</v>
      </c>
      <c r="AT36" s="285">
        <f t="shared" si="27"/>
        <v>3</v>
      </c>
      <c r="AU36" s="285">
        <f t="shared" si="27"/>
        <v>3</v>
      </c>
      <c r="AV36" s="285">
        <f t="shared" si="27"/>
        <v>3</v>
      </c>
      <c r="AW36" s="285">
        <f t="shared" si="27"/>
        <v>3</v>
      </c>
      <c r="AX36" s="285">
        <f t="shared" si="27"/>
        <v>3</v>
      </c>
      <c r="AY36" s="285">
        <f t="shared" si="27"/>
        <v>3</v>
      </c>
      <c r="AZ36" s="285">
        <f t="shared" si="27"/>
        <v>3</v>
      </c>
      <c r="BA36" s="285">
        <f t="shared" si="27"/>
        <v>2</v>
      </c>
      <c r="BB36" s="285">
        <f t="shared" si="27"/>
        <v>2</v>
      </c>
      <c r="BC36" s="285">
        <f t="shared" si="27"/>
        <v>2</v>
      </c>
      <c r="BD36" s="285">
        <f t="shared" si="27"/>
        <v>1</v>
      </c>
      <c r="BE36" s="285">
        <f t="shared" si="27"/>
        <v>1</v>
      </c>
      <c r="BF36" s="285">
        <f t="shared" si="27"/>
        <v>1</v>
      </c>
      <c r="BG36" s="285">
        <f t="shared" si="27"/>
        <v>1</v>
      </c>
      <c r="BH36" s="285">
        <f t="shared" si="27"/>
        <v>1</v>
      </c>
      <c r="BI36" s="285">
        <f t="shared" si="27"/>
        <v>1</v>
      </c>
      <c r="BJ36" s="285">
        <f t="shared" si="27"/>
        <v>1</v>
      </c>
      <c r="BK36" s="285">
        <f t="shared" si="27"/>
        <v>1</v>
      </c>
      <c r="BL36" s="285">
        <f t="shared" si="27"/>
        <v>1</v>
      </c>
      <c r="BM36" s="285">
        <f t="shared" si="27"/>
        <v>1</v>
      </c>
    </row>
    <row r="37">
      <c r="A37" s="803">
        <v>8.1</v>
      </c>
      <c r="B37" s="285">
        <f t="shared" ref="B37:BM37" si="28">IF(IF($A37&gt;B$9,ROUNDUP(($A37/B$9)*6,0),ROUNDDOWN(($A37/B$9)*6,0))&gt;20,20,IF(IF($A37&gt;B$9,ROUNDUP(($A37/B$9)*6,0),ROUNDDOWN(($A37/B$9)*6,0))&lt;1,1,IF($A37&gt;B$9,ROUNDUP(($A37/B$9)*6,0),ROUNDDOWN(($A37/B$9)*6,0))))</f>
        <v>17</v>
      </c>
      <c r="C37" s="285">
        <f t="shared" si="28"/>
        <v>13</v>
      </c>
      <c r="D37" s="285">
        <f t="shared" si="28"/>
        <v>12</v>
      </c>
      <c r="E37" s="285">
        <f t="shared" si="28"/>
        <v>12</v>
      </c>
      <c r="F37" s="285">
        <f t="shared" si="28"/>
        <v>11</v>
      </c>
      <c r="G37" s="285">
        <f t="shared" si="28"/>
        <v>11</v>
      </c>
      <c r="H37" s="285">
        <f t="shared" si="28"/>
        <v>10</v>
      </c>
      <c r="I37" s="285">
        <f t="shared" si="28"/>
        <v>10</v>
      </c>
      <c r="J37" s="285">
        <f t="shared" si="28"/>
        <v>10</v>
      </c>
      <c r="K37" s="285">
        <f t="shared" si="28"/>
        <v>9</v>
      </c>
      <c r="L37" s="285">
        <f t="shared" si="28"/>
        <v>9</v>
      </c>
      <c r="M37" s="285">
        <f t="shared" si="28"/>
        <v>9</v>
      </c>
      <c r="N37" s="285">
        <f t="shared" si="28"/>
        <v>9</v>
      </c>
      <c r="O37" s="285">
        <f t="shared" si="28"/>
        <v>9</v>
      </c>
      <c r="P37" s="285">
        <f t="shared" si="28"/>
        <v>9</v>
      </c>
      <c r="Q37" s="285">
        <f t="shared" si="28"/>
        <v>8</v>
      </c>
      <c r="R37" s="285">
        <f t="shared" si="28"/>
        <v>8</v>
      </c>
      <c r="S37" s="285">
        <f t="shared" si="28"/>
        <v>8</v>
      </c>
      <c r="T37" s="285">
        <f t="shared" si="28"/>
        <v>8</v>
      </c>
      <c r="U37" s="285">
        <f t="shared" si="28"/>
        <v>8</v>
      </c>
      <c r="V37" s="285">
        <f t="shared" si="28"/>
        <v>8</v>
      </c>
      <c r="W37" s="285">
        <f t="shared" si="28"/>
        <v>7</v>
      </c>
      <c r="X37" s="285">
        <f t="shared" si="28"/>
        <v>7</v>
      </c>
      <c r="Y37" s="285">
        <f t="shared" si="28"/>
        <v>7</v>
      </c>
      <c r="Z37" s="285">
        <f t="shared" si="28"/>
        <v>7</v>
      </c>
      <c r="AA37" s="285">
        <f t="shared" si="28"/>
        <v>7</v>
      </c>
      <c r="AB37" s="285">
        <f t="shared" si="28"/>
        <v>7</v>
      </c>
      <c r="AC37" s="285">
        <f t="shared" si="28"/>
        <v>6</v>
      </c>
      <c r="AD37" s="285">
        <f t="shared" si="28"/>
        <v>5</v>
      </c>
      <c r="AE37" s="285">
        <f t="shared" si="28"/>
        <v>5</v>
      </c>
      <c r="AF37" s="285">
        <f t="shared" si="28"/>
        <v>5</v>
      </c>
      <c r="AG37" s="285">
        <f t="shared" si="28"/>
        <v>5</v>
      </c>
      <c r="AH37" s="285">
        <f t="shared" si="28"/>
        <v>5</v>
      </c>
      <c r="AI37" s="285">
        <f t="shared" si="28"/>
        <v>5</v>
      </c>
      <c r="AJ37" s="285">
        <f t="shared" si="28"/>
        <v>5</v>
      </c>
      <c r="AK37" s="285">
        <f t="shared" si="28"/>
        <v>4</v>
      </c>
      <c r="AL37" s="285">
        <f t="shared" si="28"/>
        <v>4</v>
      </c>
      <c r="AM37" s="285">
        <f t="shared" si="28"/>
        <v>4</v>
      </c>
      <c r="AN37" s="285">
        <f t="shared" si="28"/>
        <v>4</v>
      </c>
      <c r="AO37" s="285">
        <f t="shared" si="28"/>
        <v>4</v>
      </c>
      <c r="AP37" s="285">
        <f t="shared" si="28"/>
        <v>4</v>
      </c>
      <c r="AQ37" s="285">
        <f t="shared" si="28"/>
        <v>4</v>
      </c>
      <c r="AR37" s="285">
        <f t="shared" si="28"/>
        <v>4</v>
      </c>
      <c r="AS37" s="285">
        <f t="shared" si="28"/>
        <v>4</v>
      </c>
      <c r="AT37" s="285">
        <f t="shared" si="28"/>
        <v>3</v>
      </c>
      <c r="AU37" s="285">
        <f t="shared" si="28"/>
        <v>3</v>
      </c>
      <c r="AV37" s="285">
        <f t="shared" si="28"/>
        <v>3</v>
      </c>
      <c r="AW37" s="285">
        <f t="shared" si="28"/>
        <v>3</v>
      </c>
      <c r="AX37" s="285">
        <f t="shared" si="28"/>
        <v>3</v>
      </c>
      <c r="AY37" s="285">
        <f t="shared" si="28"/>
        <v>3</v>
      </c>
      <c r="AZ37" s="285">
        <f t="shared" si="28"/>
        <v>3</v>
      </c>
      <c r="BA37" s="285">
        <f t="shared" si="28"/>
        <v>2</v>
      </c>
      <c r="BB37" s="285">
        <f t="shared" si="28"/>
        <v>2</v>
      </c>
      <c r="BC37" s="285">
        <f t="shared" si="28"/>
        <v>2</v>
      </c>
      <c r="BD37" s="285">
        <f t="shared" si="28"/>
        <v>1</v>
      </c>
      <c r="BE37" s="285">
        <f t="shared" si="28"/>
        <v>1</v>
      </c>
      <c r="BF37" s="285">
        <f t="shared" si="28"/>
        <v>1</v>
      </c>
      <c r="BG37" s="285">
        <f t="shared" si="28"/>
        <v>1</v>
      </c>
      <c r="BH37" s="285">
        <f t="shared" si="28"/>
        <v>1</v>
      </c>
      <c r="BI37" s="285">
        <f t="shared" si="28"/>
        <v>1</v>
      </c>
      <c r="BJ37" s="285">
        <f t="shared" si="28"/>
        <v>1</v>
      </c>
      <c r="BK37" s="285">
        <f t="shared" si="28"/>
        <v>1</v>
      </c>
      <c r="BL37" s="285">
        <f t="shared" si="28"/>
        <v>1</v>
      </c>
      <c r="BM37" s="285">
        <f t="shared" si="28"/>
        <v>1</v>
      </c>
    </row>
    <row r="38">
      <c r="A38" s="803">
        <v>8.4</v>
      </c>
      <c r="B38" s="285">
        <f t="shared" ref="B38:BM38" si="29">IF(IF($A38&gt;B$9,ROUNDUP(($A38/B$9)*6,0),ROUNDDOWN(($A38/B$9)*6,0))&gt;20,20,IF(IF($A38&gt;B$9,ROUNDUP(($A38/B$9)*6,0),ROUNDDOWN(($A38/B$9)*6,0))&lt;1,1,IF($A38&gt;B$9,ROUNDUP(($A38/B$9)*6,0),ROUNDDOWN(($A38/B$9)*6,0))))</f>
        <v>17</v>
      </c>
      <c r="C38" s="285">
        <f t="shared" si="29"/>
        <v>13</v>
      </c>
      <c r="D38" s="285">
        <f t="shared" si="29"/>
        <v>12</v>
      </c>
      <c r="E38" s="285">
        <f t="shared" si="29"/>
        <v>12</v>
      </c>
      <c r="F38" s="285">
        <f t="shared" si="29"/>
        <v>11</v>
      </c>
      <c r="G38" s="285">
        <f t="shared" si="29"/>
        <v>11</v>
      </c>
      <c r="H38" s="285">
        <f t="shared" si="29"/>
        <v>11</v>
      </c>
      <c r="I38" s="285">
        <f t="shared" si="29"/>
        <v>10</v>
      </c>
      <c r="J38" s="285">
        <f t="shared" si="29"/>
        <v>10</v>
      </c>
      <c r="K38" s="285">
        <f t="shared" si="29"/>
        <v>10</v>
      </c>
      <c r="L38" s="285">
        <f t="shared" si="29"/>
        <v>10</v>
      </c>
      <c r="M38" s="285">
        <f t="shared" si="29"/>
        <v>9</v>
      </c>
      <c r="N38" s="285">
        <f t="shared" si="29"/>
        <v>9</v>
      </c>
      <c r="O38" s="285">
        <f t="shared" si="29"/>
        <v>9</v>
      </c>
      <c r="P38" s="285">
        <f t="shared" si="29"/>
        <v>9</v>
      </c>
      <c r="Q38" s="285">
        <f t="shared" si="29"/>
        <v>9</v>
      </c>
      <c r="R38" s="285">
        <f t="shared" si="29"/>
        <v>8</v>
      </c>
      <c r="S38" s="285">
        <f t="shared" si="29"/>
        <v>8</v>
      </c>
      <c r="T38" s="285">
        <f t="shared" si="29"/>
        <v>8</v>
      </c>
      <c r="U38" s="285">
        <f t="shared" si="29"/>
        <v>8</v>
      </c>
      <c r="V38" s="285">
        <f t="shared" si="29"/>
        <v>8</v>
      </c>
      <c r="W38" s="285">
        <f t="shared" si="29"/>
        <v>8</v>
      </c>
      <c r="X38" s="285">
        <f t="shared" si="29"/>
        <v>7</v>
      </c>
      <c r="Y38" s="285">
        <f t="shared" si="29"/>
        <v>7</v>
      </c>
      <c r="Z38" s="285">
        <f t="shared" si="29"/>
        <v>7</v>
      </c>
      <c r="AA38" s="285">
        <f t="shared" si="29"/>
        <v>7</v>
      </c>
      <c r="AB38" s="285">
        <f t="shared" si="29"/>
        <v>7</v>
      </c>
      <c r="AC38" s="285">
        <f t="shared" si="29"/>
        <v>7</v>
      </c>
      <c r="AD38" s="285">
        <f t="shared" si="29"/>
        <v>6</v>
      </c>
      <c r="AE38" s="285">
        <f t="shared" si="29"/>
        <v>5</v>
      </c>
      <c r="AF38" s="285">
        <f t="shared" si="29"/>
        <v>5</v>
      </c>
      <c r="AG38" s="285">
        <f t="shared" si="29"/>
        <v>5</v>
      </c>
      <c r="AH38" s="285">
        <f t="shared" si="29"/>
        <v>5</v>
      </c>
      <c r="AI38" s="285">
        <f t="shared" si="29"/>
        <v>5</v>
      </c>
      <c r="AJ38" s="285">
        <f t="shared" si="29"/>
        <v>5</v>
      </c>
      <c r="AK38" s="285">
        <f t="shared" si="29"/>
        <v>5</v>
      </c>
      <c r="AL38" s="285">
        <f t="shared" si="29"/>
        <v>4</v>
      </c>
      <c r="AM38" s="285">
        <f t="shared" si="29"/>
        <v>4</v>
      </c>
      <c r="AN38" s="285">
        <f t="shared" si="29"/>
        <v>4</v>
      </c>
      <c r="AO38" s="285">
        <f t="shared" si="29"/>
        <v>4</v>
      </c>
      <c r="AP38" s="285">
        <f t="shared" si="29"/>
        <v>4</v>
      </c>
      <c r="AQ38" s="285">
        <f t="shared" si="29"/>
        <v>4</v>
      </c>
      <c r="AR38" s="285">
        <f t="shared" si="29"/>
        <v>4</v>
      </c>
      <c r="AS38" s="285">
        <f t="shared" si="29"/>
        <v>4</v>
      </c>
      <c r="AT38" s="285">
        <f t="shared" si="29"/>
        <v>4</v>
      </c>
      <c r="AU38" s="285">
        <f t="shared" si="29"/>
        <v>3</v>
      </c>
      <c r="AV38" s="285">
        <f t="shared" si="29"/>
        <v>3</v>
      </c>
      <c r="AW38" s="285">
        <f t="shared" si="29"/>
        <v>3</v>
      </c>
      <c r="AX38" s="285">
        <f t="shared" si="29"/>
        <v>3</v>
      </c>
      <c r="AY38" s="285">
        <f t="shared" si="29"/>
        <v>3</v>
      </c>
      <c r="AZ38" s="285">
        <f t="shared" si="29"/>
        <v>3</v>
      </c>
      <c r="BA38" s="285">
        <f t="shared" si="29"/>
        <v>2</v>
      </c>
      <c r="BB38" s="285">
        <f t="shared" si="29"/>
        <v>2</v>
      </c>
      <c r="BC38" s="285">
        <f t="shared" si="29"/>
        <v>2</v>
      </c>
      <c r="BD38" s="285">
        <f t="shared" si="29"/>
        <v>2</v>
      </c>
      <c r="BE38" s="285">
        <f t="shared" si="29"/>
        <v>1</v>
      </c>
      <c r="BF38" s="285">
        <f t="shared" si="29"/>
        <v>1</v>
      </c>
      <c r="BG38" s="285">
        <f t="shared" si="29"/>
        <v>1</v>
      </c>
      <c r="BH38" s="285">
        <f t="shared" si="29"/>
        <v>1</v>
      </c>
      <c r="BI38" s="285">
        <f t="shared" si="29"/>
        <v>1</v>
      </c>
      <c r="BJ38" s="285">
        <f t="shared" si="29"/>
        <v>1</v>
      </c>
      <c r="BK38" s="285">
        <f t="shared" si="29"/>
        <v>1</v>
      </c>
      <c r="BL38" s="285">
        <f t="shared" si="29"/>
        <v>1</v>
      </c>
      <c r="BM38" s="285">
        <f t="shared" si="29"/>
        <v>1</v>
      </c>
    </row>
    <row r="39">
      <c r="A39" s="803">
        <v>8.7</v>
      </c>
      <c r="B39" s="285">
        <f t="shared" ref="B39:BM39" si="30">IF(IF($A39&gt;B$9,ROUNDUP(($A39/B$9)*6,0),ROUNDDOWN(($A39/B$9)*6,0))&gt;20,20,IF(IF($A39&gt;B$9,ROUNDUP(($A39/B$9)*6,0),ROUNDDOWN(($A39/B$9)*6,0))&lt;1,1,IF($A39&gt;B$9,ROUNDUP(($A39/B$9)*6,0),ROUNDDOWN(($A39/B$9)*6,0))))</f>
        <v>18</v>
      </c>
      <c r="C39" s="285">
        <f t="shared" si="30"/>
        <v>14</v>
      </c>
      <c r="D39" s="285">
        <f t="shared" si="30"/>
        <v>13</v>
      </c>
      <c r="E39" s="285">
        <f t="shared" si="30"/>
        <v>12</v>
      </c>
      <c r="F39" s="285">
        <f t="shared" si="30"/>
        <v>12</v>
      </c>
      <c r="G39" s="285">
        <f t="shared" si="30"/>
        <v>11</v>
      </c>
      <c r="H39" s="285">
        <f t="shared" si="30"/>
        <v>11</v>
      </c>
      <c r="I39" s="285">
        <f t="shared" si="30"/>
        <v>11</v>
      </c>
      <c r="J39" s="285">
        <f t="shared" si="30"/>
        <v>10</v>
      </c>
      <c r="K39" s="285">
        <f t="shared" si="30"/>
        <v>10</v>
      </c>
      <c r="L39" s="285">
        <f t="shared" si="30"/>
        <v>10</v>
      </c>
      <c r="M39" s="285">
        <f t="shared" si="30"/>
        <v>10</v>
      </c>
      <c r="N39" s="285">
        <f t="shared" si="30"/>
        <v>10</v>
      </c>
      <c r="O39" s="285">
        <f t="shared" si="30"/>
        <v>9</v>
      </c>
      <c r="P39" s="285">
        <f t="shared" si="30"/>
        <v>9</v>
      </c>
      <c r="Q39" s="285">
        <f t="shared" si="30"/>
        <v>9</v>
      </c>
      <c r="R39" s="285">
        <f t="shared" si="30"/>
        <v>9</v>
      </c>
      <c r="S39" s="285">
        <f t="shared" si="30"/>
        <v>9</v>
      </c>
      <c r="T39" s="285">
        <f t="shared" si="30"/>
        <v>8</v>
      </c>
      <c r="U39" s="285">
        <f t="shared" si="30"/>
        <v>8</v>
      </c>
      <c r="V39" s="285">
        <f t="shared" si="30"/>
        <v>8</v>
      </c>
      <c r="W39" s="285">
        <f t="shared" si="30"/>
        <v>8</v>
      </c>
      <c r="X39" s="285">
        <f t="shared" si="30"/>
        <v>8</v>
      </c>
      <c r="Y39" s="285">
        <f t="shared" si="30"/>
        <v>8</v>
      </c>
      <c r="Z39" s="285">
        <f t="shared" si="30"/>
        <v>7</v>
      </c>
      <c r="AA39" s="285">
        <f t="shared" si="30"/>
        <v>7</v>
      </c>
      <c r="AB39" s="285">
        <f t="shared" si="30"/>
        <v>7</v>
      </c>
      <c r="AC39" s="285">
        <f t="shared" si="30"/>
        <v>7</v>
      </c>
      <c r="AD39" s="285">
        <f t="shared" si="30"/>
        <v>7</v>
      </c>
      <c r="AE39" s="285">
        <f t="shared" si="30"/>
        <v>6</v>
      </c>
      <c r="AF39" s="285">
        <f t="shared" si="30"/>
        <v>5</v>
      </c>
      <c r="AG39" s="285">
        <f t="shared" si="30"/>
        <v>5</v>
      </c>
      <c r="AH39" s="285">
        <f t="shared" si="30"/>
        <v>5</v>
      </c>
      <c r="AI39" s="285">
        <f t="shared" si="30"/>
        <v>5</v>
      </c>
      <c r="AJ39" s="285">
        <f t="shared" si="30"/>
        <v>5</v>
      </c>
      <c r="AK39" s="285">
        <f t="shared" si="30"/>
        <v>5</v>
      </c>
      <c r="AL39" s="285">
        <f t="shared" si="30"/>
        <v>5</v>
      </c>
      <c r="AM39" s="285">
        <f t="shared" si="30"/>
        <v>4</v>
      </c>
      <c r="AN39" s="285">
        <f t="shared" si="30"/>
        <v>4</v>
      </c>
      <c r="AO39" s="285">
        <f t="shared" si="30"/>
        <v>4</v>
      </c>
      <c r="AP39" s="285">
        <f t="shared" si="30"/>
        <v>4</v>
      </c>
      <c r="AQ39" s="285">
        <f t="shared" si="30"/>
        <v>4</v>
      </c>
      <c r="AR39" s="285">
        <f t="shared" si="30"/>
        <v>4</v>
      </c>
      <c r="AS39" s="285">
        <f t="shared" si="30"/>
        <v>4</v>
      </c>
      <c r="AT39" s="285">
        <f t="shared" si="30"/>
        <v>4</v>
      </c>
      <c r="AU39" s="285">
        <f t="shared" si="30"/>
        <v>4</v>
      </c>
      <c r="AV39" s="285">
        <f t="shared" si="30"/>
        <v>3</v>
      </c>
      <c r="AW39" s="285">
        <f t="shared" si="30"/>
        <v>3</v>
      </c>
      <c r="AX39" s="285">
        <f t="shared" si="30"/>
        <v>3</v>
      </c>
      <c r="AY39" s="285">
        <f t="shared" si="30"/>
        <v>3</v>
      </c>
      <c r="AZ39" s="285">
        <f t="shared" si="30"/>
        <v>3</v>
      </c>
      <c r="BA39" s="285">
        <f t="shared" si="30"/>
        <v>2</v>
      </c>
      <c r="BB39" s="285">
        <f t="shared" si="30"/>
        <v>2</v>
      </c>
      <c r="BC39" s="285">
        <f t="shared" si="30"/>
        <v>2</v>
      </c>
      <c r="BD39" s="285">
        <f t="shared" si="30"/>
        <v>2</v>
      </c>
      <c r="BE39" s="285">
        <f t="shared" si="30"/>
        <v>1</v>
      </c>
      <c r="BF39" s="285">
        <f t="shared" si="30"/>
        <v>1</v>
      </c>
      <c r="BG39" s="285">
        <f t="shared" si="30"/>
        <v>1</v>
      </c>
      <c r="BH39" s="285">
        <f t="shared" si="30"/>
        <v>1</v>
      </c>
      <c r="BI39" s="285">
        <f t="shared" si="30"/>
        <v>1</v>
      </c>
      <c r="BJ39" s="285">
        <f t="shared" si="30"/>
        <v>1</v>
      </c>
      <c r="BK39" s="285">
        <f t="shared" si="30"/>
        <v>1</v>
      </c>
      <c r="BL39" s="285">
        <f t="shared" si="30"/>
        <v>1</v>
      </c>
      <c r="BM39" s="285">
        <f t="shared" si="30"/>
        <v>1</v>
      </c>
    </row>
    <row r="40">
      <c r="A40" s="803">
        <v>8.75</v>
      </c>
      <c r="B40" s="285">
        <f t="shared" ref="B40:BM40" si="31">IF(IF($A40&gt;B$9,ROUNDUP(($A40/B$9)*6,0),ROUNDDOWN(($A40/B$9)*6,0))&gt;20,20,IF(IF($A40&gt;B$9,ROUNDUP(($A40/B$9)*6,0),ROUNDDOWN(($A40/B$9)*6,0))&lt;1,1,IF($A40&gt;B$9,ROUNDUP(($A40/B$9)*6,0),ROUNDDOWN(($A40/B$9)*6,0))))</f>
        <v>18</v>
      </c>
      <c r="C40" s="285">
        <f t="shared" si="31"/>
        <v>14</v>
      </c>
      <c r="D40" s="285">
        <f t="shared" si="31"/>
        <v>13</v>
      </c>
      <c r="E40" s="285">
        <f t="shared" si="31"/>
        <v>12</v>
      </c>
      <c r="F40" s="285">
        <f t="shared" si="31"/>
        <v>12</v>
      </c>
      <c r="G40" s="285">
        <f t="shared" si="31"/>
        <v>11</v>
      </c>
      <c r="H40" s="285">
        <f t="shared" si="31"/>
        <v>11</v>
      </c>
      <c r="I40" s="285">
        <f t="shared" si="31"/>
        <v>11</v>
      </c>
      <c r="J40" s="285">
        <f t="shared" si="31"/>
        <v>10</v>
      </c>
      <c r="K40" s="285">
        <f t="shared" si="31"/>
        <v>10</v>
      </c>
      <c r="L40" s="285">
        <f t="shared" si="31"/>
        <v>10</v>
      </c>
      <c r="M40" s="285">
        <f t="shared" si="31"/>
        <v>10</v>
      </c>
      <c r="N40" s="285">
        <f t="shared" si="31"/>
        <v>10</v>
      </c>
      <c r="O40" s="285">
        <f t="shared" si="31"/>
        <v>10</v>
      </c>
      <c r="P40" s="285">
        <f t="shared" si="31"/>
        <v>9</v>
      </c>
      <c r="Q40" s="285">
        <f t="shared" si="31"/>
        <v>9</v>
      </c>
      <c r="R40" s="285">
        <f t="shared" si="31"/>
        <v>9</v>
      </c>
      <c r="S40" s="285">
        <f t="shared" si="31"/>
        <v>9</v>
      </c>
      <c r="T40" s="285">
        <f t="shared" si="31"/>
        <v>8</v>
      </c>
      <c r="U40" s="285">
        <f t="shared" si="31"/>
        <v>8</v>
      </c>
      <c r="V40" s="285">
        <f t="shared" si="31"/>
        <v>8</v>
      </c>
      <c r="W40" s="285">
        <f t="shared" si="31"/>
        <v>8</v>
      </c>
      <c r="X40" s="285">
        <f t="shared" si="31"/>
        <v>8</v>
      </c>
      <c r="Y40" s="285">
        <f t="shared" si="31"/>
        <v>8</v>
      </c>
      <c r="Z40" s="285">
        <f t="shared" si="31"/>
        <v>7</v>
      </c>
      <c r="AA40" s="285">
        <f t="shared" si="31"/>
        <v>7</v>
      </c>
      <c r="AB40" s="285">
        <f t="shared" si="31"/>
        <v>7</v>
      </c>
      <c r="AC40" s="285">
        <f t="shared" si="31"/>
        <v>7</v>
      </c>
      <c r="AD40" s="285">
        <f t="shared" si="31"/>
        <v>7</v>
      </c>
      <c r="AE40" s="285">
        <f t="shared" si="31"/>
        <v>7</v>
      </c>
      <c r="AF40" s="285">
        <f t="shared" si="31"/>
        <v>6</v>
      </c>
      <c r="AG40" s="285">
        <f t="shared" si="31"/>
        <v>5</v>
      </c>
      <c r="AH40" s="285">
        <f t="shared" si="31"/>
        <v>5</v>
      </c>
      <c r="AI40" s="285">
        <f t="shared" si="31"/>
        <v>5</v>
      </c>
      <c r="AJ40" s="285">
        <f t="shared" si="31"/>
        <v>5</v>
      </c>
      <c r="AK40" s="285">
        <f t="shared" si="31"/>
        <v>5</v>
      </c>
      <c r="AL40" s="285">
        <f t="shared" si="31"/>
        <v>5</v>
      </c>
      <c r="AM40" s="285">
        <f t="shared" si="31"/>
        <v>5</v>
      </c>
      <c r="AN40" s="285">
        <f t="shared" si="31"/>
        <v>4</v>
      </c>
      <c r="AO40" s="285">
        <f t="shared" si="31"/>
        <v>4</v>
      </c>
      <c r="AP40" s="285">
        <f t="shared" si="31"/>
        <v>4</v>
      </c>
      <c r="AQ40" s="285">
        <f t="shared" si="31"/>
        <v>4</v>
      </c>
      <c r="AR40" s="285">
        <f t="shared" si="31"/>
        <v>4</v>
      </c>
      <c r="AS40" s="285">
        <f t="shared" si="31"/>
        <v>4</v>
      </c>
      <c r="AT40" s="285">
        <f t="shared" si="31"/>
        <v>4</v>
      </c>
      <c r="AU40" s="285">
        <f t="shared" si="31"/>
        <v>4</v>
      </c>
      <c r="AV40" s="285">
        <f t="shared" si="31"/>
        <v>3</v>
      </c>
      <c r="AW40" s="285">
        <f t="shared" si="31"/>
        <v>3</v>
      </c>
      <c r="AX40" s="285">
        <f t="shared" si="31"/>
        <v>3</v>
      </c>
      <c r="AY40" s="285">
        <f t="shared" si="31"/>
        <v>3</v>
      </c>
      <c r="AZ40" s="285">
        <f t="shared" si="31"/>
        <v>3</v>
      </c>
      <c r="BA40" s="285">
        <f t="shared" si="31"/>
        <v>3</v>
      </c>
      <c r="BB40" s="285">
        <f t="shared" si="31"/>
        <v>2</v>
      </c>
      <c r="BC40" s="285">
        <f t="shared" si="31"/>
        <v>2</v>
      </c>
      <c r="BD40" s="285">
        <f t="shared" si="31"/>
        <v>2</v>
      </c>
      <c r="BE40" s="285">
        <f t="shared" si="31"/>
        <v>1</v>
      </c>
      <c r="BF40" s="285">
        <f t="shared" si="31"/>
        <v>1</v>
      </c>
      <c r="BG40" s="285">
        <f t="shared" si="31"/>
        <v>1</v>
      </c>
      <c r="BH40" s="285">
        <f t="shared" si="31"/>
        <v>1</v>
      </c>
      <c r="BI40" s="285">
        <f t="shared" si="31"/>
        <v>1</v>
      </c>
      <c r="BJ40" s="285">
        <f t="shared" si="31"/>
        <v>1</v>
      </c>
      <c r="BK40" s="285">
        <f t="shared" si="31"/>
        <v>1</v>
      </c>
      <c r="BL40" s="285">
        <f t="shared" si="31"/>
        <v>1</v>
      </c>
      <c r="BM40" s="285">
        <f t="shared" si="31"/>
        <v>1</v>
      </c>
    </row>
    <row r="41">
      <c r="A41" s="803">
        <v>8.8</v>
      </c>
      <c r="B41" s="285">
        <f t="shared" ref="B41:BM41" si="32">IF(IF($A41&gt;B$9,ROUNDUP(($A41/B$9)*6,0),ROUNDDOWN(($A41/B$9)*6,0))&gt;20,20,IF(IF($A41&gt;B$9,ROUNDUP(($A41/B$9)*6,0),ROUNDDOWN(($A41/B$9)*6,0))&lt;1,1,IF($A41&gt;B$9,ROUNDUP(($A41/B$9)*6,0),ROUNDDOWN(($A41/B$9)*6,0))))</f>
        <v>18</v>
      </c>
      <c r="C41" s="285">
        <f t="shared" si="32"/>
        <v>14</v>
      </c>
      <c r="D41" s="285">
        <f t="shared" si="32"/>
        <v>13</v>
      </c>
      <c r="E41" s="285">
        <f t="shared" si="32"/>
        <v>12</v>
      </c>
      <c r="F41" s="285">
        <f t="shared" si="32"/>
        <v>12</v>
      </c>
      <c r="G41" s="285">
        <f t="shared" si="32"/>
        <v>11</v>
      </c>
      <c r="H41" s="285">
        <f t="shared" si="32"/>
        <v>11</v>
      </c>
      <c r="I41" s="285">
        <f t="shared" si="32"/>
        <v>11</v>
      </c>
      <c r="J41" s="285">
        <f t="shared" si="32"/>
        <v>11</v>
      </c>
      <c r="K41" s="285">
        <f t="shared" si="32"/>
        <v>10</v>
      </c>
      <c r="L41" s="285">
        <f t="shared" si="32"/>
        <v>10</v>
      </c>
      <c r="M41" s="285">
        <f t="shared" si="32"/>
        <v>10</v>
      </c>
      <c r="N41" s="285">
        <f t="shared" si="32"/>
        <v>10</v>
      </c>
      <c r="O41" s="285">
        <f t="shared" si="32"/>
        <v>10</v>
      </c>
      <c r="P41" s="285">
        <f t="shared" si="32"/>
        <v>9</v>
      </c>
      <c r="Q41" s="285">
        <f t="shared" si="32"/>
        <v>9</v>
      </c>
      <c r="R41" s="285">
        <f t="shared" si="32"/>
        <v>9</v>
      </c>
      <c r="S41" s="285">
        <f t="shared" si="32"/>
        <v>9</v>
      </c>
      <c r="T41" s="285">
        <f t="shared" si="32"/>
        <v>8</v>
      </c>
      <c r="U41" s="285">
        <f t="shared" si="32"/>
        <v>8</v>
      </c>
      <c r="V41" s="285">
        <f t="shared" si="32"/>
        <v>8</v>
      </c>
      <c r="W41" s="285">
        <f t="shared" si="32"/>
        <v>8</v>
      </c>
      <c r="X41" s="285">
        <f t="shared" si="32"/>
        <v>8</v>
      </c>
      <c r="Y41" s="285">
        <f t="shared" si="32"/>
        <v>8</v>
      </c>
      <c r="Z41" s="285">
        <f t="shared" si="32"/>
        <v>8</v>
      </c>
      <c r="AA41" s="285">
        <f t="shared" si="32"/>
        <v>7</v>
      </c>
      <c r="AB41" s="285">
        <f t="shared" si="32"/>
        <v>7</v>
      </c>
      <c r="AC41" s="285">
        <f t="shared" si="32"/>
        <v>7</v>
      </c>
      <c r="AD41" s="285">
        <f t="shared" si="32"/>
        <v>7</v>
      </c>
      <c r="AE41" s="285">
        <f t="shared" si="32"/>
        <v>7</v>
      </c>
      <c r="AF41" s="285">
        <f t="shared" si="32"/>
        <v>7</v>
      </c>
      <c r="AG41" s="285">
        <f t="shared" si="32"/>
        <v>6</v>
      </c>
      <c r="AH41" s="285">
        <f t="shared" si="32"/>
        <v>5</v>
      </c>
      <c r="AI41" s="285">
        <f t="shared" si="32"/>
        <v>5</v>
      </c>
      <c r="AJ41" s="285">
        <f t="shared" si="32"/>
        <v>5</v>
      </c>
      <c r="AK41" s="285">
        <f t="shared" si="32"/>
        <v>5</v>
      </c>
      <c r="AL41" s="285">
        <f t="shared" si="32"/>
        <v>5</v>
      </c>
      <c r="AM41" s="285">
        <f t="shared" si="32"/>
        <v>5</v>
      </c>
      <c r="AN41" s="285">
        <f t="shared" si="32"/>
        <v>4</v>
      </c>
      <c r="AO41" s="285">
        <f t="shared" si="32"/>
        <v>4</v>
      </c>
      <c r="AP41" s="285">
        <f t="shared" si="32"/>
        <v>4</v>
      </c>
      <c r="AQ41" s="285">
        <f t="shared" si="32"/>
        <v>4</v>
      </c>
      <c r="AR41" s="285">
        <f t="shared" si="32"/>
        <v>4</v>
      </c>
      <c r="AS41" s="285">
        <f t="shared" si="32"/>
        <v>4</v>
      </c>
      <c r="AT41" s="285">
        <f t="shared" si="32"/>
        <v>4</v>
      </c>
      <c r="AU41" s="285">
        <f t="shared" si="32"/>
        <v>4</v>
      </c>
      <c r="AV41" s="285">
        <f t="shared" si="32"/>
        <v>3</v>
      </c>
      <c r="AW41" s="285">
        <f t="shared" si="32"/>
        <v>3</v>
      </c>
      <c r="AX41" s="285">
        <f t="shared" si="32"/>
        <v>3</v>
      </c>
      <c r="AY41" s="285">
        <f t="shared" si="32"/>
        <v>3</v>
      </c>
      <c r="AZ41" s="285">
        <f t="shared" si="32"/>
        <v>3</v>
      </c>
      <c r="BA41" s="285">
        <f t="shared" si="32"/>
        <v>3</v>
      </c>
      <c r="BB41" s="285">
        <f t="shared" si="32"/>
        <v>2</v>
      </c>
      <c r="BC41" s="285">
        <f t="shared" si="32"/>
        <v>2</v>
      </c>
      <c r="BD41" s="285">
        <f t="shared" si="32"/>
        <v>2</v>
      </c>
      <c r="BE41" s="285">
        <f t="shared" si="32"/>
        <v>1</v>
      </c>
      <c r="BF41" s="285">
        <f t="shared" si="32"/>
        <v>1</v>
      </c>
      <c r="BG41" s="285">
        <f t="shared" si="32"/>
        <v>1</v>
      </c>
      <c r="BH41" s="285">
        <f t="shared" si="32"/>
        <v>1</v>
      </c>
      <c r="BI41" s="285">
        <f t="shared" si="32"/>
        <v>1</v>
      </c>
      <c r="BJ41" s="285">
        <f t="shared" si="32"/>
        <v>1</v>
      </c>
      <c r="BK41" s="285">
        <f t="shared" si="32"/>
        <v>1</v>
      </c>
      <c r="BL41" s="285">
        <f t="shared" si="32"/>
        <v>1</v>
      </c>
      <c r="BM41" s="285">
        <f t="shared" si="32"/>
        <v>1</v>
      </c>
    </row>
    <row r="42">
      <c r="A42" s="803">
        <v>9.0</v>
      </c>
      <c r="B42" s="285">
        <f t="shared" ref="B42:BM42" si="33">IF(IF($A42&gt;B$9,ROUNDUP(($A42/B$9)*6,0),ROUNDDOWN(($A42/B$9)*6,0))&gt;20,20,IF(IF($A42&gt;B$9,ROUNDUP(($A42/B$9)*6,0),ROUNDDOWN(($A42/B$9)*6,0))&lt;1,1,IF($A42&gt;B$9,ROUNDUP(($A42/B$9)*6,0),ROUNDDOWN(($A42/B$9)*6,0))))</f>
        <v>18</v>
      </c>
      <c r="C42" s="285">
        <f t="shared" si="33"/>
        <v>14</v>
      </c>
      <c r="D42" s="285">
        <f t="shared" si="33"/>
        <v>13</v>
      </c>
      <c r="E42" s="285">
        <f t="shared" si="33"/>
        <v>13</v>
      </c>
      <c r="F42" s="285">
        <f t="shared" si="33"/>
        <v>12</v>
      </c>
      <c r="G42" s="285">
        <f t="shared" si="33"/>
        <v>12</v>
      </c>
      <c r="H42" s="285">
        <f t="shared" si="33"/>
        <v>11</v>
      </c>
      <c r="I42" s="285">
        <f t="shared" si="33"/>
        <v>11</v>
      </c>
      <c r="J42" s="285">
        <f t="shared" si="33"/>
        <v>11</v>
      </c>
      <c r="K42" s="285">
        <f t="shared" si="33"/>
        <v>10</v>
      </c>
      <c r="L42" s="285">
        <f t="shared" si="33"/>
        <v>10</v>
      </c>
      <c r="M42" s="285">
        <f t="shared" si="33"/>
        <v>10</v>
      </c>
      <c r="N42" s="285">
        <f t="shared" si="33"/>
        <v>10</v>
      </c>
      <c r="O42" s="285">
        <f t="shared" si="33"/>
        <v>10</v>
      </c>
      <c r="P42" s="285">
        <f t="shared" si="33"/>
        <v>9</v>
      </c>
      <c r="Q42" s="285">
        <f t="shared" si="33"/>
        <v>9</v>
      </c>
      <c r="R42" s="285">
        <f t="shared" si="33"/>
        <v>9</v>
      </c>
      <c r="S42" s="285">
        <f t="shared" si="33"/>
        <v>9</v>
      </c>
      <c r="T42" s="285">
        <f t="shared" si="33"/>
        <v>9</v>
      </c>
      <c r="U42" s="285">
        <f t="shared" si="33"/>
        <v>8</v>
      </c>
      <c r="V42" s="285">
        <f t="shared" si="33"/>
        <v>8</v>
      </c>
      <c r="W42" s="285">
        <f t="shared" si="33"/>
        <v>8</v>
      </c>
      <c r="X42" s="285">
        <f t="shared" si="33"/>
        <v>8</v>
      </c>
      <c r="Y42" s="285">
        <f t="shared" si="33"/>
        <v>8</v>
      </c>
      <c r="Z42" s="285">
        <f t="shared" si="33"/>
        <v>8</v>
      </c>
      <c r="AA42" s="285">
        <f t="shared" si="33"/>
        <v>7</v>
      </c>
      <c r="AB42" s="285">
        <f t="shared" si="33"/>
        <v>7</v>
      </c>
      <c r="AC42" s="285">
        <f t="shared" si="33"/>
        <v>7</v>
      </c>
      <c r="AD42" s="285">
        <f t="shared" si="33"/>
        <v>7</v>
      </c>
      <c r="AE42" s="285">
        <f t="shared" si="33"/>
        <v>7</v>
      </c>
      <c r="AF42" s="285">
        <f t="shared" si="33"/>
        <v>7</v>
      </c>
      <c r="AG42" s="285">
        <f t="shared" si="33"/>
        <v>7</v>
      </c>
      <c r="AH42" s="285">
        <f t="shared" si="33"/>
        <v>6</v>
      </c>
      <c r="AI42" s="285">
        <f t="shared" si="33"/>
        <v>5</v>
      </c>
      <c r="AJ42" s="285">
        <f t="shared" si="33"/>
        <v>5</v>
      </c>
      <c r="AK42" s="285">
        <f t="shared" si="33"/>
        <v>5</v>
      </c>
      <c r="AL42" s="285">
        <f t="shared" si="33"/>
        <v>5</v>
      </c>
      <c r="AM42" s="285">
        <f t="shared" si="33"/>
        <v>5</v>
      </c>
      <c r="AN42" s="285">
        <f t="shared" si="33"/>
        <v>5</v>
      </c>
      <c r="AO42" s="285">
        <f t="shared" si="33"/>
        <v>4</v>
      </c>
      <c r="AP42" s="285">
        <f t="shared" si="33"/>
        <v>4</v>
      </c>
      <c r="AQ42" s="285">
        <f t="shared" si="33"/>
        <v>4</v>
      </c>
      <c r="AR42" s="285">
        <f t="shared" si="33"/>
        <v>4</v>
      </c>
      <c r="AS42" s="285">
        <f t="shared" si="33"/>
        <v>4</v>
      </c>
      <c r="AT42" s="285">
        <f t="shared" si="33"/>
        <v>4</v>
      </c>
      <c r="AU42" s="285">
        <f t="shared" si="33"/>
        <v>4</v>
      </c>
      <c r="AV42" s="285">
        <f t="shared" si="33"/>
        <v>4</v>
      </c>
      <c r="AW42" s="285">
        <f t="shared" si="33"/>
        <v>3</v>
      </c>
      <c r="AX42" s="285">
        <f t="shared" si="33"/>
        <v>3</v>
      </c>
      <c r="AY42" s="285">
        <f t="shared" si="33"/>
        <v>3</v>
      </c>
      <c r="AZ42" s="285">
        <f t="shared" si="33"/>
        <v>3</v>
      </c>
      <c r="BA42" s="285">
        <f t="shared" si="33"/>
        <v>3</v>
      </c>
      <c r="BB42" s="285">
        <f t="shared" si="33"/>
        <v>2</v>
      </c>
      <c r="BC42" s="285">
        <f t="shared" si="33"/>
        <v>2</v>
      </c>
      <c r="BD42" s="285">
        <f t="shared" si="33"/>
        <v>2</v>
      </c>
      <c r="BE42" s="285">
        <f t="shared" si="33"/>
        <v>1</v>
      </c>
      <c r="BF42" s="285">
        <f t="shared" si="33"/>
        <v>1</v>
      </c>
      <c r="BG42" s="285">
        <f t="shared" si="33"/>
        <v>1</v>
      </c>
      <c r="BH42" s="285">
        <f t="shared" si="33"/>
        <v>1</v>
      </c>
      <c r="BI42" s="285">
        <f t="shared" si="33"/>
        <v>1</v>
      </c>
      <c r="BJ42" s="285">
        <f t="shared" si="33"/>
        <v>1</v>
      </c>
      <c r="BK42" s="285">
        <f t="shared" si="33"/>
        <v>1</v>
      </c>
      <c r="BL42" s="285">
        <f t="shared" si="33"/>
        <v>1</v>
      </c>
      <c r="BM42" s="285">
        <f t="shared" si="33"/>
        <v>1</v>
      </c>
    </row>
    <row r="43">
      <c r="A43" s="803">
        <v>9.2</v>
      </c>
      <c r="B43" s="285">
        <f t="shared" ref="B43:BM43" si="34">IF(IF($A43&gt;B$9,ROUNDUP(($A43/B$9)*6,0),ROUNDDOWN(($A43/B$9)*6,0))&gt;20,20,IF(IF($A43&gt;B$9,ROUNDUP(($A43/B$9)*6,0),ROUNDDOWN(($A43/B$9)*6,0))&lt;1,1,IF($A43&gt;B$9,ROUNDUP(($A43/B$9)*6,0),ROUNDDOWN(($A43/B$9)*6,0))))</f>
        <v>19</v>
      </c>
      <c r="C43" s="285">
        <f t="shared" si="34"/>
        <v>14</v>
      </c>
      <c r="D43" s="285">
        <f t="shared" si="34"/>
        <v>14</v>
      </c>
      <c r="E43" s="285">
        <f t="shared" si="34"/>
        <v>13</v>
      </c>
      <c r="F43" s="285">
        <f t="shared" si="34"/>
        <v>12</v>
      </c>
      <c r="G43" s="285">
        <f t="shared" si="34"/>
        <v>12</v>
      </c>
      <c r="H43" s="285">
        <f t="shared" si="34"/>
        <v>12</v>
      </c>
      <c r="I43" s="285">
        <f t="shared" si="34"/>
        <v>11</v>
      </c>
      <c r="J43" s="285">
        <f t="shared" si="34"/>
        <v>11</v>
      </c>
      <c r="K43" s="285">
        <f t="shared" si="34"/>
        <v>11</v>
      </c>
      <c r="L43" s="285">
        <f t="shared" si="34"/>
        <v>11</v>
      </c>
      <c r="M43" s="285">
        <f t="shared" si="34"/>
        <v>10</v>
      </c>
      <c r="N43" s="285">
        <f t="shared" si="34"/>
        <v>10</v>
      </c>
      <c r="O43" s="285">
        <f t="shared" si="34"/>
        <v>10</v>
      </c>
      <c r="P43" s="285">
        <f t="shared" si="34"/>
        <v>10</v>
      </c>
      <c r="Q43" s="285">
        <f t="shared" si="34"/>
        <v>9</v>
      </c>
      <c r="R43" s="285">
        <f t="shared" si="34"/>
        <v>9</v>
      </c>
      <c r="S43" s="285">
        <f t="shared" si="34"/>
        <v>9</v>
      </c>
      <c r="T43" s="285">
        <f t="shared" si="34"/>
        <v>9</v>
      </c>
      <c r="U43" s="285">
        <f t="shared" si="34"/>
        <v>9</v>
      </c>
      <c r="V43" s="285">
        <f t="shared" si="34"/>
        <v>8</v>
      </c>
      <c r="W43" s="285">
        <f t="shared" si="34"/>
        <v>8</v>
      </c>
      <c r="X43" s="285">
        <f t="shared" si="34"/>
        <v>8</v>
      </c>
      <c r="Y43" s="285">
        <f t="shared" si="34"/>
        <v>8</v>
      </c>
      <c r="Z43" s="285">
        <f t="shared" si="34"/>
        <v>8</v>
      </c>
      <c r="AA43" s="285">
        <f t="shared" si="34"/>
        <v>8</v>
      </c>
      <c r="AB43" s="285">
        <f t="shared" si="34"/>
        <v>7</v>
      </c>
      <c r="AC43" s="285">
        <f t="shared" si="34"/>
        <v>7</v>
      </c>
      <c r="AD43" s="285">
        <f t="shared" si="34"/>
        <v>7</v>
      </c>
      <c r="AE43" s="285">
        <f t="shared" si="34"/>
        <v>7</v>
      </c>
      <c r="AF43" s="285">
        <f t="shared" si="34"/>
        <v>7</v>
      </c>
      <c r="AG43" s="285">
        <f t="shared" si="34"/>
        <v>7</v>
      </c>
      <c r="AH43" s="285">
        <f t="shared" si="34"/>
        <v>7</v>
      </c>
      <c r="AI43" s="285">
        <f t="shared" si="34"/>
        <v>6</v>
      </c>
      <c r="AJ43" s="285">
        <f t="shared" si="34"/>
        <v>5</v>
      </c>
      <c r="AK43" s="285">
        <f t="shared" si="34"/>
        <v>5</v>
      </c>
      <c r="AL43" s="285">
        <f t="shared" si="34"/>
        <v>5</v>
      </c>
      <c r="AM43" s="285">
        <f t="shared" si="34"/>
        <v>5</v>
      </c>
      <c r="AN43" s="285">
        <f t="shared" si="34"/>
        <v>5</v>
      </c>
      <c r="AO43" s="285">
        <f t="shared" si="34"/>
        <v>5</v>
      </c>
      <c r="AP43" s="285">
        <f t="shared" si="34"/>
        <v>4</v>
      </c>
      <c r="AQ43" s="285">
        <f t="shared" si="34"/>
        <v>4</v>
      </c>
      <c r="AR43" s="285">
        <f t="shared" si="34"/>
        <v>4</v>
      </c>
      <c r="AS43" s="285">
        <f t="shared" si="34"/>
        <v>4</v>
      </c>
      <c r="AT43" s="285">
        <f t="shared" si="34"/>
        <v>4</v>
      </c>
      <c r="AU43" s="285">
        <f t="shared" si="34"/>
        <v>4</v>
      </c>
      <c r="AV43" s="285">
        <f t="shared" si="34"/>
        <v>4</v>
      </c>
      <c r="AW43" s="285">
        <f t="shared" si="34"/>
        <v>3</v>
      </c>
      <c r="AX43" s="285">
        <f t="shared" si="34"/>
        <v>3</v>
      </c>
      <c r="AY43" s="285">
        <f t="shared" si="34"/>
        <v>3</v>
      </c>
      <c r="AZ43" s="285">
        <f t="shared" si="34"/>
        <v>3</v>
      </c>
      <c r="BA43" s="285">
        <f t="shared" si="34"/>
        <v>3</v>
      </c>
      <c r="BB43" s="285">
        <f t="shared" si="34"/>
        <v>2</v>
      </c>
      <c r="BC43" s="285">
        <f t="shared" si="34"/>
        <v>2</v>
      </c>
      <c r="BD43" s="285">
        <f t="shared" si="34"/>
        <v>2</v>
      </c>
      <c r="BE43" s="285">
        <f t="shared" si="34"/>
        <v>2</v>
      </c>
      <c r="BF43" s="285">
        <f t="shared" si="34"/>
        <v>1</v>
      </c>
      <c r="BG43" s="285">
        <f t="shared" si="34"/>
        <v>1</v>
      </c>
      <c r="BH43" s="285">
        <f t="shared" si="34"/>
        <v>1</v>
      </c>
      <c r="BI43" s="285">
        <f t="shared" si="34"/>
        <v>1</v>
      </c>
      <c r="BJ43" s="285">
        <f t="shared" si="34"/>
        <v>1</v>
      </c>
      <c r="BK43" s="285">
        <f t="shared" si="34"/>
        <v>1</v>
      </c>
      <c r="BL43" s="285">
        <f t="shared" si="34"/>
        <v>1</v>
      </c>
      <c r="BM43" s="285">
        <f t="shared" si="34"/>
        <v>1</v>
      </c>
    </row>
    <row r="44">
      <c r="A44" s="803">
        <v>9.6</v>
      </c>
      <c r="B44" s="285">
        <f t="shared" ref="B44:BM44" si="35">IF(IF($A44&gt;B$9,ROUNDUP(($A44/B$9)*6,0),ROUNDDOWN(($A44/B$9)*6,0))&gt;20,20,IF(IF($A44&gt;B$9,ROUNDUP(($A44/B$9)*6,0),ROUNDDOWN(($A44/B$9)*6,0))&lt;1,1,IF($A44&gt;B$9,ROUNDUP(($A44/B$9)*6,0),ROUNDDOWN(($A44/B$9)*6,0))))</f>
        <v>20</v>
      </c>
      <c r="C44" s="285">
        <f t="shared" si="35"/>
        <v>15</v>
      </c>
      <c r="D44" s="285">
        <f t="shared" si="35"/>
        <v>14</v>
      </c>
      <c r="E44" s="285">
        <f t="shared" si="35"/>
        <v>14</v>
      </c>
      <c r="F44" s="285">
        <f t="shared" si="35"/>
        <v>13</v>
      </c>
      <c r="G44" s="285">
        <f t="shared" si="35"/>
        <v>12</v>
      </c>
      <c r="H44" s="285">
        <f t="shared" si="35"/>
        <v>12</v>
      </c>
      <c r="I44" s="285">
        <f t="shared" si="35"/>
        <v>12</v>
      </c>
      <c r="J44" s="285">
        <f t="shared" si="35"/>
        <v>11</v>
      </c>
      <c r="K44" s="285">
        <f t="shared" si="35"/>
        <v>11</v>
      </c>
      <c r="L44" s="285">
        <f t="shared" si="35"/>
        <v>11</v>
      </c>
      <c r="M44" s="285">
        <f t="shared" si="35"/>
        <v>11</v>
      </c>
      <c r="N44" s="285">
        <f t="shared" si="35"/>
        <v>11</v>
      </c>
      <c r="O44" s="285">
        <f t="shared" si="35"/>
        <v>10</v>
      </c>
      <c r="P44" s="285">
        <f t="shared" si="35"/>
        <v>10</v>
      </c>
      <c r="Q44" s="285">
        <f t="shared" si="35"/>
        <v>10</v>
      </c>
      <c r="R44" s="285">
        <f t="shared" si="35"/>
        <v>10</v>
      </c>
      <c r="S44" s="285">
        <f t="shared" si="35"/>
        <v>9</v>
      </c>
      <c r="T44" s="285">
        <f t="shared" si="35"/>
        <v>9</v>
      </c>
      <c r="U44" s="285">
        <f t="shared" si="35"/>
        <v>9</v>
      </c>
      <c r="V44" s="285">
        <f t="shared" si="35"/>
        <v>9</v>
      </c>
      <c r="W44" s="285">
        <f t="shared" si="35"/>
        <v>9</v>
      </c>
      <c r="X44" s="285">
        <f t="shared" si="35"/>
        <v>8</v>
      </c>
      <c r="Y44" s="285">
        <f t="shared" si="35"/>
        <v>8</v>
      </c>
      <c r="Z44" s="285">
        <f t="shared" si="35"/>
        <v>8</v>
      </c>
      <c r="AA44" s="285">
        <f t="shared" si="35"/>
        <v>8</v>
      </c>
      <c r="AB44" s="285">
        <f t="shared" si="35"/>
        <v>8</v>
      </c>
      <c r="AC44" s="285">
        <f t="shared" si="35"/>
        <v>8</v>
      </c>
      <c r="AD44" s="285">
        <f t="shared" si="35"/>
        <v>7</v>
      </c>
      <c r="AE44" s="285">
        <f t="shared" si="35"/>
        <v>7</v>
      </c>
      <c r="AF44" s="285">
        <f t="shared" si="35"/>
        <v>7</v>
      </c>
      <c r="AG44" s="285">
        <f t="shared" si="35"/>
        <v>7</v>
      </c>
      <c r="AH44" s="285">
        <f t="shared" si="35"/>
        <v>7</v>
      </c>
      <c r="AI44" s="285">
        <f t="shared" si="35"/>
        <v>7</v>
      </c>
      <c r="AJ44" s="285">
        <f t="shared" si="35"/>
        <v>6</v>
      </c>
      <c r="AK44" s="285">
        <f t="shared" si="35"/>
        <v>5</v>
      </c>
      <c r="AL44" s="285">
        <f t="shared" si="35"/>
        <v>5</v>
      </c>
      <c r="AM44" s="285">
        <f t="shared" si="35"/>
        <v>5</v>
      </c>
      <c r="AN44" s="285">
        <f t="shared" si="35"/>
        <v>5</v>
      </c>
      <c r="AO44" s="285">
        <f t="shared" si="35"/>
        <v>5</v>
      </c>
      <c r="AP44" s="285">
        <f t="shared" si="35"/>
        <v>5</v>
      </c>
      <c r="AQ44" s="285">
        <f t="shared" si="35"/>
        <v>5</v>
      </c>
      <c r="AR44" s="285">
        <f t="shared" si="35"/>
        <v>4</v>
      </c>
      <c r="AS44" s="285">
        <f t="shared" si="35"/>
        <v>4</v>
      </c>
      <c r="AT44" s="285">
        <f t="shared" si="35"/>
        <v>4</v>
      </c>
      <c r="AU44" s="285">
        <f t="shared" si="35"/>
        <v>4</v>
      </c>
      <c r="AV44" s="285">
        <f t="shared" si="35"/>
        <v>4</v>
      </c>
      <c r="AW44" s="285">
        <f t="shared" si="35"/>
        <v>4</v>
      </c>
      <c r="AX44" s="285">
        <f t="shared" si="35"/>
        <v>3</v>
      </c>
      <c r="AY44" s="285">
        <f t="shared" si="35"/>
        <v>3</v>
      </c>
      <c r="AZ44" s="285">
        <f t="shared" si="35"/>
        <v>3</v>
      </c>
      <c r="BA44" s="285">
        <f t="shared" si="35"/>
        <v>3</v>
      </c>
      <c r="BB44" s="285">
        <f t="shared" si="35"/>
        <v>2</v>
      </c>
      <c r="BC44" s="285">
        <f t="shared" si="35"/>
        <v>2</v>
      </c>
      <c r="BD44" s="285">
        <f t="shared" si="35"/>
        <v>2</v>
      </c>
      <c r="BE44" s="285">
        <f t="shared" si="35"/>
        <v>2</v>
      </c>
      <c r="BF44" s="285">
        <f t="shared" si="35"/>
        <v>1</v>
      </c>
      <c r="BG44" s="285">
        <f t="shared" si="35"/>
        <v>1</v>
      </c>
      <c r="BH44" s="285">
        <f t="shared" si="35"/>
        <v>1</v>
      </c>
      <c r="BI44" s="285">
        <f t="shared" si="35"/>
        <v>1</v>
      </c>
      <c r="BJ44" s="285">
        <f t="shared" si="35"/>
        <v>1</v>
      </c>
      <c r="BK44" s="285">
        <f t="shared" si="35"/>
        <v>1</v>
      </c>
      <c r="BL44" s="285">
        <f t="shared" si="35"/>
        <v>1</v>
      </c>
      <c r="BM44" s="285">
        <f t="shared" si="35"/>
        <v>1</v>
      </c>
    </row>
    <row r="45">
      <c r="A45" s="803">
        <v>10.0</v>
      </c>
      <c r="B45" s="285">
        <f t="shared" ref="B45:BM45" si="36">IF(IF($A45&gt;B$9,ROUNDUP(($A45/B$9)*6,0),ROUNDDOWN(($A45/B$9)*6,0))&gt;20,20,IF(IF($A45&gt;B$9,ROUNDUP(($A45/B$9)*6,0),ROUNDDOWN(($A45/B$9)*6,0))&lt;1,1,IF($A45&gt;B$9,ROUNDUP(($A45/B$9)*6,0),ROUNDDOWN(($A45/B$9)*6,0))))</f>
        <v>20</v>
      </c>
      <c r="C45" s="285">
        <f t="shared" si="36"/>
        <v>15</v>
      </c>
      <c r="D45" s="285">
        <f t="shared" si="36"/>
        <v>15</v>
      </c>
      <c r="E45" s="285">
        <f t="shared" si="36"/>
        <v>14</v>
      </c>
      <c r="F45" s="285">
        <f t="shared" si="36"/>
        <v>14</v>
      </c>
      <c r="G45" s="285">
        <f t="shared" si="36"/>
        <v>13</v>
      </c>
      <c r="H45" s="285">
        <f t="shared" si="36"/>
        <v>12</v>
      </c>
      <c r="I45" s="285">
        <f t="shared" si="36"/>
        <v>12</v>
      </c>
      <c r="J45" s="285">
        <f t="shared" si="36"/>
        <v>12</v>
      </c>
      <c r="K45" s="285">
        <f t="shared" si="36"/>
        <v>12</v>
      </c>
      <c r="L45" s="285">
        <f t="shared" si="36"/>
        <v>11</v>
      </c>
      <c r="M45" s="285">
        <f t="shared" si="36"/>
        <v>11</v>
      </c>
      <c r="N45" s="285">
        <f t="shared" si="36"/>
        <v>11</v>
      </c>
      <c r="O45" s="285">
        <f t="shared" si="36"/>
        <v>11</v>
      </c>
      <c r="P45" s="285">
        <f t="shared" si="36"/>
        <v>10</v>
      </c>
      <c r="Q45" s="285">
        <f t="shared" si="36"/>
        <v>10</v>
      </c>
      <c r="R45" s="285">
        <f t="shared" si="36"/>
        <v>10</v>
      </c>
      <c r="S45" s="285">
        <f t="shared" si="36"/>
        <v>10</v>
      </c>
      <c r="T45" s="285">
        <f t="shared" si="36"/>
        <v>10</v>
      </c>
      <c r="U45" s="285">
        <f t="shared" si="36"/>
        <v>9</v>
      </c>
      <c r="V45" s="285">
        <f t="shared" si="36"/>
        <v>9</v>
      </c>
      <c r="W45" s="285">
        <f t="shared" si="36"/>
        <v>9</v>
      </c>
      <c r="X45" s="285">
        <f t="shared" si="36"/>
        <v>9</v>
      </c>
      <c r="Y45" s="285">
        <f t="shared" si="36"/>
        <v>9</v>
      </c>
      <c r="Z45" s="285">
        <f t="shared" si="36"/>
        <v>8</v>
      </c>
      <c r="AA45" s="285">
        <f t="shared" si="36"/>
        <v>8</v>
      </c>
      <c r="AB45" s="285">
        <f t="shared" si="36"/>
        <v>8</v>
      </c>
      <c r="AC45" s="285">
        <f t="shared" si="36"/>
        <v>8</v>
      </c>
      <c r="AD45" s="285">
        <f t="shared" si="36"/>
        <v>8</v>
      </c>
      <c r="AE45" s="285">
        <f t="shared" si="36"/>
        <v>7</v>
      </c>
      <c r="AF45" s="285">
        <f t="shared" si="36"/>
        <v>7</v>
      </c>
      <c r="AG45" s="285">
        <f t="shared" si="36"/>
        <v>7</v>
      </c>
      <c r="AH45" s="285">
        <f t="shared" si="36"/>
        <v>7</v>
      </c>
      <c r="AI45" s="285">
        <f t="shared" si="36"/>
        <v>7</v>
      </c>
      <c r="AJ45" s="285">
        <f t="shared" si="36"/>
        <v>7</v>
      </c>
      <c r="AK45" s="285">
        <f t="shared" si="36"/>
        <v>6</v>
      </c>
      <c r="AL45" s="285">
        <f t="shared" si="36"/>
        <v>5</v>
      </c>
      <c r="AM45" s="285">
        <f t="shared" si="36"/>
        <v>5</v>
      </c>
      <c r="AN45" s="285">
        <f t="shared" si="36"/>
        <v>5</v>
      </c>
      <c r="AO45" s="285">
        <f t="shared" si="36"/>
        <v>5</v>
      </c>
      <c r="AP45" s="285">
        <f t="shared" si="36"/>
        <v>5</v>
      </c>
      <c r="AQ45" s="285">
        <f t="shared" si="36"/>
        <v>5</v>
      </c>
      <c r="AR45" s="285">
        <f t="shared" si="36"/>
        <v>5</v>
      </c>
      <c r="AS45" s="285">
        <f t="shared" si="36"/>
        <v>5</v>
      </c>
      <c r="AT45" s="285">
        <f t="shared" si="36"/>
        <v>4</v>
      </c>
      <c r="AU45" s="285">
        <f t="shared" si="36"/>
        <v>4</v>
      </c>
      <c r="AV45" s="285">
        <f t="shared" si="36"/>
        <v>4</v>
      </c>
      <c r="AW45" s="285">
        <f t="shared" si="36"/>
        <v>4</v>
      </c>
      <c r="AX45" s="285">
        <f t="shared" si="36"/>
        <v>4</v>
      </c>
      <c r="AY45" s="285">
        <f t="shared" si="36"/>
        <v>4</v>
      </c>
      <c r="AZ45" s="285">
        <f t="shared" si="36"/>
        <v>3</v>
      </c>
      <c r="BA45" s="285">
        <f t="shared" si="36"/>
        <v>3</v>
      </c>
      <c r="BB45" s="285">
        <f t="shared" si="36"/>
        <v>3</v>
      </c>
      <c r="BC45" s="285">
        <f t="shared" si="36"/>
        <v>2</v>
      </c>
      <c r="BD45" s="285">
        <f t="shared" si="36"/>
        <v>2</v>
      </c>
      <c r="BE45" s="285">
        <f t="shared" si="36"/>
        <v>2</v>
      </c>
      <c r="BF45" s="285">
        <f t="shared" si="36"/>
        <v>2</v>
      </c>
      <c r="BG45" s="285">
        <f t="shared" si="36"/>
        <v>1</v>
      </c>
      <c r="BH45" s="285">
        <f t="shared" si="36"/>
        <v>1</v>
      </c>
      <c r="BI45" s="285">
        <f t="shared" si="36"/>
        <v>1</v>
      </c>
      <c r="BJ45" s="285">
        <f t="shared" si="36"/>
        <v>1</v>
      </c>
      <c r="BK45" s="285">
        <f t="shared" si="36"/>
        <v>1</v>
      </c>
      <c r="BL45" s="285">
        <f t="shared" si="36"/>
        <v>1</v>
      </c>
      <c r="BM45" s="285">
        <f t="shared" si="36"/>
        <v>1</v>
      </c>
    </row>
    <row r="46">
      <c r="A46" s="803">
        <v>10.4</v>
      </c>
      <c r="B46" s="285">
        <f t="shared" ref="B46:BM46" si="37">IF(IF($A46&gt;B$9,ROUNDUP(($A46/B$9)*6,0),ROUNDDOWN(($A46/B$9)*6,0))&gt;20,20,IF(IF($A46&gt;B$9,ROUNDUP(($A46/B$9)*6,0),ROUNDDOWN(($A46/B$9)*6,0))&lt;1,1,IF($A46&gt;B$9,ROUNDUP(($A46/B$9)*6,0),ROUNDDOWN(($A46/B$9)*6,0))))</f>
        <v>20</v>
      </c>
      <c r="C46" s="285">
        <f t="shared" si="37"/>
        <v>16</v>
      </c>
      <c r="D46" s="285">
        <f t="shared" si="37"/>
        <v>15</v>
      </c>
      <c r="E46" s="285">
        <f t="shared" si="37"/>
        <v>15</v>
      </c>
      <c r="F46" s="285">
        <f t="shared" si="37"/>
        <v>14</v>
      </c>
      <c r="G46" s="285">
        <f t="shared" si="37"/>
        <v>13</v>
      </c>
      <c r="H46" s="285">
        <f t="shared" si="37"/>
        <v>13</v>
      </c>
      <c r="I46" s="285">
        <f t="shared" si="37"/>
        <v>12</v>
      </c>
      <c r="J46" s="285">
        <f t="shared" si="37"/>
        <v>12</v>
      </c>
      <c r="K46" s="285">
        <f t="shared" si="37"/>
        <v>12</v>
      </c>
      <c r="L46" s="285">
        <f t="shared" si="37"/>
        <v>12</v>
      </c>
      <c r="M46" s="285">
        <f t="shared" si="37"/>
        <v>12</v>
      </c>
      <c r="N46" s="285">
        <f t="shared" si="37"/>
        <v>11</v>
      </c>
      <c r="O46" s="285">
        <f t="shared" si="37"/>
        <v>11</v>
      </c>
      <c r="P46" s="285">
        <f t="shared" si="37"/>
        <v>11</v>
      </c>
      <c r="Q46" s="285">
        <f t="shared" si="37"/>
        <v>10</v>
      </c>
      <c r="R46" s="285">
        <f t="shared" si="37"/>
        <v>10</v>
      </c>
      <c r="S46" s="285">
        <f t="shared" si="37"/>
        <v>10</v>
      </c>
      <c r="T46" s="285">
        <f t="shared" si="37"/>
        <v>10</v>
      </c>
      <c r="U46" s="285">
        <f t="shared" si="37"/>
        <v>10</v>
      </c>
      <c r="V46" s="285">
        <f t="shared" si="37"/>
        <v>10</v>
      </c>
      <c r="W46" s="285">
        <f t="shared" si="37"/>
        <v>9</v>
      </c>
      <c r="X46" s="285">
        <f t="shared" si="37"/>
        <v>9</v>
      </c>
      <c r="Y46" s="285">
        <f t="shared" si="37"/>
        <v>9</v>
      </c>
      <c r="Z46" s="285">
        <f t="shared" si="37"/>
        <v>9</v>
      </c>
      <c r="AA46" s="285">
        <f t="shared" si="37"/>
        <v>8</v>
      </c>
      <c r="AB46" s="285">
        <f t="shared" si="37"/>
        <v>8</v>
      </c>
      <c r="AC46" s="285">
        <f t="shared" si="37"/>
        <v>8</v>
      </c>
      <c r="AD46" s="285">
        <f t="shared" si="37"/>
        <v>8</v>
      </c>
      <c r="AE46" s="285">
        <f t="shared" si="37"/>
        <v>8</v>
      </c>
      <c r="AF46" s="285">
        <f t="shared" si="37"/>
        <v>8</v>
      </c>
      <c r="AG46" s="285">
        <f t="shared" si="37"/>
        <v>8</v>
      </c>
      <c r="AH46" s="285">
        <f t="shared" si="37"/>
        <v>7</v>
      </c>
      <c r="AI46" s="285">
        <f t="shared" si="37"/>
        <v>7</v>
      </c>
      <c r="AJ46" s="285">
        <f t="shared" si="37"/>
        <v>7</v>
      </c>
      <c r="AK46" s="285">
        <f t="shared" si="37"/>
        <v>7</v>
      </c>
      <c r="AL46" s="285">
        <f t="shared" si="37"/>
        <v>6</v>
      </c>
      <c r="AM46" s="285">
        <f t="shared" si="37"/>
        <v>5</v>
      </c>
      <c r="AN46" s="285">
        <f t="shared" si="37"/>
        <v>5</v>
      </c>
      <c r="AO46" s="285">
        <f t="shared" si="37"/>
        <v>5</v>
      </c>
      <c r="AP46" s="285">
        <f t="shared" si="37"/>
        <v>5</v>
      </c>
      <c r="AQ46" s="285">
        <f t="shared" si="37"/>
        <v>5</v>
      </c>
      <c r="AR46" s="285">
        <f t="shared" si="37"/>
        <v>5</v>
      </c>
      <c r="AS46" s="285">
        <f t="shared" si="37"/>
        <v>5</v>
      </c>
      <c r="AT46" s="285">
        <f t="shared" si="37"/>
        <v>4</v>
      </c>
      <c r="AU46" s="285">
        <f t="shared" si="37"/>
        <v>4</v>
      </c>
      <c r="AV46" s="285">
        <f t="shared" si="37"/>
        <v>4</v>
      </c>
      <c r="AW46" s="285">
        <f t="shared" si="37"/>
        <v>4</v>
      </c>
      <c r="AX46" s="285">
        <f t="shared" si="37"/>
        <v>4</v>
      </c>
      <c r="AY46" s="285">
        <f t="shared" si="37"/>
        <v>4</v>
      </c>
      <c r="AZ46" s="285">
        <f t="shared" si="37"/>
        <v>3</v>
      </c>
      <c r="BA46" s="285">
        <f t="shared" si="37"/>
        <v>3</v>
      </c>
      <c r="BB46" s="285">
        <f t="shared" si="37"/>
        <v>3</v>
      </c>
      <c r="BC46" s="285">
        <f t="shared" si="37"/>
        <v>2</v>
      </c>
      <c r="BD46" s="285">
        <f t="shared" si="37"/>
        <v>2</v>
      </c>
      <c r="BE46" s="285">
        <f t="shared" si="37"/>
        <v>2</v>
      </c>
      <c r="BF46" s="285">
        <f t="shared" si="37"/>
        <v>2</v>
      </c>
      <c r="BG46" s="285">
        <f t="shared" si="37"/>
        <v>1</v>
      </c>
      <c r="BH46" s="285">
        <f t="shared" si="37"/>
        <v>1</v>
      </c>
      <c r="BI46" s="285">
        <f t="shared" si="37"/>
        <v>1</v>
      </c>
      <c r="BJ46" s="285">
        <f t="shared" si="37"/>
        <v>1</v>
      </c>
      <c r="BK46" s="285">
        <f t="shared" si="37"/>
        <v>1</v>
      </c>
      <c r="BL46" s="285">
        <f t="shared" si="37"/>
        <v>1</v>
      </c>
      <c r="BM46" s="285">
        <f t="shared" si="37"/>
        <v>1</v>
      </c>
    </row>
    <row r="47">
      <c r="A47" s="803">
        <v>10.5</v>
      </c>
      <c r="B47" s="285">
        <f t="shared" ref="B47:BM47" si="38">IF(IF($A47&gt;B$9,ROUNDUP(($A47/B$9)*6,0),ROUNDDOWN(($A47/B$9)*6,0))&gt;20,20,IF(IF($A47&gt;B$9,ROUNDUP(($A47/B$9)*6,0),ROUNDDOWN(($A47/B$9)*6,0))&lt;1,1,IF($A47&gt;B$9,ROUNDUP(($A47/B$9)*6,0),ROUNDDOWN(($A47/B$9)*6,0))))</f>
        <v>20</v>
      </c>
      <c r="C47" s="285">
        <f t="shared" si="38"/>
        <v>16</v>
      </c>
      <c r="D47" s="285">
        <f t="shared" si="38"/>
        <v>15</v>
      </c>
      <c r="E47" s="285">
        <f t="shared" si="38"/>
        <v>15</v>
      </c>
      <c r="F47" s="285">
        <f t="shared" si="38"/>
        <v>14</v>
      </c>
      <c r="G47" s="285">
        <f t="shared" si="38"/>
        <v>14</v>
      </c>
      <c r="H47" s="285">
        <f t="shared" si="38"/>
        <v>13</v>
      </c>
      <c r="I47" s="285">
        <f t="shared" si="38"/>
        <v>13</v>
      </c>
      <c r="J47" s="285">
        <f t="shared" si="38"/>
        <v>12</v>
      </c>
      <c r="K47" s="285">
        <f t="shared" si="38"/>
        <v>12</v>
      </c>
      <c r="L47" s="285">
        <f t="shared" si="38"/>
        <v>12</v>
      </c>
      <c r="M47" s="285">
        <f t="shared" si="38"/>
        <v>12</v>
      </c>
      <c r="N47" s="285">
        <f t="shared" si="38"/>
        <v>11</v>
      </c>
      <c r="O47" s="285">
        <f t="shared" si="38"/>
        <v>11</v>
      </c>
      <c r="P47" s="285">
        <f t="shared" si="38"/>
        <v>11</v>
      </c>
      <c r="Q47" s="285">
        <f t="shared" si="38"/>
        <v>11</v>
      </c>
      <c r="R47" s="285">
        <f t="shared" si="38"/>
        <v>10</v>
      </c>
      <c r="S47" s="285">
        <f t="shared" si="38"/>
        <v>10</v>
      </c>
      <c r="T47" s="285">
        <f t="shared" si="38"/>
        <v>10</v>
      </c>
      <c r="U47" s="285">
        <f t="shared" si="38"/>
        <v>10</v>
      </c>
      <c r="V47" s="285">
        <f t="shared" si="38"/>
        <v>10</v>
      </c>
      <c r="W47" s="285">
        <f t="shared" si="38"/>
        <v>9</v>
      </c>
      <c r="X47" s="285">
        <f t="shared" si="38"/>
        <v>9</v>
      </c>
      <c r="Y47" s="285">
        <f t="shared" si="38"/>
        <v>9</v>
      </c>
      <c r="Z47" s="285">
        <f t="shared" si="38"/>
        <v>9</v>
      </c>
      <c r="AA47" s="285">
        <f t="shared" si="38"/>
        <v>9</v>
      </c>
      <c r="AB47" s="285">
        <f t="shared" si="38"/>
        <v>8</v>
      </c>
      <c r="AC47" s="285">
        <f t="shared" si="38"/>
        <v>8</v>
      </c>
      <c r="AD47" s="285">
        <f t="shared" si="38"/>
        <v>8</v>
      </c>
      <c r="AE47" s="285">
        <f t="shared" si="38"/>
        <v>8</v>
      </c>
      <c r="AF47" s="285">
        <f t="shared" si="38"/>
        <v>8</v>
      </c>
      <c r="AG47" s="285">
        <f t="shared" si="38"/>
        <v>8</v>
      </c>
      <c r="AH47" s="285">
        <f t="shared" si="38"/>
        <v>7</v>
      </c>
      <c r="AI47" s="285">
        <f t="shared" si="38"/>
        <v>7</v>
      </c>
      <c r="AJ47" s="285">
        <f t="shared" si="38"/>
        <v>7</v>
      </c>
      <c r="AK47" s="285">
        <f t="shared" si="38"/>
        <v>7</v>
      </c>
      <c r="AL47" s="285">
        <f t="shared" si="38"/>
        <v>7</v>
      </c>
      <c r="AM47" s="285">
        <f t="shared" si="38"/>
        <v>6</v>
      </c>
      <c r="AN47" s="285">
        <f t="shared" si="38"/>
        <v>5</v>
      </c>
      <c r="AO47" s="285">
        <f t="shared" si="38"/>
        <v>5</v>
      </c>
      <c r="AP47" s="285">
        <f t="shared" si="38"/>
        <v>5</v>
      </c>
      <c r="AQ47" s="285">
        <f t="shared" si="38"/>
        <v>5</v>
      </c>
      <c r="AR47" s="285">
        <f t="shared" si="38"/>
        <v>5</v>
      </c>
      <c r="AS47" s="285">
        <f t="shared" si="38"/>
        <v>5</v>
      </c>
      <c r="AT47" s="285">
        <f t="shared" si="38"/>
        <v>5</v>
      </c>
      <c r="AU47" s="285">
        <f t="shared" si="38"/>
        <v>4</v>
      </c>
      <c r="AV47" s="285">
        <f t="shared" si="38"/>
        <v>4</v>
      </c>
      <c r="AW47" s="285">
        <f t="shared" si="38"/>
        <v>4</v>
      </c>
      <c r="AX47" s="285">
        <f t="shared" si="38"/>
        <v>4</v>
      </c>
      <c r="AY47" s="285">
        <f t="shared" si="38"/>
        <v>4</v>
      </c>
      <c r="AZ47" s="285">
        <f t="shared" si="38"/>
        <v>3</v>
      </c>
      <c r="BA47" s="285">
        <f t="shared" si="38"/>
        <v>3</v>
      </c>
      <c r="BB47" s="285">
        <f t="shared" si="38"/>
        <v>3</v>
      </c>
      <c r="BC47" s="285">
        <f t="shared" si="38"/>
        <v>2</v>
      </c>
      <c r="BD47" s="285">
        <f t="shared" si="38"/>
        <v>2</v>
      </c>
      <c r="BE47" s="285">
        <f t="shared" si="38"/>
        <v>2</v>
      </c>
      <c r="BF47" s="285">
        <f t="shared" si="38"/>
        <v>2</v>
      </c>
      <c r="BG47" s="285">
        <f t="shared" si="38"/>
        <v>1</v>
      </c>
      <c r="BH47" s="285">
        <f t="shared" si="38"/>
        <v>1</v>
      </c>
      <c r="BI47" s="285">
        <f t="shared" si="38"/>
        <v>1</v>
      </c>
      <c r="BJ47" s="285">
        <f t="shared" si="38"/>
        <v>1</v>
      </c>
      <c r="BK47" s="285">
        <f t="shared" si="38"/>
        <v>1</v>
      </c>
      <c r="BL47" s="285">
        <f t="shared" si="38"/>
        <v>1</v>
      </c>
      <c r="BM47" s="285">
        <f t="shared" si="38"/>
        <v>1</v>
      </c>
    </row>
    <row r="48">
      <c r="A48" s="803">
        <v>10.8</v>
      </c>
      <c r="B48" s="285">
        <f t="shared" ref="B48:BM48" si="39">IF(IF($A48&gt;B$9,ROUNDUP(($A48/B$9)*6,0),ROUNDDOWN(($A48/B$9)*6,0))&gt;20,20,IF(IF($A48&gt;B$9,ROUNDUP(($A48/B$9)*6,0),ROUNDDOWN(($A48/B$9)*6,0))&lt;1,1,IF($A48&gt;B$9,ROUNDUP(($A48/B$9)*6,0),ROUNDDOWN(($A48/B$9)*6,0))))</f>
        <v>20</v>
      </c>
      <c r="C48" s="285">
        <f t="shared" si="39"/>
        <v>17</v>
      </c>
      <c r="D48" s="285">
        <f t="shared" si="39"/>
        <v>16</v>
      </c>
      <c r="E48" s="285">
        <f t="shared" si="39"/>
        <v>15</v>
      </c>
      <c r="F48" s="285">
        <f t="shared" si="39"/>
        <v>15</v>
      </c>
      <c r="G48" s="285">
        <f t="shared" si="39"/>
        <v>14</v>
      </c>
      <c r="H48" s="285">
        <f t="shared" si="39"/>
        <v>13</v>
      </c>
      <c r="I48" s="285">
        <f t="shared" si="39"/>
        <v>13</v>
      </c>
      <c r="J48" s="285">
        <f t="shared" si="39"/>
        <v>13</v>
      </c>
      <c r="K48" s="285">
        <f t="shared" si="39"/>
        <v>12</v>
      </c>
      <c r="L48" s="285">
        <f t="shared" si="39"/>
        <v>12</v>
      </c>
      <c r="M48" s="285">
        <f t="shared" si="39"/>
        <v>12</v>
      </c>
      <c r="N48" s="285">
        <f t="shared" si="39"/>
        <v>12</v>
      </c>
      <c r="O48" s="285">
        <f t="shared" si="39"/>
        <v>12</v>
      </c>
      <c r="P48" s="285">
        <f t="shared" si="39"/>
        <v>11</v>
      </c>
      <c r="Q48" s="285">
        <f t="shared" si="39"/>
        <v>11</v>
      </c>
      <c r="R48" s="285">
        <f t="shared" si="39"/>
        <v>11</v>
      </c>
      <c r="S48" s="285">
        <f t="shared" si="39"/>
        <v>10</v>
      </c>
      <c r="T48" s="285">
        <f t="shared" si="39"/>
        <v>10</v>
      </c>
      <c r="U48" s="285">
        <f t="shared" si="39"/>
        <v>10</v>
      </c>
      <c r="V48" s="285">
        <f t="shared" si="39"/>
        <v>10</v>
      </c>
      <c r="W48" s="285">
        <f t="shared" si="39"/>
        <v>10</v>
      </c>
      <c r="X48" s="285">
        <f t="shared" si="39"/>
        <v>9</v>
      </c>
      <c r="Y48" s="285">
        <f t="shared" si="39"/>
        <v>9</v>
      </c>
      <c r="Z48" s="285">
        <f t="shared" si="39"/>
        <v>9</v>
      </c>
      <c r="AA48" s="285">
        <f t="shared" si="39"/>
        <v>9</v>
      </c>
      <c r="AB48" s="285">
        <f t="shared" si="39"/>
        <v>9</v>
      </c>
      <c r="AC48" s="285">
        <f t="shared" si="39"/>
        <v>8</v>
      </c>
      <c r="AD48" s="285">
        <f t="shared" si="39"/>
        <v>8</v>
      </c>
      <c r="AE48" s="285">
        <f t="shared" si="39"/>
        <v>8</v>
      </c>
      <c r="AF48" s="285">
        <f t="shared" si="39"/>
        <v>8</v>
      </c>
      <c r="AG48" s="285">
        <f t="shared" si="39"/>
        <v>8</v>
      </c>
      <c r="AH48" s="285">
        <f t="shared" si="39"/>
        <v>8</v>
      </c>
      <c r="AI48" s="285">
        <f t="shared" si="39"/>
        <v>8</v>
      </c>
      <c r="AJ48" s="285">
        <f t="shared" si="39"/>
        <v>7</v>
      </c>
      <c r="AK48" s="285">
        <f t="shared" si="39"/>
        <v>7</v>
      </c>
      <c r="AL48" s="285">
        <f t="shared" si="39"/>
        <v>7</v>
      </c>
      <c r="AM48" s="285">
        <f t="shared" si="39"/>
        <v>7</v>
      </c>
      <c r="AN48" s="285">
        <f t="shared" si="39"/>
        <v>6</v>
      </c>
      <c r="AO48" s="285">
        <f t="shared" si="39"/>
        <v>5</v>
      </c>
      <c r="AP48" s="285">
        <f t="shared" si="39"/>
        <v>5</v>
      </c>
      <c r="AQ48" s="285">
        <f t="shared" si="39"/>
        <v>5</v>
      </c>
      <c r="AR48" s="285">
        <f t="shared" si="39"/>
        <v>5</v>
      </c>
      <c r="AS48" s="285">
        <f t="shared" si="39"/>
        <v>5</v>
      </c>
      <c r="AT48" s="285">
        <f t="shared" si="39"/>
        <v>5</v>
      </c>
      <c r="AU48" s="285">
        <f t="shared" si="39"/>
        <v>4</v>
      </c>
      <c r="AV48" s="285">
        <f t="shared" si="39"/>
        <v>4</v>
      </c>
      <c r="AW48" s="285">
        <f t="shared" si="39"/>
        <v>4</v>
      </c>
      <c r="AX48" s="285">
        <f t="shared" si="39"/>
        <v>4</v>
      </c>
      <c r="AY48" s="285">
        <f t="shared" si="39"/>
        <v>4</v>
      </c>
      <c r="AZ48" s="285">
        <f t="shared" si="39"/>
        <v>4</v>
      </c>
      <c r="BA48" s="285">
        <f t="shared" si="39"/>
        <v>3</v>
      </c>
      <c r="BB48" s="285">
        <f t="shared" si="39"/>
        <v>3</v>
      </c>
      <c r="BC48" s="285">
        <f t="shared" si="39"/>
        <v>2</v>
      </c>
      <c r="BD48" s="285">
        <f t="shared" si="39"/>
        <v>2</v>
      </c>
      <c r="BE48" s="285">
        <f t="shared" si="39"/>
        <v>2</v>
      </c>
      <c r="BF48" s="285">
        <f t="shared" si="39"/>
        <v>2</v>
      </c>
      <c r="BG48" s="285">
        <f t="shared" si="39"/>
        <v>1</v>
      </c>
      <c r="BH48" s="285">
        <f t="shared" si="39"/>
        <v>1</v>
      </c>
      <c r="BI48" s="285">
        <f t="shared" si="39"/>
        <v>1</v>
      </c>
      <c r="BJ48" s="285">
        <f t="shared" si="39"/>
        <v>1</v>
      </c>
      <c r="BK48" s="285">
        <f t="shared" si="39"/>
        <v>1</v>
      </c>
      <c r="BL48" s="285">
        <f t="shared" si="39"/>
        <v>1</v>
      </c>
      <c r="BM48" s="285">
        <f t="shared" si="39"/>
        <v>1</v>
      </c>
    </row>
    <row r="49">
      <c r="A49" s="803">
        <v>11.0</v>
      </c>
      <c r="B49" s="285">
        <f t="shared" ref="B49:BM49" si="40">IF(IF($A49&gt;B$9,ROUNDUP(($A49/B$9)*6,0),ROUNDDOWN(($A49/B$9)*6,0))&gt;20,20,IF(IF($A49&gt;B$9,ROUNDUP(($A49/B$9)*6,0),ROUNDDOWN(($A49/B$9)*6,0))&lt;1,1,IF($A49&gt;B$9,ROUNDUP(($A49/B$9)*6,0),ROUNDDOWN(($A49/B$9)*6,0))))</f>
        <v>20</v>
      </c>
      <c r="C49" s="285">
        <f t="shared" si="40"/>
        <v>17</v>
      </c>
      <c r="D49" s="285">
        <f t="shared" si="40"/>
        <v>16</v>
      </c>
      <c r="E49" s="285">
        <f t="shared" si="40"/>
        <v>15</v>
      </c>
      <c r="F49" s="285">
        <f t="shared" si="40"/>
        <v>15</v>
      </c>
      <c r="G49" s="285">
        <f t="shared" si="40"/>
        <v>14</v>
      </c>
      <c r="H49" s="285">
        <f t="shared" si="40"/>
        <v>14</v>
      </c>
      <c r="I49" s="285">
        <f t="shared" si="40"/>
        <v>13</v>
      </c>
      <c r="J49" s="285">
        <f t="shared" si="40"/>
        <v>13</v>
      </c>
      <c r="K49" s="285">
        <f t="shared" si="40"/>
        <v>13</v>
      </c>
      <c r="L49" s="285">
        <f t="shared" si="40"/>
        <v>12</v>
      </c>
      <c r="M49" s="285">
        <f t="shared" si="40"/>
        <v>12</v>
      </c>
      <c r="N49" s="285">
        <f t="shared" si="40"/>
        <v>12</v>
      </c>
      <c r="O49" s="285">
        <f t="shared" si="40"/>
        <v>12</v>
      </c>
      <c r="P49" s="285">
        <f t="shared" si="40"/>
        <v>11</v>
      </c>
      <c r="Q49" s="285">
        <f t="shared" si="40"/>
        <v>11</v>
      </c>
      <c r="R49" s="285">
        <f t="shared" si="40"/>
        <v>11</v>
      </c>
      <c r="S49" s="285">
        <f t="shared" si="40"/>
        <v>11</v>
      </c>
      <c r="T49" s="285">
        <f t="shared" si="40"/>
        <v>10</v>
      </c>
      <c r="U49" s="285">
        <f t="shared" si="40"/>
        <v>10</v>
      </c>
      <c r="V49" s="285">
        <f t="shared" si="40"/>
        <v>10</v>
      </c>
      <c r="W49" s="285">
        <f t="shared" si="40"/>
        <v>10</v>
      </c>
      <c r="X49" s="285">
        <f t="shared" si="40"/>
        <v>10</v>
      </c>
      <c r="Y49" s="285">
        <f t="shared" si="40"/>
        <v>10</v>
      </c>
      <c r="Z49" s="285">
        <f t="shared" si="40"/>
        <v>9</v>
      </c>
      <c r="AA49" s="285">
        <f t="shared" si="40"/>
        <v>9</v>
      </c>
      <c r="AB49" s="285">
        <f t="shared" si="40"/>
        <v>9</v>
      </c>
      <c r="AC49" s="285">
        <f t="shared" si="40"/>
        <v>9</v>
      </c>
      <c r="AD49" s="285">
        <f t="shared" si="40"/>
        <v>8</v>
      </c>
      <c r="AE49" s="285">
        <f t="shared" si="40"/>
        <v>8</v>
      </c>
      <c r="AF49" s="285">
        <f t="shared" si="40"/>
        <v>8</v>
      </c>
      <c r="AG49" s="285">
        <f t="shared" si="40"/>
        <v>8</v>
      </c>
      <c r="AH49" s="285">
        <f t="shared" si="40"/>
        <v>8</v>
      </c>
      <c r="AI49" s="285">
        <f t="shared" si="40"/>
        <v>8</v>
      </c>
      <c r="AJ49" s="285">
        <f t="shared" si="40"/>
        <v>7</v>
      </c>
      <c r="AK49" s="285">
        <f t="shared" si="40"/>
        <v>7</v>
      </c>
      <c r="AL49" s="285">
        <f t="shared" si="40"/>
        <v>7</v>
      </c>
      <c r="AM49" s="285">
        <f t="shared" si="40"/>
        <v>7</v>
      </c>
      <c r="AN49" s="285">
        <f t="shared" si="40"/>
        <v>7</v>
      </c>
      <c r="AO49" s="285">
        <f t="shared" si="40"/>
        <v>6</v>
      </c>
      <c r="AP49" s="285">
        <f t="shared" si="40"/>
        <v>5</v>
      </c>
      <c r="AQ49" s="285">
        <f t="shared" si="40"/>
        <v>5</v>
      </c>
      <c r="AR49" s="285">
        <f t="shared" si="40"/>
        <v>5</v>
      </c>
      <c r="AS49" s="285">
        <f t="shared" si="40"/>
        <v>5</v>
      </c>
      <c r="AT49" s="285">
        <f t="shared" si="40"/>
        <v>5</v>
      </c>
      <c r="AU49" s="285">
        <f t="shared" si="40"/>
        <v>5</v>
      </c>
      <c r="AV49" s="285">
        <f t="shared" si="40"/>
        <v>4</v>
      </c>
      <c r="AW49" s="285">
        <f t="shared" si="40"/>
        <v>4</v>
      </c>
      <c r="AX49" s="285">
        <f t="shared" si="40"/>
        <v>4</v>
      </c>
      <c r="AY49" s="285">
        <f t="shared" si="40"/>
        <v>4</v>
      </c>
      <c r="AZ49" s="285">
        <f t="shared" si="40"/>
        <v>4</v>
      </c>
      <c r="BA49" s="285">
        <f t="shared" si="40"/>
        <v>3</v>
      </c>
      <c r="BB49" s="285">
        <f t="shared" si="40"/>
        <v>3</v>
      </c>
      <c r="BC49" s="285">
        <f t="shared" si="40"/>
        <v>2</v>
      </c>
      <c r="BD49" s="285">
        <f t="shared" si="40"/>
        <v>2</v>
      </c>
      <c r="BE49" s="285">
        <f t="shared" si="40"/>
        <v>2</v>
      </c>
      <c r="BF49" s="285">
        <f t="shared" si="40"/>
        <v>2</v>
      </c>
      <c r="BG49" s="285">
        <f t="shared" si="40"/>
        <v>1</v>
      </c>
      <c r="BH49" s="285">
        <f t="shared" si="40"/>
        <v>1</v>
      </c>
      <c r="BI49" s="285">
        <f t="shared" si="40"/>
        <v>1</v>
      </c>
      <c r="BJ49" s="285">
        <f t="shared" si="40"/>
        <v>1</v>
      </c>
      <c r="BK49" s="285">
        <f t="shared" si="40"/>
        <v>1</v>
      </c>
      <c r="BL49" s="285">
        <f t="shared" si="40"/>
        <v>1</v>
      </c>
      <c r="BM49" s="285">
        <f t="shared" si="40"/>
        <v>1</v>
      </c>
    </row>
    <row r="50">
      <c r="A50" s="803">
        <v>11.2</v>
      </c>
      <c r="B50" s="285">
        <f t="shared" ref="B50:BM50" si="41">IF(IF($A50&gt;B$9,ROUNDUP(($A50/B$9)*6,0),ROUNDDOWN(($A50/B$9)*6,0))&gt;20,20,IF(IF($A50&gt;B$9,ROUNDUP(($A50/B$9)*6,0),ROUNDDOWN(($A50/B$9)*6,0))&lt;1,1,IF($A50&gt;B$9,ROUNDUP(($A50/B$9)*6,0),ROUNDDOWN(($A50/B$9)*6,0))))</f>
        <v>20</v>
      </c>
      <c r="C50" s="285">
        <f t="shared" si="41"/>
        <v>17</v>
      </c>
      <c r="D50" s="285">
        <f t="shared" si="41"/>
        <v>16</v>
      </c>
      <c r="E50" s="285">
        <f t="shared" si="41"/>
        <v>16</v>
      </c>
      <c r="F50" s="285">
        <f t="shared" si="41"/>
        <v>15</v>
      </c>
      <c r="G50" s="285">
        <f t="shared" si="41"/>
        <v>14</v>
      </c>
      <c r="H50" s="285">
        <f t="shared" si="41"/>
        <v>14</v>
      </c>
      <c r="I50" s="285">
        <f t="shared" si="41"/>
        <v>13</v>
      </c>
      <c r="J50" s="285">
        <f t="shared" si="41"/>
        <v>13</v>
      </c>
      <c r="K50" s="285">
        <f t="shared" si="41"/>
        <v>13</v>
      </c>
      <c r="L50" s="285">
        <f t="shared" si="41"/>
        <v>13</v>
      </c>
      <c r="M50" s="285">
        <f t="shared" si="41"/>
        <v>12</v>
      </c>
      <c r="N50" s="285">
        <f t="shared" si="41"/>
        <v>12</v>
      </c>
      <c r="O50" s="285">
        <f t="shared" si="41"/>
        <v>12</v>
      </c>
      <c r="P50" s="285">
        <f t="shared" si="41"/>
        <v>12</v>
      </c>
      <c r="Q50" s="285">
        <f t="shared" si="41"/>
        <v>11</v>
      </c>
      <c r="R50" s="285">
        <f t="shared" si="41"/>
        <v>11</v>
      </c>
      <c r="S50" s="285">
        <f t="shared" si="41"/>
        <v>11</v>
      </c>
      <c r="T50" s="285">
        <f t="shared" si="41"/>
        <v>11</v>
      </c>
      <c r="U50" s="285">
        <f t="shared" si="41"/>
        <v>10</v>
      </c>
      <c r="V50" s="285">
        <f t="shared" si="41"/>
        <v>10</v>
      </c>
      <c r="W50" s="285">
        <f t="shared" si="41"/>
        <v>10</v>
      </c>
      <c r="X50" s="285">
        <f t="shared" si="41"/>
        <v>10</v>
      </c>
      <c r="Y50" s="285">
        <f t="shared" si="41"/>
        <v>10</v>
      </c>
      <c r="Z50" s="285">
        <f t="shared" si="41"/>
        <v>9</v>
      </c>
      <c r="AA50" s="285">
        <f t="shared" si="41"/>
        <v>9</v>
      </c>
      <c r="AB50" s="285">
        <f t="shared" si="41"/>
        <v>9</v>
      </c>
      <c r="AC50" s="285">
        <f t="shared" si="41"/>
        <v>9</v>
      </c>
      <c r="AD50" s="285">
        <f t="shared" si="41"/>
        <v>8</v>
      </c>
      <c r="AE50" s="285">
        <f t="shared" si="41"/>
        <v>8</v>
      </c>
      <c r="AF50" s="285">
        <f t="shared" si="41"/>
        <v>8</v>
      </c>
      <c r="AG50" s="285">
        <f t="shared" si="41"/>
        <v>8</v>
      </c>
      <c r="AH50" s="285">
        <f t="shared" si="41"/>
        <v>8</v>
      </c>
      <c r="AI50" s="285">
        <f t="shared" si="41"/>
        <v>8</v>
      </c>
      <c r="AJ50" s="285">
        <f t="shared" si="41"/>
        <v>7</v>
      </c>
      <c r="AK50" s="285">
        <f t="shared" si="41"/>
        <v>7</v>
      </c>
      <c r="AL50" s="285">
        <f t="shared" si="41"/>
        <v>7</v>
      </c>
      <c r="AM50" s="285">
        <f t="shared" si="41"/>
        <v>7</v>
      </c>
      <c r="AN50" s="285">
        <f t="shared" si="41"/>
        <v>7</v>
      </c>
      <c r="AO50" s="285">
        <f t="shared" si="41"/>
        <v>7</v>
      </c>
      <c r="AP50" s="285">
        <f t="shared" si="41"/>
        <v>6</v>
      </c>
      <c r="AQ50" s="285">
        <f t="shared" si="41"/>
        <v>5</v>
      </c>
      <c r="AR50" s="285">
        <f t="shared" si="41"/>
        <v>5</v>
      </c>
      <c r="AS50" s="285">
        <f t="shared" si="41"/>
        <v>5</v>
      </c>
      <c r="AT50" s="285">
        <f t="shared" si="41"/>
        <v>5</v>
      </c>
      <c r="AU50" s="285">
        <f t="shared" si="41"/>
        <v>5</v>
      </c>
      <c r="AV50" s="285">
        <f t="shared" si="41"/>
        <v>4</v>
      </c>
      <c r="AW50" s="285">
        <f t="shared" si="41"/>
        <v>4</v>
      </c>
      <c r="AX50" s="285">
        <f t="shared" si="41"/>
        <v>4</v>
      </c>
      <c r="AY50" s="285">
        <f t="shared" si="41"/>
        <v>4</v>
      </c>
      <c r="AZ50" s="285">
        <f t="shared" si="41"/>
        <v>4</v>
      </c>
      <c r="BA50" s="285">
        <f t="shared" si="41"/>
        <v>3</v>
      </c>
      <c r="BB50" s="285">
        <f t="shared" si="41"/>
        <v>3</v>
      </c>
      <c r="BC50" s="285">
        <f t="shared" si="41"/>
        <v>2</v>
      </c>
      <c r="BD50" s="285">
        <f t="shared" si="41"/>
        <v>2</v>
      </c>
      <c r="BE50" s="285">
        <f t="shared" si="41"/>
        <v>2</v>
      </c>
      <c r="BF50" s="285">
        <f t="shared" si="41"/>
        <v>2</v>
      </c>
      <c r="BG50" s="285">
        <f t="shared" si="41"/>
        <v>1</v>
      </c>
      <c r="BH50" s="285">
        <f t="shared" si="41"/>
        <v>1</v>
      </c>
      <c r="BI50" s="285">
        <f t="shared" si="41"/>
        <v>1</v>
      </c>
      <c r="BJ50" s="285">
        <f t="shared" si="41"/>
        <v>1</v>
      </c>
      <c r="BK50" s="285">
        <f t="shared" si="41"/>
        <v>1</v>
      </c>
      <c r="BL50" s="285">
        <f t="shared" si="41"/>
        <v>1</v>
      </c>
      <c r="BM50" s="285">
        <f t="shared" si="41"/>
        <v>1</v>
      </c>
    </row>
    <row r="51">
      <c r="A51" s="803">
        <v>11.5</v>
      </c>
      <c r="B51" s="285">
        <f t="shared" ref="B51:BM51" si="42">IF(IF($A51&gt;B$9,ROUNDUP(($A51/B$9)*6,0),ROUNDDOWN(($A51/B$9)*6,0))&gt;20,20,IF(IF($A51&gt;B$9,ROUNDUP(($A51/B$9)*6,0),ROUNDDOWN(($A51/B$9)*6,0))&lt;1,1,IF($A51&gt;B$9,ROUNDUP(($A51/B$9)*6,0),ROUNDDOWN(($A51/B$9)*6,0))))</f>
        <v>20</v>
      </c>
      <c r="C51" s="285">
        <f t="shared" si="42"/>
        <v>18</v>
      </c>
      <c r="D51" s="285">
        <f t="shared" si="42"/>
        <v>17</v>
      </c>
      <c r="E51" s="285">
        <f t="shared" si="42"/>
        <v>16</v>
      </c>
      <c r="F51" s="285">
        <f t="shared" si="42"/>
        <v>15</v>
      </c>
      <c r="G51" s="285">
        <f t="shared" si="42"/>
        <v>15</v>
      </c>
      <c r="H51" s="285">
        <f t="shared" si="42"/>
        <v>14</v>
      </c>
      <c r="I51" s="285">
        <f t="shared" si="42"/>
        <v>14</v>
      </c>
      <c r="J51" s="285">
        <f t="shared" si="42"/>
        <v>14</v>
      </c>
      <c r="K51" s="285">
        <f t="shared" si="42"/>
        <v>13</v>
      </c>
      <c r="L51" s="285">
        <f t="shared" si="42"/>
        <v>13</v>
      </c>
      <c r="M51" s="285">
        <f t="shared" si="42"/>
        <v>13</v>
      </c>
      <c r="N51" s="285">
        <f t="shared" si="42"/>
        <v>12</v>
      </c>
      <c r="O51" s="285">
        <f t="shared" si="42"/>
        <v>12</v>
      </c>
      <c r="P51" s="285">
        <f t="shared" si="42"/>
        <v>12</v>
      </c>
      <c r="Q51" s="285">
        <f t="shared" si="42"/>
        <v>12</v>
      </c>
      <c r="R51" s="285">
        <f t="shared" si="42"/>
        <v>11</v>
      </c>
      <c r="S51" s="285">
        <f t="shared" si="42"/>
        <v>11</v>
      </c>
      <c r="T51" s="285">
        <f t="shared" si="42"/>
        <v>11</v>
      </c>
      <c r="U51" s="285">
        <f t="shared" si="42"/>
        <v>11</v>
      </c>
      <c r="V51" s="285">
        <f t="shared" si="42"/>
        <v>10</v>
      </c>
      <c r="W51" s="285">
        <f t="shared" si="42"/>
        <v>10</v>
      </c>
      <c r="X51" s="285">
        <f t="shared" si="42"/>
        <v>10</v>
      </c>
      <c r="Y51" s="285">
        <f t="shared" si="42"/>
        <v>10</v>
      </c>
      <c r="Z51" s="285">
        <f t="shared" si="42"/>
        <v>10</v>
      </c>
      <c r="AA51" s="285">
        <f t="shared" si="42"/>
        <v>9</v>
      </c>
      <c r="AB51" s="285">
        <f t="shared" si="42"/>
        <v>9</v>
      </c>
      <c r="AC51" s="285">
        <f t="shared" si="42"/>
        <v>9</v>
      </c>
      <c r="AD51" s="285">
        <f t="shared" si="42"/>
        <v>9</v>
      </c>
      <c r="AE51" s="285">
        <f t="shared" si="42"/>
        <v>8</v>
      </c>
      <c r="AF51" s="285">
        <f t="shared" si="42"/>
        <v>8</v>
      </c>
      <c r="AG51" s="285">
        <f t="shared" si="42"/>
        <v>8</v>
      </c>
      <c r="AH51" s="285">
        <f t="shared" si="42"/>
        <v>8</v>
      </c>
      <c r="AI51" s="285">
        <f t="shared" si="42"/>
        <v>8</v>
      </c>
      <c r="AJ51" s="285">
        <f t="shared" si="42"/>
        <v>8</v>
      </c>
      <c r="AK51" s="285">
        <f t="shared" si="42"/>
        <v>7</v>
      </c>
      <c r="AL51" s="285">
        <f t="shared" si="42"/>
        <v>7</v>
      </c>
      <c r="AM51" s="285">
        <f t="shared" si="42"/>
        <v>7</v>
      </c>
      <c r="AN51" s="285">
        <f t="shared" si="42"/>
        <v>7</v>
      </c>
      <c r="AO51" s="285">
        <f t="shared" si="42"/>
        <v>7</v>
      </c>
      <c r="AP51" s="285">
        <f t="shared" si="42"/>
        <v>7</v>
      </c>
      <c r="AQ51" s="285">
        <f t="shared" si="42"/>
        <v>6</v>
      </c>
      <c r="AR51" s="285">
        <f t="shared" si="42"/>
        <v>5</v>
      </c>
      <c r="AS51" s="285">
        <f t="shared" si="42"/>
        <v>5</v>
      </c>
      <c r="AT51" s="285">
        <f t="shared" si="42"/>
        <v>5</v>
      </c>
      <c r="AU51" s="285">
        <f t="shared" si="42"/>
        <v>5</v>
      </c>
      <c r="AV51" s="285">
        <f t="shared" si="42"/>
        <v>5</v>
      </c>
      <c r="AW51" s="285">
        <f t="shared" si="42"/>
        <v>4</v>
      </c>
      <c r="AX51" s="285">
        <f t="shared" si="42"/>
        <v>4</v>
      </c>
      <c r="AY51" s="285">
        <f t="shared" si="42"/>
        <v>4</v>
      </c>
      <c r="AZ51" s="285">
        <f t="shared" si="42"/>
        <v>4</v>
      </c>
      <c r="BA51" s="285">
        <f t="shared" si="42"/>
        <v>3</v>
      </c>
      <c r="BB51" s="285">
        <f t="shared" si="42"/>
        <v>3</v>
      </c>
      <c r="BC51" s="285">
        <f t="shared" si="42"/>
        <v>3</v>
      </c>
      <c r="BD51" s="285">
        <f t="shared" si="42"/>
        <v>2</v>
      </c>
      <c r="BE51" s="285">
        <f t="shared" si="42"/>
        <v>2</v>
      </c>
      <c r="BF51" s="285">
        <f t="shared" si="42"/>
        <v>2</v>
      </c>
      <c r="BG51" s="285">
        <f t="shared" si="42"/>
        <v>1</v>
      </c>
      <c r="BH51" s="285">
        <f t="shared" si="42"/>
        <v>1</v>
      </c>
      <c r="BI51" s="285">
        <f t="shared" si="42"/>
        <v>1</v>
      </c>
      <c r="BJ51" s="285">
        <f t="shared" si="42"/>
        <v>1</v>
      </c>
      <c r="BK51" s="285">
        <f t="shared" si="42"/>
        <v>1</v>
      </c>
      <c r="BL51" s="285">
        <f t="shared" si="42"/>
        <v>1</v>
      </c>
      <c r="BM51" s="285">
        <f t="shared" si="42"/>
        <v>1</v>
      </c>
    </row>
    <row r="52">
      <c r="A52" s="803">
        <v>11.6</v>
      </c>
      <c r="B52" s="285">
        <f t="shared" ref="B52:BM52" si="43">IF(IF($A52&gt;B$9,ROUNDUP(($A52/B$9)*6,0),ROUNDDOWN(($A52/B$9)*6,0))&gt;20,20,IF(IF($A52&gt;B$9,ROUNDUP(($A52/B$9)*6,0),ROUNDDOWN(($A52/B$9)*6,0))&lt;1,1,IF($A52&gt;B$9,ROUNDUP(($A52/B$9)*6,0),ROUNDDOWN(($A52/B$9)*6,0))))</f>
        <v>20</v>
      </c>
      <c r="C52" s="285">
        <f t="shared" si="43"/>
        <v>18</v>
      </c>
      <c r="D52" s="285">
        <f t="shared" si="43"/>
        <v>17</v>
      </c>
      <c r="E52" s="285">
        <f t="shared" si="43"/>
        <v>16</v>
      </c>
      <c r="F52" s="285">
        <f t="shared" si="43"/>
        <v>16</v>
      </c>
      <c r="G52" s="285">
        <f t="shared" si="43"/>
        <v>15</v>
      </c>
      <c r="H52" s="285">
        <f t="shared" si="43"/>
        <v>14</v>
      </c>
      <c r="I52" s="285">
        <f t="shared" si="43"/>
        <v>14</v>
      </c>
      <c r="J52" s="285">
        <f t="shared" si="43"/>
        <v>14</v>
      </c>
      <c r="K52" s="285">
        <f t="shared" si="43"/>
        <v>13</v>
      </c>
      <c r="L52" s="285">
        <f t="shared" si="43"/>
        <v>13</v>
      </c>
      <c r="M52" s="285">
        <f t="shared" si="43"/>
        <v>13</v>
      </c>
      <c r="N52" s="285">
        <f t="shared" si="43"/>
        <v>13</v>
      </c>
      <c r="O52" s="285">
        <f t="shared" si="43"/>
        <v>12</v>
      </c>
      <c r="P52" s="285">
        <f t="shared" si="43"/>
        <v>12</v>
      </c>
      <c r="Q52" s="285">
        <f t="shared" si="43"/>
        <v>12</v>
      </c>
      <c r="R52" s="285">
        <f t="shared" si="43"/>
        <v>12</v>
      </c>
      <c r="S52" s="285">
        <f t="shared" si="43"/>
        <v>11</v>
      </c>
      <c r="T52" s="285">
        <f t="shared" si="43"/>
        <v>11</v>
      </c>
      <c r="U52" s="285">
        <f t="shared" si="43"/>
        <v>11</v>
      </c>
      <c r="V52" s="285">
        <f t="shared" si="43"/>
        <v>11</v>
      </c>
      <c r="W52" s="285">
        <f t="shared" si="43"/>
        <v>10</v>
      </c>
      <c r="X52" s="285">
        <f t="shared" si="43"/>
        <v>10</v>
      </c>
      <c r="Y52" s="285">
        <f t="shared" si="43"/>
        <v>10</v>
      </c>
      <c r="Z52" s="285">
        <f t="shared" si="43"/>
        <v>10</v>
      </c>
      <c r="AA52" s="285">
        <f t="shared" si="43"/>
        <v>9</v>
      </c>
      <c r="AB52" s="285">
        <f t="shared" si="43"/>
        <v>9</v>
      </c>
      <c r="AC52" s="285">
        <f t="shared" si="43"/>
        <v>9</v>
      </c>
      <c r="AD52" s="285">
        <f t="shared" si="43"/>
        <v>9</v>
      </c>
      <c r="AE52" s="285">
        <f t="shared" si="43"/>
        <v>8</v>
      </c>
      <c r="AF52" s="285">
        <f t="shared" si="43"/>
        <v>8</v>
      </c>
      <c r="AG52" s="285">
        <f t="shared" si="43"/>
        <v>8</v>
      </c>
      <c r="AH52" s="285">
        <f t="shared" si="43"/>
        <v>8</v>
      </c>
      <c r="AI52" s="285">
        <f t="shared" si="43"/>
        <v>8</v>
      </c>
      <c r="AJ52" s="285">
        <f t="shared" si="43"/>
        <v>8</v>
      </c>
      <c r="AK52" s="285">
        <f t="shared" si="43"/>
        <v>7</v>
      </c>
      <c r="AL52" s="285">
        <f t="shared" si="43"/>
        <v>7</v>
      </c>
      <c r="AM52" s="285">
        <f t="shared" si="43"/>
        <v>7</v>
      </c>
      <c r="AN52" s="285">
        <f t="shared" si="43"/>
        <v>7</v>
      </c>
      <c r="AO52" s="285">
        <f t="shared" si="43"/>
        <v>7</v>
      </c>
      <c r="AP52" s="285">
        <f t="shared" si="43"/>
        <v>7</v>
      </c>
      <c r="AQ52" s="285">
        <f t="shared" si="43"/>
        <v>7</v>
      </c>
      <c r="AR52" s="285">
        <f t="shared" si="43"/>
        <v>6</v>
      </c>
      <c r="AS52" s="285">
        <f t="shared" si="43"/>
        <v>5</v>
      </c>
      <c r="AT52" s="285">
        <f t="shared" si="43"/>
        <v>5</v>
      </c>
      <c r="AU52" s="285">
        <f t="shared" si="43"/>
        <v>5</v>
      </c>
      <c r="AV52" s="285">
        <f t="shared" si="43"/>
        <v>5</v>
      </c>
      <c r="AW52" s="285">
        <f t="shared" si="43"/>
        <v>4</v>
      </c>
      <c r="AX52" s="285">
        <f t="shared" si="43"/>
        <v>4</v>
      </c>
      <c r="AY52" s="285">
        <f t="shared" si="43"/>
        <v>4</v>
      </c>
      <c r="AZ52" s="285">
        <f t="shared" si="43"/>
        <v>4</v>
      </c>
      <c r="BA52" s="285">
        <f t="shared" si="43"/>
        <v>3</v>
      </c>
      <c r="BB52" s="285">
        <f t="shared" si="43"/>
        <v>3</v>
      </c>
      <c r="BC52" s="285">
        <f t="shared" si="43"/>
        <v>3</v>
      </c>
      <c r="BD52" s="285">
        <f t="shared" si="43"/>
        <v>2</v>
      </c>
      <c r="BE52" s="285">
        <f t="shared" si="43"/>
        <v>2</v>
      </c>
      <c r="BF52" s="285">
        <f t="shared" si="43"/>
        <v>2</v>
      </c>
      <c r="BG52" s="285">
        <f t="shared" si="43"/>
        <v>1</v>
      </c>
      <c r="BH52" s="285">
        <f t="shared" si="43"/>
        <v>1</v>
      </c>
      <c r="BI52" s="285">
        <f t="shared" si="43"/>
        <v>1</v>
      </c>
      <c r="BJ52" s="285">
        <f t="shared" si="43"/>
        <v>1</v>
      </c>
      <c r="BK52" s="285">
        <f t="shared" si="43"/>
        <v>1</v>
      </c>
      <c r="BL52" s="285">
        <f t="shared" si="43"/>
        <v>1</v>
      </c>
      <c r="BM52" s="285">
        <f t="shared" si="43"/>
        <v>1</v>
      </c>
    </row>
    <row r="53">
      <c r="A53" s="803">
        <v>12.0</v>
      </c>
      <c r="B53" s="285">
        <f t="shared" ref="B53:BM53" si="44">IF(IF($A53&gt;B$9,ROUNDUP(($A53/B$9)*6,0),ROUNDDOWN(($A53/B$9)*6,0))&gt;20,20,IF(IF($A53&gt;B$9,ROUNDUP(($A53/B$9)*6,0),ROUNDDOWN(($A53/B$9)*6,0))&lt;1,1,IF($A53&gt;B$9,ROUNDUP(($A53/B$9)*6,0),ROUNDDOWN(($A53/B$9)*6,0))))</f>
        <v>20</v>
      </c>
      <c r="C53" s="285">
        <f t="shared" si="44"/>
        <v>18</v>
      </c>
      <c r="D53" s="285">
        <f t="shared" si="44"/>
        <v>18</v>
      </c>
      <c r="E53" s="285">
        <f t="shared" si="44"/>
        <v>17</v>
      </c>
      <c r="F53" s="285">
        <f t="shared" si="44"/>
        <v>16</v>
      </c>
      <c r="G53" s="285">
        <f t="shared" si="44"/>
        <v>15</v>
      </c>
      <c r="H53" s="285">
        <f t="shared" si="44"/>
        <v>15</v>
      </c>
      <c r="I53" s="285">
        <f t="shared" si="44"/>
        <v>14</v>
      </c>
      <c r="J53" s="285">
        <f t="shared" si="44"/>
        <v>14</v>
      </c>
      <c r="K53" s="285">
        <f t="shared" si="44"/>
        <v>14</v>
      </c>
      <c r="L53" s="285">
        <f t="shared" si="44"/>
        <v>14</v>
      </c>
      <c r="M53" s="285">
        <f t="shared" si="44"/>
        <v>13</v>
      </c>
      <c r="N53" s="285">
        <f t="shared" si="44"/>
        <v>13</v>
      </c>
      <c r="O53" s="285">
        <f t="shared" si="44"/>
        <v>13</v>
      </c>
      <c r="P53" s="285">
        <f t="shared" si="44"/>
        <v>12</v>
      </c>
      <c r="Q53" s="285">
        <f t="shared" si="44"/>
        <v>12</v>
      </c>
      <c r="R53" s="285">
        <f t="shared" si="44"/>
        <v>12</v>
      </c>
      <c r="S53" s="285">
        <f t="shared" si="44"/>
        <v>12</v>
      </c>
      <c r="T53" s="285">
        <f t="shared" si="44"/>
        <v>11</v>
      </c>
      <c r="U53" s="285">
        <f t="shared" si="44"/>
        <v>11</v>
      </c>
      <c r="V53" s="285">
        <f t="shared" si="44"/>
        <v>11</v>
      </c>
      <c r="W53" s="285">
        <f t="shared" si="44"/>
        <v>11</v>
      </c>
      <c r="X53" s="285">
        <f t="shared" si="44"/>
        <v>10</v>
      </c>
      <c r="Y53" s="285">
        <f t="shared" si="44"/>
        <v>10</v>
      </c>
      <c r="Z53" s="285">
        <f t="shared" si="44"/>
        <v>10</v>
      </c>
      <c r="AA53" s="285">
        <f t="shared" si="44"/>
        <v>10</v>
      </c>
      <c r="AB53" s="285">
        <f t="shared" si="44"/>
        <v>9</v>
      </c>
      <c r="AC53" s="285">
        <f t="shared" si="44"/>
        <v>9</v>
      </c>
      <c r="AD53" s="285">
        <f t="shared" si="44"/>
        <v>9</v>
      </c>
      <c r="AE53" s="285">
        <f t="shared" si="44"/>
        <v>9</v>
      </c>
      <c r="AF53" s="285">
        <f t="shared" si="44"/>
        <v>9</v>
      </c>
      <c r="AG53" s="285">
        <f t="shared" si="44"/>
        <v>9</v>
      </c>
      <c r="AH53" s="285">
        <f t="shared" si="44"/>
        <v>8</v>
      </c>
      <c r="AI53" s="285">
        <f t="shared" si="44"/>
        <v>8</v>
      </c>
      <c r="AJ53" s="285">
        <f t="shared" si="44"/>
        <v>8</v>
      </c>
      <c r="AK53" s="285">
        <f t="shared" si="44"/>
        <v>8</v>
      </c>
      <c r="AL53" s="285">
        <f t="shared" si="44"/>
        <v>7</v>
      </c>
      <c r="AM53" s="285">
        <f t="shared" si="44"/>
        <v>7</v>
      </c>
      <c r="AN53" s="285">
        <f t="shared" si="44"/>
        <v>7</v>
      </c>
      <c r="AO53" s="285">
        <f t="shared" si="44"/>
        <v>7</v>
      </c>
      <c r="AP53" s="285">
        <f t="shared" si="44"/>
        <v>7</v>
      </c>
      <c r="AQ53" s="285">
        <f t="shared" si="44"/>
        <v>7</v>
      </c>
      <c r="AR53" s="285">
        <f t="shared" si="44"/>
        <v>7</v>
      </c>
      <c r="AS53" s="285">
        <f t="shared" si="44"/>
        <v>6</v>
      </c>
      <c r="AT53" s="285">
        <f t="shared" si="44"/>
        <v>5</v>
      </c>
      <c r="AU53" s="285">
        <f t="shared" si="44"/>
        <v>5</v>
      </c>
      <c r="AV53" s="285">
        <f t="shared" si="44"/>
        <v>5</v>
      </c>
      <c r="AW53" s="285">
        <f t="shared" si="44"/>
        <v>5</v>
      </c>
      <c r="AX53" s="285">
        <f t="shared" si="44"/>
        <v>4</v>
      </c>
      <c r="AY53" s="285">
        <f t="shared" si="44"/>
        <v>4</v>
      </c>
      <c r="AZ53" s="285">
        <f t="shared" si="44"/>
        <v>4</v>
      </c>
      <c r="BA53" s="285">
        <f t="shared" si="44"/>
        <v>4</v>
      </c>
      <c r="BB53" s="285">
        <f t="shared" si="44"/>
        <v>3</v>
      </c>
      <c r="BC53" s="285">
        <f t="shared" si="44"/>
        <v>3</v>
      </c>
      <c r="BD53" s="285">
        <f t="shared" si="44"/>
        <v>2</v>
      </c>
      <c r="BE53" s="285">
        <f t="shared" si="44"/>
        <v>2</v>
      </c>
      <c r="BF53" s="285">
        <f t="shared" si="44"/>
        <v>2</v>
      </c>
      <c r="BG53" s="285">
        <f t="shared" si="44"/>
        <v>1</v>
      </c>
      <c r="BH53" s="285">
        <f t="shared" si="44"/>
        <v>1</v>
      </c>
      <c r="BI53" s="285">
        <f t="shared" si="44"/>
        <v>1</v>
      </c>
      <c r="BJ53" s="285">
        <f t="shared" si="44"/>
        <v>1</v>
      </c>
      <c r="BK53" s="285">
        <f t="shared" si="44"/>
        <v>1</v>
      </c>
      <c r="BL53" s="285">
        <f t="shared" si="44"/>
        <v>1</v>
      </c>
      <c r="BM53" s="285">
        <f t="shared" si="44"/>
        <v>1</v>
      </c>
    </row>
    <row r="54">
      <c r="A54" s="803">
        <v>12.5</v>
      </c>
      <c r="B54" s="285">
        <f t="shared" ref="B54:BM54" si="45">IF(IF($A54&gt;B$9,ROUNDUP(($A54/B$9)*6,0),ROUNDDOWN(($A54/B$9)*6,0))&gt;20,20,IF(IF($A54&gt;B$9,ROUNDUP(($A54/B$9)*6,0),ROUNDDOWN(($A54/B$9)*6,0))&lt;1,1,IF($A54&gt;B$9,ROUNDUP(($A54/B$9)*6,0),ROUNDDOWN(($A54/B$9)*6,0))))</f>
        <v>20</v>
      </c>
      <c r="C54" s="285">
        <f t="shared" si="45"/>
        <v>19</v>
      </c>
      <c r="D54" s="285">
        <f t="shared" si="45"/>
        <v>18</v>
      </c>
      <c r="E54" s="285">
        <f t="shared" si="45"/>
        <v>18</v>
      </c>
      <c r="F54" s="285">
        <f t="shared" si="45"/>
        <v>17</v>
      </c>
      <c r="G54" s="285">
        <f t="shared" si="45"/>
        <v>16</v>
      </c>
      <c r="H54" s="285">
        <f t="shared" si="45"/>
        <v>15</v>
      </c>
      <c r="I54" s="285">
        <f t="shared" si="45"/>
        <v>15</v>
      </c>
      <c r="J54" s="285">
        <f t="shared" si="45"/>
        <v>15</v>
      </c>
      <c r="K54" s="285">
        <f t="shared" si="45"/>
        <v>14</v>
      </c>
      <c r="L54" s="285">
        <f t="shared" si="45"/>
        <v>14</v>
      </c>
      <c r="M54" s="285">
        <f t="shared" si="45"/>
        <v>14</v>
      </c>
      <c r="N54" s="285">
        <f t="shared" si="45"/>
        <v>14</v>
      </c>
      <c r="O54" s="285">
        <f t="shared" si="45"/>
        <v>13</v>
      </c>
      <c r="P54" s="285">
        <f t="shared" si="45"/>
        <v>13</v>
      </c>
      <c r="Q54" s="285">
        <f t="shared" si="45"/>
        <v>12</v>
      </c>
      <c r="R54" s="285">
        <f t="shared" si="45"/>
        <v>12</v>
      </c>
      <c r="S54" s="285">
        <f t="shared" si="45"/>
        <v>12</v>
      </c>
      <c r="T54" s="285">
        <f t="shared" si="45"/>
        <v>12</v>
      </c>
      <c r="U54" s="285">
        <f t="shared" si="45"/>
        <v>12</v>
      </c>
      <c r="V54" s="285">
        <f t="shared" si="45"/>
        <v>11</v>
      </c>
      <c r="W54" s="285">
        <f t="shared" si="45"/>
        <v>11</v>
      </c>
      <c r="X54" s="285">
        <f t="shared" si="45"/>
        <v>11</v>
      </c>
      <c r="Y54" s="285">
        <f t="shared" si="45"/>
        <v>11</v>
      </c>
      <c r="Z54" s="285">
        <f t="shared" si="45"/>
        <v>10</v>
      </c>
      <c r="AA54" s="285">
        <f t="shared" si="45"/>
        <v>10</v>
      </c>
      <c r="AB54" s="285">
        <f t="shared" si="45"/>
        <v>10</v>
      </c>
      <c r="AC54" s="285">
        <f t="shared" si="45"/>
        <v>10</v>
      </c>
      <c r="AD54" s="285">
        <f t="shared" si="45"/>
        <v>9</v>
      </c>
      <c r="AE54" s="285">
        <f t="shared" si="45"/>
        <v>9</v>
      </c>
      <c r="AF54" s="285">
        <f t="shared" si="45"/>
        <v>9</v>
      </c>
      <c r="AG54" s="285">
        <f t="shared" si="45"/>
        <v>9</v>
      </c>
      <c r="AH54" s="285">
        <f t="shared" si="45"/>
        <v>9</v>
      </c>
      <c r="AI54" s="285">
        <f t="shared" si="45"/>
        <v>9</v>
      </c>
      <c r="AJ54" s="285">
        <f t="shared" si="45"/>
        <v>8</v>
      </c>
      <c r="AK54" s="285">
        <f t="shared" si="45"/>
        <v>8</v>
      </c>
      <c r="AL54" s="285">
        <f t="shared" si="45"/>
        <v>8</v>
      </c>
      <c r="AM54" s="285">
        <f t="shared" si="45"/>
        <v>8</v>
      </c>
      <c r="AN54" s="285">
        <f t="shared" si="45"/>
        <v>7</v>
      </c>
      <c r="AO54" s="285">
        <f t="shared" si="45"/>
        <v>7</v>
      </c>
      <c r="AP54" s="285">
        <f t="shared" si="45"/>
        <v>7</v>
      </c>
      <c r="AQ54" s="285">
        <f t="shared" si="45"/>
        <v>7</v>
      </c>
      <c r="AR54" s="285">
        <f t="shared" si="45"/>
        <v>7</v>
      </c>
      <c r="AS54" s="285">
        <f t="shared" si="45"/>
        <v>7</v>
      </c>
      <c r="AT54" s="285">
        <f t="shared" si="45"/>
        <v>6</v>
      </c>
      <c r="AU54" s="285">
        <f t="shared" si="45"/>
        <v>5</v>
      </c>
      <c r="AV54" s="285">
        <f t="shared" si="45"/>
        <v>5</v>
      </c>
      <c r="AW54" s="285">
        <f t="shared" si="45"/>
        <v>5</v>
      </c>
      <c r="AX54" s="285">
        <f t="shared" si="45"/>
        <v>5</v>
      </c>
      <c r="AY54" s="285">
        <f t="shared" si="45"/>
        <v>5</v>
      </c>
      <c r="AZ54" s="285">
        <f t="shared" si="45"/>
        <v>4</v>
      </c>
      <c r="BA54" s="285">
        <f t="shared" si="45"/>
        <v>4</v>
      </c>
      <c r="BB54" s="285">
        <f t="shared" si="45"/>
        <v>3</v>
      </c>
      <c r="BC54" s="285">
        <f t="shared" si="45"/>
        <v>3</v>
      </c>
      <c r="BD54" s="285">
        <f t="shared" si="45"/>
        <v>3</v>
      </c>
      <c r="BE54" s="285">
        <f t="shared" si="45"/>
        <v>2</v>
      </c>
      <c r="BF54" s="285">
        <f t="shared" si="45"/>
        <v>2</v>
      </c>
      <c r="BG54" s="285">
        <f t="shared" si="45"/>
        <v>1</v>
      </c>
      <c r="BH54" s="285">
        <f t="shared" si="45"/>
        <v>1</v>
      </c>
      <c r="BI54" s="285">
        <f t="shared" si="45"/>
        <v>1</v>
      </c>
      <c r="BJ54" s="285">
        <f t="shared" si="45"/>
        <v>1</v>
      </c>
      <c r="BK54" s="285">
        <f t="shared" si="45"/>
        <v>1</v>
      </c>
      <c r="BL54" s="285">
        <f t="shared" si="45"/>
        <v>1</v>
      </c>
      <c r="BM54" s="285">
        <f t="shared" si="45"/>
        <v>1</v>
      </c>
    </row>
    <row r="55">
      <c r="A55" s="803">
        <v>13.0</v>
      </c>
      <c r="B55" s="285">
        <f t="shared" ref="B55:BM55" si="46">IF(IF($A55&gt;B$9,ROUNDUP(($A55/B$9)*6,0),ROUNDDOWN(($A55/B$9)*6,0))&gt;20,20,IF(IF($A55&gt;B$9,ROUNDUP(($A55/B$9)*6,0),ROUNDDOWN(($A55/B$9)*6,0))&lt;1,1,IF($A55&gt;B$9,ROUNDUP(($A55/B$9)*6,0),ROUNDDOWN(($A55/B$9)*6,0))))</f>
        <v>20</v>
      </c>
      <c r="C55" s="285">
        <f t="shared" si="46"/>
        <v>20</v>
      </c>
      <c r="D55" s="285">
        <f t="shared" si="46"/>
        <v>19</v>
      </c>
      <c r="E55" s="285">
        <f t="shared" si="46"/>
        <v>18</v>
      </c>
      <c r="F55" s="285">
        <f t="shared" si="46"/>
        <v>17</v>
      </c>
      <c r="G55" s="285">
        <f t="shared" si="46"/>
        <v>17</v>
      </c>
      <c r="H55" s="285">
        <f t="shared" si="46"/>
        <v>16</v>
      </c>
      <c r="I55" s="285">
        <f t="shared" si="46"/>
        <v>15</v>
      </c>
      <c r="J55" s="285">
        <f t="shared" si="46"/>
        <v>15</v>
      </c>
      <c r="K55" s="285">
        <f t="shared" si="46"/>
        <v>15</v>
      </c>
      <c r="L55" s="285">
        <f t="shared" si="46"/>
        <v>15</v>
      </c>
      <c r="M55" s="285">
        <f t="shared" si="46"/>
        <v>14</v>
      </c>
      <c r="N55" s="285">
        <f t="shared" si="46"/>
        <v>14</v>
      </c>
      <c r="O55" s="285">
        <f t="shared" si="46"/>
        <v>14</v>
      </c>
      <c r="P55" s="285">
        <f t="shared" si="46"/>
        <v>13</v>
      </c>
      <c r="Q55" s="285">
        <f t="shared" si="46"/>
        <v>13</v>
      </c>
      <c r="R55" s="285">
        <f t="shared" si="46"/>
        <v>13</v>
      </c>
      <c r="S55" s="285">
        <f t="shared" si="46"/>
        <v>12</v>
      </c>
      <c r="T55" s="285">
        <f t="shared" si="46"/>
        <v>12</v>
      </c>
      <c r="U55" s="285">
        <f t="shared" si="46"/>
        <v>12</v>
      </c>
      <c r="V55" s="285">
        <f t="shared" si="46"/>
        <v>12</v>
      </c>
      <c r="W55" s="285">
        <f t="shared" si="46"/>
        <v>12</v>
      </c>
      <c r="X55" s="285">
        <f t="shared" si="46"/>
        <v>11</v>
      </c>
      <c r="Y55" s="285">
        <f t="shared" si="46"/>
        <v>11</v>
      </c>
      <c r="Z55" s="285">
        <f t="shared" si="46"/>
        <v>11</v>
      </c>
      <c r="AA55" s="285">
        <f t="shared" si="46"/>
        <v>10</v>
      </c>
      <c r="AB55" s="285">
        <f t="shared" si="46"/>
        <v>10</v>
      </c>
      <c r="AC55" s="285">
        <f t="shared" si="46"/>
        <v>10</v>
      </c>
      <c r="AD55" s="285">
        <f t="shared" si="46"/>
        <v>10</v>
      </c>
      <c r="AE55" s="285">
        <f t="shared" si="46"/>
        <v>9</v>
      </c>
      <c r="AF55" s="285">
        <f t="shared" si="46"/>
        <v>9</v>
      </c>
      <c r="AG55" s="285">
        <f t="shared" si="46"/>
        <v>9</v>
      </c>
      <c r="AH55" s="285">
        <f t="shared" si="46"/>
        <v>9</v>
      </c>
      <c r="AI55" s="285">
        <f t="shared" si="46"/>
        <v>9</v>
      </c>
      <c r="AJ55" s="285">
        <f t="shared" si="46"/>
        <v>9</v>
      </c>
      <c r="AK55" s="285">
        <f t="shared" si="46"/>
        <v>8</v>
      </c>
      <c r="AL55" s="285">
        <f t="shared" si="46"/>
        <v>8</v>
      </c>
      <c r="AM55" s="285">
        <f t="shared" si="46"/>
        <v>8</v>
      </c>
      <c r="AN55" s="285">
        <f t="shared" si="46"/>
        <v>8</v>
      </c>
      <c r="AO55" s="285">
        <f t="shared" si="46"/>
        <v>8</v>
      </c>
      <c r="AP55" s="285">
        <f t="shared" si="46"/>
        <v>7</v>
      </c>
      <c r="AQ55" s="285">
        <f t="shared" si="46"/>
        <v>7</v>
      </c>
      <c r="AR55" s="285">
        <f t="shared" si="46"/>
        <v>7</v>
      </c>
      <c r="AS55" s="285">
        <f t="shared" si="46"/>
        <v>7</v>
      </c>
      <c r="AT55" s="285">
        <f t="shared" si="46"/>
        <v>7</v>
      </c>
      <c r="AU55" s="285">
        <f t="shared" si="46"/>
        <v>6</v>
      </c>
      <c r="AV55" s="285">
        <f t="shared" si="46"/>
        <v>5</v>
      </c>
      <c r="AW55" s="285">
        <f t="shared" si="46"/>
        <v>5</v>
      </c>
      <c r="AX55" s="285">
        <f t="shared" si="46"/>
        <v>5</v>
      </c>
      <c r="AY55" s="285">
        <f t="shared" si="46"/>
        <v>5</v>
      </c>
      <c r="AZ55" s="285">
        <f t="shared" si="46"/>
        <v>4</v>
      </c>
      <c r="BA55" s="285">
        <f t="shared" si="46"/>
        <v>4</v>
      </c>
      <c r="BB55" s="285">
        <f t="shared" si="46"/>
        <v>3</v>
      </c>
      <c r="BC55" s="285">
        <f t="shared" si="46"/>
        <v>3</v>
      </c>
      <c r="BD55" s="285">
        <f t="shared" si="46"/>
        <v>3</v>
      </c>
      <c r="BE55" s="285">
        <f t="shared" si="46"/>
        <v>2</v>
      </c>
      <c r="BF55" s="285">
        <f t="shared" si="46"/>
        <v>2</v>
      </c>
      <c r="BG55" s="285">
        <f t="shared" si="46"/>
        <v>1</v>
      </c>
      <c r="BH55" s="285">
        <f t="shared" si="46"/>
        <v>1</v>
      </c>
      <c r="BI55" s="285">
        <f t="shared" si="46"/>
        <v>1</v>
      </c>
      <c r="BJ55" s="285">
        <f t="shared" si="46"/>
        <v>1</v>
      </c>
      <c r="BK55" s="285">
        <f t="shared" si="46"/>
        <v>1</v>
      </c>
      <c r="BL55" s="285">
        <f t="shared" si="46"/>
        <v>1</v>
      </c>
      <c r="BM55" s="285">
        <f t="shared" si="46"/>
        <v>1</v>
      </c>
    </row>
    <row r="56">
      <c r="A56" s="803">
        <v>13.5</v>
      </c>
      <c r="B56" s="285">
        <f t="shared" ref="B56:BM56" si="47">IF(IF($A56&gt;B$9,ROUNDUP(($A56/B$9)*6,0),ROUNDDOWN(($A56/B$9)*6,0))&gt;20,20,IF(IF($A56&gt;B$9,ROUNDUP(($A56/B$9)*6,0),ROUNDDOWN(($A56/B$9)*6,0))&lt;1,1,IF($A56&gt;B$9,ROUNDUP(($A56/B$9)*6,0),ROUNDDOWN(($A56/B$9)*6,0))))</f>
        <v>20</v>
      </c>
      <c r="C56" s="285">
        <f t="shared" si="47"/>
        <v>20</v>
      </c>
      <c r="D56" s="285">
        <f t="shared" si="47"/>
        <v>20</v>
      </c>
      <c r="E56" s="285">
        <f t="shared" si="47"/>
        <v>19</v>
      </c>
      <c r="F56" s="285">
        <f t="shared" si="47"/>
        <v>18</v>
      </c>
      <c r="G56" s="285">
        <f t="shared" si="47"/>
        <v>17</v>
      </c>
      <c r="H56" s="285">
        <f t="shared" si="47"/>
        <v>17</v>
      </c>
      <c r="I56" s="285">
        <f t="shared" si="47"/>
        <v>16</v>
      </c>
      <c r="J56" s="285">
        <f t="shared" si="47"/>
        <v>16</v>
      </c>
      <c r="K56" s="285">
        <f t="shared" si="47"/>
        <v>15</v>
      </c>
      <c r="L56" s="285">
        <f t="shared" si="47"/>
        <v>15</v>
      </c>
      <c r="M56" s="285">
        <f t="shared" si="47"/>
        <v>15</v>
      </c>
      <c r="N56" s="285">
        <f t="shared" si="47"/>
        <v>15</v>
      </c>
      <c r="O56" s="285">
        <f t="shared" si="47"/>
        <v>14</v>
      </c>
      <c r="P56" s="285">
        <f t="shared" si="47"/>
        <v>14</v>
      </c>
      <c r="Q56" s="285">
        <f t="shared" si="47"/>
        <v>13</v>
      </c>
      <c r="R56" s="285">
        <f t="shared" si="47"/>
        <v>13</v>
      </c>
      <c r="S56" s="285">
        <f t="shared" si="47"/>
        <v>13</v>
      </c>
      <c r="T56" s="285">
        <f t="shared" si="47"/>
        <v>13</v>
      </c>
      <c r="U56" s="285">
        <f t="shared" si="47"/>
        <v>12</v>
      </c>
      <c r="V56" s="285">
        <f t="shared" si="47"/>
        <v>12</v>
      </c>
      <c r="W56" s="285">
        <f t="shared" si="47"/>
        <v>12</v>
      </c>
      <c r="X56" s="285">
        <f t="shared" si="47"/>
        <v>12</v>
      </c>
      <c r="Y56" s="285">
        <f t="shared" si="47"/>
        <v>12</v>
      </c>
      <c r="Z56" s="285">
        <f t="shared" si="47"/>
        <v>11</v>
      </c>
      <c r="AA56" s="285">
        <f t="shared" si="47"/>
        <v>11</v>
      </c>
      <c r="AB56" s="285">
        <f t="shared" si="47"/>
        <v>11</v>
      </c>
      <c r="AC56" s="285">
        <f t="shared" si="47"/>
        <v>10</v>
      </c>
      <c r="AD56" s="285">
        <f t="shared" si="47"/>
        <v>10</v>
      </c>
      <c r="AE56" s="285">
        <f t="shared" si="47"/>
        <v>10</v>
      </c>
      <c r="AF56" s="285">
        <f t="shared" si="47"/>
        <v>10</v>
      </c>
      <c r="AG56" s="285">
        <f t="shared" si="47"/>
        <v>10</v>
      </c>
      <c r="AH56" s="285">
        <f t="shared" si="47"/>
        <v>9</v>
      </c>
      <c r="AI56" s="285">
        <f t="shared" si="47"/>
        <v>9</v>
      </c>
      <c r="AJ56" s="285">
        <f t="shared" si="47"/>
        <v>9</v>
      </c>
      <c r="AK56" s="285">
        <f t="shared" si="47"/>
        <v>9</v>
      </c>
      <c r="AL56" s="285">
        <f t="shared" si="47"/>
        <v>8</v>
      </c>
      <c r="AM56" s="285">
        <f t="shared" si="47"/>
        <v>8</v>
      </c>
      <c r="AN56" s="285">
        <f t="shared" si="47"/>
        <v>8</v>
      </c>
      <c r="AO56" s="285">
        <f t="shared" si="47"/>
        <v>8</v>
      </c>
      <c r="AP56" s="285">
        <f t="shared" si="47"/>
        <v>8</v>
      </c>
      <c r="AQ56" s="285">
        <f t="shared" si="47"/>
        <v>8</v>
      </c>
      <c r="AR56" s="285">
        <f t="shared" si="47"/>
        <v>7</v>
      </c>
      <c r="AS56" s="285">
        <f t="shared" si="47"/>
        <v>7</v>
      </c>
      <c r="AT56" s="285">
        <f t="shared" si="47"/>
        <v>7</v>
      </c>
      <c r="AU56" s="285">
        <f t="shared" si="47"/>
        <v>7</v>
      </c>
      <c r="AV56" s="285">
        <f t="shared" si="47"/>
        <v>6</v>
      </c>
      <c r="AW56" s="285">
        <f t="shared" si="47"/>
        <v>5</v>
      </c>
      <c r="AX56" s="285">
        <f t="shared" si="47"/>
        <v>5</v>
      </c>
      <c r="AY56" s="285">
        <f t="shared" si="47"/>
        <v>5</v>
      </c>
      <c r="AZ56" s="285">
        <f t="shared" si="47"/>
        <v>5</v>
      </c>
      <c r="BA56" s="285">
        <f t="shared" si="47"/>
        <v>4</v>
      </c>
      <c r="BB56" s="285">
        <f t="shared" si="47"/>
        <v>4</v>
      </c>
      <c r="BC56" s="285">
        <f t="shared" si="47"/>
        <v>3</v>
      </c>
      <c r="BD56" s="285">
        <f t="shared" si="47"/>
        <v>3</v>
      </c>
      <c r="BE56" s="285">
        <f t="shared" si="47"/>
        <v>2</v>
      </c>
      <c r="BF56" s="285">
        <f t="shared" si="47"/>
        <v>2</v>
      </c>
      <c r="BG56" s="285">
        <f t="shared" si="47"/>
        <v>2</v>
      </c>
      <c r="BH56" s="285">
        <f t="shared" si="47"/>
        <v>1</v>
      </c>
      <c r="BI56" s="285">
        <f t="shared" si="47"/>
        <v>1</v>
      </c>
      <c r="BJ56" s="285">
        <f t="shared" si="47"/>
        <v>1</v>
      </c>
      <c r="BK56" s="285">
        <f t="shared" si="47"/>
        <v>1</v>
      </c>
      <c r="BL56" s="285">
        <f t="shared" si="47"/>
        <v>1</v>
      </c>
      <c r="BM56" s="285">
        <f t="shared" si="47"/>
        <v>1</v>
      </c>
    </row>
    <row r="57">
      <c r="A57" s="803">
        <v>14.0</v>
      </c>
      <c r="B57" s="285">
        <f t="shared" ref="B57:BM57" si="48">IF(IF($A57&gt;B$9,ROUNDUP(($A57/B$9)*6,0),ROUNDDOWN(($A57/B$9)*6,0))&gt;20,20,IF(IF($A57&gt;B$9,ROUNDUP(($A57/B$9)*6,0),ROUNDDOWN(($A57/B$9)*6,0))&lt;1,1,IF($A57&gt;B$9,ROUNDUP(($A57/B$9)*6,0),ROUNDDOWN(($A57/B$9)*6,0))))</f>
        <v>20</v>
      </c>
      <c r="C57" s="285">
        <f t="shared" si="48"/>
        <v>20</v>
      </c>
      <c r="D57" s="285">
        <f t="shared" si="48"/>
        <v>20</v>
      </c>
      <c r="E57" s="285">
        <f t="shared" si="48"/>
        <v>20</v>
      </c>
      <c r="F57" s="285">
        <f t="shared" si="48"/>
        <v>19</v>
      </c>
      <c r="G57" s="285">
        <f t="shared" si="48"/>
        <v>18</v>
      </c>
      <c r="H57" s="285">
        <f t="shared" si="48"/>
        <v>17</v>
      </c>
      <c r="I57" s="285">
        <f t="shared" si="48"/>
        <v>17</v>
      </c>
      <c r="J57" s="285">
        <f t="shared" si="48"/>
        <v>16</v>
      </c>
      <c r="K57" s="285">
        <f t="shared" si="48"/>
        <v>16</v>
      </c>
      <c r="L57" s="285">
        <f t="shared" si="48"/>
        <v>16</v>
      </c>
      <c r="M57" s="285">
        <f t="shared" si="48"/>
        <v>15</v>
      </c>
      <c r="N57" s="285">
        <f t="shared" si="48"/>
        <v>15</v>
      </c>
      <c r="O57" s="285">
        <f t="shared" si="48"/>
        <v>15</v>
      </c>
      <c r="P57" s="285">
        <f t="shared" si="48"/>
        <v>14</v>
      </c>
      <c r="Q57" s="285">
        <f t="shared" si="48"/>
        <v>14</v>
      </c>
      <c r="R57" s="285">
        <f t="shared" si="48"/>
        <v>14</v>
      </c>
      <c r="S57" s="285">
        <f t="shared" si="48"/>
        <v>13</v>
      </c>
      <c r="T57" s="285">
        <f t="shared" si="48"/>
        <v>13</v>
      </c>
      <c r="U57" s="285">
        <f t="shared" si="48"/>
        <v>13</v>
      </c>
      <c r="V57" s="285">
        <f t="shared" si="48"/>
        <v>13</v>
      </c>
      <c r="W57" s="285">
        <f t="shared" si="48"/>
        <v>12</v>
      </c>
      <c r="X57" s="285">
        <f t="shared" si="48"/>
        <v>12</v>
      </c>
      <c r="Y57" s="285">
        <f t="shared" si="48"/>
        <v>12</v>
      </c>
      <c r="Z57" s="285">
        <f t="shared" si="48"/>
        <v>12</v>
      </c>
      <c r="AA57" s="285">
        <f t="shared" si="48"/>
        <v>11</v>
      </c>
      <c r="AB57" s="285">
        <f t="shared" si="48"/>
        <v>11</v>
      </c>
      <c r="AC57" s="285">
        <f t="shared" si="48"/>
        <v>11</v>
      </c>
      <c r="AD57" s="285">
        <f t="shared" si="48"/>
        <v>10</v>
      </c>
      <c r="AE57" s="285">
        <f t="shared" si="48"/>
        <v>10</v>
      </c>
      <c r="AF57" s="285">
        <f t="shared" si="48"/>
        <v>10</v>
      </c>
      <c r="AG57" s="285">
        <f t="shared" si="48"/>
        <v>10</v>
      </c>
      <c r="AH57" s="285">
        <f t="shared" si="48"/>
        <v>10</v>
      </c>
      <c r="AI57" s="285">
        <f t="shared" si="48"/>
        <v>10</v>
      </c>
      <c r="AJ57" s="285">
        <f t="shared" si="48"/>
        <v>9</v>
      </c>
      <c r="AK57" s="285">
        <f t="shared" si="48"/>
        <v>9</v>
      </c>
      <c r="AL57" s="285">
        <f t="shared" si="48"/>
        <v>9</v>
      </c>
      <c r="AM57" s="285">
        <f t="shared" si="48"/>
        <v>8</v>
      </c>
      <c r="AN57" s="285">
        <f t="shared" si="48"/>
        <v>8</v>
      </c>
      <c r="AO57" s="285">
        <f t="shared" si="48"/>
        <v>8</v>
      </c>
      <c r="AP57" s="285">
        <f t="shared" si="48"/>
        <v>8</v>
      </c>
      <c r="AQ57" s="285">
        <f t="shared" si="48"/>
        <v>8</v>
      </c>
      <c r="AR57" s="285">
        <f t="shared" si="48"/>
        <v>8</v>
      </c>
      <c r="AS57" s="285">
        <f t="shared" si="48"/>
        <v>7</v>
      </c>
      <c r="AT57" s="285">
        <f t="shared" si="48"/>
        <v>7</v>
      </c>
      <c r="AU57" s="285">
        <f t="shared" si="48"/>
        <v>7</v>
      </c>
      <c r="AV57" s="285">
        <f t="shared" si="48"/>
        <v>7</v>
      </c>
      <c r="AW57" s="285">
        <f t="shared" si="48"/>
        <v>6</v>
      </c>
      <c r="AX57" s="285">
        <f t="shared" si="48"/>
        <v>5</v>
      </c>
      <c r="AY57" s="285">
        <f t="shared" si="48"/>
        <v>5</v>
      </c>
      <c r="AZ57" s="285">
        <f t="shared" si="48"/>
        <v>5</v>
      </c>
      <c r="BA57" s="285">
        <f t="shared" si="48"/>
        <v>4</v>
      </c>
      <c r="BB57" s="285">
        <f t="shared" si="48"/>
        <v>4</v>
      </c>
      <c r="BC57" s="285">
        <f t="shared" si="48"/>
        <v>3</v>
      </c>
      <c r="BD57" s="285">
        <f t="shared" si="48"/>
        <v>3</v>
      </c>
      <c r="BE57" s="285">
        <f t="shared" si="48"/>
        <v>3</v>
      </c>
      <c r="BF57" s="285">
        <f t="shared" si="48"/>
        <v>2</v>
      </c>
      <c r="BG57" s="285">
        <f t="shared" si="48"/>
        <v>2</v>
      </c>
      <c r="BH57" s="285">
        <f t="shared" si="48"/>
        <v>1</v>
      </c>
      <c r="BI57" s="285">
        <f t="shared" si="48"/>
        <v>1</v>
      </c>
      <c r="BJ57" s="285">
        <f t="shared" si="48"/>
        <v>1</v>
      </c>
      <c r="BK57" s="285">
        <f t="shared" si="48"/>
        <v>1</v>
      </c>
      <c r="BL57" s="285">
        <f t="shared" si="48"/>
        <v>1</v>
      </c>
      <c r="BM57" s="285">
        <f t="shared" si="48"/>
        <v>1</v>
      </c>
    </row>
    <row r="58">
      <c r="A58" s="803">
        <v>14.5</v>
      </c>
      <c r="B58" s="285">
        <f t="shared" ref="B58:BM58" si="49">IF(IF($A58&gt;B$9,ROUNDUP(($A58/B$9)*6,0),ROUNDDOWN(($A58/B$9)*6,0))&gt;20,20,IF(IF($A58&gt;B$9,ROUNDUP(($A58/B$9)*6,0),ROUNDDOWN(($A58/B$9)*6,0))&lt;1,1,IF($A58&gt;B$9,ROUNDUP(($A58/B$9)*6,0),ROUNDDOWN(($A58/B$9)*6,0))))</f>
        <v>20</v>
      </c>
      <c r="C58" s="285">
        <f t="shared" si="49"/>
        <v>20</v>
      </c>
      <c r="D58" s="285">
        <f t="shared" si="49"/>
        <v>20</v>
      </c>
      <c r="E58" s="285">
        <f t="shared" si="49"/>
        <v>20</v>
      </c>
      <c r="F58" s="285">
        <f t="shared" si="49"/>
        <v>19</v>
      </c>
      <c r="G58" s="285">
        <f t="shared" si="49"/>
        <v>19</v>
      </c>
      <c r="H58" s="285">
        <f t="shared" si="49"/>
        <v>18</v>
      </c>
      <c r="I58" s="285">
        <f t="shared" si="49"/>
        <v>17</v>
      </c>
      <c r="J58" s="285">
        <f t="shared" si="49"/>
        <v>17</v>
      </c>
      <c r="K58" s="285">
        <f t="shared" si="49"/>
        <v>17</v>
      </c>
      <c r="L58" s="285">
        <f t="shared" si="49"/>
        <v>16</v>
      </c>
      <c r="M58" s="285">
        <f t="shared" si="49"/>
        <v>16</v>
      </c>
      <c r="N58" s="285">
        <f t="shared" si="49"/>
        <v>16</v>
      </c>
      <c r="O58" s="285">
        <f t="shared" si="49"/>
        <v>15</v>
      </c>
      <c r="P58" s="285">
        <f t="shared" si="49"/>
        <v>15</v>
      </c>
      <c r="Q58" s="285">
        <f t="shared" si="49"/>
        <v>14</v>
      </c>
      <c r="R58" s="285">
        <f t="shared" si="49"/>
        <v>14</v>
      </c>
      <c r="S58" s="285">
        <f t="shared" si="49"/>
        <v>14</v>
      </c>
      <c r="T58" s="285">
        <f t="shared" si="49"/>
        <v>14</v>
      </c>
      <c r="U58" s="285">
        <f t="shared" si="49"/>
        <v>13</v>
      </c>
      <c r="V58" s="285">
        <f t="shared" si="49"/>
        <v>13</v>
      </c>
      <c r="W58" s="285">
        <f t="shared" si="49"/>
        <v>13</v>
      </c>
      <c r="X58" s="285">
        <f t="shared" si="49"/>
        <v>13</v>
      </c>
      <c r="Y58" s="285">
        <f t="shared" si="49"/>
        <v>12</v>
      </c>
      <c r="Z58" s="285">
        <f t="shared" si="49"/>
        <v>12</v>
      </c>
      <c r="AA58" s="285">
        <f t="shared" si="49"/>
        <v>12</v>
      </c>
      <c r="AB58" s="285">
        <f t="shared" si="49"/>
        <v>11</v>
      </c>
      <c r="AC58" s="285">
        <f t="shared" si="49"/>
        <v>11</v>
      </c>
      <c r="AD58" s="285">
        <f t="shared" si="49"/>
        <v>11</v>
      </c>
      <c r="AE58" s="285">
        <f t="shared" si="49"/>
        <v>10</v>
      </c>
      <c r="AF58" s="285">
        <f t="shared" si="49"/>
        <v>10</v>
      </c>
      <c r="AG58" s="285">
        <f t="shared" si="49"/>
        <v>10</v>
      </c>
      <c r="AH58" s="285">
        <f t="shared" si="49"/>
        <v>10</v>
      </c>
      <c r="AI58" s="285">
        <f t="shared" si="49"/>
        <v>10</v>
      </c>
      <c r="AJ58" s="285">
        <f t="shared" si="49"/>
        <v>10</v>
      </c>
      <c r="AK58" s="285">
        <f t="shared" si="49"/>
        <v>9</v>
      </c>
      <c r="AL58" s="285">
        <f t="shared" si="49"/>
        <v>9</v>
      </c>
      <c r="AM58" s="285">
        <f t="shared" si="49"/>
        <v>9</v>
      </c>
      <c r="AN58" s="285">
        <f t="shared" si="49"/>
        <v>9</v>
      </c>
      <c r="AO58" s="285">
        <f t="shared" si="49"/>
        <v>8</v>
      </c>
      <c r="AP58" s="285">
        <f t="shared" si="49"/>
        <v>8</v>
      </c>
      <c r="AQ58" s="285">
        <f t="shared" si="49"/>
        <v>8</v>
      </c>
      <c r="AR58" s="285">
        <f t="shared" si="49"/>
        <v>8</v>
      </c>
      <c r="AS58" s="285">
        <f t="shared" si="49"/>
        <v>8</v>
      </c>
      <c r="AT58" s="285">
        <f t="shared" si="49"/>
        <v>7</v>
      </c>
      <c r="AU58" s="285">
        <f t="shared" si="49"/>
        <v>7</v>
      </c>
      <c r="AV58" s="285">
        <f t="shared" si="49"/>
        <v>7</v>
      </c>
      <c r="AW58" s="285">
        <f t="shared" si="49"/>
        <v>7</v>
      </c>
      <c r="AX58" s="285">
        <f t="shared" si="49"/>
        <v>6</v>
      </c>
      <c r="AY58" s="285">
        <f t="shared" si="49"/>
        <v>5</v>
      </c>
      <c r="AZ58" s="285">
        <f t="shared" si="49"/>
        <v>5</v>
      </c>
      <c r="BA58" s="285">
        <f t="shared" si="49"/>
        <v>4</v>
      </c>
      <c r="BB58" s="285">
        <f t="shared" si="49"/>
        <v>4</v>
      </c>
      <c r="BC58" s="285">
        <f t="shared" si="49"/>
        <v>3</v>
      </c>
      <c r="BD58" s="285">
        <f t="shared" si="49"/>
        <v>3</v>
      </c>
      <c r="BE58" s="285">
        <f t="shared" si="49"/>
        <v>3</v>
      </c>
      <c r="BF58" s="285">
        <f t="shared" si="49"/>
        <v>2</v>
      </c>
      <c r="BG58" s="285">
        <f t="shared" si="49"/>
        <v>2</v>
      </c>
      <c r="BH58" s="285">
        <f t="shared" si="49"/>
        <v>1</v>
      </c>
      <c r="BI58" s="285">
        <f t="shared" si="49"/>
        <v>1</v>
      </c>
      <c r="BJ58" s="285">
        <f t="shared" si="49"/>
        <v>1</v>
      </c>
      <c r="BK58" s="285">
        <f t="shared" si="49"/>
        <v>1</v>
      </c>
      <c r="BL58" s="285">
        <f t="shared" si="49"/>
        <v>1</v>
      </c>
      <c r="BM58" s="285">
        <f t="shared" si="49"/>
        <v>1</v>
      </c>
    </row>
    <row r="59">
      <c r="A59" s="803">
        <v>15.0</v>
      </c>
      <c r="B59" s="285">
        <f t="shared" ref="B59:BM59" si="50">IF(IF($A59&gt;B$9,ROUNDUP(($A59/B$9)*6,0),ROUNDDOWN(($A59/B$9)*6,0))&gt;20,20,IF(IF($A59&gt;B$9,ROUNDUP(($A59/B$9)*6,0),ROUNDDOWN(($A59/B$9)*6,0))&lt;1,1,IF($A59&gt;B$9,ROUNDUP(($A59/B$9)*6,0),ROUNDDOWN(($A59/B$9)*6,0))))</f>
        <v>20</v>
      </c>
      <c r="C59" s="285">
        <f t="shared" si="50"/>
        <v>20</v>
      </c>
      <c r="D59" s="285">
        <f t="shared" si="50"/>
        <v>20</v>
      </c>
      <c r="E59" s="285">
        <f t="shared" si="50"/>
        <v>20</v>
      </c>
      <c r="F59" s="285">
        <f t="shared" si="50"/>
        <v>20</v>
      </c>
      <c r="G59" s="285">
        <f t="shared" si="50"/>
        <v>19</v>
      </c>
      <c r="H59" s="285">
        <f t="shared" si="50"/>
        <v>18</v>
      </c>
      <c r="I59" s="285">
        <f t="shared" si="50"/>
        <v>18</v>
      </c>
      <c r="J59" s="285">
        <f t="shared" si="50"/>
        <v>18</v>
      </c>
      <c r="K59" s="285">
        <f t="shared" si="50"/>
        <v>17</v>
      </c>
      <c r="L59" s="285">
        <f t="shared" si="50"/>
        <v>17</v>
      </c>
      <c r="M59" s="285">
        <f t="shared" si="50"/>
        <v>17</v>
      </c>
      <c r="N59" s="285">
        <f t="shared" si="50"/>
        <v>16</v>
      </c>
      <c r="O59" s="285">
        <f t="shared" si="50"/>
        <v>16</v>
      </c>
      <c r="P59" s="285">
        <f t="shared" si="50"/>
        <v>15</v>
      </c>
      <c r="Q59" s="285">
        <f t="shared" si="50"/>
        <v>15</v>
      </c>
      <c r="R59" s="285">
        <f t="shared" si="50"/>
        <v>15</v>
      </c>
      <c r="S59" s="285">
        <f t="shared" si="50"/>
        <v>14</v>
      </c>
      <c r="T59" s="285">
        <f t="shared" si="50"/>
        <v>14</v>
      </c>
      <c r="U59" s="285">
        <f t="shared" si="50"/>
        <v>14</v>
      </c>
      <c r="V59" s="285">
        <f t="shared" si="50"/>
        <v>14</v>
      </c>
      <c r="W59" s="285">
        <f t="shared" si="50"/>
        <v>13</v>
      </c>
      <c r="X59" s="285">
        <f t="shared" si="50"/>
        <v>13</v>
      </c>
      <c r="Y59" s="285">
        <f t="shared" si="50"/>
        <v>13</v>
      </c>
      <c r="Z59" s="285">
        <f t="shared" si="50"/>
        <v>12</v>
      </c>
      <c r="AA59" s="285">
        <f t="shared" si="50"/>
        <v>12</v>
      </c>
      <c r="AB59" s="285">
        <f t="shared" si="50"/>
        <v>12</v>
      </c>
      <c r="AC59" s="285">
        <f t="shared" si="50"/>
        <v>12</v>
      </c>
      <c r="AD59" s="285">
        <f t="shared" si="50"/>
        <v>11</v>
      </c>
      <c r="AE59" s="285">
        <f t="shared" si="50"/>
        <v>11</v>
      </c>
      <c r="AF59" s="285">
        <f t="shared" si="50"/>
        <v>11</v>
      </c>
      <c r="AG59" s="285">
        <f t="shared" si="50"/>
        <v>11</v>
      </c>
      <c r="AH59" s="285">
        <f t="shared" si="50"/>
        <v>10</v>
      </c>
      <c r="AI59" s="285">
        <f t="shared" si="50"/>
        <v>10</v>
      </c>
      <c r="AJ59" s="285">
        <f t="shared" si="50"/>
        <v>10</v>
      </c>
      <c r="AK59" s="285">
        <f t="shared" si="50"/>
        <v>9</v>
      </c>
      <c r="AL59" s="285">
        <f t="shared" si="50"/>
        <v>9</v>
      </c>
      <c r="AM59" s="285">
        <f t="shared" si="50"/>
        <v>9</v>
      </c>
      <c r="AN59" s="285">
        <f t="shared" si="50"/>
        <v>9</v>
      </c>
      <c r="AO59" s="285">
        <f t="shared" si="50"/>
        <v>9</v>
      </c>
      <c r="AP59" s="285">
        <f t="shared" si="50"/>
        <v>9</v>
      </c>
      <c r="AQ59" s="285">
        <f t="shared" si="50"/>
        <v>8</v>
      </c>
      <c r="AR59" s="285">
        <f t="shared" si="50"/>
        <v>8</v>
      </c>
      <c r="AS59" s="285">
        <f t="shared" si="50"/>
        <v>8</v>
      </c>
      <c r="AT59" s="285">
        <f t="shared" si="50"/>
        <v>8</v>
      </c>
      <c r="AU59" s="285">
        <f t="shared" si="50"/>
        <v>7</v>
      </c>
      <c r="AV59" s="285">
        <f t="shared" si="50"/>
        <v>7</v>
      </c>
      <c r="AW59" s="285">
        <f t="shared" si="50"/>
        <v>7</v>
      </c>
      <c r="AX59" s="285">
        <f t="shared" si="50"/>
        <v>7</v>
      </c>
      <c r="AY59" s="285">
        <f t="shared" si="50"/>
        <v>6</v>
      </c>
      <c r="AZ59" s="285">
        <f t="shared" si="50"/>
        <v>5</v>
      </c>
      <c r="BA59" s="285">
        <f t="shared" si="50"/>
        <v>5</v>
      </c>
      <c r="BB59" s="285">
        <f t="shared" si="50"/>
        <v>4</v>
      </c>
      <c r="BC59" s="285">
        <f t="shared" si="50"/>
        <v>4</v>
      </c>
      <c r="BD59" s="285">
        <f t="shared" si="50"/>
        <v>3</v>
      </c>
      <c r="BE59" s="285">
        <f t="shared" si="50"/>
        <v>3</v>
      </c>
      <c r="BF59" s="285">
        <f t="shared" si="50"/>
        <v>3</v>
      </c>
      <c r="BG59" s="285">
        <f t="shared" si="50"/>
        <v>2</v>
      </c>
      <c r="BH59" s="285">
        <f t="shared" si="50"/>
        <v>1</v>
      </c>
      <c r="BI59" s="285">
        <f t="shared" si="50"/>
        <v>1</v>
      </c>
      <c r="BJ59" s="285">
        <f t="shared" si="50"/>
        <v>1</v>
      </c>
      <c r="BK59" s="285">
        <f t="shared" si="50"/>
        <v>1</v>
      </c>
      <c r="BL59" s="285">
        <f t="shared" si="50"/>
        <v>1</v>
      </c>
      <c r="BM59" s="285">
        <f t="shared" si="50"/>
        <v>1</v>
      </c>
    </row>
    <row r="60">
      <c r="A60" s="803">
        <v>16.0</v>
      </c>
      <c r="B60" s="285">
        <f t="shared" ref="B60:BM60" si="51">IF(IF($A60&gt;B$9,ROUNDUP(($A60/B$9)*6,0),ROUNDDOWN(($A60/B$9)*6,0))&gt;20,20,IF(IF($A60&gt;B$9,ROUNDUP(($A60/B$9)*6,0),ROUNDDOWN(($A60/B$9)*6,0))&lt;1,1,IF($A60&gt;B$9,ROUNDUP(($A60/B$9)*6,0),ROUNDDOWN(($A60/B$9)*6,0))))</f>
        <v>20</v>
      </c>
      <c r="C60" s="285">
        <f t="shared" si="51"/>
        <v>20</v>
      </c>
      <c r="D60" s="285">
        <f t="shared" si="51"/>
        <v>20</v>
      </c>
      <c r="E60" s="285">
        <f t="shared" si="51"/>
        <v>20</v>
      </c>
      <c r="F60" s="285">
        <f t="shared" si="51"/>
        <v>20</v>
      </c>
      <c r="G60" s="285">
        <f t="shared" si="51"/>
        <v>20</v>
      </c>
      <c r="H60" s="285">
        <f t="shared" si="51"/>
        <v>20</v>
      </c>
      <c r="I60" s="285">
        <f t="shared" si="51"/>
        <v>19</v>
      </c>
      <c r="J60" s="285">
        <f t="shared" si="51"/>
        <v>19</v>
      </c>
      <c r="K60" s="285">
        <f t="shared" si="51"/>
        <v>18</v>
      </c>
      <c r="L60" s="285">
        <f t="shared" si="51"/>
        <v>18</v>
      </c>
      <c r="M60" s="285">
        <f t="shared" si="51"/>
        <v>18</v>
      </c>
      <c r="N60" s="285">
        <f t="shared" si="51"/>
        <v>17</v>
      </c>
      <c r="O60" s="285">
        <f t="shared" si="51"/>
        <v>17</v>
      </c>
      <c r="P60" s="285">
        <f t="shared" si="51"/>
        <v>16</v>
      </c>
      <c r="Q60" s="285">
        <f t="shared" si="51"/>
        <v>16</v>
      </c>
      <c r="R60" s="285">
        <f t="shared" si="51"/>
        <v>16</v>
      </c>
      <c r="S60" s="285">
        <f t="shared" si="51"/>
        <v>15</v>
      </c>
      <c r="T60" s="285">
        <f t="shared" si="51"/>
        <v>15</v>
      </c>
      <c r="U60" s="285">
        <f t="shared" si="51"/>
        <v>15</v>
      </c>
      <c r="V60" s="285">
        <f t="shared" si="51"/>
        <v>14</v>
      </c>
      <c r="W60" s="285">
        <f t="shared" si="51"/>
        <v>14</v>
      </c>
      <c r="X60" s="285">
        <f t="shared" si="51"/>
        <v>14</v>
      </c>
      <c r="Y60" s="285">
        <f t="shared" si="51"/>
        <v>14</v>
      </c>
      <c r="Z60" s="285">
        <f t="shared" si="51"/>
        <v>13</v>
      </c>
      <c r="AA60" s="285">
        <f t="shared" si="51"/>
        <v>13</v>
      </c>
      <c r="AB60" s="285">
        <f t="shared" si="51"/>
        <v>12</v>
      </c>
      <c r="AC60" s="285">
        <f t="shared" si="51"/>
        <v>12</v>
      </c>
      <c r="AD60" s="285">
        <f t="shared" si="51"/>
        <v>12</v>
      </c>
      <c r="AE60" s="285">
        <f t="shared" si="51"/>
        <v>12</v>
      </c>
      <c r="AF60" s="285">
        <f t="shared" si="51"/>
        <v>11</v>
      </c>
      <c r="AG60" s="285">
        <f t="shared" si="51"/>
        <v>11</v>
      </c>
      <c r="AH60" s="285">
        <f t="shared" si="51"/>
        <v>11</v>
      </c>
      <c r="AI60" s="285">
        <f t="shared" si="51"/>
        <v>11</v>
      </c>
      <c r="AJ60" s="285">
        <f t="shared" si="51"/>
        <v>10</v>
      </c>
      <c r="AK60" s="285">
        <f t="shared" si="51"/>
        <v>10</v>
      </c>
      <c r="AL60" s="285">
        <f t="shared" si="51"/>
        <v>10</v>
      </c>
      <c r="AM60" s="285">
        <f t="shared" si="51"/>
        <v>10</v>
      </c>
      <c r="AN60" s="285">
        <f t="shared" si="51"/>
        <v>9</v>
      </c>
      <c r="AO60" s="285">
        <f t="shared" si="51"/>
        <v>9</v>
      </c>
      <c r="AP60" s="285">
        <f t="shared" si="51"/>
        <v>9</v>
      </c>
      <c r="AQ60" s="285">
        <f t="shared" si="51"/>
        <v>9</v>
      </c>
      <c r="AR60" s="285">
        <f t="shared" si="51"/>
        <v>9</v>
      </c>
      <c r="AS60" s="285">
        <f t="shared" si="51"/>
        <v>8</v>
      </c>
      <c r="AT60" s="285">
        <f t="shared" si="51"/>
        <v>8</v>
      </c>
      <c r="AU60" s="285">
        <f t="shared" si="51"/>
        <v>8</v>
      </c>
      <c r="AV60" s="285">
        <f t="shared" si="51"/>
        <v>8</v>
      </c>
      <c r="AW60" s="285">
        <f t="shared" si="51"/>
        <v>7</v>
      </c>
      <c r="AX60" s="285">
        <f t="shared" si="51"/>
        <v>7</v>
      </c>
      <c r="AY60" s="285">
        <f t="shared" si="51"/>
        <v>7</v>
      </c>
      <c r="AZ60" s="285">
        <f t="shared" si="51"/>
        <v>6</v>
      </c>
      <c r="BA60" s="285">
        <f t="shared" si="51"/>
        <v>5</v>
      </c>
      <c r="BB60" s="285">
        <f t="shared" si="51"/>
        <v>4</v>
      </c>
      <c r="BC60" s="285">
        <f t="shared" si="51"/>
        <v>4</v>
      </c>
      <c r="BD60" s="285">
        <f t="shared" si="51"/>
        <v>3</v>
      </c>
      <c r="BE60" s="285">
        <f t="shared" si="51"/>
        <v>3</v>
      </c>
      <c r="BF60" s="285">
        <f t="shared" si="51"/>
        <v>3</v>
      </c>
      <c r="BG60" s="285">
        <f t="shared" si="51"/>
        <v>2</v>
      </c>
      <c r="BH60" s="285">
        <f t="shared" si="51"/>
        <v>1</v>
      </c>
      <c r="BI60" s="285">
        <f t="shared" si="51"/>
        <v>1</v>
      </c>
      <c r="BJ60" s="285">
        <f t="shared" si="51"/>
        <v>1</v>
      </c>
      <c r="BK60" s="285">
        <f t="shared" si="51"/>
        <v>1</v>
      </c>
      <c r="BL60" s="285">
        <f t="shared" si="51"/>
        <v>1</v>
      </c>
      <c r="BM60" s="285">
        <f t="shared" si="51"/>
        <v>1</v>
      </c>
    </row>
    <row r="61">
      <c r="A61" s="803">
        <v>17.5</v>
      </c>
      <c r="B61" s="285">
        <f t="shared" ref="B61:BM61" si="52">IF(IF($A61&gt;B$9,ROUNDUP(($A61/B$9)*6,0),ROUNDDOWN(($A61/B$9)*6,0))&gt;20,20,IF(IF($A61&gt;B$9,ROUNDUP(($A61/B$9)*6,0),ROUNDDOWN(($A61/B$9)*6,0))&lt;1,1,IF($A61&gt;B$9,ROUNDUP(($A61/B$9)*6,0),ROUNDDOWN(($A61/B$9)*6,0))))</f>
        <v>20</v>
      </c>
      <c r="C61" s="285">
        <f t="shared" si="52"/>
        <v>20</v>
      </c>
      <c r="D61" s="285">
        <f t="shared" si="52"/>
        <v>20</v>
      </c>
      <c r="E61" s="285">
        <f t="shared" si="52"/>
        <v>20</v>
      </c>
      <c r="F61" s="285">
        <f t="shared" si="52"/>
        <v>20</v>
      </c>
      <c r="G61" s="285">
        <f t="shared" si="52"/>
        <v>20</v>
      </c>
      <c r="H61" s="285">
        <f t="shared" si="52"/>
        <v>20</v>
      </c>
      <c r="I61" s="285">
        <f t="shared" si="52"/>
        <v>20</v>
      </c>
      <c r="J61" s="285">
        <f t="shared" si="52"/>
        <v>20</v>
      </c>
      <c r="K61" s="285">
        <f t="shared" si="52"/>
        <v>20</v>
      </c>
      <c r="L61" s="285">
        <f t="shared" si="52"/>
        <v>20</v>
      </c>
      <c r="M61" s="285">
        <f t="shared" si="52"/>
        <v>19</v>
      </c>
      <c r="N61" s="285">
        <f t="shared" si="52"/>
        <v>19</v>
      </c>
      <c r="O61" s="285">
        <f t="shared" si="52"/>
        <v>19</v>
      </c>
      <c r="P61" s="285">
        <f t="shared" si="52"/>
        <v>18</v>
      </c>
      <c r="Q61" s="285">
        <f t="shared" si="52"/>
        <v>17</v>
      </c>
      <c r="R61" s="285">
        <f t="shared" si="52"/>
        <v>17</v>
      </c>
      <c r="S61" s="285">
        <f t="shared" si="52"/>
        <v>17</v>
      </c>
      <c r="T61" s="285">
        <f t="shared" si="52"/>
        <v>16</v>
      </c>
      <c r="U61" s="285">
        <f t="shared" si="52"/>
        <v>16</v>
      </c>
      <c r="V61" s="285">
        <f t="shared" si="52"/>
        <v>16</v>
      </c>
      <c r="W61" s="285">
        <f t="shared" si="52"/>
        <v>15</v>
      </c>
      <c r="X61" s="285">
        <f t="shared" si="52"/>
        <v>15</v>
      </c>
      <c r="Y61" s="285">
        <f t="shared" si="52"/>
        <v>15</v>
      </c>
      <c r="Z61" s="285">
        <f t="shared" si="52"/>
        <v>14</v>
      </c>
      <c r="AA61" s="285">
        <f t="shared" si="52"/>
        <v>14</v>
      </c>
      <c r="AB61" s="285">
        <f t="shared" si="52"/>
        <v>14</v>
      </c>
      <c r="AC61" s="285">
        <f t="shared" si="52"/>
        <v>13</v>
      </c>
      <c r="AD61" s="285">
        <f t="shared" si="52"/>
        <v>13</v>
      </c>
      <c r="AE61" s="285">
        <f t="shared" si="52"/>
        <v>13</v>
      </c>
      <c r="AF61" s="285">
        <f t="shared" si="52"/>
        <v>12</v>
      </c>
      <c r="AG61" s="285">
        <f t="shared" si="52"/>
        <v>12</v>
      </c>
      <c r="AH61" s="285">
        <f t="shared" si="52"/>
        <v>12</v>
      </c>
      <c r="AI61" s="285">
        <f t="shared" si="52"/>
        <v>12</v>
      </c>
      <c r="AJ61" s="285">
        <f t="shared" si="52"/>
        <v>11</v>
      </c>
      <c r="AK61" s="285">
        <f t="shared" si="52"/>
        <v>11</v>
      </c>
      <c r="AL61" s="285">
        <f t="shared" si="52"/>
        <v>11</v>
      </c>
      <c r="AM61" s="285">
        <f t="shared" si="52"/>
        <v>10</v>
      </c>
      <c r="AN61" s="285">
        <f t="shared" si="52"/>
        <v>10</v>
      </c>
      <c r="AO61" s="285">
        <f t="shared" si="52"/>
        <v>10</v>
      </c>
      <c r="AP61" s="285">
        <f t="shared" si="52"/>
        <v>10</v>
      </c>
      <c r="AQ61" s="285">
        <f t="shared" si="52"/>
        <v>10</v>
      </c>
      <c r="AR61" s="285">
        <f t="shared" si="52"/>
        <v>10</v>
      </c>
      <c r="AS61" s="285">
        <f t="shared" si="52"/>
        <v>9</v>
      </c>
      <c r="AT61" s="285">
        <f t="shared" si="52"/>
        <v>9</v>
      </c>
      <c r="AU61" s="285">
        <f t="shared" si="52"/>
        <v>9</v>
      </c>
      <c r="AV61" s="285">
        <f t="shared" si="52"/>
        <v>8</v>
      </c>
      <c r="AW61" s="285">
        <f t="shared" si="52"/>
        <v>8</v>
      </c>
      <c r="AX61" s="285">
        <f t="shared" si="52"/>
        <v>8</v>
      </c>
      <c r="AY61" s="285">
        <f t="shared" si="52"/>
        <v>7</v>
      </c>
      <c r="AZ61" s="285">
        <f t="shared" si="52"/>
        <v>7</v>
      </c>
      <c r="BA61" s="285">
        <f t="shared" si="52"/>
        <v>6</v>
      </c>
      <c r="BB61" s="285">
        <f t="shared" si="52"/>
        <v>5</v>
      </c>
      <c r="BC61" s="285">
        <f t="shared" si="52"/>
        <v>4</v>
      </c>
      <c r="BD61" s="285">
        <f t="shared" si="52"/>
        <v>4</v>
      </c>
      <c r="BE61" s="285">
        <f t="shared" si="52"/>
        <v>3</v>
      </c>
      <c r="BF61" s="285">
        <f t="shared" si="52"/>
        <v>3</v>
      </c>
      <c r="BG61" s="285">
        <f t="shared" si="52"/>
        <v>2</v>
      </c>
      <c r="BH61" s="285">
        <f t="shared" si="52"/>
        <v>2</v>
      </c>
      <c r="BI61" s="285">
        <f t="shared" si="52"/>
        <v>1</v>
      </c>
      <c r="BJ61" s="285">
        <f t="shared" si="52"/>
        <v>1</v>
      </c>
      <c r="BK61" s="285">
        <f t="shared" si="52"/>
        <v>1</v>
      </c>
      <c r="BL61" s="285">
        <f t="shared" si="52"/>
        <v>1</v>
      </c>
      <c r="BM61" s="285">
        <f t="shared" si="52"/>
        <v>1</v>
      </c>
    </row>
    <row r="62">
      <c r="A62" s="803">
        <v>20.0</v>
      </c>
      <c r="B62" s="285">
        <f t="shared" ref="B62:BM62" si="53">IF(IF($A62&gt;B$9,ROUNDUP(($A62/B$9)*6,0),ROUNDDOWN(($A62/B$9)*6,0))&gt;20,20,IF(IF($A62&gt;B$9,ROUNDUP(($A62/B$9)*6,0),ROUNDDOWN(($A62/B$9)*6,0))&lt;1,1,IF($A62&gt;B$9,ROUNDUP(($A62/B$9)*6,0),ROUNDDOWN(($A62/B$9)*6,0))))</f>
        <v>20</v>
      </c>
      <c r="C62" s="285">
        <f t="shared" si="53"/>
        <v>20</v>
      </c>
      <c r="D62" s="285">
        <f t="shared" si="53"/>
        <v>20</v>
      </c>
      <c r="E62" s="285">
        <f t="shared" si="53"/>
        <v>20</v>
      </c>
      <c r="F62" s="285">
        <f t="shared" si="53"/>
        <v>20</v>
      </c>
      <c r="G62" s="285">
        <f t="shared" si="53"/>
        <v>20</v>
      </c>
      <c r="H62" s="285">
        <f t="shared" si="53"/>
        <v>20</v>
      </c>
      <c r="I62" s="285">
        <f t="shared" si="53"/>
        <v>20</v>
      </c>
      <c r="J62" s="285">
        <f t="shared" si="53"/>
        <v>20</v>
      </c>
      <c r="K62" s="285">
        <f t="shared" si="53"/>
        <v>20</v>
      </c>
      <c r="L62" s="285">
        <f t="shared" si="53"/>
        <v>20</v>
      </c>
      <c r="M62" s="285">
        <f t="shared" si="53"/>
        <v>20</v>
      </c>
      <c r="N62" s="285">
        <f t="shared" si="53"/>
        <v>20</v>
      </c>
      <c r="O62" s="285">
        <f t="shared" si="53"/>
        <v>20</v>
      </c>
      <c r="P62" s="285">
        <f t="shared" si="53"/>
        <v>20</v>
      </c>
      <c r="Q62" s="285">
        <f t="shared" si="53"/>
        <v>20</v>
      </c>
      <c r="R62" s="285">
        <f t="shared" si="53"/>
        <v>20</v>
      </c>
      <c r="S62" s="285">
        <f t="shared" si="53"/>
        <v>19</v>
      </c>
      <c r="T62" s="285">
        <f t="shared" si="53"/>
        <v>19</v>
      </c>
      <c r="U62" s="285">
        <f t="shared" si="53"/>
        <v>18</v>
      </c>
      <c r="V62" s="285">
        <f t="shared" si="53"/>
        <v>18</v>
      </c>
      <c r="W62" s="285">
        <f t="shared" si="53"/>
        <v>18</v>
      </c>
      <c r="X62" s="285">
        <f t="shared" si="53"/>
        <v>17</v>
      </c>
      <c r="Y62" s="285">
        <f t="shared" si="53"/>
        <v>17</v>
      </c>
      <c r="Z62" s="285">
        <f t="shared" si="53"/>
        <v>16</v>
      </c>
      <c r="AA62" s="285">
        <f t="shared" si="53"/>
        <v>16</v>
      </c>
      <c r="AB62" s="285">
        <f t="shared" si="53"/>
        <v>15</v>
      </c>
      <c r="AC62" s="285">
        <f t="shared" si="53"/>
        <v>15</v>
      </c>
      <c r="AD62" s="285">
        <f t="shared" si="53"/>
        <v>15</v>
      </c>
      <c r="AE62" s="285">
        <f t="shared" si="53"/>
        <v>14</v>
      </c>
      <c r="AF62" s="285">
        <f t="shared" si="53"/>
        <v>14</v>
      </c>
      <c r="AG62" s="285">
        <f t="shared" si="53"/>
        <v>14</v>
      </c>
      <c r="AH62" s="285">
        <f t="shared" si="53"/>
        <v>14</v>
      </c>
      <c r="AI62" s="285">
        <f t="shared" si="53"/>
        <v>14</v>
      </c>
      <c r="AJ62" s="285">
        <f t="shared" si="53"/>
        <v>13</v>
      </c>
      <c r="AK62" s="285">
        <f t="shared" si="53"/>
        <v>12</v>
      </c>
      <c r="AL62" s="285">
        <f t="shared" si="53"/>
        <v>12</v>
      </c>
      <c r="AM62" s="285">
        <f t="shared" si="53"/>
        <v>12</v>
      </c>
      <c r="AN62" s="285">
        <f t="shared" si="53"/>
        <v>12</v>
      </c>
      <c r="AO62" s="285">
        <f t="shared" si="53"/>
        <v>11</v>
      </c>
      <c r="AP62" s="285">
        <f t="shared" si="53"/>
        <v>11</v>
      </c>
      <c r="AQ62" s="285">
        <f t="shared" si="53"/>
        <v>11</v>
      </c>
      <c r="AR62" s="285">
        <f t="shared" si="53"/>
        <v>11</v>
      </c>
      <c r="AS62" s="285">
        <f t="shared" si="53"/>
        <v>10</v>
      </c>
      <c r="AT62" s="285">
        <f t="shared" si="53"/>
        <v>10</v>
      </c>
      <c r="AU62" s="285">
        <f t="shared" si="53"/>
        <v>10</v>
      </c>
      <c r="AV62" s="285">
        <f t="shared" si="53"/>
        <v>9</v>
      </c>
      <c r="AW62" s="285">
        <f t="shared" si="53"/>
        <v>9</v>
      </c>
      <c r="AX62" s="285">
        <f t="shared" si="53"/>
        <v>9</v>
      </c>
      <c r="AY62" s="285">
        <f t="shared" si="53"/>
        <v>8</v>
      </c>
      <c r="AZ62" s="285">
        <f t="shared" si="53"/>
        <v>8</v>
      </c>
      <c r="BA62" s="285">
        <f t="shared" si="53"/>
        <v>7</v>
      </c>
      <c r="BB62" s="285">
        <f t="shared" si="53"/>
        <v>6</v>
      </c>
      <c r="BC62" s="285">
        <f t="shared" si="53"/>
        <v>5</v>
      </c>
      <c r="BD62" s="285">
        <f t="shared" si="53"/>
        <v>4</v>
      </c>
      <c r="BE62" s="285">
        <f t="shared" si="53"/>
        <v>4</v>
      </c>
      <c r="BF62" s="285">
        <f t="shared" si="53"/>
        <v>4</v>
      </c>
      <c r="BG62" s="285">
        <f t="shared" si="53"/>
        <v>3</v>
      </c>
      <c r="BH62" s="285">
        <f t="shared" si="53"/>
        <v>2</v>
      </c>
      <c r="BI62" s="285">
        <f t="shared" si="53"/>
        <v>2</v>
      </c>
      <c r="BJ62" s="285">
        <f t="shared" si="53"/>
        <v>1</v>
      </c>
      <c r="BK62" s="285">
        <f t="shared" si="53"/>
        <v>1</v>
      </c>
      <c r="BL62" s="285">
        <f t="shared" si="53"/>
        <v>1</v>
      </c>
      <c r="BM62" s="285">
        <f t="shared" si="53"/>
        <v>1</v>
      </c>
    </row>
    <row r="63">
      <c r="A63" s="803">
        <v>22.5</v>
      </c>
      <c r="B63" s="285">
        <f t="shared" ref="B63:BM63" si="54">IF(IF($A63&gt;B$9,ROUNDUP(($A63/B$9)*6,0),ROUNDDOWN(($A63/B$9)*6,0))&gt;20,20,IF(IF($A63&gt;B$9,ROUNDUP(($A63/B$9)*6,0),ROUNDDOWN(($A63/B$9)*6,0))&lt;1,1,IF($A63&gt;B$9,ROUNDUP(($A63/B$9)*6,0),ROUNDDOWN(($A63/B$9)*6,0))))</f>
        <v>20</v>
      </c>
      <c r="C63" s="285">
        <f t="shared" si="54"/>
        <v>20</v>
      </c>
      <c r="D63" s="285">
        <f t="shared" si="54"/>
        <v>20</v>
      </c>
      <c r="E63" s="285">
        <f t="shared" si="54"/>
        <v>20</v>
      </c>
      <c r="F63" s="285">
        <f t="shared" si="54"/>
        <v>20</v>
      </c>
      <c r="G63" s="285">
        <f t="shared" si="54"/>
        <v>20</v>
      </c>
      <c r="H63" s="285">
        <f t="shared" si="54"/>
        <v>20</v>
      </c>
      <c r="I63" s="285">
        <f t="shared" si="54"/>
        <v>20</v>
      </c>
      <c r="J63" s="285">
        <f t="shared" si="54"/>
        <v>20</v>
      </c>
      <c r="K63" s="285">
        <f t="shared" si="54"/>
        <v>20</v>
      </c>
      <c r="L63" s="285">
        <f t="shared" si="54"/>
        <v>20</v>
      </c>
      <c r="M63" s="285">
        <f t="shared" si="54"/>
        <v>20</v>
      </c>
      <c r="N63" s="285">
        <f t="shared" si="54"/>
        <v>20</v>
      </c>
      <c r="O63" s="285">
        <f t="shared" si="54"/>
        <v>20</v>
      </c>
      <c r="P63" s="285">
        <f t="shared" si="54"/>
        <v>20</v>
      </c>
      <c r="Q63" s="285">
        <f t="shared" si="54"/>
        <v>20</v>
      </c>
      <c r="R63" s="285">
        <f t="shared" si="54"/>
        <v>20</v>
      </c>
      <c r="S63" s="285">
        <f t="shared" si="54"/>
        <v>20</v>
      </c>
      <c r="T63" s="285">
        <f t="shared" si="54"/>
        <v>20</v>
      </c>
      <c r="U63" s="285">
        <f t="shared" si="54"/>
        <v>20</v>
      </c>
      <c r="V63" s="285">
        <f t="shared" si="54"/>
        <v>20</v>
      </c>
      <c r="W63" s="285">
        <f t="shared" si="54"/>
        <v>20</v>
      </c>
      <c r="X63" s="285">
        <f t="shared" si="54"/>
        <v>19</v>
      </c>
      <c r="Y63" s="285">
        <f t="shared" si="54"/>
        <v>19</v>
      </c>
      <c r="Z63" s="285">
        <f t="shared" si="54"/>
        <v>18</v>
      </c>
      <c r="AA63" s="285">
        <f t="shared" si="54"/>
        <v>18</v>
      </c>
      <c r="AB63" s="285">
        <f t="shared" si="54"/>
        <v>17</v>
      </c>
      <c r="AC63" s="285">
        <f t="shared" si="54"/>
        <v>17</v>
      </c>
      <c r="AD63" s="285">
        <f t="shared" si="54"/>
        <v>17</v>
      </c>
      <c r="AE63" s="285">
        <f t="shared" si="54"/>
        <v>16</v>
      </c>
      <c r="AF63" s="285">
        <f t="shared" si="54"/>
        <v>16</v>
      </c>
      <c r="AG63" s="285">
        <f t="shared" si="54"/>
        <v>16</v>
      </c>
      <c r="AH63" s="285">
        <f t="shared" si="54"/>
        <v>15</v>
      </c>
      <c r="AI63" s="285">
        <f t="shared" si="54"/>
        <v>15</v>
      </c>
      <c r="AJ63" s="285">
        <f t="shared" si="54"/>
        <v>15</v>
      </c>
      <c r="AK63" s="285">
        <f t="shared" si="54"/>
        <v>14</v>
      </c>
      <c r="AL63" s="285">
        <f t="shared" si="54"/>
        <v>13</v>
      </c>
      <c r="AM63" s="285">
        <f t="shared" si="54"/>
        <v>13</v>
      </c>
      <c r="AN63" s="285">
        <f t="shared" si="54"/>
        <v>13</v>
      </c>
      <c r="AO63" s="285">
        <f t="shared" si="54"/>
        <v>13</v>
      </c>
      <c r="AP63" s="285">
        <f t="shared" si="54"/>
        <v>13</v>
      </c>
      <c r="AQ63" s="285">
        <f t="shared" si="54"/>
        <v>12</v>
      </c>
      <c r="AR63" s="285">
        <f t="shared" si="54"/>
        <v>12</v>
      </c>
      <c r="AS63" s="285">
        <f t="shared" si="54"/>
        <v>12</v>
      </c>
      <c r="AT63" s="285">
        <f t="shared" si="54"/>
        <v>11</v>
      </c>
      <c r="AU63" s="285">
        <f t="shared" si="54"/>
        <v>11</v>
      </c>
      <c r="AV63" s="285">
        <f t="shared" si="54"/>
        <v>10</v>
      </c>
      <c r="AW63" s="285">
        <f t="shared" si="54"/>
        <v>10</v>
      </c>
      <c r="AX63" s="285">
        <f t="shared" si="54"/>
        <v>10</v>
      </c>
      <c r="AY63" s="285">
        <f t="shared" si="54"/>
        <v>9</v>
      </c>
      <c r="AZ63" s="285">
        <f t="shared" si="54"/>
        <v>9</v>
      </c>
      <c r="BA63" s="285">
        <f t="shared" si="54"/>
        <v>8</v>
      </c>
      <c r="BB63" s="285">
        <f t="shared" si="54"/>
        <v>7</v>
      </c>
      <c r="BC63" s="285">
        <f t="shared" si="54"/>
        <v>6</v>
      </c>
      <c r="BD63" s="285">
        <f t="shared" si="54"/>
        <v>5</v>
      </c>
      <c r="BE63" s="285">
        <f t="shared" si="54"/>
        <v>4</v>
      </c>
      <c r="BF63" s="285">
        <f t="shared" si="54"/>
        <v>4</v>
      </c>
      <c r="BG63" s="285">
        <f t="shared" si="54"/>
        <v>3</v>
      </c>
      <c r="BH63" s="285">
        <f t="shared" si="54"/>
        <v>2</v>
      </c>
      <c r="BI63" s="285">
        <f t="shared" si="54"/>
        <v>2</v>
      </c>
      <c r="BJ63" s="285">
        <f t="shared" si="54"/>
        <v>1</v>
      </c>
      <c r="BK63" s="285">
        <f t="shared" si="54"/>
        <v>1</v>
      </c>
      <c r="BL63" s="285">
        <f t="shared" si="54"/>
        <v>1</v>
      </c>
      <c r="BM63" s="285">
        <f t="shared" si="54"/>
        <v>1</v>
      </c>
    </row>
    <row r="64">
      <c r="A64" s="803">
        <v>25.0</v>
      </c>
      <c r="B64" s="285">
        <f t="shared" ref="B64:BM64" si="55">IF(IF($A64&gt;B$9,ROUNDUP(($A64/B$9)*6,0),ROUNDDOWN(($A64/B$9)*6,0))&gt;20,20,IF(IF($A64&gt;B$9,ROUNDUP(($A64/B$9)*6,0),ROUNDDOWN(($A64/B$9)*6,0))&lt;1,1,IF($A64&gt;B$9,ROUNDUP(($A64/B$9)*6,0),ROUNDDOWN(($A64/B$9)*6,0))))</f>
        <v>20</v>
      </c>
      <c r="C64" s="285">
        <f t="shared" si="55"/>
        <v>20</v>
      </c>
      <c r="D64" s="285">
        <f t="shared" si="55"/>
        <v>20</v>
      </c>
      <c r="E64" s="285">
        <f t="shared" si="55"/>
        <v>20</v>
      </c>
      <c r="F64" s="285">
        <f t="shared" si="55"/>
        <v>20</v>
      </c>
      <c r="G64" s="285">
        <f t="shared" si="55"/>
        <v>20</v>
      </c>
      <c r="H64" s="285">
        <f t="shared" si="55"/>
        <v>20</v>
      </c>
      <c r="I64" s="285">
        <f t="shared" si="55"/>
        <v>20</v>
      </c>
      <c r="J64" s="285">
        <f t="shared" si="55"/>
        <v>20</v>
      </c>
      <c r="K64" s="285">
        <f t="shared" si="55"/>
        <v>20</v>
      </c>
      <c r="L64" s="285">
        <f t="shared" si="55"/>
        <v>20</v>
      </c>
      <c r="M64" s="285">
        <f t="shared" si="55"/>
        <v>20</v>
      </c>
      <c r="N64" s="285">
        <f t="shared" si="55"/>
        <v>20</v>
      </c>
      <c r="O64" s="285">
        <f t="shared" si="55"/>
        <v>20</v>
      </c>
      <c r="P64" s="285">
        <f t="shared" si="55"/>
        <v>20</v>
      </c>
      <c r="Q64" s="285">
        <f t="shared" si="55"/>
        <v>20</v>
      </c>
      <c r="R64" s="285">
        <f t="shared" si="55"/>
        <v>20</v>
      </c>
      <c r="S64" s="285">
        <f t="shared" si="55"/>
        <v>20</v>
      </c>
      <c r="T64" s="285">
        <f t="shared" si="55"/>
        <v>20</v>
      </c>
      <c r="U64" s="285">
        <f t="shared" si="55"/>
        <v>20</v>
      </c>
      <c r="V64" s="285">
        <f t="shared" si="55"/>
        <v>20</v>
      </c>
      <c r="W64" s="285">
        <f t="shared" si="55"/>
        <v>20</v>
      </c>
      <c r="X64" s="285">
        <f t="shared" si="55"/>
        <v>20</v>
      </c>
      <c r="Y64" s="285">
        <f t="shared" si="55"/>
        <v>20</v>
      </c>
      <c r="Z64" s="285">
        <f t="shared" si="55"/>
        <v>20</v>
      </c>
      <c r="AA64" s="285">
        <f t="shared" si="55"/>
        <v>20</v>
      </c>
      <c r="AB64" s="285">
        <f t="shared" si="55"/>
        <v>19</v>
      </c>
      <c r="AC64" s="285">
        <f t="shared" si="55"/>
        <v>19</v>
      </c>
      <c r="AD64" s="285">
        <f t="shared" si="55"/>
        <v>18</v>
      </c>
      <c r="AE64" s="285">
        <f t="shared" si="55"/>
        <v>18</v>
      </c>
      <c r="AF64" s="285">
        <f t="shared" si="55"/>
        <v>18</v>
      </c>
      <c r="AG64" s="285">
        <f t="shared" si="55"/>
        <v>18</v>
      </c>
      <c r="AH64" s="285">
        <f t="shared" si="55"/>
        <v>17</v>
      </c>
      <c r="AI64" s="285">
        <f t="shared" si="55"/>
        <v>17</v>
      </c>
      <c r="AJ64" s="285">
        <f t="shared" si="55"/>
        <v>16</v>
      </c>
      <c r="AK64" s="285">
        <f t="shared" si="55"/>
        <v>15</v>
      </c>
      <c r="AL64" s="285">
        <f t="shared" si="55"/>
        <v>15</v>
      </c>
      <c r="AM64" s="285">
        <f t="shared" si="55"/>
        <v>15</v>
      </c>
      <c r="AN64" s="285">
        <f t="shared" si="55"/>
        <v>14</v>
      </c>
      <c r="AO64" s="285">
        <f t="shared" si="55"/>
        <v>14</v>
      </c>
      <c r="AP64" s="285">
        <f t="shared" si="55"/>
        <v>14</v>
      </c>
      <c r="AQ64" s="285">
        <f t="shared" si="55"/>
        <v>14</v>
      </c>
      <c r="AR64" s="285">
        <f t="shared" si="55"/>
        <v>13</v>
      </c>
      <c r="AS64" s="285">
        <f t="shared" si="55"/>
        <v>13</v>
      </c>
      <c r="AT64" s="285">
        <f t="shared" si="55"/>
        <v>12</v>
      </c>
      <c r="AU64" s="285">
        <f t="shared" si="55"/>
        <v>12</v>
      </c>
      <c r="AV64" s="285">
        <f t="shared" si="55"/>
        <v>12</v>
      </c>
      <c r="AW64" s="285">
        <f t="shared" si="55"/>
        <v>11</v>
      </c>
      <c r="AX64" s="285">
        <f t="shared" si="55"/>
        <v>11</v>
      </c>
      <c r="AY64" s="285">
        <f t="shared" si="55"/>
        <v>10</v>
      </c>
      <c r="AZ64" s="285">
        <f t="shared" si="55"/>
        <v>10</v>
      </c>
      <c r="BA64" s="285">
        <f t="shared" si="55"/>
        <v>9</v>
      </c>
      <c r="BB64" s="285">
        <f t="shared" si="55"/>
        <v>8</v>
      </c>
      <c r="BC64" s="285">
        <f t="shared" si="55"/>
        <v>7</v>
      </c>
      <c r="BD64" s="285">
        <f t="shared" si="55"/>
        <v>6</v>
      </c>
      <c r="BE64" s="285">
        <f t="shared" si="55"/>
        <v>5</v>
      </c>
      <c r="BF64" s="285">
        <f t="shared" si="55"/>
        <v>5</v>
      </c>
      <c r="BG64" s="285">
        <f t="shared" si="55"/>
        <v>3</v>
      </c>
      <c r="BH64" s="285">
        <f t="shared" si="55"/>
        <v>3</v>
      </c>
      <c r="BI64" s="285">
        <f t="shared" si="55"/>
        <v>2</v>
      </c>
      <c r="BJ64" s="285">
        <f t="shared" si="55"/>
        <v>2</v>
      </c>
      <c r="BK64" s="285">
        <f t="shared" si="55"/>
        <v>1</v>
      </c>
      <c r="BL64" s="285">
        <f t="shared" si="55"/>
        <v>1</v>
      </c>
      <c r="BM64" s="285">
        <f t="shared" si="55"/>
        <v>1</v>
      </c>
    </row>
    <row r="65">
      <c r="A65" s="803">
        <v>27.5</v>
      </c>
      <c r="B65" s="285">
        <f t="shared" ref="B65:BM65" si="56">IF(IF($A65&gt;B$9,ROUNDUP(($A65/B$9)*6,0),ROUNDDOWN(($A65/B$9)*6,0))&gt;20,20,IF(IF($A65&gt;B$9,ROUNDUP(($A65/B$9)*6,0),ROUNDDOWN(($A65/B$9)*6,0))&lt;1,1,IF($A65&gt;B$9,ROUNDUP(($A65/B$9)*6,0),ROUNDDOWN(($A65/B$9)*6,0))))</f>
        <v>20</v>
      </c>
      <c r="C65" s="285">
        <f t="shared" si="56"/>
        <v>20</v>
      </c>
      <c r="D65" s="285">
        <f t="shared" si="56"/>
        <v>20</v>
      </c>
      <c r="E65" s="285">
        <f t="shared" si="56"/>
        <v>20</v>
      </c>
      <c r="F65" s="285">
        <f t="shared" si="56"/>
        <v>20</v>
      </c>
      <c r="G65" s="285">
        <f t="shared" si="56"/>
        <v>20</v>
      </c>
      <c r="H65" s="285">
        <f t="shared" si="56"/>
        <v>20</v>
      </c>
      <c r="I65" s="285">
        <f t="shared" si="56"/>
        <v>20</v>
      </c>
      <c r="J65" s="285">
        <f t="shared" si="56"/>
        <v>20</v>
      </c>
      <c r="K65" s="285">
        <f t="shared" si="56"/>
        <v>20</v>
      </c>
      <c r="L65" s="285">
        <f t="shared" si="56"/>
        <v>20</v>
      </c>
      <c r="M65" s="285">
        <f t="shared" si="56"/>
        <v>20</v>
      </c>
      <c r="N65" s="285">
        <f t="shared" si="56"/>
        <v>20</v>
      </c>
      <c r="O65" s="285">
        <f t="shared" si="56"/>
        <v>20</v>
      </c>
      <c r="P65" s="285">
        <f t="shared" si="56"/>
        <v>20</v>
      </c>
      <c r="Q65" s="285">
        <f t="shared" si="56"/>
        <v>20</v>
      </c>
      <c r="R65" s="285">
        <f t="shared" si="56"/>
        <v>20</v>
      </c>
      <c r="S65" s="285">
        <f t="shared" si="56"/>
        <v>20</v>
      </c>
      <c r="T65" s="285">
        <f t="shared" si="56"/>
        <v>20</v>
      </c>
      <c r="U65" s="285">
        <f t="shared" si="56"/>
        <v>20</v>
      </c>
      <c r="V65" s="285">
        <f t="shared" si="56"/>
        <v>20</v>
      </c>
      <c r="W65" s="285">
        <f t="shared" si="56"/>
        <v>20</v>
      </c>
      <c r="X65" s="285">
        <f t="shared" si="56"/>
        <v>20</v>
      </c>
      <c r="Y65" s="285">
        <f t="shared" si="56"/>
        <v>20</v>
      </c>
      <c r="Z65" s="285">
        <f t="shared" si="56"/>
        <v>20</v>
      </c>
      <c r="AA65" s="285">
        <f t="shared" si="56"/>
        <v>20</v>
      </c>
      <c r="AB65" s="285">
        <f t="shared" si="56"/>
        <v>20</v>
      </c>
      <c r="AC65" s="285">
        <f t="shared" si="56"/>
        <v>20</v>
      </c>
      <c r="AD65" s="285">
        <f t="shared" si="56"/>
        <v>20</v>
      </c>
      <c r="AE65" s="285">
        <f t="shared" si="56"/>
        <v>19</v>
      </c>
      <c r="AF65" s="285">
        <f t="shared" si="56"/>
        <v>19</v>
      </c>
      <c r="AG65" s="285">
        <f t="shared" si="56"/>
        <v>19</v>
      </c>
      <c r="AH65" s="285">
        <f t="shared" si="56"/>
        <v>19</v>
      </c>
      <c r="AI65" s="285">
        <f t="shared" si="56"/>
        <v>18</v>
      </c>
      <c r="AJ65" s="285">
        <f t="shared" si="56"/>
        <v>18</v>
      </c>
      <c r="AK65" s="285">
        <f t="shared" si="56"/>
        <v>17</v>
      </c>
      <c r="AL65" s="285">
        <f t="shared" si="56"/>
        <v>16</v>
      </c>
      <c r="AM65" s="285">
        <f t="shared" si="56"/>
        <v>16</v>
      </c>
      <c r="AN65" s="285">
        <f t="shared" si="56"/>
        <v>16</v>
      </c>
      <c r="AO65" s="285">
        <f t="shared" si="56"/>
        <v>15</v>
      </c>
      <c r="AP65" s="285">
        <f t="shared" si="56"/>
        <v>15</v>
      </c>
      <c r="AQ65" s="285">
        <f t="shared" si="56"/>
        <v>15</v>
      </c>
      <c r="AR65" s="285">
        <f t="shared" si="56"/>
        <v>15</v>
      </c>
      <c r="AS65" s="285">
        <f t="shared" si="56"/>
        <v>14</v>
      </c>
      <c r="AT65" s="285">
        <f t="shared" si="56"/>
        <v>14</v>
      </c>
      <c r="AU65" s="285">
        <f t="shared" si="56"/>
        <v>13</v>
      </c>
      <c r="AV65" s="285">
        <f t="shared" si="56"/>
        <v>13</v>
      </c>
      <c r="AW65" s="285">
        <f t="shared" si="56"/>
        <v>12</v>
      </c>
      <c r="AX65" s="285">
        <f t="shared" si="56"/>
        <v>12</v>
      </c>
      <c r="AY65" s="285">
        <f t="shared" si="56"/>
        <v>11</v>
      </c>
      <c r="AZ65" s="285">
        <f t="shared" si="56"/>
        <v>11</v>
      </c>
      <c r="BA65" s="285">
        <f t="shared" si="56"/>
        <v>10</v>
      </c>
      <c r="BB65" s="285">
        <f t="shared" si="56"/>
        <v>9</v>
      </c>
      <c r="BC65" s="285">
        <f t="shared" si="56"/>
        <v>8</v>
      </c>
      <c r="BD65" s="285">
        <f t="shared" si="56"/>
        <v>7</v>
      </c>
      <c r="BE65" s="285">
        <f t="shared" si="56"/>
        <v>6</v>
      </c>
      <c r="BF65" s="285">
        <f t="shared" si="56"/>
        <v>5</v>
      </c>
      <c r="BG65" s="285">
        <f t="shared" si="56"/>
        <v>4</v>
      </c>
      <c r="BH65" s="285">
        <f t="shared" si="56"/>
        <v>3</v>
      </c>
      <c r="BI65" s="285">
        <f t="shared" si="56"/>
        <v>2</v>
      </c>
      <c r="BJ65" s="285">
        <f t="shared" si="56"/>
        <v>2</v>
      </c>
      <c r="BK65" s="285">
        <f t="shared" si="56"/>
        <v>2</v>
      </c>
      <c r="BL65" s="285">
        <f t="shared" si="56"/>
        <v>1</v>
      </c>
      <c r="BM65" s="285">
        <f t="shared" si="56"/>
        <v>1</v>
      </c>
    </row>
    <row r="66">
      <c r="A66" s="803">
        <v>30.0</v>
      </c>
      <c r="B66" s="285">
        <f t="shared" ref="B66:BM66" si="57">IF(IF($A66&gt;B$9,ROUNDUP(($A66/B$9)*6,0),ROUNDDOWN(($A66/B$9)*6,0))&gt;20,20,IF(IF($A66&gt;B$9,ROUNDUP(($A66/B$9)*6,0),ROUNDDOWN(($A66/B$9)*6,0))&lt;1,1,IF($A66&gt;B$9,ROUNDUP(($A66/B$9)*6,0),ROUNDDOWN(($A66/B$9)*6,0))))</f>
        <v>20</v>
      </c>
      <c r="C66" s="285">
        <f t="shared" si="57"/>
        <v>20</v>
      </c>
      <c r="D66" s="285">
        <f t="shared" si="57"/>
        <v>20</v>
      </c>
      <c r="E66" s="285">
        <f t="shared" si="57"/>
        <v>20</v>
      </c>
      <c r="F66" s="285">
        <f t="shared" si="57"/>
        <v>20</v>
      </c>
      <c r="G66" s="285">
        <f t="shared" si="57"/>
        <v>20</v>
      </c>
      <c r="H66" s="285">
        <f t="shared" si="57"/>
        <v>20</v>
      </c>
      <c r="I66" s="285">
        <f t="shared" si="57"/>
        <v>20</v>
      </c>
      <c r="J66" s="285">
        <f t="shared" si="57"/>
        <v>20</v>
      </c>
      <c r="K66" s="285">
        <f t="shared" si="57"/>
        <v>20</v>
      </c>
      <c r="L66" s="285">
        <f t="shared" si="57"/>
        <v>20</v>
      </c>
      <c r="M66" s="285">
        <f t="shared" si="57"/>
        <v>20</v>
      </c>
      <c r="N66" s="285">
        <f t="shared" si="57"/>
        <v>20</v>
      </c>
      <c r="O66" s="285">
        <f t="shared" si="57"/>
        <v>20</v>
      </c>
      <c r="P66" s="285">
        <f t="shared" si="57"/>
        <v>20</v>
      </c>
      <c r="Q66" s="285">
        <f t="shared" si="57"/>
        <v>20</v>
      </c>
      <c r="R66" s="285">
        <f t="shared" si="57"/>
        <v>20</v>
      </c>
      <c r="S66" s="285">
        <f t="shared" si="57"/>
        <v>20</v>
      </c>
      <c r="T66" s="285">
        <f t="shared" si="57"/>
        <v>20</v>
      </c>
      <c r="U66" s="285">
        <f t="shared" si="57"/>
        <v>20</v>
      </c>
      <c r="V66" s="285">
        <f t="shared" si="57"/>
        <v>20</v>
      </c>
      <c r="W66" s="285">
        <f t="shared" si="57"/>
        <v>20</v>
      </c>
      <c r="X66" s="285">
        <f t="shared" si="57"/>
        <v>20</v>
      </c>
      <c r="Y66" s="285">
        <f t="shared" si="57"/>
        <v>20</v>
      </c>
      <c r="Z66" s="285">
        <f t="shared" si="57"/>
        <v>20</v>
      </c>
      <c r="AA66" s="285">
        <f t="shared" si="57"/>
        <v>20</v>
      </c>
      <c r="AB66" s="285">
        <f t="shared" si="57"/>
        <v>20</v>
      </c>
      <c r="AC66" s="285">
        <f t="shared" si="57"/>
        <v>20</v>
      </c>
      <c r="AD66" s="285">
        <f t="shared" si="57"/>
        <v>20</v>
      </c>
      <c r="AE66" s="285">
        <f t="shared" si="57"/>
        <v>20</v>
      </c>
      <c r="AF66" s="285">
        <f t="shared" si="57"/>
        <v>20</v>
      </c>
      <c r="AG66" s="285">
        <f t="shared" si="57"/>
        <v>20</v>
      </c>
      <c r="AH66" s="285">
        <f t="shared" si="57"/>
        <v>20</v>
      </c>
      <c r="AI66" s="285">
        <f t="shared" si="57"/>
        <v>20</v>
      </c>
      <c r="AJ66" s="285">
        <f t="shared" si="57"/>
        <v>19</v>
      </c>
      <c r="AK66" s="285">
        <f t="shared" si="57"/>
        <v>18</v>
      </c>
      <c r="AL66" s="285">
        <f t="shared" si="57"/>
        <v>18</v>
      </c>
      <c r="AM66" s="285">
        <f t="shared" si="57"/>
        <v>18</v>
      </c>
      <c r="AN66" s="285">
        <f t="shared" si="57"/>
        <v>17</v>
      </c>
      <c r="AO66" s="285">
        <f t="shared" si="57"/>
        <v>17</v>
      </c>
      <c r="AP66" s="285">
        <f t="shared" si="57"/>
        <v>17</v>
      </c>
      <c r="AQ66" s="285">
        <f t="shared" si="57"/>
        <v>16</v>
      </c>
      <c r="AR66" s="285">
        <f t="shared" si="57"/>
        <v>16</v>
      </c>
      <c r="AS66" s="285">
        <f t="shared" si="57"/>
        <v>15</v>
      </c>
      <c r="AT66" s="285">
        <f t="shared" si="57"/>
        <v>15</v>
      </c>
      <c r="AU66" s="285">
        <f t="shared" si="57"/>
        <v>14</v>
      </c>
      <c r="AV66" s="285">
        <f t="shared" si="57"/>
        <v>14</v>
      </c>
      <c r="AW66" s="285">
        <f t="shared" si="57"/>
        <v>13</v>
      </c>
      <c r="AX66" s="285">
        <f t="shared" si="57"/>
        <v>13</v>
      </c>
      <c r="AY66" s="285">
        <f t="shared" si="57"/>
        <v>12</v>
      </c>
      <c r="AZ66" s="285">
        <f t="shared" si="57"/>
        <v>12</v>
      </c>
      <c r="BA66" s="285">
        <f t="shared" si="57"/>
        <v>11</v>
      </c>
      <c r="BB66" s="285">
        <f t="shared" si="57"/>
        <v>9</v>
      </c>
      <c r="BC66" s="285">
        <f t="shared" si="57"/>
        <v>8</v>
      </c>
      <c r="BD66" s="285">
        <f t="shared" si="57"/>
        <v>8</v>
      </c>
      <c r="BE66" s="285">
        <f t="shared" si="57"/>
        <v>7</v>
      </c>
      <c r="BF66" s="285">
        <f t="shared" si="57"/>
        <v>6</v>
      </c>
      <c r="BG66" s="285">
        <f t="shared" si="57"/>
        <v>4</v>
      </c>
      <c r="BH66" s="285">
        <f t="shared" si="57"/>
        <v>3</v>
      </c>
      <c r="BI66" s="285">
        <f t="shared" si="57"/>
        <v>3</v>
      </c>
      <c r="BJ66" s="285">
        <f t="shared" si="57"/>
        <v>2</v>
      </c>
      <c r="BK66" s="285">
        <f t="shared" si="57"/>
        <v>2</v>
      </c>
      <c r="BL66" s="285">
        <f t="shared" si="57"/>
        <v>2</v>
      </c>
      <c r="BM66" s="285">
        <f t="shared" si="57"/>
        <v>1</v>
      </c>
    </row>
  </sheetData>
  <conditionalFormatting sqref="B10:BM66">
    <cfRule type="colorScale" priority="1">
      <colorScale>
        <cfvo type="formula" val="1"/>
        <cfvo type="formula" val="6"/>
        <cfvo type="formula" val="12"/>
        <color rgb="FF3D85C6"/>
        <color rgb="FFFFE6A1"/>
        <color rgb="FFE06666"/>
      </colorScale>
    </cfRule>
  </conditionalFormatting>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20" width="18.88"/>
  </cols>
  <sheetData>
    <row r="2">
      <c r="B2" s="8" t="s">
        <v>2501</v>
      </c>
    </row>
    <row r="4">
      <c r="B4" s="3" t="s">
        <v>2502</v>
      </c>
      <c r="C4" s="3" t="s">
        <v>2503</v>
      </c>
      <c r="D4" s="3"/>
      <c r="E4" s="3"/>
      <c r="F4" s="3"/>
      <c r="G4" s="3"/>
      <c r="H4" s="3"/>
      <c r="I4" s="3"/>
    </row>
    <row r="5">
      <c r="B5" s="48" t="s">
        <v>2215</v>
      </c>
      <c r="C5" s="8" t="s">
        <v>2504</v>
      </c>
      <c r="D5" s="8" t="s">
        <v>2505</v>
      </c>
      <c r="E5" s="175" t="s">
        <v>2506</v>
      </c>
    </row>
    <row r="6">
      <c r="B6" s="48" t="s">
        <v>2231</v>
      </c>
      <c r="C6" s="8" t="s">
        <v>2507</v>
      </c>
      <c r="D6" s="71" t="s">
        <v>2508</v>
      </c>
      <c r="E6" s="804" t="s">
        <v>2509</v>
      </c>
    </row>
    <row r="7">
      <c r="B7" s="71" t="s">
        <v>2189</v>
      </c>
      <c r="C7" s="71" t="s">
        <v>2510</v>
      </c>
      <c r="D7" s="71" t="s">
        <v>2511</v>
      </c>
    </row>
    <row r="8">
      <c r="B8" s="48" t="s">
        <v>2228</v>
      </c>
      <c r="C8" s="71" t="s">
        <v>2511</v>
      </c>
      <c r="D8" s="8" t="s">
        <v>2512</v>
      </c>
      <c r="E8" s="8" t="s">
        <v>2513</v>
      </c>
    </row>
    <row r="9">
      <c r="B9" s="48" t="s">
        <v>2219</v>
      </c>
      <c r="C9" s="71" t="s">
        <v>2510</v>
      </c>
      <c r="D9" s="71" t="s">
        <v>2511</v>
      </c>
      <c r="E9" s="8" t="s">
        <v>2514</v>
      </c>
      <c r="F9" s="8" t="s">
        <v>2512</v>
      </c>
    </row>
    <row r="10">
      <c r="B10" s="48" t="s">
        <v>2217</v>
      </c>
      <c r="C10" s="8" t="s">
        <v>2515</v>
      </c>
      <c r="D10" s="71" t="s">
        <v>2510</v>
      </c>
      <c r="E10" s="175" t="s">
        <v>2516</v>
      </c>
      <c r="F10" s="8" t="s">
        <v>2517</v>
      </c>
      <c r="G10" s="175" t="s">
        <v>2518</v>
      </c>
    </row>
    <row r="11">
      <c r="B11" s="48" t="s">
        <v>2224</v>
      </c>
      <c r="C11" s="8" t="s">
        <v>2519</v>
      </c>
      <c r="D11" s="8" t="s">
        <v>2514</v>
      </c>
      <c r="E11" s="71" t="s">
        <v>2511</v>
      </c>
      <c r="F11" s="8" t="s">
        <v>2513</v>
      </c>
      <c r="G11" s="805" t="s">
        <v>2520</v>
      </c>
    </row>
    <row r="12">
      <c r="B12" s="98" t="s">
        <v>2521</v>
      </c>
      <c r="C12" s="8" t="s">
        <v>2515</v>
      </c>
      <c r="D12" s="8" t="s">
        <v>2519</v>
      </c>
      <c r="E12" s="175" t="s">
        <v>2516</v>
      </c>
      <c r="F12" s="805" t="s">
        <v>2520</v>
      </c>
      <c r="G12" s="8" t="s">
        <v>2513</v>
      </c>
      <c r="H12" s="8" t="s">
        <v>2517</v>
      </c>
      <c r="I12" s="175" t="s">
        <v>2518</v>
      </c>
    </row>
    <row r="13">
      <c r="B13" s="99" t="s">
        <v>2522</v>
      </c>
      <c r="C13" s="71" t="s">
        <v>2510</v>
      </c>
      <c r="D13" s="71" t="s">
        <v>2511</v>
      </c>
      <c r="E13" s="8" t="s">
        <v>2514</v>
      </c>
      <c r="F13" s="8" t="s">
        <v>2512</v>
      </c>
    </row>
    <row r="14">
      <c r="B14" s="806" t="s">
        <v>2523</v>
      </c>
      <c r="C14" s="8" t="s">
        <v>2524</v>
      </c>
      <c r="D14" s="8" t="s">
        <v>2519</v>
      </c>
      <c r="E14" s="804" t="s">
        <v>2525</v>
      </c>
      <c r="F14" s="8" t="s">
        <v>2512</v>
      </c>
      <c r="G14" s="805" t="s">
        <v>2520</v>
      </c>
      <c r="H14" s="804" t="s">
        <v>2526</v>
      </c>
    </row>
    <row r="15">
      <c r="B15" s="807" t="s">
        <v>2527</v>
      </c>
      <c r="C15" s="8" t="s">
        <v>2524</v>
      </c>
      <c r="D15" s="71" t="s">
        <v>2510</v>
      </c>
      <c r="E15" s="804" t="s">
        <v>2525</v>
      </c>
      <c r="F15" s="8" t="s">
        <v>2512</v>
      </c>
      <c r="G15" s="804" t="s">
        <v>2526</v>
      </c>
    </row>
    <row r="16">
      <c r="B16" s="808" t="s">
        <v>2528</v>
      </c>
      <c r="C16" s="8" t="s">
        <v>2519</v>
      </c>
      <c r="D16" s="8" t="s">
        <v>2514</v>
      </c>
      <c r="E16" s="71" t="s">
        <v>2511</v>
      </c>
      <c r="F16" s="8" t="s">
        <v>2513</v>
      </c>
      <c r="G16" s="805" t="s">
        <v>2520</v>
      </c>
    </row>
    <row r="17">
      <c r="B17" s="95" t="s">
        <v>2529</v>
      </c>
      <c r="C17" s="8" t="s">
        <v>2524</v>
      </c>
      <c r="D17" s="71" t="s">
        <v>2510</v>
      </c>
      <c r="E17" s="804" t="s">
        <v>2525</v>
      </c>
      <c r="F17" s="8" t="s">
        <v>2512</v>
      </c>
      <c r="G17" s="804" t="s">
        <v>2526</v>
      </c>
    </row>
    <row r="18">
      <c r="B18" s="809" t="s">
        <v>2530</v>
      </c>
      <c r="C18" s="8" t="s">
        <v>2519</v>
      </c>
      <c r="D18" s="71" t="s">
        <v>2511</v>
      </c>
      <c r="E18" s="8" t="s">
        <v>2513</v>
      </c>
      <c r="F18" s="8" t="s">
        <v>2531</v>
      </c>
    </row>
    <row r="19">
      <c r="B19" s="175" t="s">
        <v>2532</v>
      </c>
      <c r="C19" s="8" t="s">
        <v>2524</v>
      </c>
      <c r="D19" s="8" t="s">
        <v>2519</v>
      </c>
      <c r="E19" s="804" t="s">
        <v>2525</v>
      </c>
      <c r="F19" s="8" t="s">
        <v>2512</v>
      </c>
      <c r="G19" s="805" t="s">
        <v>2520</v>
      </c>
      <c r="H19" s="804" t="s">
        <v>2526</v>
      </c>
    </row>
    <row r="20">
      <c r="B20" s="810" t="s">
        <v>2533</v>
      </c>
      <c r="C20" s="71" t="s">
        <v>2510</v>
      </c>
      <c r="D20" s="71" t="s">
        <v>2511</v>
      </c>
      <c r="E20" s="8" t="s">
        <v>2514</v>
      </c>
      <c r="F20" s="8" t="s">
        <v>2512</v>
      </c>
    </row>
    <row r="22">
      <c r="B22" s="8" t="s">
        <v>2534</v>
      </c>
    </row>
    <row r="23">
      <c r="B23" s="47" t="s">
        <v>2183</v>
      </c>
      <c r="C23" s="175" t="s">
        <v>2535</v>
      </c>
      <c r="D23" s="8" t="s">
        <v>2536</v>
      </c>
      <c r="E23" s="8" t="s">
        <v>2537</v>
      </c>
    </row>
    <row r="24">
      <c r="B24" s="285" t="s">
        <v>2538</v>
      </c>
      <c r="C24" s="804" t="s">
        <v>2539</v>
      </c>
      <c r="D24" s="805" t="s">
        <v>2540</v>
      </c>
      <c r="E24" s="8" t="s">
        <v>2541</v>
      </c>
      <c r="F24" s="8" t="s">
        <v>2542</v>
      </c>
    </row>
    <row r="25">
      <c r="B25" s="285" t="s">
        <v>2227</v>
      </c>
      <c r="C25" s="8" t="s">
        <v>2543</v>
      </c>
    </row>
    <row r="26">
      <c r="B26" s="285" t="s">
        <v>2197</v>
      </c>
      <c r="C26" s="804" t="s">
        <v>2539</v>
      </c>
      <c r="D26" s="8" t="s">
        <v>2544</v>
      </c>
      <c r="E26" s="8" t="s">
        <v>2541</v>
      </c>
      <c r="F26" s="805" t="s">
        <v>2540</v>
      </c>
      <c r="G26" s="8" t="s">
        <v>2542</v>
      </c>
    </row>
    <row r="27">
      <c r="B27" s="285" t="s">
        <v>2545</v>
      </c>
      <c r="C27" s="804" t="s">
        <v>2539</v>
      </c>
      <c r="D27" s="8" t="s">
        <v>2544</v>
      </c>
      <c r="E27" s="8" t="s">
        <v>2541</v>
      </c>
      <c r="F27" s="805" t="s">
        <v>2540</v>
      </c>
      <c r="G27" s="8" t="s">
        <v>2542</v>
      </c>
    </row>
    <row r="28">
      <c r="B28" s="285" t="s">
        <v>2181</v>
      </c>
      <c r="C28" s="175" t="s">
        <v>2535</v>
      </c>
      <c r="D28" s="8" t="s">
        <v>2536</v>
      </c>
      <c r="E28" s="8" t="s">
        <v>2537</v>
      </c>
      <c r="F28" s="71"/>
    </row>
    <row r="29">
      <c r="B29" s="98" t="s">
        <v>2546</v>
      </c>
      <c r="C29" s="8" t="s">
        <v>2536</v>
      </c>
      <c r="D29" s="175" t="s">
        <v>2535</v>
      </c>
      <c r="E29" s="8" t="s">
        <v>2537</v>
      </c>
      <c r="F29" s="805" t="s">
        <v>2540</v>
      </c>
    </row>
    <row r="30">
      <c r="B30" s="99" t="s">
        <v>2547</v>
      </c>
      <c r="C30" s="71" t="s">
        <v>2543</v>
      </c>
      <c r="D30" s="8" t="s">
        <v>2548</v>
      </c>
    </row>
    <row r="31">
      <c r="B31" s="806" t="s">
        <v>2549</v>
      </c>
      <c r="C31" s="804" t="s">
        <v>2539</v>
      </c>
      <c r="D31" s="8" t="s">
        <v>2544</v>
      </c>
      <c r="E31" s="8" t="s">
        <v>2541</v>
      </c>
      <c r="F31" s="805" t="s">
        <v>2540</v>
      </c>
      <c r="G31" s="8" t="s">
        <v>2542</v>
      </c>
    </row>
    <row r="32">
      <c r="B32" s="79" t="s">
        <v>2550</v>
      </c>
      <c r="C32" s="804" t="s">
        <v>2539</v>
      </c>
      <c r="D32" s="8" t="s">
        <v>2544</v>
      </c>
      <c r="E32" s="8" t="s">
        <v>2541</v>
      </c>
      <c r="F32" s="8" t="s">
        <v>2542</v>
      </c>
      <c r="H32" s="71"/>
      <c r="I32" s="71"/>
    </row>
    <row r="33">
      <c r="B33" s="808" t="s">
        <v>2551</v>
      </c>
      <c r="C33" s="8" t="s">
        <v>2543</v>
      </c>
      <c r="D33" s="8" t="s">
        <v>2548</v>
      </c>
      <c r="E33" s="805" t="s">
        <v>2540</v>
      </c>
      <c r="F33" s="8" t="s">
        <v>2552</v>
      </c>
      <c r="G33" s="71"/>
      <c r="I33" s="71"/>
      <c r="J33" s="71"/>
    </row>
    <row r="34">
      <c r="B34" s="95" t="s">
        <v>2553</v>
      </c>
      <c r="C34" s="804" t="s">
        <v>2539</v>
      </c>
      <c r="D34" s="8" t="s">
        <v>2544</v>
      </c>
      <c r="E34" s="8" t="s">
        <v>2541</v>
      </c>
      <c r="F34" s="8" t="s">
        <v>2542</v>
      </c>
      <c r="H34" s="71"/>
      <c r="I34" s="71"/>
    </row>
    <row r="35">
      <c r="B35" s="809" t="s">
        <v>2554</v>
      </c>
      <c r="C35" s="8" t="s">
        <v>2543</v>
      </c>
    </row>
    <row r="36">
      <c r="B36" s="175" t="s">
        <v>2555</v>
      </c>
      <c r="C36" s="804" t="s">
        <v>2539</v>
      </c>
      <c r="D36" s="8" t="s">
        <v>2544</v>
      </c>
      <c r="E36" s="8" t="s">
        <v>2541</v>
      </c>
      <c r="F36" s="805" t="s">
        <v>2540</v>
      </c>
      <c r="G36" s="8" t="s">
        <v>2542</v>
      </c>
    </row>
    <row r="37">
      <c r="B37" s="810" t="s">
        <v>2556</v>
      </c>
      <c r="C37" s="71" t="s">
        <v>2543</v>
      </c>
      <c r="D37" s="8" t="s">
        <v>2548</v>
      </c>
    </row>
    <row r="39">
      <c r="B39" s="8" t="s">
        <v>2557</v>
      </c>
      <c r="C39" s="8"/>
    </row>
    <row r="40">
      <c r="B40" s="285" t="s">
        <v>2164</v>
      </c>
      <c r="C40" s="8" t="s">
        <v>2558</v>
      </c>
      <c r="D40" s="8" t="s">
        <v>2559</v>
      </c>
      <c r="E40" s="8" t="s">
        <v>2560</v>
      </c>
    </row>
    <row r="41">
      <c r="B41" s="285" t="s">
        <v>2561</v>
      </c>
    </row>
    <row r="42">
      <c r="B42" s="285" t="s">
        <v>2562</v>
      </c>
      <c r="C42" s="8" t="s">
        <v>2563</v>
      </c>
    </row>
    <row r="43">
      <c r="B43" s="285" t="s">
        <v>2195</v>
      </c>
    </row>
    <row r="44">
      <c r="B44" s="285" t="s">
        <v>2564</v>
      </c>
      <c r="C44" s="8" t="s">
        <v>2558</v>
      </c>
      <c r="D44" s="8" t="s">
        <v>2560</v>
      </c>
    </row>
    <row r="45">
      <c r="B45" s="811" t="s">
        <v>2221</v>
      </c>
      <c r="C45" s="8" t="s">
        <v>2561</v>
      </c>
    </row>
    <row r="46">
      <c r="B46" s="811"/>
      <c r="C46" s="8"/>
    </row>
    <row r="47">
      <c r="B47" s="8" t="s">
        <v>2565</v>
      </c>
      <c r="C47" s="8"/>
    </row>
    <row r="48">
      <c r="B48" s="811" t="s">
        <v>688</v>
      </c>
    </row>
    <row r="49">
      <c r="B49" s="811" t="s">
        <v>2158</v>
      </c>
    </row>
    <row r="50">
      <c r="B50" s="8" t="s">
        <v>2566</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3" width="3.25"/>
    <col customWidth="1" min="4" max="5" width="4.5"/>
    <col customWidth="1" min="6" max="6" width="16.5"/>
    <col customWidth="1" min="7" max="72" width="4.5"/>
  </cols>
  <sheetData>
    <row r="2">
      <c r="F2" s="8" t="s">
        <v>2567</v>
      </c>
      <c r="Q2" s="8" t="s">
        <v>2568</v>
      </c>
    </row>
    <row r="3">
      <c r="F3" s="8" t="s">
        <v>2569</v>
      </c>
      <c r="Q3" s="8" t="s">
        <v>2570</v>
      </c>
    </row>
    <row r="4">
      <c r="F4" s="8" t="s">
        <v>2571</v>
      </c>
      <c r="Q4" s="8" t="s">
        <v>2572</v>
      </c>
    </row>
    <row r="5">
      <c r="F5" s="8" t="s">
        <v>2573</v>
      </c>
      <c r="Q5" s="8" t="s">
        <v>2574</v>
      </c>
    </row>
    <row r="6">
      <c r="F6" s="8"/>
      <c r="P6" s="8"/>
    </row>
    <row r="7">
      <c r="G7" s="8" t="s">
        <v>2498</v>
      </c>
    </row>
    <row r="8" hidden="1">
      <c r="F8" s="8" t="s">
        <v>2575</v>
      </c>
      <c r="G8" s="8">
        <v>1.0</v>
      </c>
      <c r="H8" s="8">
        <v>1.0</v>
      </c>
      <c r="I8" s="8">
        <v>1.5</v>
      </c>
      <c r="J8" s="8">
        <v>1.5</v>
      </c>
      <c r="K8" s="8">
        <v>1.0</v>
      </c>
      <c r="L8" s="8">
        <v>1.0</v>
      </c>
      <c r="M8" s="8">
        <v>2.0</v>
      </c>
      <c r="N8" s="8">
        <v>1.0</v>
      </c>
      <c r="O8" s="8">
        <v>1.0</v>
      </c>
      <c r="P8" s="8">
        <v>1.0</v>
      </c>
      <c r="Q8" s="8">
        <v>1.0</v>
      </c>
      <c r="R8" s="8">
        <v>1.5</v>
      </c>
      <c r="S8" s="8">
        <v>1.0</v>
      </c>
      <c r="T8" s="8">
        <v>1.25</v>
      </c>
      <c r="U8" s="8">
        <v>1.0</v>
      </c>
      <c r="V8" s="8">
        <v>1.0</v>
      </c>
      <c r="W8" s="8">
        <v>1.0</v>
      </c>
      <c r="X8" s="8">
        <v>1.0</v>
      </c>
      <c r="Y8" s="8">
        <v>1.25</v>
      </c>
      <c r="Z8" s="8">
        <v>1.0</v>
      </c>
      <c r="AA8" s="8">
        <v>1.0</v>
      </c>
      <c r="AB8" s="8">
        <v>1.0</v>
      </c>
      <c r="AC8" s="8">
        <v>1.0</v>
      </c>
      <c r="AD8" s="8">
        <v>1.0</v>
      </c>
      <c r="AE8" s="8">
        <v>1.0</v>
      </c>
      <c r="AF8" s="8">
        <v>1.0</v>
      </c>
      <c r="AG8" s="8">
        <v>1.5</v>
      </c>
      <c r="AH8" s="8">
        <v>1.0</v>
      </c>
      <c r="AI8" s="8">
        <v>1.25</v>
      </c>
      <c r="AJ8" s="8">
        <v>1.0</v>
      </c>
      <c r="AK8" s="8">
        <v>1.0</v>
      </c>
      <c r="AL8" s="8">
        <v>1.0</v>
      </c>
      <c r="AM8" s="8">
        <v>1.25</v>
      </c>
      <c r="AN8" s="8">
        <v>1.5</v>
      </c>
      <c r="AO8" s="8">
        <v>1.0</v>
      </c>
      <c r="AP8" s="8">
        <v>1.5</v>
      </c>
      <c r="AQ8" s="8">
        <v>1.25</v>
      </c>
      <c r="AR8" s="8">
        <v>1.0</v>
      </c>
      <c r="AS8" s="8">
        <v>1.0</v>
      </c>
      <c r="AT8" s="8">
        <v>1.0</v>
      </c>
      <c r="AU8" s="8"/>
      <c r="AV8" s="8"/>
      <c r="AW8" s="8"/>
      <c r="AX8" s="8"/>
      <c r="AY8" s="8"/>
      <c r="AZ8" s="8"/>
      <c r="BA8" s="8"/>
      <c r="BB8" s="8"/>
      <c r="BC8" s="8"/>
      <c r="BD8" s="8"/>
      <c r="BE8" s="8"/>
      <c r="BF8" s="8"/>
      <c r="BG8" s="8"/>
      <c r="BH8" s="8"/>
      <c r="BI8" s="8"/>
      <c r="BJ8" s="8"/>
      <c r="BK8" s="8"/>
      <c r="BL8" s="8"/>
      <c r="BM8" s="8"/>
      <c r="BN8" s="8"/>
      <c r="BO8" s="8"/>
      <c r="BP8" s="8"/>
      <c r="BQ8" s="8"/>
      <c r="BR8" s="8"/>
      <c r="BS8" s="8"/>
      <c r="BT8" s="8"/>
    </row>
    <row r="9" hidden="1">
      <c r="F9" s="8" t="s">
        <v>2576</v>
      </c>
      <c r="G9" s="8" t="s">
        <v>2577</v>
      </c>
      <c r="H9" s="8" t="s">
        <v>2577</v>
      </c>
      <c r="I9" s="8" t="s">
        <v>2433</v>
      </c>
      <c r="J9" s="8" t="s">
        <v>2432</v>
      </c>
      <c r="K9" s="8" t="s">
        <v>2577</v>
      </c>
      <c r="L9" s="8" t="s">
        <v>2577</v>
      </c>
      <c r="M9" s="8" t="s">
        <v>2578</v>
      </c>
      <c r="N9" s="8" t="s">
        <v>2577</v>
      </c>
      <c r="O9" s="8" t="s">
        <v>2577</v>
      </c>
      <c r="P9" s="8" t="s">
        <v>2577</v>
      </c>
      <c r="Q9" s="8" t="s">
        <v>2577</v>
      </c>
      <c r="R9" s="8" t="s">
        <v>2578</v>
      </c>
      <c r="S9" s="8" t="s">
        <v>2577</v>
      </c>
      <c r="T9" s="8" t="s">
        <v>2433</v>
      </c>
      <c r="U9" s="8" t="s">
        <v>2577</v>
      </c>
      <c r="V9" s="8" t="s">
        <v>2577</v>
      </c>
      <c r="W9" s="8" t="s">
        <v>2577</v>
      </c>
      <c r="X9" s="8" t="s">
        <v>2577</v>
      </c>
      <c r="Y9" s="8" t="s">
        <v>2433</v>
      </c>
      <c r="Z9" s="8" t="s">
        <v>2577</v>
      </c>
      <c r="AA9" s="8" t="s">
        <v>2577</v>
      </c>
      <c r="AB9" s="8" t="s">
        <v>2577</v>
      </c>
      <c r="AC9" s="8" t="s">
        <v>2577</v>
      </c>
      <c r="AD9" s="8" t="s">
        <v>2577</v>
      </c>
      <c r="AE9" s="8" t="s">
        <v>2577</v>
      </c>
      <c r="AF9" s="8" t="s">
        <v>2577</v>
      </c>
      <c r="AG9" s="8" t="s">
        <v>2578</v>
      </c>
      <c r="AH9" s="8" t="s">
        <v>2577</v>
      </c>
      <c r="AI9" s="8" t="s">
        <v>2433</v>
      </c>
      <c r="AJ9" s="8" t="s">
        <v>2577</v>
      </c>
      <c r="AK9" s="8" t="s">
        <v>2577</v>
      </c>
      <c r="AL9" s="8" t="s">
        <v>2577</v>
      </c>
      <c r="AM9" s="8" t="s">
        <v>2579</v>
      </c>
      <c r="AN9" s="8" t="s">
        <v>2578</v>
      </c>
      <c r="AO9" s="8" t="s">
        <v>2577</v>
      </c>
      <c r="AP9" s="8" t="s">
        <v>2580</v>
      </c>
      <c r="AQ9" s="8" t="s">
        <v>2578</v>
      </c>
      <c r="AR9" s="8" t="s">
        <v>2577</v>
      </c>
      <c r="AS9" s="8" t="s">
        <v>2577</v>
      </c>
      <c r="AT9" s="8" t="s">
        <v>2577</v>
      </c>
      <c r="AU9" s="8"/>
      <c r="AV9" s="8"/>
      <c r="AW9" s="8"/>
      <c r="AX9" s="8"/>
      <c r="AY9" s="8"/>
      <c r="AZ9" s="8"/>
      <c r="BA9" s="8"/>
      <c r="BB9" s="8"/>
      <c r="BC9" s="8"/>
      <c r="BD9" s="8"/>
      <c r="BE9" s="8"/>
      <c r="BF9" s="8"/>
      <c r="BG9" s="8"/>
      <c r="BH9" s="8"/>
      <c r="BI9" s="8"/>
      <c r="BJ9" s="8"/>
      <c r="BK9" s="8"/>
      <c r="BL9" s="8"/>
      <c r="BM9" s="8"/>
      <c r="BN9" s="8"/>
      <c r="BO9" s="8"/>
      <c r="BP9" s="8"/>
      <c r="BQ9" s="8"/>
      <c r="BR9" s="8"/>
      <c r="BS9" s="8"/>
      <c r="BT9" s="8"/>
    </row>
    <row r="10" hidden="1">
      <c r="F10" s="8" t="s">
        <v>2581</v>
      </c>
      <c r="G10" s="285" t="s">
        <v>2582</v>
      </c>
      <c r="H10" s="285" t="s">
        <v>2583</v>
      </c>
      <c r="I10" s="285" t="s">
        <v>2584</v>
      </c>
      <c r="J10" s="285" t="s">
        <v>2585</v>
      </c>
      <c r="K10" s="812" t="s">
        <v>2584</v>
      </c>
      <c r="L10" s="812" t="s">
        <v>2582</v>
      </c>
      <c r="M10" s="8" t="s">
        <v>2586</v>
      </c>
      <c r="N10" s="812" t="s">
        <v>2587</v>
      </c>
      <c r="O10" s="812" t="s">
        <v>2584</v>
      </c>
      <c r="P10" s="812" t="s">
        <v>2588</v>
      </c>
      <c r="Q10" s="812" t="s">
        <v>2589</v>
      </c>
      <c r="R10" s="8" t="s">
        <v>2586</v>
      </c>
      <c r="S10" s="812" t="s">
        <v>2589</v>
      </c>
      <c r="T10" s="812" t="s">
        <v>2585</v>
      </c>
      <c r="U10" s="812" t="s">
        <v>2583</v>
      </c>
      <c r="V10" s="812" t="s">
        <v>2584</v>
      </c>
      <c r="W10" s="812" t="s">
        <v>2582</v>
      </c>
      <c r="X10" s="812" t="s">
        <v>2588</v>
      </c>
      <c r="Y10" s="812" t="s">
        <v>2585</v>
      </c>
      <c r="Z10" s="812" t="s">
        <v>2583</v>
      </c>
      <c r="AA10" s="812" t="s">
        <v>2589</v>
      </c>
      <c r="AB10" s="812" t="s">
        <v>2582</v>
      </c>
      <c r="AC10" s="813" t="s">
        <v>2587</v>
      </c>
      <c r="AD10" s="813" t="s">
        <v>2584</v>
      </c>
      <c r="AE10" s="813" t="s">
        <v>2588</v>
      </c>
      <c r="AF10" s="813" t="s">
        <v>2589</v>
      </c>
      <c r="AG10" s="8" t="s">
        <v>2586</v>
      </c>
      <c r="AH10" s="813" t="s">
        <v>2589</v>
      </c>
      <c r="AI10" s="813" t="s">
        <v>2585</v>
      </c>
      <c r="AJ10" s="812" t="s">
        <v>2583</v>
      </c>
      <c r="AK10" s="813" t="s">
        <v>2584</v>
      </c>
      <c r="AL10" s="812" t="s">
        <v>2583</v>
      </c>
      <c r="AM10" s="812" t="s">
        <v>2585</v>
      </c>
      <c r="AN10" s="8" t="s">
        <v>2586</v>
      </c>
      <c r="AO10" s="812" t="s">
        <v>2584</v>
      </c>
      <c r="AP10" s="812" t="s">
        <v>2590</v>
      </c>
      <c r="AQ10" s="812" t="s">
        <v>2585</v>
      </c>
      <c r="AR10" s="812" t="s">
        <v>2585</v>
      </c>
      <c r="AS10" s="812" t="s">
        <v>2584</v>
      </c>
      <c r="AT10" s="812" t="s">
        <v>2585</v>
      </c>
      <c r="AU10" s="812"/>
      <c r="AV10" s="812"/>
      <c r="AW10" s="812"/>
      <c r="AX10" s="812"/>
      <c r="AY10" s="812"/>
      <c r="AZ10" s="812"/>
      <c r="BA10" s="812"/>
      <c r="BB10" s="812"/>
      <c r="BC10" s="812"/>
      <c r="BD10" s="812"/>
      <c r="BE10" s="812"/>
      <c r="BF10" s="812"/>
      <c r="BG10" s="812"/>
      <c r="BH10" s="812"/>
      <c r="BI10" s="812"/>
      <c r="BJ10" s="812"/>
      <c r="BK10" s="812"/>
      <c r="BL10" s="812"/>
      <c r="BM10" s="812"/>
      <c r="BN10" s="812"/>
      <c r="BO10" s="812"/>
      <c r="BP10" s="812"/>
      <c r="BQ10" s="812"/>
      <c r="BR10" s="812"/>
      <c r="BS10" s="812"/>
      <c r="BT10" s="812"/>
    </row>
    <row r="11" hidden="1">
      <c r="F11" s="8" t="s">
        <v>2497</v>
      </c>
      <c r="G11" s="8">
        <v>10.0</v>
      </c>
      <c r="H11" s="8">
        <v>10.0</v>
      </c>
      <c r="I11" s="8">
        <v>8.0</v>
      </c>
      <c r="J11" s="8">
        <v>8.0</v>
      </c>
      <c r="K11" s="8">
        <v>8.0</v>
      </c>
      <c r="L11" s="8">
        <v>8.0</v>
      </c>
      <c r="M11" s="8">
        <v>8.0</v>
      </c>
      <c r="N11" s="8">
        <v>8.0</v>
      </c>
      <c r="O11" s="8">
        <v>8.0</v>
      </c>
      <c r="P11" s="8">
        <v>8.0</v>
      </c>
      <c r="Q11" s="8">
        <v>8.0</v>
      </c>
      <c r="R11" s="8">
        <v>8.0</v>
      </c>
      <c r="S11" s="8">
        <v>8.0</v>
      </c>
      <c r="T11" s="8">
        <v>8.0</v>
      </c>
      <c r="U11" s="8">
        <v>8.0</v>
      </c>
      <c r="V11" s="8">
        <v>8.0</v>
      </c>
      <c r="W11" s="8">
        <v>6.0</v>
      </c>
      <c r="X11" s="8">
        <v>6.0</v>
      </c>
      <c r="Y11" s="8">
        <v>6.0</v>
      </c>
      <c r="Z11" s="8">
        <v>6.0</v>
      </c>
      <c r="AA11" s="8">
        <v>6.0</v>
      </c>
      <c r="AB11" s="8">
        <v>6.0</v>
      </c>
      <c r="AC11" s="813">
        <v>6.0</v>
      </c>
      <c r="AD11" s="813">
        <v>6.0</v>
      </c>
      <c r="AE11" s="813">
        <v>6.0</v>
      </c>
      <c r="AF11" s="813">
        <v>6.0</v>
      </c>
      <c r="AG11" s="813">
        <v>6.0</v>
      </c>
      <c r="AH11" s="813">
        <v>6.0</v>
      </c>
      <c r="AI11" s="813">
        <v>6.0</v>
      </c>
      <c r="AJ11" s="8">
        <v>6.0</v>
      </c>
      <c r="AK11" s="813">
        <v>6.0</v>
      </c>
      <c r="AL11" s="8">
        <v>5.0</v>
      </c>
      <c r="AM11" s="8">
        <v>5.0</v>
      </c>
      <c r="AN11" s="8">
        <v>5.0</v>
      </c>
      <c r="AO11" s="8">
        <v>5.0</v>
      </c>
      <c r="AP11" s="8">
        <v>5.0</v>
      </c>
      <c r="AQ11" s="8">
        <v>5.0</v>
      </c>
      <c r="AR11" s="8">
        <v>4.0</v>
      </c>
      <c r="AS11" s="8">
        <v>4.0</v>
      </c>
      <c r="AT11" s="8">
        <v>3.0</v>
      </c>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row>
    <row r="12">
      <c r="A12" s="8" t="s">
        <v>2575</v>
      </c>
      <c r="B12" s="8" t="s">
        <v>2591</v>
      </c>
      <c r="C12" s="8" t="s">
        <v>2581</v>
      </c>
      <c r="D12" s="8"/>
      <c r="E12" s="8" t="s">
        <v>2592</v>
      </c>
      <c r="F12" s="8" t="s">
        <v>2500</v>
      </c>
      <c r="G12" s="48" t="s">
        <v>2215</v>
      </c>
      <c r="H12" s="48" t="s">
        <v>2231</v>
      </c>
      <c r="I12" s="71" t="s">
        <v>2189</v>
      </c>
      <c r="J12" s="48" t="s">
        <v>2228</v>
      </c>
      <c r="K12" s="48" t="s">
        <v>2219</v>
      </c>
      <c r="L12" s="48" t="s">
        <v>2217</v>
      </c>
      <c r="M12" s="48" t="s">
        <v>2224</v>
      </c>
      <c r="N12" s="98" t="s">
        <v>2521</v>
      </c>
      <c r="O12" s="99" t="s">
        <v>2522</v>
      </c>
      <c r="P12" s="806" t="s">
        <v>2523</v>
      </c>
      <c r="Q12" s="79" t="s">
        <v>2593</v>
      </c>
      <c r="R12" s="808" t="s">
        <v>2528</v>
      </c>
      <c r="S12" s="95" t="s">
        <v>2529</v>
      </c>
      <c r="T12" s="809" t="s">
        <v>2530</v>
      </c>
      <c r="U12" s="175" t="s">
        <v>2532</v>
      </c>
      <c r="V12" s="814" t="s">
        <v>2533</v>
      </c>
      <c r="W12" s="47" t="s">
        <v>2183</v>
      </c>
      <c r="X12" s="285" t="s">
        <v>2538</v>
      </c>
      <c r="Y12" s="285" t="s">
        <v>2227</v>
      </c>
      <c r="Z12" s="285" t="s">
        <v>2197</v>
      </c>
      <c r="AA12" s="285" t="s">
        <v>2545</v>
      </c>
      <c r="AB12" s="285" t="s">
        <v>2181</v>
      </c>
      <c r="AC12" s="98" t="s">
        <v>2546</v>
      </c>
      <c r="AD12" s="99" t="s">
        <v>2547</v>
      </c>
      <c r="AE12" s="806" t="s">
        <v>2549</v>
      </c>
      <c r="AF12" s="79" t="s">
        <v>2550</v>
      </c>
      <c r="AG12" s="808" t="s">
        <v>2551</v>
      </c>
      <c r="AH12" s="95" t="s">
        <v>2553</v>
      </c>
      <c r="AI12" s="809" t="s">
        <v>2554</v>
      </c>
      <c r="AJ12" s="175" t="s">
        <v>2555</v>
      </c>
      <c r="AK12" s="814" t="s">
        <v>2556</v>
      </c>
      <c r="AL12" s="285" t="s">
        <v>2164</v>
      </c>
      <c r="AM12" s="285" t="s">
        <v>2561</v>
      </c>
      <c r="AN12" s="285" t="s">
        <v>2562</v>
      </c>
      <c r="AO12" s="285" t="s">
        <v>2195</v>
      </c>
      <c r="AP12" s="285" t="s">
        <v>2564</v>
      </c>
      <c r="AQ12" s="811" t="s">
        <v>2221</v>
      </c>
      <c r="AR12" s="811" t="s">
        <v>688</v>
      </c>
      <c r="AS12" s="811" t="s">
        <v>2158</v>
      </c>
      <c r="AT12" s="8" t="s">
        <v>2566</v>
      </c>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c r="A13" s="8">
        <v>1.5</v>
      </c>
      <c r="B13" s="8" t="s">
        <v>2434</v>
      </c>
      <c r="C13" s="285" t="s">
        <v>2582</v>
      </c>
      <c r="D13" s="8"/>
      <c r="E13" s="8">
        <v>10.0</v>
      </c>
      <c r="F13" s="48" t="s">
        <v>2215</v>
      </c>
      <c r="G13" s="285">
        <f>IFERROR(__xludf.DUMMYFUNCTION("IF($E13*(IF(REGEXMATCH(G$10,$B13),$A13,1))/(G$11*IF(REGEXMATCH($C13,G$9),G$8,1))*6&gt;6,CEILING($E13*(IF(REGEXMATCH(G$10,$B13),$A13,1))/(G$11*IF(REGEXMATCH($C13,G$9),G$8,1))*6),FLOOR($E13*(IF(REGEXMATCH(G$10,$B13),$A13,1))/(G$11*IF(REGEXMATCH($C13,G$9),G$8,1"&amp;"))*6))"),9.0)</f>
        <v>9</v>
      </c>
      <c r="H13" s="285">
        <f>IFERROR(__xludf.DUMMYFUNCTION("IF($E13*(IF(REGEXMATCH(H$10,$B13),$A13,1))/(H$11*IF(REGEXMATCH($C13,H$9),H$8,1))*6&gt;6,CEILING($E13*(IF(REGEXMATCH(H$10,$B13),$A13,1))/(H$11*IF(REGEXMATCH($C13,H$9),H$8,1))*6),FLOOR($E13*(IF(REGEXMATCH(H$10,$B13),$A13,1))/(H$11*IF(REGEXMATCH($C13,H$9),H$8,1"&amp;"))*6))"),6.0)</f>
        <v>6</v>
      </c>
      <c r="I13" s="285">
        <f>IFERROR(__xludf.DUMMYFUNCTION("IF($E13*(IF(REGEXMATCH(I$10,$B13),$A13,1))/(I$11*IF(REGEXMATCH($C13,I$9),I$8,1))*6&gt;6,CEILING($E13*(IF(REGEXMATCH(I$10,$B13),$A13,1))/(I$11*IF(REGEXMATCH($C13,I$9),I$8,1))*6),FLOOR($E13*(IF(REGEXMATCH(I$10,$B13),$A13,1))/(I$11*IF(REGEXMATCH($C13,I$9),I$8,1"&amp;"))*6))"),12.0)</f>
        <v>12</v>
      </c>
      <c r="J13" s="285">
        <f>IFERROR(__xludf.DUMMYFUNCTION("IF($E13*(IF(REGEXMATCH(J$10,$B13),$A13,1))/(J$11*IF(REGEXMATCH($C13,J$9),J$8,1))*6&gt;6,CEILING($E13*(IF(REGEXMATCH(J$10,$B13),$A13,1))/(J$11*IF(REGEXMATCH($C13,J$9),J$8,1))*6),FLOOR($E13*(IF(REGEXMATCH(J$10,$B13),$A13,1))/(J$11*IF(REGEXMATCH($C13,J$9),J$8,1"&amp;"))*6))"),8.0)</f>
        <v>8</v>
      </c>
      <c r="K13" s="285">
        <f>IFERROR(__xludf.DUMMYFUNCTION("IF($E13*(IF(REGEXMATCH(K$10,$B13),$A13,1))/(K$11*IF(REGEXMATCH($C13,K$9),K$8,1))*6&gt;6,CEILING($E13*(IF(REGEXMATCH(K$10,$B13),$A13,1))/(K$11*IF(REGEXMATCH($C13,K$9),K$8,1))*6),FLOOR($E13*(IF(REGEXMATCH(K$10,$B13),$A13,1))/(K$11*IF(REGEXMATCH($C13,K$9),K$8,1"&amp;"))*6))"),12.0)</f>
        <v>12</v>
      </c>
      <c r="L13" s="285">
        <f>IFERROR(__xludf.DUMMYFUNCTION("IF($E13*(IF(REGEXMATCH(L$10,$B13),$A13,1))/(L$11*IF(REGEXMATCH($C13,L$9),L$8,1))*6&gt;6,CEILING($E13*(IF(REGEXMATCH(L$10,$B13),$A13,1))/(L$11*IF(REGEXMATCH($C13,L$9),L$8,1))*6),FLOOR($E13*(IF(REGEXMATCH(L$10,$B13),$A13,1))/(L$11*IF(REGEXMATCH($C13,L$9),L$8,1"&amp;"))*6))"),12.0)</f>
        <v>12</v>
      </c>
      <c r="M13" s="285">
        <f>IFERROR(__xludf.DUMMYFUNCTION("IF($E13*(IF(REGEXMATCH(M$10,$B13),$A13,1))/(M$11*IF(REGEXMATCH($C13,M$9),M$8,1))*6&gt;6,CEILING($E13*(IF(REGEXMATCH(M$10,$B13),$A13,1))/(M$11*IF(REGEXMATCH($C13,M$9),M$8,1))*6),FLOOR($E13*(IF(REGEXMATCH(M$10,$B13),$A13,1))/(M$11*IF(REGEXMATCH($C13,M$9),M$8,1"&amp;"))*6))"),8.0)</f>
        <v>8</v>
      </c>
      <c r="N13" s="285">
        <f>IFERROR(__xludf.DUMMYFUNCTION("IF($E13*(IF(REGEXMATCH(N$10,$B13),$A13,1))/(N$11*IF(REGEXMATCH($C13,N$9),N$8,1))*6&gt;6,CEILING($E13*(IF(REGEXMATCH(N$10,$B13),$A13,1))/(N$11*IF(REGEXMATCH($C13,N$9),N$8,1))*6),FLOOR($E13*(IF(REGEXMATCH(N$10,$B13),$A13,1))/(N$11*IF(REGEXMATCH($C13,N$9),N$8,1"&amp;"))*6))"),8.0)</f>
        <v>8</v>
      </c>
      <c r="O13" s="285">
        <f>IFERROR(__xludf.DUMMYFUNCTION("IF($E13*(IF(REGEXMATCH(O$10,$B13),$A13,1))/(O$11*IF(REGEXMATCH($C13,O$9),O$8,1))*6&gt;6,CEILING($E13*(IF(REGEXMATCH(O$10,$B13),$A13,1))/(O$11*IF(REGEXMATCH($C13,O$9),O$8,1))*6),FLOOR($E13*(IF(REGEXMATCH(O$10,$B13),$A13,1))/(O$11*IF(REGEXMATCH($C13,O$9),O$8,1"&amp;"))*6))"),12.0)</f>
        <v>12</v>
      </c>
      <c r="P13" s="285">
        <f>IFERROR(__xludf.DUMMYFUNCTION("IF($E13*(IF(REGEXMATCH(P$10,$B13),$A13,1))/(P$11*IF(REGEXMATCH($C13,P$9),P$8,1))*6&gt;6,CEILING($E13*(IF(REGEXMATCH(P$10,$B13),$A13,1))/(P$11*IF(REGEXMATCH($C13,P$9),P$8,1))*6),FLOOR($E13*(IF(REGEXMATCH(P$10,$B13),$A13,1))/(P$11*IF(REGEXMATCH($C13,P$9),P$8,1"&amp;"))*6))"),8.0)</f>
        <v>8</v>
      </c>
      <c r="Q13" s="285">
        <f>IFERROR(__xludf.DUMMYFUNCTION("IF($E13*(IF(REGEXMATCH(Q$10,$B13),$A13,1))/(Q$11*IF(REGEXMATCH($C13,Q$9),Q$8,1))*6&gt;6,CEILING($E13*(IF(REGEXMATCH(Q$10,$B13),$A13,1))/(Q$11*IF(REGEXMATCH($C13,Q$9),Q$8,1))*6),FLOOR($E13*(IF(REGEXMATCH(Q$10,$B13),$A13,1))/(Q$11*IF(REGEXMATCH($C13,Q$9),Q$8,1"&amp;"))*6))"),12.0)</f>
        <v>12</v>
      </c>
      <c r="R13" s="285">
        <f>IFERROR(__xludf.DUMMYFUNCTION("IF($E13*(IF(REGEXMATCH(R$10,$B13),$A13,1))/(R$11*IF(REGEXMATCH($C13,R$9),R$8,1))*6&gt;6,CEILING($E13*(IF(REGEXMATCH(R$10,$B13),$A13,1))/(R$11*IF(REGEXMATCH($C13,R$9),R$8,1))*6),FLOOR($E13*(IF(REGEXMATCH(R$10,$B13),$A13,1))/(R$11*IF(REGEXMATCH($C13,R$9),R$8,1"&amp;"))*6))"),8.0)</f>
        <v>8</v>
      </c>
      <c r="S13" s="285">
        <f>IFERROR(__xludf.DUMMYFUNCTION("IF($E13*(IF(REGEXMATCH(S$10,$B13),$A13,1))/(S$11*IF(REGEXMATCH($C13,S$9),S$8,1))*6&gt;6,CEILING($E13*(IF(REGEXMATCH(S$10,$B13),$A13,1))/(S$11*IF(REGEXMATCH($C13,S$9),S$8,1))*6),FLOOR($E13*(IF(REGEXMATCH(S$10,$B13),$A13,1))/(S$11*IF(REGEXMATCH($C13,S$9),S$8,1"&amp;"))*6))"),12.0)</f>
        <v>12</v>
      </c>
      <c r="T13" s="285">
        <f>IFERROR(__xludf.DUMMYFUNCTION("IF($E13*(IF(REGEXMATCH(T$10,$B13),$A13,1))/(T$11*IF(REGEXMATCH($C13,T$9),T$8,1))*6&gt;6,CEILING($E13*(IF(REGEXMATCH(T$10,$B13),$A13,1))/(T$11*IF(REGEXMATCH($C13,T$9),T$8,1))*6),FLOOR($E13*(IF(REGEXMATCH(T$10,$B13),$A13,1))/(T$11*IF(REGEXMATCH($C13,T$9),T$8,1"&amp;"))*6))"),8.0)</f>
        <v>8</v>
      </c>
      <c r="U13" s="285">
        <f>IFERROR(__xludf.DUMMYFUNCTION("IF($E13*(IF(REGEXMATCH(U$10,$B13),$A13,1))/(U$11*IF(REGEXMATCH($C13,U$9),U$8,1))*6&gt;6,CEILING($E13*(IF(REGEXMATCH(U$10,$B13),$A13,1))/(U$11*IF(REGEXMATCH($C13,U$9),U$8,1))*6),FLOOR($E13*(IF(REGEXMATCH(U$10,$B13),$A13,1))/(U$11*IF(REGEXMATCH($C13,U$9),U$8,1"&amp;"))*6))"),8.0)</f>
        <v>8</v>
      </c>
      <c r="V13" s="285">
        <f>IFERROR(__xludf.DUMMYFUNCTION("IF($E13*(IF(REGEXMATCH(V$10,$B13),$A13,1))/(V$11*IF(REGEXMATCH($C13,V$9),V$8,1))*6&gt;6,CEILING($E13*(IF(REGEXMATCH(V$10,$B13),$A13,1))/(V$11*IF(REGEXMATCH($C13,V$9),V$8,1))*6),FLOOR($E13*(IF(REGEXMATCH(V$10,$B13),$A13,1))/(V$11*IF(REGEXMATCH($C13,V$9),V$8,1"&amp;"))*6))"),12.0)</f>
        <v>12</v>
      </c>
      <c r="W13" s="285">
        <f>IFERROR(__xludf.DUMMYFUNCTION("IF($E13*(IF(REGEXMATCH(W$10,$B13),$A13,1))/(W$11*IF(REGEXMATCH($C13,W$9),W$8,1))*6&gt;6,CEILING($E13*(IF(REGEXMATCH(W$10,$B13),$A13,1))/(W$11*IF(REGEXMATCH($C13,W$9),W$8,1))*6),FLOOR($E13*(IF(REGEXMATCH(W$10,$B13),$A13,1))/(W$11*IF(REGEXMATCH($C13,W$9),W$8,1"&amp;"))*6))"),15.0)</f>
        <v>15</v>
      </c>
      <c r="X13" s="285">
        <f>IFERROR(__xludf.DUMMYFUNCTION("IF($E13*(IF(REGEXMATCH(X$10,$B13),$A13,1))/(X$11*IF(REGEXMATCH($C13,X$9),X$8,1))*6&gt;6,CEILING($E13*(IF(REGEXMATCH(X$10,$B13),$A13,1))/(X$11*IF(REGEXMATCH($C13,X$9),X$8,1))*6),FLOOR($E13*(IF(REGEXMATCH(X$10,$B13),$A13,1))/(X$11*IF(REGEXMATCH($C13,X$9),X$8,1"&amp;"))*6))"),10.0)</f>
        <v>10</v>
      </c>
      <c r="Y13" s="285">
        <f>IFERROR(__xludf.DUMMYFUNCTION("IF($E13*(IF(REGEXMATCH(Y$10,$B13),$A13,1))/(Y$11*IF(REGEXMATCH($C13,Y$9),Y$8,1))*6&gt;6,CEILING($E13*(IF(REGEXMATCH(Y$10,$B13),$A13,1))/(Y$11*IF(REGEXMATCH($C13,Y$9),Y$8,1))*6),FLOOR($E13*(IF(REGEXMATCH(Y$10,$B13),$A13,1))/(Y$11*IF(REGEXMATCH($C13,Y$9),Y$8,1"&amp;"))*6))"),10.0)</f>
        <v>10</v>
      </c>
      <c r="Z13" s="285">
        <f>IFERROR(__xludf.DUMMYFUNCTION("IF($E13*(IF(REGEXMATCH(Z$10,$B13),$A13,1))/(Z$11*IF(REGEXMATCH($C13,Z$9),Z$8,1))*6&gt;6,CEILING($E13*(IF(REGEXMATCH(Z$10,$B13),$A13,1))/(Z$11*IF(REGEXMATCH($C13,Z$9),Z$8,1))*6),FLOOR($E13*(IF(REGEXMATCH(Z$10,$B13),$A13,1))/(Z$11*IF(REGEXMATCH($C13,Z$9),Z$8,1"&amp;"))*6))"),10.0)</f>
        <v>10</v>
      </c>
      <c r="AA13" s="285">
        <f>IFERROR(__xludf.DUMMYFUNCTION("IF($E13*(IF(REGEXMATCH(AA$10,$B13),$A13,1))/(AA$11*IF(REGEXMATCH($C13,AA$9),AA$8,1))*6&gt;6,CEILING($E13*(IF(REGEXMATCH(AA$10,$B13),$A13,1))/(AA$11*IF(REGEXMATCH($C13,AA$9),AA$8,1))*6),FLOOR($E13*(IF(REGEXMATCH(AA$10,$B13),$A13,1))/(AA$11*IF(REGEXMATCH($C13,"&amp;"AA$9),AA$8,1))*6))"),15.0)</f>
        <v>15</v>
      </c>
      <c r="AB13" s="285">
        <f>IFERROR(__xludf.DUMMYFUNCTION("IF($E13*(IF(REGEXMATCH(AB$10,$B13),$A13,1))/(AB$11*IF(REGEXMATCH($C13,AB$9),AB$8,1))*6&gt;6,CEILING($E13*(IF(REGEXMATCH(AB$10,$B13),$A13,1))/(AB$11*IF(REGEXMATCH($C13,AB$9),AB$8,1))*6),FLOOR($E13*(IF(REGEXMATCH(AB$10,$B13),$A13,1))/(AB$11*IF(REGEXMATCH($C13,"&amp;"AB$9),AB$8,1))*6))"),15.0)</f>
        <v>15</v>
      </c>
      <c r="AC13" s="285">
        <f>IFERROR(__xludf.DUMMYFUNCTION("IF($E13*(IF(REGEXMATCH(AC$10,$B13),$A13,1))/(AC$11*IF(REGEXMATCH($C13,AC$9),AC$8,1))*6&gt;6,CEILING($E13*(IF(REGEXMATCH(AC$10,$B13),$A13,1))/(AC$11*IF(REGEXMATCH($C13,AC$9),AC$8,1))*6),FLOOR($E13*(IF(REGEXMATCH(AC$10,$B13),$A13,1))/(AC$11*IF(REGEXMATCH($C13,"&amp;"AC$9),AC$8,1))*6))"),10.0)</f>
        <v>10</v>
      </c>
      <c r="AD13" s="285">
        <f>IFERROR(__xludf.DUMMYFUNCTION("IF($E13*(IF(REGEXMATCH(AD$10,$B13),$A13,1))/(AD$11*IF(REGEXMATCH($C13,AD$9),AD$8,1))*6&gt;6,CEILING($E13*(IF(REGEXMATCH(AD$10,$B13),$A13,1))/(AD$11*IF(REGEXMATCH($C13,AD$9),AD$8,1))*6),FLOOR($E13*(IF(REGEXMATCH(AD$10,$B13),$A13,1))/(AD$11*IF(REGEXMATCH($C13,"&amp;"AD$9),AD$8,1))*6))"),15.0)</f>
        <v>15</v>
      </c>
      <c r="AE13" s="285">
        <f>IFERROR(__xludf.DUMMYFUNCTION("IF($E13*(IF(REGEXMATCH(AE$10,$B13),$A13,1))/(AE$11*IF(REGEXMATCH($C13,AE$9),AE$8,1))*6&gt;6,CEILING($E13*(IF(REGEXMATCH(AE$10,$B13),$A13,1))/(AE$11*IF(REGEXMATCH($C13,AE$9),AE$8,1))*6),FLOOR($E13*(IF(REGEXMATCH(AE$10,$B13),$A13,1))/(AE$11*IF(REGEXMATCH($C13,"&amp;"AE$9),AE$8,1))*6))"),10.0)</f>
        <v>10</v>
      </c>
      <c r="AF13" s="285">
        <f>IFERROR(__xludf.DUMMYFUNCTION("IF($E13*(IF(REGEXMATCH(AF$10,$B13),$A13,1))/(AF$11*IF(REGEXMATCH($C13,AF$9),AF$8,1))*6&gt;6,CEILING($E13*(IF(REGEXMATCH(AF$10,$B13),$A13,1))/(AF$11*IF(REGEXMATCH($C13,AF$9),AF$8,1))*6),FLOOR($E13*(IF(REGEXMATCH(AF$10,$B13),$A13,1))/(AF$11*IF(REGEXMATCH($C13,"&amp;"AF$9),AF$8,1))*6))"),15.0)</f>
        <v>15</v>
      </c>
      <c r="AG13" s="285">
        <f>IFERROR(__xludf.DUMMYFUNCTION("IF($E13*(IF(REGEXMATCH(AG$10,$B13),$A13,1))/(AG$11*IF(REGEXMATCH($C13,AG$9),AG$8,1))*6&gt;6,CEILING($E13*(IF(REGEXMATCH(AG$10,$B13),$A13,1))/(AG$11*IF(REGEXMATCH($C13,AG$9),AG$8,1))*6),FLOOR($E13*(IF(REGEXMATCH(AG$10,$B13),$A13,1))/(AG$11*IF(REGEXMATCH($C13,"&amp;"AG$9),AG$8,1))*6))"),10.0)</f>
        <v>10</v>
      </c>
      <c r="AH13" s="285">
        <f>IFERROR(__xludf.DUMMYFUNCTION("IF($E13*(IF(REGEXMATCH(AH$10,$B13),$A13,1))/(AH$11*IF(REGEXMATCH($C13,AH$9),AH$8,1))*6&gt;6,CEILING($E13*(IF(REGEXMATCH(AH$10,$B13),$A13,1))/(AH$11*IF(REGEXMATCH($C13,AH$9),AH$8,1))*6),FLOOR($E13*(IF(REGEXMATCH(AH$10,$B13),$A13,1))/(AH$11*IF(REGEXMATCH($C13,"&amp;"AH$9),AH$8,1))*6))"),15.0)</f>
        <v>15</v>
      </c>
      <c r="AI13" s="285">
        <f>IFERROR(__xludf.DUMMYFUNCTION("IF($E13*(IF(REGEXMATCH(AI$10,$B13),$A13,1))/(AI$11*IF(REGEXMATCH($C13,AI$9),AI$8,1))*6&gt;6,CEILING($E13*(IF(REGEXMATCH(AI$10,$B13),$A13,1))/(AI$11*IF(REGEXMATCH($C13,AI$9),AI$8,1))*6),FLOOR($E13*(IF(REGEXMATCH(AI$10,$B13),$A13,1))/(AI$11*IF(REGEXMATCH($C13,"&amp;"AI$9),AI$8,1))*6))"),10.0)</f>
        <v>10</v>
      </c>
      <c r="AJ13" s="285">
        <f>IFERROR(__xludf.DUMMYFUNCTION("IF($E13*(IF(REGEXMATCH(AJ$10,$B13),$A13,1))/(AJ$11*IF(REGEXMATCH($C13,AJ$9),AJ$8,1))*6&gt;6,CEILING($E13*(IF(REGEXMATCH(AJ$10,$B13),$A13,1))/(AJ$11*IF(REGEXMATCH($C13,AJ$9),AJ$8,1))*6),FLOOR($E13*(IF(REGEXMATCH(AJ$10,$B13),$A13,1))/(AJ$11*IF(REGEXMATCH($C13,"&amp;"AJ$9),AJ$8,1))*6))"),10.0)</f>
        <v>10</v>
      </c>
      <c r="AK13" s="285">
        <f>IFERROR(__xludf.DUMMYFUNCTION("IF($E13*(IF(REGEXMATCH(AK$10,$B13),$A13,1))/(AK$11*IF(REGEXMATCH($C13,AK$9),AK$8,1))*6&gt;6,CEILING($E13*(IF(REGEXMATCH(AK$10,$B13),$A13,1))/(AK$11*IF(REGEXMATCH($C13,AK$9),AK$8,1))*6),FLOOR($E13*(IF(REGEXMATCH(AK$10,$B13),$A13,1))/(AK$11*IF(REGEXMATCH($C13,"&amp;"AK$9),AK$8,1))*6))"),15.0)</f>
        <v>15</v>
      </c>
      <c r="AL13" s="285">
        <f>IFERROR(__xludf.DUMMYFUNCTION("IF($E13*(IF(REGEXMATCH(AL$10,$B13),$A13,1))/(AL$11*IF(REGEXMATCH($C13,AL$9),AL$8,1))*6&gt;6,CEILING($E13*(IF(REGEXMATCH(AL$10,$B13),$A13,1))/(AL$11*IF(REGEXMATCH($C13,AL$9),AL$8,1))*6),FLOOR($E13*(IF(REGEXMATCH(AL$10,$B13),$A13,1))/(AL$11*IF(REGEXMATCH($C13,"&amp;"AL$9),AL$8,1))*6))"),12.0)</f>
        <v>12</v>
      </c>
      <c r="AM13" s="285">
        <f>IFERROR(__xludf.DUMMYFUNCTION("IF($E13*(IF(REGEXMATCH(AM$10,$B13),$A13,1))/(AM$11*IF(REGEXMATCH($C13,AM$9),AM$8,1))*6&gt;6,CEILING($E13*(IF(REGEXMATCH(AM$10,$B13),$A13,1))/(AM$11*IF(REGEXMATCH($C13,AM$9),AM$8,1))*6),FLOOR($E13*(IF(REGEXMATCH(AM$10,$B13),$A13,1))/(AM$11*IF(REGEXMATCH($C13,"&amp;"AM$9),AM$8,1))*6))"),12.0)</f>
        <v>12</v>
      </c>
      <c r="AN13" s="285">
        <f>IFERROR(__xludf.DUMMYFUNCTION("IF($E13*(IF(REGEXMATCH(AN$10,$B13),$A13,1))/(AN$11*IF(REGEXMATCH($C13,AN$9),AN$8,1))*6&gt;6,CEILING($E13*(IF(REGEXMATCH(AN$10,$B13),$A13,1))/(AN$11*IF(REGEXMATCH($C13,AN$9),AN$8,1))*6),FLOOR($E13*(IF(REGEXMATCH(AN$10,$B13),$A13,1))/(AN$11*IF(REGEXMATCH($C13,"&amp;"AN$9),AN$8,1))*6))"),12.0)</f>
        <v>12</v>
      </c>
      <c r="AO13" s="285">
        <f>IFERROR(__xludf.DUMMYFUNCTION("IF($E13*(IF(REGEXMATCH(AO$10,$B13),$A13,1))/(AO$11*IF(REGEXMATCH($C13,AO$9),AO$8,1))*6&gt;6,CEILING($E13*(IF(REGEXMATCH(AO$10,$B13),$A13,1))/(AO$11*IF(REGEXMATCH($C13,AO$9),AO$8,1))*6),FLOOR($E13*(IF(REGEXMATCH(AO$10,$B13),$A13,1))/(AO$11*IF(REGEXMATCH($C13,"&amp;"AO$9),AO$8,1))*6))"),18.0)</f>
        <v>18</v>
      </c>
      <c r="AP13" s="285">
        <f>IFERROR(__xludf.DUMMYFUNCTION("IF($E13*(IF(REGEXMATCH(AP$10,$B13),$A13,1))/(AP$11*IF(REGEXMATCH($C13,AP$9),AP$8,1))*6&gt;6,CEILING($E13*(IF(REGEXMATCH(AP$10,$B13),$A13,1))/(AP$11*IF(REGEXMATCH($C13,AP$9),AP$8,1))*6),FLOOR($E13*(IF(REGEXMATCH(AP$10,$B13),$A13,1))/(AP$11*IF(REGEXMATCH($C13,"&amp;"AP$9),AP$8,1))*6))"),18.0)</f>
        <v>18</v>
      </c>
      <c r="AQ13" s="285">
        <f>IFERROR(__xludf.DUMMYFUNCTION("IF($E13*(IF(REGEXMATCH(AQ$10,$B13),$A13,1))/(AQ$11*IF(REGEXMATCH($C13,AQ$9),AQ$8,1))*6&gt;6,CEILING($E13*(IF(REGEXMATCH(AQ$10,$B13),$A13,1))/(AQ$11*IF(REGEXMATCH($C13,AQ$9),AQ$8,1))*6),FLOOR($E13*(IF(REGEXMATCH(AQ$10,$B13),$A13,1))/(AQ$11*IF(REGEXMATCH($C13,"&amp;"AQ$9),AQ$8,1))*6))"),12.0)</f>
        <v>12</v>
      </c>
      <c r="AR13" s="285">
        <f>IFERROR(__xludf.DUMMYFUNCTION("IF($E13*(IF(REGEXMATCH(AR$10,$B13),$A13,1))/(AR$11*IF(REGEXMATCH($C13,AR$9),AR$8,1))*6&gt;6,CEILING($E13*(IF(REGEXMATCH(AR$10,$B13),$A13,1))/(AR$11*IF(REGEXMATCH($C13,AR$9),AR$8,1))*6),FLOOR($E13*(IF(REGEXMATCH(AR$10,$B13),$A13,1))/(AR$11*IF(REGEXMATCH($C13,"&amp;"AR$9),AR$8,1))*6))"),15.0)</f>
        <v>15</v>
      </c>
      <c r="AS13" s="285">
        <f>IFERROR(__xludf.DUMMYFUNCTION("IF($E13*(IF(REGEXMATCH(AS$10,$B13),$A13,1))/(AS$11*IF(REGEXMATCH($C13,AS$9),AS$8,1))*6&gt;6,CEILING($E13*(IF(REGEXMATCH(AS$10,$B13),$A13,1))/(AS$11*IF(REGEXMATCH($C13,AS$9),AS$8,1))*6),FLOOR($E13*(IF(REGEXMATCH(AS$10,$B13),$A13,1))/(AS$11*IF(REGEXMATCH($C13,"&amp;"AS$9),AS$8,1))*6))"),23.0)</f>
        <v>23</v>
      </c>
      <c r="AT13" s="285">
        <f>IFERROR(__xludf.DUMMYFUNCTION("IF($E13*(IF(REGEXMATCH(AT$10,$B13),$A13,1))/(AT$11*IF(REGEXMATCH($C13,AT$9),AT$8,1))*6&gt;6,CEILING($E13*(IF(REGEXMATCH(AT$10,$B13),$A13,1))/(AT$11*IF(REGEXMATCH($C13,AT$9),AT$8,1))*6),FLOOR($E13*(IF(REGEXMATCH(AT$10,$B13),$A13,1))/(AT$11*IF(REGEXMATCH($C13,"&amp;"AT$9),AT$8,1))*6))"),20.0)</f>
        <v>20</v>
      </c>
    </row>
    <row r="14">
      <c r="A14" s="8">
        <v>1.5</v>
      </c>
      <c r="B14" s="8" t="s">
        <v>2435</v>
      </c>
      <c r="C14" s="285" t="s">
        <v>2583</v>
      </c>
      <c r="D14" s="8"/>
      <c r="E14" s="8">
        <v>10.0</v>
      </c>
      <c r="F14" s="48" t="s">
        <v>2231</v>
      </c>
      <c r="G14" s="285">
        <f>IFERROR(__xludf.DUMMYFUNCTION("IF($E14*(IF(REGEXMATCH(G$10,$B14),$A14,1))/(G$11*IF(REGEXMATCH($C14,G$9),G$8,1))*6&gt;6,CEILING($E14*(IF(REGEXMATCH(G$10,$B14),$A14,1))/(G$11*IF(REGEXMATCH($C14,G$9),G$8,1))*6),FLOOR($E14*(IF(REGEXMATCH(G$10,$B14),$A14,1))/(G$11*IF(REGEXMATCH($C14,G$9),G$8,1"&amp;"))*6))"),9.0)</f>
        <v>9</v>
      </c>
      <c r="H14" s="285">
        <f>IFERROR(__xludf.DUMMYFUNCTION("IF($E14*(IF(REGEXMATCH(H$10,$B14),$A14,1))/(H$11*IF(REGEXMATCH($C14,H$9),H$8,1))*6&gt;6,CEILING($E14*(IF(REGEXMATCH(H$10,$B14),$A14,1))/(H$11*IF(REGEXMATCH($C14,H$9),H$8,1))*6),FLOOR($E14*(IF(REGEXMATCH(H$10,$B14),$A14,1))/(H$11*IF(REGEXMATCH($C14,H$9),H$8,1"&amp;"))*6))"),6.0)</f>
        <v>6</v>
      </c>
      <c r="I14" s="285">
        <f>IFERROR(__xludf.DUMMYFUNCTION("IF($E14*(IF(REGEXMATCH(I$10,$B14),$A14,1))/(I$11*IF(REGEXMATCH($C14,I$9),I$8,1))*6&gt;6,CEILING($E14*(IF(REGEXMATCH(I$10,$B14),$A14,1))/(I$11*IF(REGEXMATCH($C14,I$9),I$8,1))*6),FLOOR($E14*(IF(REGEXMATCH(I$10,$B14),$A14,1))/(I$11*IF(REGEXMATCH($C14,I$9),I$8,1"&amp;"))*6))"),5.0)</f>
        <v>5</v>
      </c>
      <c r="J14" s="285">
        <f>IFERROR(__xludf.DUMMYFUNCTION("IF($E14*(IF(REGEXMATCH(J$10,$B14),$A14,1))/(J$11*IF(REGEXMATCH($C14,J$9),J$8,1))*6&gt;6,CEILING($E14*(IF(REGEXMATCH(J$10,$B14),$A14,1))/(J$11*IF(REGEXMATCH($C14,J$9),J$8,1))*6),FLOOR($E14*(IF(REGEXMATCH(J$10,$B14),$A14,1))/(J$11*IF(REGEXMATCH($C14,J$9),J$8,1"&amp;"))*6))"),8.0)</f>
        <v>8</v>
      </c>
      <c r="K14" s="285">
        <f>IFERROR(__xludf.DUMMYFUNCTION("IF($E14*(IF(REGEXMATCH(K$10,$B14),$A14,1))/(K$11*IF(REGEXMATCH($C14,K$9),K$8,1))*6&gt;6,CEILING($E14*(IF(REGEXMATCH(K$10,$B14),$A14,1))/(K$11*IF(REGEXMATCH($C14,K$9),K$8,1))*6),FLOOR($E14*(IF(REGEXMATCH(K$10,$B14),$A14,1))/(K$11*IF(REGEXMATCH($C14,K$9),K$8,1"&amp;"))*6))"),8.0)</f>
        <v>8</v>
      </c>
      <c r="L14" s="285">
        <f>IFERROR(__xludf.DUMMYFUNCTION("IF($E14*(IF(REGEXMATCH(L$10,$B14),$A14,1))/(L$11*IF(REGEXMATCH($C14,L$9),L$8,1))*6&gt;6,CEILING($E14*(IF(REGEXMATCH(L$10,$B14),$A14,1))/(L$11*IF(REGEXMATCH($C14,L$9),L$8,1))*6),FLOOR($E14*(IF(REGEXMATCH(L$10,$B14),$A14,1))/(L$11*IF(REGEXMATCH($C14,L$9),L$8,1"&amp;"))*6))"),12.0)</f>
        <v>12</v>
      </c>
      <c r="M14" s="285">
        <f>IFERROR(__xludf.DUMMYFUNCTION("IF($E14*(IF(REGEXMATCH(M$10,$B14),$A14,1))/(M$11*IF(REGEXMATCH($C14,M$9),M$8,1))*6&gt;6,CEILING($E14*(IF(REGEXMATCH(M$10,$B14),$A14,1))/(M$11*IF(REGEXMATCH($C14,M$9),M$8,1))*6),FLOOR($E14*(IF(REGEXMATCH(M$10,$B14),$A14,1))/(M$11*IF(REGEXMATCH($C14,M$9),M$8,1"&amp;"))*6))"),3.0)</f>
        <v>3</v>
      </c>
      <c r="N14" s="285">
        <f>IFERROR(__xludf.DUMMYFUNCTION("IF($E14*(IF(REGEXMATCH(N$10,$B14),$A14,1))/(N$11*IF(REGEXMATCH($C14,N$9),N$8,1))*6&gt;6,CEILING($E14*(IF(REGEXMATCH(N$10,$B14),$A14,1))/(N$11*IF(REGEXMATCH($C14,N$9),N$8,1))*6),FLOOR($E14*(IF(REGEXMATCH(N$10,$B14),$A14,1))/(N$11*IF(REGEXMATCH($C14,N$9),N$8,1"&amp;"))*6))"),12.0)</f>
        <v>12</v>
      </c>
      <c r="O14" s="285">
        <f>IFERROR(__xludf.DUMMYFUNCTION("IF($E14*(IF(REGEXMATCH(O$10,$B14),$A14,1))/(O$11*IF(REGEXMATCH($C14,O$9),O$8,1))*6&gt;6,CEILING($E14*(IF(REGEXMATCH(O$10,$B14),$A14,1))/(O$11*IF(REGEXMATCH($C14,O$9),O$8,1))*6),FLOOR($E14*(IF(REGEXMATCH(O$10,$B14),$A14,1))/(O$11*IF(REGEXMATCH($C14,O$9),O$8,1"&amp;"))*6))"),8.0)</f>
        <v>8</v>
      </c>
      <c r="P14" s="285">
        <f>IFERROR(__xludf.DUMMYFUNCTION("IF($E14*(IF(REGEXMATCH(P$10,$B14),$A14,1))/(P$11*IF(REGEXMATCH($C14,P$9),P$8,1))*6&gt;6,CEILING($E14*(IF(REGEXMATCH(P$10,$B14),$A14,1))/(P$11*IF(REGEXMATCH($C14,P$9),P$8,1))*6),FLOOR($E14*(IF(REGEXMATCH(P$10,$B14),$A14,1))/(P$11*IF(REGEXMATCH($C14,P$9),P$8,1"&amp;"))*6))"),8.0)</f>
        <v>8</v>
      </c>
      <c r="Q14" s="285">
        <f>IFERROR(__xludf.DUMMYFUNCTION("IF($E14*(IF(REGEXMATCH(Q$10,$B14),$A14,1))/(Q$11*IF(REGEXMATCH($C14,Q$9),Q$8,1))*6&gt;6,CEILING($E14*(IF(REGEXMATCH(Q$10,$B14),$A14,1))/(Q$11*IF(REGEXMATCH($C14,Q$9),Q$8,1))*6),FLOOR($E14*(IF(REGEXMATCH(Q$10,$B14),$A14,1))/(Q$11*IF(REGEXMATCH($C14,Q$9),Q$8,1"&amp;"))*6))"),8.0)</f>
        <v>8</v>
      </c>
      <c r="R14" s="285">
        <f>IFERROR(__xludf.DUMMYFUNCTION("IF($E14*(IF(REGEXMATCH(R$10,$B14),$A14,1))/(R$11*IF(REGEXMATCH($C14,R$9),R$8,1))*6&gt;6,CEILING($E14*(IF(REGEXMATCH(R$10,$B14),$A14,1))/(R$11*IF(REGEXMATCH($C14,R$9),R$8,1))*6),FLOOR($E14*(IF(REGEXMATCH(R$10,$B14),$A14,1))/(R$11*IF(REGEXMATCH($C14,R$9),R$8,1"&amp;"))*6))"),5.0)</f>
        <v>5</v>
      </c>
      <c r="S14" s="285">
        <f>IFERROR(__xludf.DUMMYFUNCTION("IF($E14*(IF(REGEXMATCH(S$10,$B14),$A14,1))/(S$11*IF(REGEXMATCH($C14,S$9),S$8,1))*6&gt;6,CEILING($E14*(IF(REGEXMATCH(S$10,$B14),$A14,1))/(S$11*IF(REGEXMATCH($C14,S$9),S$8,1))*6),FLOOR($E14*(IF(REGEXMATCH(S$10,$B14),$A14,1))/(S$11*IF(REGEXMATCH($C14,S$9),S$8,1"&amp;"))*6))"),8.0)</f>
        <v>8</v>
      </c>
      <c r="T14" s="285">
        <f>IFERROR(__xludf.DUMMYFUNCTION("IF($E14*(IF(REGEXMATCH(T$10,$B14),$A14,1))/(T$11*IF(REGEXMATCH($C14,T$9),T$8,1))*6&gt;6,CEILING($E14*(IF(REGEXMATCH(T$10,$B14),$A14,1))/(T$11*IF(REGEXMATCH($C14,T$9),T$8,1))*6),FLOOR($E14*(IF(REGEXMATCH(T$10,$B14),$A14,1))/(T$11*IF(REGEXMATCH($C14,T$9),T$8,1"&amp;"))*6))"),6.0)</f>
        <v>6</v>
      </c>
      <c r="U14" s="285">
        <f>IFERROR(__xludf.DUMMYFUNCTION("IF($E14*(IF(REGEXMATCH(U$10,$B14),$A14,1))/(U$11*IF(REGEXMATCH($C14,U$9),U$8,1))*6&gt;6,CEILING($E14*(IF(REGEXMATCH(U$10,$B14),$A14,1))/(U$11*IF(REGEXMATCH($C14,U$9),U$8,1))*6),FLOOR($E14*(IF(REGEXMATCH(U$10,$B14),$A14,1))/(U$11*IF(REGEXMATCH($C14,U$9),U$8,1"&amp;"))*6))"),8.0)</f>
        <v>8</v>
      </c>
      <c r="V14" s="285">
        <f>IFERROR(__xludf.DUMMYFUNCTION("IF($E14*(IF(REGEXMATCH(V$10,$B14),$A14,1))/(V$11*IF(REGEXMATCH($C14,V$9),V$8,1))*6&gt;6,CEILING($E14*(IF(REGEXMATCH(V$10,$B14),$A14,1))/(V$11*IF(REGEXMATCH($C14,V$9),V$8,1))*6),FLOOR($E14*(IF(REGEXMATCH(V$10,$B14),$A14,1))/(V$11*IF(REGEXMATCH($C14,V$9),V$8,1"&amp;"))*6))"),8.0)</f>
        <v>8</v>
      </c>
      <c r="W14" s="285">
        <f>IFERROR(__xludf.DUMMYFUNCTION("IF($E14*(IF(REGEXMATCH(W$10,$B14),$A14,1))/(W$11*IF(REGEXMATCH($C14,W$9),W$8,1))*6&gt;6,CEILING($E14*(IF(REGEXMATCH(W$10,$B14),$A14,1))/(W$11*IF(REGEXMATCH($C14,W$9),W$8,1))*6),FLOOR($E14*(IF(REGEXMATCH(W$10,$B14),$A14,1))/(W$11*IF(REGEXMATCH($C14,W$9),W$8,1"&amp;"))*6))"),15.0)</f>
        <v>15</v>
      </c>
      <c r="X14" s="285">
        <f>IFERROR(__xludf.DUMMYFUNCTION("IF($E14*(IF(REGEXMATCH(X$10,$B14),$A14,1))/(X$11*IF(REGEXMATCH($C14,X$9),X$8,1))*6&gt;6,CEILING($E14*(IF(REGEXMATCH(X$10,$B14),$A14,1))/(X$11*IF(REGEXMATCH($C14,X$9),X$8,1))*6),FLOOR($E14*(IF(REGEXMATCH(X$10,$B14),$A14,1))/(X$11*IF(REGEXMATCH($C14,X$9),X$8,1"&amp;"))*6))"),10.0)</f>
        <v>10</v>
      </c>
      <c r="Y14" s="285">
        <f>IFERROR(__xludf.DUMMYFUNCTION("IF($E14*(IF(REGEXMATCH(Y$10,$B14),$A14,1))/(Y$11*IF(REGEXMATCH($C14,Y$9),Y$8,1))*6&gt;6,CEILING($E14*(IF(REGEXMATCH(Y$10,$B14),$A14,1))/(Y$11*IF(REGEXMATCH($C14,Y$9),Y$8,1))*6),FLOOR($E14*(IF(REGEXMATCH(Y$10,$B14),$A14,1))/(Y$11*IF(REGEXMATCH($C14,Y$9),Y$8,1"&amp;"))*6))"),8.0)</f>
        <v>8</v>
      </c>
      <c r="Z14" s="285">
        <f>IFERROR(__xludf.DUMMYFUNCTION("IF($E14*(IF(REGEXMATCH(Z$10,$B14),$A14,1))/(Z$11*IF(REGEXMATCH($C14,Z$9),Z$8,1))*6&gt;6,CEILING($E14*(IF(REGEXMATCH(Z$10,$B14),$A14,1))/(Z$11*IF(REGEXMATCH($C14,Z$9),Z$8,1))*6),FLOOR($E14*(IF(REGEXMATCH(Z$10,$B14),$A14,1))/(Z$11*IF(REGEXMATCH($C14,Z$9),Z$8,1"&amp;"))*6))"),10.0)</f>
        <v>10</v>
      </c>
      <c r="AA14" s="285">
        <f>IFERROR(__xludf.DUMMYFUNCTION("IF($E14*(IF(REGEXMATCH(AA$10,$B14),$A14,1))/(AA$11*IF(REGEXMATCH($C14,AA$9),AA$8,1))*6&gt;6,CEILING($E14*(IF(REGEXMATCH(AA$10,$B14),$A14,1))/(AA$11*IF(REGEXMATCH($C14,AA$9),AA$8,1))*6),FLOOR($E14*(IF(REGEXMATCH(AA$10,$B14),$A14,1))/(AA$11*IF(REGEXMATCH($C14,"&amp;"AA$9),AA$8,1))*6))"),10.0)</f>
        <v>10</v>
      </c>
      <c r="AB14" s="285">
        <f>IFERROR(__xludf.DUMMYFUNCTION("IF($E14*(IF(REGEXMATCH(AB$10,$B14),$A14,1))/(AB$11*IF(REGEXMATCH($C14,AB$9),AB$8,1))*6&gt;6,CEILING($E14*(IF(REGEXMATCH(AB$10,$B14),$A14,1))/(AB$11*IF(REGEXMATCH($C14,AB$9),AB$8,1))*6),FLOOR($E14*(IF(REGEXMATCH(AB$10,$B14),$A14,1))/(AB$11*IF(REGEXMATCH($C14,"&amp;"AB$9),AB$8,1))*6))"),15.0)</f>
        <v>15</v>
      </c>
      <c r="AC14" s="285">
        <f>IFERROR(__xludf.DUMMYFUNCTION("IF($E14*(IF(REGEXMATCH(AC$10,$B14),$A14,1))/(AC$11*IF(REGEXMATCH($C14,AC$9),AC$8,1))*6&gt;6,CEILING($E14*(IF(REGEXMATCH(AC$10,$B14),$A14,1))/(AC$11*IF(REGEXMATCH($C14,AC$9),AC$8,1))*6),FLOOR($E14*(IF(REGEXMATCH(AC$10,$B14),$A14,1))/(AC$11*IF(REGEXMATCH($C14,"&amp;"AC$9),AC$8,1))*6))"),15.0)</f>
        <v>15</v>
      </c>
      <c r="AD14" s="285">
        <f>IFERROR(__xludf.DUMMYFUNCTION("IF($E14*(IF(REGEXMATCH(AD$10,$B14),$A14,1))/(AD$11*IF(REGEXMATCH($C14,AD$9),AD$8,1))*6&gt;6,CEILING($E14*(IF(REGEXMATCH(AD$10,$B14),$A14,1))/(AD$11*IF(REGEXMATCH($C14,AD$9),AD$8,1))*6),FLOOR($E14*(IF(REGEXMATCH(AD$10,$B14),$A14,1))/(AD$11*IF(REGEXMATCH($C14,"&amp;"AD$9),AD$8,1))*6))"),10.0)</f>
        <v>10</v>
      </c>
      <c r="AE14" s="285">
        <f>IFERROR(__xludf.DUMMYFUNCTION("IF($E14*(IF(REGEXMATCH(AE$10,$B14),$A14,1))/(AE$11*IF(REGEXMATCH($C14,AE$9),AE$8,1))*6&gt;6,CEILING($E14*(IF(REGEXMATCH(AE$10,$B14),$A14,1))/(AE$11*IF(REGEXMATCH($C14,AE$9),AE$8,1))*6),FLOOR($E14*(IF(REGEXMATCH(AE$10,$B14),$A14,1))/(AE$11*IF(REGEXMATCH($C14,"&amp;"AE$9),AE$8,1))*6))"),10.0)</f>
        <v>10</v>
      </c>
      <c r="AF14" s="285">
        <f>IFERROR(__xludf.DUMMYFUNCTION("IF($E14*(IF(REGEXMATCH(AF$10,$B14),$A14,1))/(AF$11*IF(REGEXMATCH($C14,AF$9),AF$8,1))*6&gt;6,CEILING($E14*(IF(REGEXMATCH(AF$10,$B14),$A14,1))/(AF$11*IF(REGEXMATCH($C14,AF$9),AF$8,1))*6),FLOOR($E14*(IF(REGEXMATCH(AF$10,$B14),$A14,1))/(AF$11*IF(REGEXMATCH($C14,"&amp;"AF$9),AF$8,1))*6))"),10.0)</f>
        <v>10</v>
      </c>
      <c r="AG14" s="285">
        <f>IFERROR(__xludf.DUMMYFUNCTION("IF($E14*(IF(REGEXMATCH(AG$10,$B14),$A14,1))/(AG$11*IF(REGEXMATCH($C14,AG$9),AG$8,1))*6&gt;6,CEILING($E14*(IF(REGEXMATCH(AG$10,$B14),$A14,1))/(AG$11*IF(REGEXMATCH($C14,AG$9),AG$8,1))*6),FLOOR($E14*(IF(REGEXMATCH(AG$10,$B14),$A14,1))/(AG$11*IF(REGEXMATCH($C14,"&amp;"AG$9),AG$8,1))*6))"),7.0)</f>
        <v>7</v>
      </c>
      <c r="AH14" s="285">
        <f>IFERROR(__xludf.DUMMYFUNCTION("IF($E14*(IF(REGEXMATCH(AH$10,$B14),$A14,1))/(AH$11*IF(REGEXMATCH($C14,AH$9),AH$8,1))*6&gt;6,CEILING($E14*(IF(REGEXMATCH(AH$10,$B14),$A14,1))/(AH$11*IF(REGEXMATCH($C14,AH$9),AH$8,1))*6),FLOOR($E14*(IF(REGEXMATCH(AH$10,$B14),$A14,1))/(AH$11*IF(REGEXMATCH($C14,"&amp;"AH$9),AH$8,1))*6))"),10.0)</f>
        <v>10</v>
      </c>
      <c r="AI14" s="285">
        <f>IFERROR(__xludf.DUMMYFUNCTION("IF($E14*(IF(REGEXMATCH(AI$10,$B14),$A14,1))/(AI$11*IF(REGEXMATCH($C14,AI$9),AI$8,1))*6&gt;6,CEILING($E14*(IF(REGEXMATCH(AI$10,$B14),$A14,1))/(AI$11*IF(REGEXMATCH($C14,AI$9),AI$8,1))*6),FLOOR($E14*(IF(REGEXMATCH(AI$10,$B14),$A14,1))/(AI$11*IF(REGEXMATCH($C14,"&amp;"AI$9),AI$8,1))*6))"),8.0)</f>
        <v>8</v>
      </c>
      <c r="AJ14" s="285">
        <f>IFERROR(__xludf.DUMMYFUNCTION("IF($E14*(IF(REGEXMATCH(AJ$10,$B14),$A14,1))/(AJ$11*IF(REGEXMATCH($C14,AJ$9),AJ$8,1))*6&gt;6,CEILING($E14*(IF(REGEXMATCH(AJ$10,$B14),$A14,1))/(AJ$11*IF(REGEXMATCH($C14,AJ$9),AJ$8,1))*6),FLOOR($E14*(IF(REGEXMATCH(AJ$10,$B14),$A14,1))/(AJ$11*IF(REGEXMATCH($C14,"&amp;"AJ$9),AJ$8,1))*6))"),10.0)</f>
        <v>10</v>
      </c>
      <c r="AK14" s="285">
        <f>IFERROR(__xludf.DUMMYFUNCTION("IF($E14*(IF(REGEXMATCH(AK$10,$B14),$A14,1))/(AK$11*IF(REGEXMATCH($C14,AK$9),AK$8,1))*6&gt;6,CEILING($E14*(IF(REGEXMATCH(AK$10,$B14),$A14,1))/(AK$11*IF(REGEXMATCH($C14,AK$9),AK$8,1))*6),FLOOR($E14*(IF(REGEXMATCH(AK$10,$B14),$A14,1))/(AK$11*IF(REGEXMATCH($C14,"&amp;"AK$9),AK$8,1))*6))"),10.0)</f>
        <v>10</v>
      </c>
      <c r="AL14" s="285">
        <f>IFERROR(__xludf.DUMMYFUNCTION("IF($E14*(IF(REGEXMATCH(AL$10,$B14),$A14,1))/(AL$11*IF(REGEXMATCH($C14,AL$9),AL$8,1))*6&gt;6,CEILING($E14*(IF(REGEXMATCH(AL$10,$B14),$A14,1))/(AL$11*IF(REGEXMATCH($C14,AL$9),AL$8,1))*6),FLOOR($E14*(IF(REGEXMATCH(AL$10,$B14),$A14,1))/(AL$11*IF(REGEXMATCH($C14,"&amp;"AL$9),AL$8,1))*6))"),12.0)</f>
        <v>12</v>
      </c>
      <c r="AM14" s="285">
        <f>IFERROR(__xludf.DUMMYFUNCTION("IF($E14*(IF(REGEXMATCH(AM$10,$B14),$A14,1))/(AM$11*IF(REGEXMATCH($C14,AM$9),AM$8,1))*6&gt;6,CEILING($E14*(IF(REGEXMATCH(AM$10,$B14),$A14,1))/(AM$11*IF(REGEXMATCH($C14,AM$9),AM$8,1))*6),FLOOR($E14*(IF(REGEXMATCH(AM$10,$B14),$A14,1))/(AM$11*IF(REGEXMATCH($C14,"&amp;"AM$9),AM$8,1))*6))"),12.0)</f>
        <v>12</v>
      </c>
      <c r="AN14" s="285">
        <f>IFERROR(__xludf.DUMMYFUNCTION("IF($E14*(IF(REGEXMATCH(AN$10,$B14),$A14,1))/(AN$11*IF(REGEXMATCH($C14,AN$9),AN$8,1))*6&gt;6,CEILING($E14*(IF(REGEXMATCH(AN$10,$B14),$A14,1))/(AN$11*IF(REGEXMATCH($C14,AN$9),AN$8,1))*6),FLOOR($E14*(IF(REGEXMATCH(AN$10,$B14),$A14,1))/(AN$11*IF(REGEXMATCH($C14,"&amp;"AN$9),AN$8,1))*6))"),8.0)</f>
        <v>8</v>
      </c>
      <c r="AO14" s="285">
        <f>IFERROR(__xludf.DUMMYFUNCTION("IF($E14*(IF(REGEXMATCH(AO$10,$B14),$A14,1))/(AO$11*IF(REGEXMATCH($C14,AO$9),AO$8,1))*6&gt;6,CEILING($E14*(IF(REGEXMATCH(AO$10,$B14),$A14,1))/(AO$11*IF(REGEXMATCH($C14,AO$9),AO$8,1))*6),FLOOR($E14*(IF(REGEXMATCH(AO$10,$B14),$A14,1))/(AO$11*IF(REGEXMATCH($C14,"&amp;"AO$9),AO$8,1))*6))"),12.0)</f>
        <v>12</v>
      </c>
      <c r="AP14" s="285">
        <f>IFERROR(__xludf.DUMMYFUNCTION("IF($E14*(IF(REGEXMATCH(AP$10,$B14),$A14,1))/(AP$11*IF(REGEXMATCH($C14,AP$9),AP$8,1))*6&gt;6,CEILING($E14*(IF(REGEXMATCH(AP$10,$B14),$A14,1))/(AP$11*IF(REGEXMATCH($C14,AP$9),AP$8,1))*6),FLOOR($E14*(IF(REGEXMATCH(AP$10,$B14),$A14,1))/(AP$11*IF(REGEXMATCH($C14,"&amp;"AP$9),AP$8,1))*6))"),8.0)</f>
        <v>8</v>
      </c>
      <c r="AQ14" s="285">
        <f>IFERROR(__xludf.DUMMYFUNCTION("IF($E14*(IF(REGEXMATCH(AQ$10,$B14),$A14,1))/(AQ$11*IF(REGEXMATCH($C14,AQ$9),AQ$8,1))*6&gt;6,CEILING($E14*(IF(REGEXMATCH(AQ$10,$B14),$A14,1))/(AQ$11*IF(REGEXMATCH($C14,AQ$9),AQ$8,1))*6),FLOOR($E14*(IF(REGEXMATCH(AQ$10,$B14),$A14,1))/(AQ$11*IF(REGEXMATCH($C14,"&amp;"AQ$9),AQ$8,1))*6))"),10.0)</f>
        <v>10</v>
      </c>
      <c r="AR14" s="285">
        <f>IFERROR(__xludf.DUMMYFUNCTION("IF($E14*(IF(REGEXMATCH(AR$10,$B14),$A14,1))/(AR$11*IF(REGEXMATCH($C14,AR$9),AR$8,1))*6&gt;6,CEILING($E14*(IF(REGEXMATCH(AR$10,$B14),$A14,1))/(AR$11*IF(REGEXMATCH($C14,AR$9),AR$8,1))*6),FLOOR($E14*(IF(REGEXMATCH(AR$10,$B14),$A14,1))/(AR$11*IF(REGEXMATCH($C14,"&amp;"AR$9),AR$8,1))*6))"),15.0)</f>
        <v>15</v>
      </c>
      <c r="AS14" s="285">
        <f>IFERROR(__xludf.DUMMYFUNCTION("IF($E14*(IF(REGEXMATCH(AS$10,$B14),$A14,1))/(AS$11*IF(REGEXMATCH($C14,AS$9),AS$8,1))*6&gt;6,CEILING($E14*(IF(REGEXMATCH(AS$10,$B14),$A14,1))/(AS$11*IF(REGEXMATCH($C14,AS$9),AS$8,1))*6),FLOOR($E14*(IF(REGEXMATCH(AS$10,$B14),$A14,1))/(AS$11*IF(REGEXMATCH($C14,"&amp;"AS$9),AS$8,1))*6))"),15.0)</f>
        <v>15</v>
      </c>
      <c r="AT14" s="285">
        <f>IFERROR(__xludf.DUMMYFUNCTION("IF($E14*(IF(REGEXMATCH(AT$10,$B14),$A14,1))/(AT$11*IF(REGEXMATCH($C14,AT$9),AT$8,1))*6&gt;6,CEILING($E14*(IF(REGEXMATCH(AT$10,$B14),$A14,1))/(AT$11*IF(REGEXMATCH($C14,AT$9),AT$8,1))*6),FLOOR($E14*(IF(REGEXMATCH(AT$10,$B14),$A14,1))/(AT$11*IF(REGEXMATCH($C14,"&amp;"AT$9),AT$8,1))*6))"),20.0)</f>
        <v>20</v>
      </c>
    </row>
    <row r="15">
      <c r="A15" s="8">
        <v>1.5</v>
      </c>
      <c r="B15" s="8" t="s">
        <v>2433</v>
      </c>
      <c r="C15" s="285" t="s">
        <v>2584</v>
      </c>
      <c r="D15" s="8"/>
      <c r="E15" s="8">
        <v>8.0</v>
      </c>
      <c r="F15" s="71" t="s">
        <v>2189</v>
      </c>
      <c r="G15" s="285">
        <f>IFERROR(__xludf.DUMMYFUNCTION("IF($E15*(IF(REGEXMATCH(G$10,$B15),$A15,1))/(G$11*IF(REGEXMATCH($C15,G$9),G$8,1))*6&gt;6,CEILING($E15*(IF(REGEXMATCH(G$10,$B15),$A15,1))/(G$11*IF(REGEXMATCH($C15,G$9),G$8,1))*6),FLOOR($E15*(IF(REGEXMATCH(G$10,$B15),$A15,1))/(G$11*IF(REGEXMATCH($C15,G$9),G$8,1"&amp;"))*6))"),4.0)</f>
        <v>4</v>
      </c>
      <c r="H15" s="285">
        <f>IFERROR(__xludf.DUMMYFUNCTION("IF($E15*(IF(REGEXMATCH(H$10,$B15),$A15,1))/(H$11*IF(REGEXMATCH($C15,H$9),H$8,1))*6&gt;6,CEILING($E15*(IF(REGEXMATCH(H$10,$B15),$A15,1))/(H$11*IF(REGEXMATCH($C15,H$9),H$8,1))*6),FLOOR($E15*(IF(REGEXMATCH(H$10,$B15),$A15,1))/(H$11*IF(REGEXMATCH($C15,H$9),H$8,1"&amp;"))*6))"),8.0)</f>
        <v>8</v>
      </c>
      <c r="I15" s="285">
        <f>IFERROR(__xludf.DUMMYFUNCTION("IF($E15*(IF(REGEXMATCH(I$10,$B15),$A15,1))/(I$11*IF(REGEXMATCH($C15,I$9),I$8,1))*6&gt;6,CEILING($E15*(IF(REGEXMATCH(I$10,$B15),$A15,1))/(I$11*IF(REGEXMATCH($C15,I$9),I$8,1))*6),FLOOR($E15*(IF(REGEXMATCH(I$10,$B15),$A15,1))/(I$11*IF(REGEXMATCH($C15,I$9),I$8,1"&amp;"))*6))"),6.0)</f>
        <v>6</v>
      </c>
      <c r="J15" s="285">
        <f>IFERROR(__xludf.DUMMYFUNCTION("IF($E15*(IF(REGEXMATCH(J$10,$B15),$A15,1))/(J$11*IF(REGEXMATCH($C15,J$9),J$8,1))*6&gt;6,CEILING($E15*(IF(REGEXMATCH(J$10,$B15),$A15,1))/(J$11*IF(REGEXMATCH($C15,J$9),J$8,1))*6),FLOOR($E15*(IF(REGEXMATCH(J$10,$B15),$A15,1))/(J$11*IF(REGEXMATCH($C15,J$9),J$8,1"&amp;"))*6))"),6.0)</f>
        <v>6</v>
      </c>
      <c r="K15" s="285">
        <f>IFERROR(__xludf.DUMMYFUNCTION("IF($E15*(IF(REGEXMATCH(K$10,$B15),$A15,1))/(K$11*IF(REGEXMATCH($C15,K$9),K$8,1))*6&gt;6,CEILING($E15*(IF(REGEXMATCH(K$10,$B15),$A15,1))/(K$11*IF(REGEXMATCH($C15,K$9),K$8,1))*6),FLOOR($E15*(IF(REGEXMATCH(K$10,$B15),$A15,1))/(K$11*IF(REGEXMATCH($C15,K$9),K$8,1"&amp;"))*6))"),6.0)</f>
        <v>6</v>
      </c>
      <c r="L15" s="285">
        <f>IFERROR(__xludf.DUMMYFUNCTION("IF($E15*(IF(REGEXMATCH(L$10,$B15),$A15,1))/(L$11*IF(REGEXMATCH($C15,L$9),L$8,1))*6&gt;6,CEILING($E15*(IF(REGEXMATCH(L$10,$B15),$A15,1))/(L$11*IF(REGEXMATCH($C15,L$9),L$8,1))*6),FLOOR($E15*(IF(REGEXMATCH(L$10,$B15),$A15,1))/(L$11*IF(REGEXMATCH($C15,L$9),L$8,1"&amp;"))*6))"),6.0)</f>
        <v>6</v>
      </c>
      <c r="M15" s="285">
        <f>IFERROR(__xludf.DUMMYFUNCTION("IF($E15*(IF(REGEXMATCH(M$10,$B15),$A15,1))/(M$11*IF(REGEXMATCH($C15,M$9),M$8,1))*6&gt;6,CEILING($E15*(IF(REGEXMATCH(M$10,$B15),$A15,1))/(M$11*IF(REGEXMATCH($C15,M$9),M$8,1))*6),FLOOR($E15*(IF(REGEXMATCH(M$10,$B15),$A15,1))/(M$11*IF(REGEXMATCH($C15,M$9),M$8,1"&amp;"))*6))"),9.0)</f>
        <v>9</v>
      </c>
      <c r="N15" s="285">
        <f>IFERROR(__xludf.DUMMYFUNCTION("IF($E15*(IF(REGEXMATCH(N$10,$B15),$A15,1))/(N$11*IF(REGEXMATCH($C15,N$9),N$8,1))*6&gt;6,CEILING($E15*(IF(REGEXMATCH(N$10,$B15),$A15,1))/(N$11*IF(REGEXMATCH($C15,N$9),N$8,1))*6),FLOOR($E15*(IF(REGEXMATCH(N$10,$B15),$A15,1))/(N$11*IF(REGEXMATCH($C15,N$9),N$8,1"&amp;"))*6))"),9.0)</f>
        <v>9</v>
      </c>
      <c r="O15" s="285">
        <f>IFERROR(__xludf.DUMMYFUNCTION("IF($E15*(IF(REGEXMATCH(O$10,$B15),$A15,1))/(O$11*IF(REGEXMATCH($C15,O$9),O$8,1))*6&gt;6,CEILING($E15*(IF(REGEXMATCH(O$10,$B15),$A15,1))/(O$11*IF(REGEXMATCH($C15,O$9),O$8,1))*6),FLOOR($E15*(IF(REGEXMATCH(O$10,$B15),$A15,1))/(O$11*IF(REGEXMATCH($C15,O$9),O$8,1"&amp;"))*6))"),6.0)</f>
        <v>6</v>
      </c>
      <c r="P15" s="285">
        <f>IFERROR(__xludf.DUMMYFUNCTION("IF($E15*(IF(REGEXMATCH(P$10,$B15),$A15,1))/(P$11*IF(REGEXMATCH($C15,P$9),P$8,1))*6&gt;6,CEILING($E15*(IF(REGEXMATCH(P$10,$B15),$A15,1))/(P$11*IF(REGEXMATCH($C15,P$9),P$8,1))*6),FLOOR($E15*(IF(REGEXMATCH(P$10,$B15),$A15,1))/(P$11*IF(REGEXMATCH($C15,P$9),P$8,1"&amp;"))*6))"),9.0)</f>
        <v>9</v>
      </c>
      <c r="Q15" s="285">
        <f>IFERROR(__xludf.DUMMYFUNCTION("IF($E15*(IF(REGEXMATCH(Q$10,$B15),$A15,1))/(Q$11*IF(REGEXMATCH($C15,Q$9),Q$8,1))*6&gt;6,CEILING($E15*(IF(REGEXMATCH(Q$10,$B15),$A15,1))/(Q$11*IF(REGEXMATCH($C15,Q$9),Q$8,1))*6),FLOOR($E15*(IF(REGEXMATCH(Q$10,$B15),$A15,1))/(Q$11*IF(REGEXMATCH($C15,Q$9),Q$8,1"&amp;"))*6))"),6.0)</f>
        <v>6</v>
      </c>
      <c r="R15" s="285">
        <f>IFERROR(__xludf.DUMMYFUNCTION("IF($E15*(IF(REGEXMATCH(R$10,$B15),$A15,1))/(R$11*IF(REGEXMATCH($C15,R$9),R$8,1))*6&gt;6,CEILING($E15*(IF(REGEXMATCH(R$10,$B15),$A15,1))/(R$11*IF(REGEXMATCH($C15,R$9),R$8,1))*6),FLOOR($E15*(IF(REGEXMATCH(R$10,$B15),$A15,1))/(R$11*IF(REGEXMATCH($C15,R$9),R$8,1"&amp;"))*6))"),9.0)</f>
        <v>9</v>
      </c>
      <c r="S15" s="285">
        <f>IFERROR(__xludf.DUMMYFUNCTION("IF($E15*(IF(REGEXMATCH(S$10,$B15),$A15,1))/(S$11*IF(REGEXMATCH($C15,S$9),S$8,1))*6&gt;6,CEILING($E15*(IF(REGEXMATCH(S$10,$B15),$A15,1))/(S$11*IF(REGEXMATCH($C15,S$9),S$8,1))*6),FLOOR($E15*(IF(REGEXMATCH(S$10,$B15),$A15,1))/(S$11*IF(REGEXMATCH($C15,S$9),S$8,1"&amp;"))*6))"),6.0)</f>
        <v>6</v>
      </c>
      <c r="T15" s="285">
        <f>IFERROR(__xludf.DUMMYFUNCTION("IF($E15*(IF(REGEXMATCH(T$10,$B15),$A15,1))/(T$11*IF(REGEXMATCH($C15,T$9),T$8,1))*6&gt;6,CEILING($E15*(IF(REGEXMATCH(T$10,$B15),$A15,1))/(T$11*IF(REGEXMATCH($C15,T$9),T$8,1))*6),FLOOR($E15*(IF(REGEXMATCH(T$10,$B15),$A15,1))/(T$11*IF(REGEXMATCH($C15,T$9),T$8,1"&amp;"))*6))"),9.0)</f>
        <v>9</v>
      </c>
      <c r="U15" s="285">
        <f>IFERROR(__xludf.DUMMYFUNCTION("IF($E15*(IF(REGEXMATCH(U$10,$B15),$A15,1))/(U$11*IF(REGEXMATCH($C15,U$9),U$8,1))*6&gt;6,CEILING($E15*(IF(REGEXMATCH(U$10,$B15),$A15,1))/(U$11*IF(REGEXMATCH($C15,U$9),U$8,1))*6),FLOOR($E15*(IF(REGEXMATCH(U$10,$B15),$A15,1))/(U$11*IF(REGEXMATCH($C15,U$9),U$8,1"&amp;"))*6))"),9.0)</f>
        <v>9</v>
      </c>
      <c r="V15" s="285">
        <f>IFERROR(__xludf.DUMMYFUNCTION("IF($E15*(IF(REGEXMATCH(V$10,$B15),$A15,1))/(V$11*IF(REGEXMATCH($C15,V$9),V$8,1))*6&gt;6,CEILING($E15*(IF(REGEXMATCH(V$10,$B15),$A15,1))/(V$11*IF(REGEXMATCH($C15,V$9),V$8,1))*6),FLOOR($E15*(IF(REGEXMATCH(V$10,$B15),$A15,1))/(V$11*IF(REGEXMATCH($C15,V$9),V$8,1"&amp;"))*6))"),6.0)</f>
        <v>6</v>
      </c>
      <c r="W15" s="285">
        <f>IFERROR(__xludf.DUMMYFUNCTION("IF($E15*(IF(REGEXMATCH(W$10,$B15),$A15,1))/(W$11*IF(REGEXMATCH($C15,W$9),W$8,1))*6&gt;6,CEILING($E15*(IF(REGEXMATCH(W$10,$B15),$A15,1))/(W$11*IF(REGEXMATCH($C15,W$9),W$8,1))*6),FLOOR($E15*(IF(REGEXMATCH(W$10,$B15),$A15,1))/(W$11*IF(REGEXMATCH($C15,W$9),W$8,1"&amp;"))*6))"),8.0)</f>
        <v>8</v>
      </c>
      <c r="X15" s="285">
        <f>IFERROR(__xludf.DUMMYFUNCTION("IF($E15*(IF(REGEXMATCH(X$10,$B15),$A15,1))/(X$11*IF(REGEXMATCH($C15,X$9),X$8,1))*6&gt;6,CEILING($E15*(IF(REGEXMATCH(X$10,$B15),$A15,1))/(X$11*IF(REGEXMATCH($C15,X$9),X$8,1))*6),FLOOR($E15*(IF(REGEXMATCH(X$10,$B15),$A15,1))/(X$11*IF(REGEXMATCH($C15,X$9),X$8,1"&amp;"))*6))"),12.0)</f>
        <v>12</v>
      </c>
      <c r="Y15" s="285">
        <f>IFERROR(__xludf.DUMMYFUNCTION("IF($E15*(IF(REGEXMATCH(Y$10,$B15),$A15,1))/(Y$11*IF(REGEXMATCH($C15,Y$9),Y$8,1))*6&gt;6,CEILING($E15*(IF(REGEXMATCH(Y$10,$B15),$A15,1))/(Y$11*IF(REGEXMATCH($C15,Y$9),Y$8,1))*6),FLOOR($E15*(IF(REGEXMATCH(Y$10,$B15),$A15,1))/(Y$11*IF(REGEXMATCH($C15,Y$9),Y$8,1"&amp;"))*6))"),12.0)</f>
        <v>12</v>
      </c>
      <c r="Z15" s="285">
        <f>IFERROR(__xludf.DUMMYFUNCTION("IF($E15*(IF(REGEXMATCH(Z$10,$B15),$A15,1))/(Z$11*IF(REGEXMATCH($C15,Z$9),Z$8,1))*6&gt;6,CEILING($E15*(IF(REGEXMATCH(Z$10,$B15),$A15,1))/(Z$11*IF(REGEXMATCH($C15,Z$9),Z$8,1))*6),FLOOR($E15*(IF(REGEXMATCH(Z$10,$B15),$A15,1))/(Z$11*IF(REGEXMATCH($C15,Z$9),Z$8,1"&amp;"))*6))"),12.0)</f>
        <v>12</v>
      </c>
      <c r="AA15" s="285">
        <f>IFERROR(__xludf.DUMMYFUNCTION("IF($E15*(IF(REGEXMATCH(AA$10,$B15),$A15,1))/(AA$11*IF(REGEXMATCH($C15,AA$9),AA$8,1))*6&gt;6,CEILING($E15*(IF(REGEXMATCH(AA$10,$B15),$A15,1))/(AA$11*IF(REGEXMATCH($C15,AA$9),AA$8,1))*6),FLOOR($E15*(IF(REGEXMATCH(AA$10,$B15),$A15,1))/(AA$11*IF(REGEXMATCH($C15,"&amp;"AA$9),AA$8,1))*6))"),8.0)</f>
        <v>8</v>
      </c>
      <c r="AB15" s="285">
        <f>IFERROR(__xludf.DUMMYFUNCTION("IF($E15*(IF(REGEXMATCH(AB$10,$B15),$A15,1))/(AB$11*IF(REGEXMATCH($C15,AB$9),AB$8,1))*6&gt;6,CEILING($E15*(IF(REGEXMATCH(AB$10,$B15),$A15,1))/(AB$11*IF(REGEXMATCH($C15,AB$9),AB$8,1))*6),FLOOR($E15*(IF(REGEXMATCH(AB$10,$B15),$A15,1))/(AB$11*IF(REGEXMATCH($C15,"&amp;"AB$9),AB$8,1))*6))"),8.0)</f>
        <v>8</v>
      </c>
      <c r="AC15" s="285">
        <f>IFERROR(__xludf.DUMMYFUNCTION("IF($E15*(IF(REGEXMATCH(AC$10,$B15),$A15,1))/(AC$11*IF(REGEXMATCH($C15,AC$9),AC$8,1))*6&gt;6,CEILING($E15*(IF(REGEXMATCH(AC$10,$B15),$A15,1))/(AC$11*IF(REGEXMATCH($C15,AC$9),AC$8,1))*6),FLOOR($E15*(IF(REGEXMATCH(AC$10,$B15),$A15,1))/(AC$11*IF(REGEXMATCH($C15,"&amp;"AC$9),AC$8,1))*6))"),12.0)</f>
        <v>12</v>
      </c>
      <c r="AD15" s="285">
        <f>IFERROR(__xludf.DUMMYFUNCTION("IF($E15*(IF(REGEXMATCH(AD$10,$B15),$A15,1))/(AD$11*IF(REGEXMATCH($C15,AD$9),AD$8,1))*6&gt;6,CEILING($E15*(IF(REGEXMATCH(AD$10,$B15),$A15,1))/(AD$11*IF(REGEXMATCH($C15,AD$9),AD$8,1))*6),FLOOR($E15*(IF(REGEXMATCH(AD$10,$B15),$A15,1))/(AD$11*IF(REGEXMATCH($C15,"&amp;"AD$9),AD$8,1))*6))"),8.0)</f>
        <v>8</v>
      </c>
      <c r="AE15" s="285">
        <f>IFERROR(__xludf.DUMMYFUNCTION("IF($E15*(IF(REGEXMATCH(AE$10,$B15),$A15,1))/(AE$11*IF(REGEXMATCH($C15,AE$9),AE$8,1))*6&gt;6,CEILING($E15*(IF(REGEXMATCH(AE$10,$B15),$A15,1))/(AE$11*IF(REGEXMATCH($C15,AE$9),AE$8,1))*6),FLOOR($E15*(IF(REGEXMATCH(AE$10,$B15),$A15,1))/(AE$11*IF(REGEXMATCH($C15,"&amp;"AE$9),AE$8,1))*6))"),12.0)</f>
        <v>12</v>
      </c>
      <c r="AF15" s="285">
        <f>IFERROR(__xludf.DUMMYFUNCTION("IF($E15*(IF(REGEXMATCH(AF$10,$B15),$A15,1))/(AF$11*IF(REGEXMATCH($C15,AF$9),AF$8,1))*6&gt;6,CEILING($E15*(IF(REGEXMATCH(AF$10,$B15),$A15,1))/(AF$11*IF(REGEXMATCH($C15,AF$9),AF$8,1))*6),FLOOR($E15*(IF(REGEXMATCH(AF$10,$B15),$A15,1))/(AF$11*IF(REGEXMATCH($C15,"&amp;"AF$9),AF$8,1))*6))"),8.0)</f>
        <v>8</v>
      </c>
      <c r="AG15" s="285">
        <f>IFERROR(__xludf.DUMMYFUNCTION("IF($E15*(IF(REGEXMATCH(AG$10,$B15),$A15,1))/(AG$11*IF(REGEXMATCH($C15,AG$9),AG$8,1))*6&gt;6,CEILING($E15*(IF(REGEXMATCH(AG$10,$B15),$A15,1))/(AG$11*IF(REGEXMATCH($C15,AG$9),AG$8,1))*6),FLOOR($E15*(IF(REGEXMATCH(AG$10,$B15),$A15,1))/(AG$11*IF(REGEXMATCH($C15,"&amp;"AG$9),AG$8,1))*6))"),12.0)</f>
        <v>12</v>
      </c>
      <c r="AH15" s="285">
        <f>IFERROR(__xludf.DUMMYFUNCTION("IF($E15*(IF(REGEXMATCH(AH$10,$B15),$A15,1))/(AH$11*IF(REGEXMATCH($C15,AH$9),AH$8,1))*6&gt;6,CEILING($E15*(IF(REGEXMATCH(AH$10,$B15),$A15,1))/(AH$11*IF(REGEXMATCH($C15,AH$9),AH$8,1))*6),FLOOR($E15*(IF(REGEXMATCH(AH$10,$B15),$A15,1))/(AH$11*IF(REGEXMATCH($C15,"&amp;"AH$9),AH$8,1))*6))"),8.0)</f>
        <v>8</v>
      </c>
      <c r="AI15" s="285">
        <f>IFERROR(__xludf.DUMMYFUNCTION("IF($E15*(IF(REGEXMATCH(AI$10,$B15),$A15,1))/(AI$11*IF(REGEXMATCH($C15,AI$9),AI$8,1))*6&gt;6,CEILING($E15*(IF(REGEXMATCH(AI$10,$B15),$A15,1))/(AI$11*IF(REGEXMATCH($C15,AI$9),AI$8,1))*6),FLOOR($E15*(IF(REGEXMATCH(AI$10,$B15),$A15,1))/(AI$11*IF(REGEXMATCH($C15,"&amp;"AI$9),AI$8,1))*6))"),12.0)</f>
        <v>12</v>
      </c>
      <c r="AJ15" s="285">
        <f>IFERROR(__xludf.DUMMYFUNCTION("IF($E15*(IF(REGEXMATCH(AJ$10,$B15),$A15,1))/(AJ$11*IF(REGEXMATCH($C15,AJ$9),AJ$8,1))*6&gt;6,CEILING($E15*(IF(REGEXMATCH(AJ$10,$B15),$A15,1))/(AJ$11*IF(REGEXMATCH($C15,AJ$9),AJ$8,1))*6),FLOOR($E15*(IF(REGEXMATCH(AJ$10,$B15),$A15,1))/(AJ$11*IF(REGEXMATCH($C15,"&amp;"AJ$9),AJ$8,1))*6))"),12.0)</f>
        <v>12</v>
      </c>
      <c r="AK15" s="285">
        <f>IFERROR(__xludf.DUMMYFUNCTION("IF($E15*(IF(REGEXMATCH(AK$10,$B15),$A15,1))/(AK$11*IF(REGEXMATCH($C15,AK$9),AK$8,1))*6&gt;6,CEILING($E15*(IF(REGEXMATCH(AK$10,$B15),$A15,1))/(AK$11*IF(REGEXMATCH($C15,AK$9),AK$8,1))*6),FLOOR($E15*(IF(REGEXMATCH(AK$10,$B15),$A15,1))/(AK$11*IF(REGEXMATCH($C15,"&amp;"AK$9),AK$8,1))*6))"),8.0)</f>
        <v>8</v>
      </c>
      <c r="AL15" s="285">
        <f>IFERROR(__xludf.DUMMYFUNCTION("IF($E15*(IF(REGEXMATCH(AL$10,$B15),$A15,1))/(AL$11*IF(REGEXMATCH($C15,AL$9),AL$8,1))*6&gt;6,CEILING($E15*(IF(REGEXMATCH(AL$10,$B15),$A15,1))/(AL$11*IF(REGEXMATCH($C15,AL$9),AL$8,1))*6),FLOOR($E15*(IF(REGEXMATCH(AL$10,$B15),$A15,1))/(AL$11*IF(REGEXMATCH($C15,"&amp;"AL$9),AL$8,1))*6))"),15.0)</f>
        <v>15</v>
      </c>
      <c r="AM15" s="285">
        <f>IFERROR(__xludf.DUMMYFUNCTION("IF($E15*(IF(REGEXMATCH(AM$10,$B15),$A15,1))/(AM$11*IF(REGEXMATCH($C15,AM$9),AM$8,1))*6&gt;6,CEILING($E15*(IF(REGEXMATCH(AM$10,$B15),$A15,1))/(AM$11*IF(REGEXMATCH($C15,AM$9),AM$8,1))*6),FLOOR($E15*(IF(REGEXMATCH(AM$10,$B15),$A15,1))/(AM$11*IF(REGEXMATCH($C15,"&amp;"AM$9),AM$8,1))*6))"),15.0)</f>
        <v>15</v>
      </c>
      <c r="AN15" s="285">
        <f>IFERROR(__xludf.DUMMYFUNCTION("IF($E15*(IF(REGEXMATCH(AN$10,$B15),$A15,1))/(AN$11*IF(REGEXMATCH($C15,AN$9),AN$8,1))*6&gt;6,CEILING($E15*(IF(REGEXMATCH(AN$10,$B15),$A15,1))/(AN$11*IF(REGEXMATCH($C15,AN$9),AN$8,1))*6),FLOOR($E15*(IF(REGEXMATCH(AN$10,$B15),$A15,1))/(AN$11*IF(REGEXMATCH($C15,"&amp;"AN$9),AN$8,1))*6))"),15.0)</f>
        <v>15</v>
      </c>
      <c r="AO15" s="285">
        <f>IFERROR(__xludf.DUMMYFUNCTION("IF($E15*(IF(REGEXMATCH(AO$10,$B15),$A15,1))/(AO$11*IF(REGEXMATCH($C15,AO$9),AO$8,1))*6&gt;6,CEILING($E15*(IF(REGEXMATCH(AO$10,$B15),$A15,1))/(AO$11*IF(REGEXMATCH($C15,AO$9),AO$8,1))*6),FLOOR($E15*(IF(REGEXMATCH(AO$10,$B15),$A15,1))/(AO$11*IF(REGEXMATCH($C15,"&amp;"AO$9),AO$8,1))*6))"),10.0)</f>
        <v>10</v>
      </c>
      <c r="AP15" s="285">
        <f>IFERROR(__xludf.DUMMYFUNCTION("IF($E15*(IF(REGEXMATCH(AP$10,$B15),$A15,1))/(AP$11*IF(REGEXMATCH($C15,AP$9),AP$8,1))*6&gt;6,CEILING($E15*(IF(REGEXMATCH(AP$10,$B15),$A15,1))/(AP$11*IF(REGEXMATCH($C15,AP$9),AP$8,1))*6),FLOOR($E15*(IF(REGEXMATCH(AP$10,$B15),$A15,1))/(AP$11*IF(REGEXMATCH($C15,"&amp;"AP$9),AP$8,1))*6))"),10.0)</f>
        <v>10</v>
      </c>
      <c r="AQ15" s="285">
        <f>IFERROR(__xludf.DUMMYFUNCTION("IF($E15*(IF(REGEXMATCH(AQ$10,$B15),$A15,1))/(AQ$11*IF(REGEXMATCH($C15,AQ$9),AQ$8,1))*6&gt;6,CEILING($E15*(IF(REGEXMATCH(AQ$10,$B15),$A15,1))/(AQ$11*IF(REGEXMATCH($C15,AQ$9),AQ$8,1))*6),FLOOR($E15*(IF(REGEXMATCH(AQ$10,$B15),$A15,1))/(AQ$11*IF(REGEXMATCH($C15,"&amp;"AQ$9),AQ$8,1))*6))"),15.0)</f>
        <v>15</v>
      </c>
      <c r="AR15" s="285">
        <f>IFERROR(__xludf.DUMMYFUNCTION("IF($E15*(IF(REGEXMATCH(AR$10,$B15),$A15,1))/(AR$11*IF(REGEXMATCH($C15,AR$9),AR$8,1))*6&gt;6,CEILING($E15*(IF(REGEXMATCH(AR$10,$B15),$A15,1))/(AR$11*IF(REGEXMATCH($C15,AR$9),AR$8,1))*6),FLOOR($E15*(IF(REGEXMATCH(AR$10,$B15),$A15,1))/(AR$11*IF(REGEXMATCH($C15,"&amp;"AR$9),AR$8,1))*6))"),18.0)</f>
        <v>18</v>
      </c>
      <c r="AS15" s="285">
        <f>IFERROR(__xludf.DUMMYFUNCTION("IF($E15*(IF(REGEXMATCH(AS$10,$B15),$A15,1))/(AS$11*IF(REGEXMATCH($C15,AS$9),AS$8,1))*6&gt;6,CEILING($E15*(IF(REGEXMATCH(AS$10,$B15),$A15,1))/(AS$11*IF(REGEXMATCH($C15,AS$9),AS$8,1))*6),FLOOR($E15*(IF(REGEXMATCH(AS$10,$B15),$A15,1))/(AS$11*IF(REGEXMATCH($C15,"&amp;"AS$9),AS$8,1))*6))"),12.0)</f>
        <v>12</v>
      </c>
      <c r="AT15" s="285">
        <f>IFERROR(__xludf.DUMMYFUNCTION("IF($E15*(IF(REGEXMATCH(AT$10,$B15),$A15,1))/(AT$11*IF(REGEXMATCH($C15,AT$9),AT$8,1))*6&gt;6,CEILING($E15*(IF(REGEXMATCH(AT$10,$B15),$A15,1))/(AT$11*IF(REGEXMATCH($C15,AT$9),AT$8,1))*6),FLOOR($E15*(IF(REGEXMATCH(AT$10,$B15),$A15,1))/(AT$11*IF(REGEXMATCH($C15,"&amp;"AT$9),AT$8,1))*6))"),24.0)</f>
        <v>24</v>
      </c>
    </row>
    <row r="16">
      <c r="A16" s="8">
        <v>1.5</v>
      </c>
      <c r="B16" s="8" t="s">
        <v>2432</v>
      </c>
      <c r="C16" s="285" t="s">
        <v>2585</v>
      </c>
      <c r="D16" s="8"/>
      <c r="E16" s="8">
        <v>8.0</v>
      </c>
      <c r="F16" s="48" t="s">
        <v>2228</v>
      </c>
      <c r="G16" s="285">
        <f>IFERROR(__xludf.DUMMYFUNCTION("IF($E16*(IF(REGEXMATCH(G$10,$B16),$A16,1))/(G$11*IF(REGEXMATCH($C16,G$9),G$8,1))*6&gt;6,CEILING($E16*(IF(REGEXMATCH(G$10,$B16),$A16,1))/(G$11*IF(REGEXMATCH($C16,G$9),G$8,1))*6),FLOOR($E16*(IF(REGEXMATCH(G$10,$B16),$A16,1))/(G$11*IF(REGEXMATCH($C16,G$9),G$8,1"&amp;"))*6))"),4.0)</f>
        <v>4</v>
      </c>
      <c r="H16" s="285">
        <f>IFERROR(__xludf.DUMMYFUNCTION("IF($E16*(IF(REGEXMATCH(H$10,$B16),$A16,1))/(H$11*IF(REGEXMATCH($C16,H$9),H$8,1))*6&gt;6,CEILING($E16*(IF(REGEXMATCH(H$10,$B16),$A16,1))/(H$11*IF(REGEXMATCH($C16,H$9),H$8,1))*6),FLOOR($E16*(IF(REGEXMATCH(H$10,$B16),$A16,1))/(H$11*IF(REGEXMATCH($C16,H$9),H$8,1"&amp;"))*6))"),4.0)</f>
        <v>4</v>
      </c>
      <c r="I16" s="285">
        <f>IFERROR(__xludf.DUMMYFUNCTION("IF($E16*(IF(REGEXMATCH(I$10,$B16),$A16,1))/(I$11*IF(REGEXMATCH($C16,I$9),I$8,1))*6&gt;6,CEILING($E16*(IF(REGEXMATCH(I$10,$B16),$A16,1))/(I$11*IF(REGEXMATCH($C16,I$9),I$8,1))*6),FLOOR($E16*(IF(REGEXMATCH(I$10,$B16),$A16,1))/(I$11*IF(REGEXMATCH($C16,I$9),I$8,1"&amp;"))*6))"),6.0)</f>
        <v>6</v>
      </c>
      <c r="J16" s="285">
        <f>IFERROR(__xludf.DUMMYFUNCTION("IF($E16*(IF(REGEXMATCH(J$10,$B16),$A16,1))/(J$11*IF(REGEXMATCH($C16,J$9),J$8,1))*6&gt;6,CEILING($E16*(IF(REGEXMATCH(J$10,$B16),$A16,1))/(J$11*IF(REGEXMATCH($C16,J$9),J$8,1))*6),FLOOR($E16*(IF(REGEXMATCH(J$10,$B16),$A16,1))/(J$11*IF(REGEXMATCH($C16,J$9),J$8,1"&amp;"))*6))"),6.0)</f>
        <v>6</v>
      </c>
      <c r="K16" s="285">
        <f>IFERROR(__xludf.DUMMYFUNCTION("IF($E16*(IF(REGEXMATCH(K$10,$B16),$A16,1))/(K$11*IF(REGEXMATCH($C16,K$9),K$8,1))*6&gt;6,CEILING($E16*(IF(REGEXMATCH(K$10,$B16),$A16,1))/(K$11*IF(REGEXMATCH($C16,K$9),K$8,1))*6),FLOOR($E16*(IF(REGEXMATCH(K$10,$B16),$A16,1))/(K$11*IF(REGEXMATCH($C16,K$9),K$8,1"&amp;"))*6))"),9.0)</f>
        <v>9</v>
      </c>
      <c r="L16" s="285">
        <f>IFERROR(__xludf.DUMMYFUNCTION("IF($E16*(IF(REGEXMATCH(L$10,$B16),$A16,1))/(L$11*IF(REGEXMATCH($C16,L$9),L$8,1))*6&gt;6,CEILING($E16*(IF(REGEXMATCH(L$10,$B16),$A16,1))/(L$11*IF(REGEXMATCH($C16,L$9),L$8,1))*6),FLOOR($E16*(IF(REGEXMATCH(L$10,$B16),$A16,1))/(L$11*IF(REGEXMATCH($C16,L$9),L$8,1"&amp;"))*6))"),6.0)</f>
        <v>6</v>
      </c>
      <c r="M16" s="285">
        <f>IFERROR(__xludf.DUMMYFUNCTION("IF($E16*(IF(REGEXMATCH(M$10,$B16),$A16,1))/(M$11*IF(REGEXMATCH($C16,M$9),M$8,1))*6&gt;6,CEILING($E16*(IF(REGEXMATCH(M$10,$B16),$A16,1))/(M$11*IF(REGEXMATCH($C16,M$9),M$8,1))*6),FLOOR($E16*(IF(REGEXMATCH(M$10,$B16),$A16,1))/(M$11*IF(REGEXMATCH($C16,M$9),M$8,1"&amp;"))*6))"),9.0)</f>
        <v>9</v>
      </c>
      <c r="N16" s="285">
        <f>IFERROR(__xludf.DUMMYFUNCTION("IF($E16*(IF(REGEXMATCH(N$10,$B16),$A16,1))/(N$11*IF(REGEXMATCH($C16,N$9),N$8,1))*6&gt;6,CEILING($E16*(IF(REGEXMATCH(N$10,$B16),$A16,1))/(N$11*IF(REGEXMATCH($C16,N$9),N$8,1))*6),FLOOR($E16*(IF(REGEXMATCH(N$10,$B16),$A16,1))/(N$11*IF(REGEXMATCH($C16,N$9),N$8,1"&amp;"))*6))"),6.0)</f>
        <v>6</v>
      </c>
      <c r="O16" s="285">
        <f>IFERROR(__xludf.DUMMYFUNCTION("IF($E16*(IF(REGEXMATCH(O$10,$B16),$A16,1))/(O$11*IF(REGEXMATCH($C16,O$9),O$8,1))*6&gt;6,CEILING($E16*(IF(REGEXMATCH(O$10,$B16),$A16,1))/(O$11*IF(REGEXMATCH($C16,O$9),O$8,1))*6),FLOOR($E16*(IF(REGEXMATCH(O$10,$B16),$A16,1))/(O$11*IF(REGEXMATCH($C16,O$9),O$8,1"&amp;"))*6))"),9.0)</f>
        <v>9</v>
      </c>
      <c r="P16" s="285">
        <f>IFERROR(__xludf.DUMMYFUNCTION("IF($E16*(IF(REGEXMATCH(P$10,$B16),$A16,1))/(P$11*IF(REGEXMATCH($C16,P$9),P$8,1))*6&gt;6,CEILING($E16*(IF(REGEXMATCH(P$10,$B16),$A16,1))/(P$11*IF(REGEXMATCH($C16,P$9),P$8,1))*6),FLOOR($E16*(IF(REGEXMATCH(P$10,$B16),$A16,1))/(P$11*IF(REGEXMATCH($C16,P$9),P$8,1"&amp;"))*6))"),6.0)</f>
        <v>6</v>
      </c>
      <c r="Q16" s="285">
        <f>IFERROR(__xludf.DUMMYFUNCTION("IF($E16*(IF(REGEXMATCH(Q$10,$B16),$A16,1))/(Q$11*IF(REGEXMATCH($C16,Q$9),Q$8,1))*6&gt;6,CEILING($E16*(IF(REGEXMATCH(Q$10,$B16),$A16,1))/(Q$11*IF(REGEXMATCH($C16,Q$9),Q$8,1))*6),FLOOR($E16*(IF(REGEXMATCH(Q$10,$B16),$A16,1))/(Q$11*IF(REGEXMATCH($C16,Q$9),Q$8,1"&amp;"))*6))"),6.0)</f>
        <v>6</v>
      </c>
      <c r="R16" s="285">
        <f>IFERROR(__xludf.DUMMYFUNCTION("IF($E16*(IF(REGEXMATCH(R$10,$B16),$A16,1))/(R$11*IF(REGEXMATCH($C16,R$9),R$8,1))*6&gt;6,CEILING($E16*(IF(REGEXMATCH(R$10,$B16),$A16,1))/(R$11*IF(REGEXMATCH($C16,R$9),R$8,1))*6),FLOOR($E16*(IF(REGEXMATCH(R$10,$B16),$A16,1))/(R$11*IF(REGEXMATCH($C16,R$9),R$8,1"&amp;"))*6))"),9.0)</f>
        <v>9</v>
      </c>
      <c r="S16" s="285">
        <f>IFERROR(__xludf.DUMMYFUNCTION("IF($E16*(IF(REGEXMATCH(S$10,$B16),$A16,1))/(S$11*IF(REGEXMATCH($C16,S$9),S$8,1))*6&gt;6,CEILING($E16*(IF(REGEXMATCH(S$10,$B16),$A16,1))/(S$11*IF(REGEXMATCH($C16,S$9),S$8,1))*6),FLOOR($E16*(IF(REGEXMATCH(S$10,$B16),$A16,1))/(S$11*IF(REGEXMATCH($C16,S$9),S$8,1"&amp;"))*6))"),6.0)</f>
        <v>6</v>
      </c>
      <c r="T16" s="285">
        <f>IFERROR(__xludf.DUMMYFUNCTION("IF($E16*(IF(REGEXMATCH(T$10,$B16),$A16,1))/(T$11*IF(REGEXMATCH($C16,T$9),T$8,1))*6&gt;6,CEILING($E16*(IF(REGEXMATCH(T$10,$B16),$A16,1))/(T$11*IF(REGEXMATCH($C16,T$9),T$8,1))*6),FLOOR($E16*(IF(REGEXMATCH(T$10,$B16),$A16,1))/(T$11*IF(REGEXMATCH($C16,T$9),T$8,1"&amp;"))*6))"),8.0)</f>
        <v>8</v>
      </c>
      <c r="U16" s="285">
        <f>IFERROR(__xludf.DUMMYFUNCTION("IF($E16*(IF(REGEXMATCH(U$10,$B16),$A16,1))/(U$11*IF(REGEXMATCH($C16,U$9),U$8,1))*6&gt;6,CEILING($E16*(IF(REGEXMATCH(U$10,$B16),$A16,1))/(U$11*IF(REGEXMATCH($C16,U$9),U$8,1))*6),FLOOR($E16*(IF(REGEXMATCH(U$10,$B16),$A16,1))/(U$11*IF(REGEXMATCH($C16,U$9),U$8,1"&amp;"))*6))"),6.0)</f>
        <v>6</v>
      </c>
      <c r="V16" s="285">
        <f>IFERROR(__xludf.DUMMYFUNCTION("IF($E16*(IF(REGEXMATCH(V$10,$B16),$A16,1))/(V$11*IF(REGEXMATCH($C16,V$9),V$8,1))*6&gt;6,CEILING($E16*(IF(REGEXMATCH(V$10,$B16),$A16,1))/(V$11*IF(REGEXMATCH($C16,V$9),V$8,1))*6),FLOOR($E16*(IF(REGEXMATCH(V$10,$B16),$A16,1))/(V$11*IF(REGEXMATCH($C16,V$9),V$8,1"&amp;"))*6))"),9.0)</f>
        <v>9</v>
      </c>
      <c r="W16" s="285">
        <f>IFERROR(__xludf.DUMMYFUNCTION("IF($E16*(IF(REGEXMATCH(W$10,$B16),$A16,1))/(W$11*IF(REGEXMATCH($C16,W$9),W$8,1))*6&gt;6,CEILING($E16*(IF(REGEXMATCH(W$10,$B16),$A16,1))/(W$11*IF(REGEXMATCH($C16,W$9),W$8,1))*6),FLOOR($E16*(IF(REGEXMATCH(W$10,$B16),$A16,1))/(W$11*IF(REGEXMATCH($C16,W$9),W$8,1"&amp;"))*6))"),8.0)</f>
        <v>8</v>
      </c>
      <c r="X16" s="285">
        <f>IFERROR(__xludf.DUMMYFUNCTION("IF($E16*(IF(REGEXMATCH(X$10,$B16),$A16,1))/(X$11*IF(REGEXMATCH($C16,X$9),X$8,1))*6&gt;6,CEILING($E16*(IF(REGEXMATCH(X$10,$B16),$A16,1))/(X$11*IF(REGEXMATCH($C16,X$9),X$8,1))*6),FLOOR($E16*(IF(REGEXMATCH(X$10,$B16),$A16,1))/(X$11*IF(REGEXMATCH($C16,X$9),X$8,1"&amp;"))*6))"),8.0)</f>
        <v>8</v>
      </c>
      <c r="Y16" s="285">
        <f>IFERROR(__xludf.DUMMYFUNCTION("IF($E16*(IF(REGEXMATCH(Y$10,$B16),$A16,1))/(Y$11*IF(REGEXMATCH($C16,Y$9),Y$8,1))*6&gt;6,CEILING($E16*(IF(REGEXMATCH(Y$10,$B16),$A16,1))/(Y$11*IF(REGEXMATCH($C16,Y$9),Y$8,1))*6),FLOOR($E16*(IF(REGEXMATCH(Y$10,$B16),$A16,1))/(Y$11*IF(REGEXMATCH($C16,Y$9),Y$8,1"&amp;"))*6))"),10.0)</f>
        <v>10</v>
      </c>
      <c r="Z16" s="285">
        <f>IFERROR(__xludf.DUMMYFUNCTION("IF($E16*(IF(REGEXMATCH(Z$10,$B16),$A16,1))/(Z$11*IF(REGEXMATCH($C16,Z$9),Z$8,1))*6&gt;6,CEILING($E16*(IF(REGEXMATCH(Z$10,$B16),$A16,1))/(Z$11*IF(REGEXMATCH($C16,Z$9),Z$8,1))*6),FLOOR($E16*(IF(REGEXMATCH(Z$10,$B16),$A16,1))/(Z$11*IF(REGEXMATCH($C16,Z$9),Z$8,1"&amp;"))*6))"),8.0)</f>
        <v>8</v>
      </c>
      <c r="AA16" s="285">
        <f>IFERROR(__xludf.DUMMYFUNCTION("IF($E16*(IF(REGEXMATCH(AA$10,$B16),$A16,1))/(AA$11*IF(REGEXMATCH($C16,AA$9),AA$8,1))*6&gt;6,CEILING($E16*(IF(REGEXMATCH(AA$10,$B16),$A16,1))/(AA$11*IF(REGEXMATCH($C16,AA$9),AA$8,1))*6),FLOOR($E16*(IF(REGEXMATCH(AA$10,$B16),$A16,1))/(AA$11*IF(REGEXMATCH($C16,"&amp;"AA$9),AA$8,1))*6))"),8.0)</f>
        <v>8</v>
      </c>
      <c r="AB16" s="285">
        <f>IFERROR(__xludf.DUMMYFUNCTION("IF($E16*(IF(REGEXMATCH(AB$10,$B16),$A16,1))/(AB$11*IF(REGEXMATCH($C16,AB$9),AB$8,1))*6&gt;6,CEILING($E16*(IF(REGEXMATCH(AB$10,$B16),$A16,1))/(AB$11*IF(REGEXMATCH($C16,AB$9),AB$8,1))*6),FLOOR($E16*(IF(REGEXMATCH(AB$10,$B16),$A16,1))/(AB$11*IF(REGEXMATCH($C16,"&amp;"AB$9),AB$8,1))*6))"),8.0)</f>
        <v>8</v>
      </c>
      <c r="AC16" s="285">
        <f>IFERROR(__xludf.DUMMYFUNCTION("IF($E16*(IF(REGEXMATCH(AC$10,$B16),$A16,1))/(AC$11*IF(REGEXMATCH($C16,AC$9),AC$8,1))*6&gt;6,CEILING($E16*(IF(REGEXMATCH(AC$10,$B16),$A16,1))/(AC$11*IF(REGEXMATCH($C16,AC$9),AC$8,1))*6),FLOOR($E16*(IF(REGEXMATCH(AC$10,$B16),$A16,1))/(AC$11*IF(REGEXMATCH($C16,"&amp;"AC$9),AC$8,1))*6))"),8.0)</f>
        <v>8</v>
      </c>
      <c r="AD16" s="285">
        <f>IFERROR(__xludf.DUMMYFUNCTION("IF($E16*(IF(REGEXMATCH(AD$10,$B16),$A16,1))/(AD$11*IF(REGEXMATCH($C16,AD$9),AD$8,1))*6&gt;6,CEILING($E16*(IF(REGEXMATCH(AD$10,$B16),$A16,1))/(AD$11*IF(REGEXMATCH($C16,AD$9),AD$8,1))*6),FLOOR($E16*(IF(REGEXMATCH(AD$10,$B16),$A16,1))/(AD$11*IF(REGEXMATCH($C16,"&amp;"AD$9),AD$8,1))*6))"),12.0)</f>
        <v>12</v>
      </c>
      <c r="AE16" s="285">
        <f>IFERROR(__xludf.DUMMYFUNCTION("IF($E16*(IF(REGEXMATCH(AE$10,$B16),$A16,1))/(AE$11*IF(REGEXMATCH($C16,AE$9),AE$8,1))*6&gt;6,CEILING($E16*(IF(REGEXMATCH(AE$10,$B16),$A16,1))/(AE$11*IF(REGEXMATCH($C16,AE$9),AE$8,1))*6),FLOOR($E16*(IF(REGEXMATCH(AE$10,$B16),$A16,1))/(AE$11*IF(REGEXMATCH($C16,"&amp;"AE$9),AE$8,1))*6))"),8.0)</f>
        <v>8</v>
      </c>
      <c r="AF16" s="285">
        <f>IFERROR(__xludf.DUMMYFUNCTION("IF($E16*(IF(REGEXMATCH(AF$10,$B16),$A16,1))/(AF$11*IF(REGEXMATCH($C16,AF$9),AF$8,1))*6&gt;6,CEILING($E16*(IF(REGEXMATCH(AF$10,$B16),$A16,1))/(AF$11*IF(REGEXMATCH($C16,AF$9),AF$8,1))*6),FLOOR($E16*(IF(REGEXMATCH(AF$10,$B16),$A16,1))/(AF$11*IF(REGEXMATCH($C16,"&amp;"AF$9),AF$8,1))*6))"),8.0)</f>
        <v>8</v>
      </c>
      <c r="AG16" s="285">
        <f>IFERROR(__xludf.DUMMYFUNCTION("IF($E16*(IF(REGEXMATCH(AG$10,$B16),$A16,1))/(AG$11*IF(REGEXMATCH($C16,AG$9),AG$8,1))*6&gt;6,CEILING($E16*(IF(REGEXMATCH(AG$10,$B16),$A16,1))/(AG$11*IF(REGEXMATCH($C16,AG$9),AG$8,1))*6),FLOOR($E16*(IF(REGEXMATCH(AG$10,$B16),$A16,1))/(AG$11*IF(REGEXMATCH($C16,"&amp;"AG$9),AG$8,1))*6))"),12.0)</f>
        <v>12</v>
      </c>
      <c r="AH16" s="285">
        <f>IFERROR(__xludf.DUMMYFUNCTION("IF($E16*(IF(REGEXMATCH(AH$10,$B16),$A16,1))/(AH$11*IF(REGEXMATCH($C16,AH$9),AH$8,1))*6&gt;6,CEILING($E16*(IF(REGEXMATCH(AH$10,$B16),$A16,1))/(AH$11*IF(REGEXMATCH($C16,AH$9),AH$8,1))*6),FLOOR($E16*(IF(REGEXMATCH(AH$10,$B16),$A16,1))/(AH$11*IF(REGEXMATCH($C16,"&amp;"AH$9),AH$8,1))*6))"),8.0)</f>
        <v>8</v>
      </c>
      <c r="AI16" s="285">
        <f>IFERROR(__xludf.DUMMYFUNCTION("IF($E16*(IF(REGEXMATCH(AI$10,$B16),$A16,1))/(AI$11*IF(REGEXMATCH($C16,AI$9),AI$8,1))*6&gt;6,CEILING($E16*(IF(REGEXMATCH(AI$10,$B16),$A16,1))/(AI$11*IF(REGEXMATCH($C16,AI$9),AI$8,1))*6),FLOOR($E16*(IF(REGEXMATCH(AI$10,$B16),$A16,1))/(AI$11*IF(REGEXMATCH($C16,"&amp;"AI$9),AI$8,1))*6))"),10.0)</f>
        <v>10</v>
      </c>
      <c r="AJ16" s="285">
        <f>IFERROR(__xludf.DUMMYFUNCTION("IF($E16*(IF(REGEXMATCH(AJ$10,$B16),$A16,1))/(AJ$11*IF(REGEXMATCH($C16,AJ$9),AJ$8,1))*6&gt;6,CEILING($E16*(IF(REGEXMATCH(AJ$10,$B16),$A16,1))/(AJ$11*IF(REGEXMATCH($C16,AJ$9),AJ$8,1))*6),FLOOR($E16*(IF(REGEXMATCH(AJ$10,$B16),$A16,1))/(AJ$11*IF(REGEXMATCH($C16,"&amp;"AJ$9),AJ$8,1))*6))"),8.0)</f>
        <v>8</v>
      </c>
      <c r="AK16" s="285">
        <f>IFERROR(__xludf.DUMMYFUNCTION("IF($E16*(IF(REGEXMATCH(AK$10,$B16),$A16,1))/(AK$11*IF(REGEXMATCH($C16,AK$9),AK$8,1))*6&gt;6,CEILING($E16*(IF(REGEXMATCH(AK$10,$B16),$A16,1))/(AK$11*IF(REGEXMATCH($C16,AK$9),AK$8,1))*6),FLOOR($E16*(IF(REGEXMATCH(AK$10,$B16),$A16,1))/(AK$11*IF(REGEXMATCH($C16,"&amp;"AK$9),AK$8,1))*6))"),12.0)</f>
        <v>12</v>
      </c>
      <c r="AL16" s="285">
        <f>IFERROR(__xludf.DUMMYFUNCTION("IF($E16*(IF(REGEXMATCH(AL$10,$B16),$A16,1))/(AL$11*IF(REGEXMATCH($C16,AL$9),AL$8,1))*6&gt;6,CEILING($E16*(IF(REGEXMATCH(AL$10,$B16),$A16,1))/(AL$11*IF(REGEXMATCH($C16,AL$9),AL$8,1))*6),FLOOR($E16*(IF(REGEXMATCH(AL$10,$B16),$A16,1))/(AL$11*IF(REGEXMATCH($C16,"&amp;"AL$9),AL$8,1))*6))"),10.0)</f>
        <v>10</v>
      </c>
      <c r="AM16" s="285">
        <f>IFERROR(__xludf.DUMMYFUNCTION("IF($E16*(IF(REGEXMATCH(AM$10,$B16),$A16,1))/(AM$11*IF(REGEXMATCH($C16,AM$9),AM$8,1))*6&gt;6,CEILING($E16*(IF(REGEXMATCH(AM$10,$B16),$A16,1))/(AM$11*IF(REGEXMATCH($C16,AM$9),AM$8,1))*6),FLOOR($E16*(IF(REGEXMATCH(AM$10,$B16),$A16,1))/(AM$11*IF(REGEXMATCH($C16,"&amp;"AM$9),AM$8,1))*6))"),15.0)</f>
        <v>15</v>
      </c>
      <c r="AN16" s="285">
        <f>IFERROR(__xludf.DUMMYFUNCTION("IF($E16*(IF(REGEXMATCH(AN$10,$B16),$A16,1))/(AN$11*IF(REGEXMATCH($C16,AN$9),AN$8,1))*6&gt;6,CEILING($E16*(IF(REGEXMATCH(AN$10,$B16),$A16,1))/(AN$11*IF(REGEXMATCH($C16,AN$9),AN$8,1))*6),FLOOR($E16*(IF(REGEXMATCH(AN$10,$B16),$A16,1))/(AN$11*IF(REGEXMATCH($C16,"&amp;"AN$9),AN$8,1))*6))"),15.0)</f>
        <v>15</v>
      </c>
      <c r="AO16" s="285">
        <f>IFERROR(__xludf.DUMMYFUNCTION("IF($E16*(IF(REGEXMATCH(AO$10,$B16),$A16,1))/(AO$11*IF(REGEXMATCH($C16,AO$9),AO$8,1))*6&gt;6,CEILING($E16*(IF(REGEXMATCH(AO$10,$B16),$A16,1))/(AO$11*IF(REGEXMATCH($C16,AO$9),AO$8,1))*6),FLOOR($E16*(IF(REGEXMATCH(AO$10,$B16),$A16,1))/(AO$11*IF(REGEXMATCH($C16,"&amp;"AO$9),AO$8,1))*6))"),15.0)</f>
        <v>15</v>
      </c>
      <c r="AP16" s="285">
        <f>IFERROR(__xludf.DUMMYFUNCTION("IF($E16*(IF(REGEXMATCH(AP$10,$B16),$A16,1))/(AP$11*IF(REGEXMATCH($C16,AP$9),AP$8,1))*6&gt;6,CEILING($E16*(IF(REGEXMATCH(AP$10,$B16),$A16,1))/(AP$11*IF(REGEXMATCH($C16,AP$9),AP$8,1))*6),FLOOR($E16*(IF(REGEXMATCH(AP$10,$B16),$A16,1))/(AP$11*IF(REGEXMATCH($C16,"&amp;"AP$9),AP$8,1))*6))"),10.0)</f>
        <v>10</v>
      </c>
      <c r="AQ16" s="285">
        <f>IFERROR(__xludf.DUMMYFUNCTION("IF($E16*(IF(REGEXMATCH(AQ$10,$B16),$A16,1))/(AQ$11*IF(REGEXMATCH($C16,AQ$9),AQ$8,1))*6&gt;6,CEILING($E16*(IF(REGEXMATCH(AQ$10,$B16),$A16,1))/(AQ$11*IF(REGEXMATCH($C16,AQ$9),AQ$8,1))*6),FLOOR($E16*(IF(REGEXMATCH(AQ$10,$B16),$A16,1))/(AQ$11*IF(REGEXMATCH($C16,"&amp;"AQ$9),AQ$8,1))*6))"),15.0)</f>
        <v>15</v>
      </c>
      <c r="AR16" s="285">
        <f>IFERROR(__xludf.DUMMYFUNCTION("IF($E16*(IF(REGEXMATCH(AR$10,$B16),$A16,1))/(AR$11*IF(REGEXMATCH($C16,AR$9),AR$8,1))*6&gt;6,CEILING($E16*(IF(REGEXMATCH(AR$10,$B16),$A16,1))/(AR$11*IF(REGEXMATCH($C16,AR$9),AR$8,1))*6),FLOOR($E16*(IF(REGEXMATCH(AR$10,$B16),$A16,1))/(AR$11*IF(REGEXMATCH($C16,"&amp;"AR$9),AR$8,1))*6))"),18.0)</f>
        <v>18</v>
      </c>
      <c r="AS16" s="285">
        <f>IFERROR(__xludf.DUMMYFUNCTION("IF($E16*(IF(REGEXMATCH(AS$10,$B16),$A16,1))/(AS$11*IF(REGEXMATCH($C16,AS$9),AS$8,1))*6&gt;6,CEILING($E16*(IF(REGEXMATCH(AS$10,$B16),$A16,1))/(AS$11*IF(REGEXMATCH($C16,AS$9),AS$8,1))*6),FLOOR($E16*(IF(REGEXMATCH(AS$10,$B16),$A16,1))/(AS$11*IF(REGEXMATCH($C16,"&amp;"AS$9),AS$8,1))*6))"),18.0)</f>
        <v>18</v>
      </c>
      <c r="AT16" s="285">
        <f>IFERROR(__xludf.DUMMYFUNCTION("IF($E16*(IF(REGEXMATCH(AT$10,$B16),$A16,1))/(AT$11*IF(REGEXMATCH($C16,AT$9),AT$8,1))*6&gt;6,CEILING($E16*(IF(REGEXMATCH(AT$10,$B16),$A16,1))/(AT$11*IF(REGEXMATCH($C16,AT$9),AT$8,1))*6),FLOOR($E16*(IF(REGEXMATCH(AT$10,$B16),$A16,1))/(AT$11*IF(REGEXMATCH($C16,"&amp;"AT$9),AT$8,1))*6))"),24.0)</f>
        <v>24</v>
      </c>
    </row>
    <row r="17">
      <c r="A17" s="8">
        <v>1.0</v>
      </c>
      <c r="B17" s="8" t="s">
        <v>2577</v>
      </c>
      <c r="C17" s="812" t="s">
        <v>2584</v>
      </c>
      <c r="D17" s="8"/>
      <c r="E17" s="8">
        <v>8.0</v>
      </c>
      <c r="F17" s="48" t="s">
        <v>2219</v>
      </c>
      <c r="G17" s="285">
        <f>IFERROR(__xludf.DUMMYFUNCTION("IF($E17*(IF(REGEXMATCH(G$10,$B17),$A17,1))/(G$11*IF(REGEXMATCH($C17,G$9),G$8,1))*6&gt;6,CEILING($E17*(IF(REGEXMATCH(G$10,$B17),$A17,1))/(G$11*IF(REGEXMATCH($C17,G$9),G$8,1))*6),FLOOR($E17*(IF(REGEXMATCH(G$10,$B17),$A17,1))/(G$11*IF(REGEXMATCH($C17,G$9),G$8,1"&amp;"))*6))"),4.0)</f>
        <v>4</v>
      </c>
      <c r="H17" s="285">
        <f>IFERROR(__xludf.DUMMYFUNCTION("IF($E17*(IF(REGEXMATCH(H$10,$B17),$A17,1))/(H$11*IF(REGEXMATCH($C17,H$9),H$8,1))*6&gt;6,CEILING($E17*(IF(REGEXMATCH(H$10,$B17),$A17,1))/(H$11*IF(REGEXMATCH($C17,H$9),H$8,1))*6),FLOOR($E17*(IF(REGEXMATCH(H$10,$B17),$A17,1))/(H$11*IF(REGEXMATCH($C17,H$9),H$8,1"&amp;"))*6))"),4.0)</f>
        <v>4</v>
      </c>
      <c r="I17" s="285">
        <f>IFERROR(__xludf.DUMMYFUNCTION("IF($E17*(IF(REGEXMATCH(I$10,$B17),$A17,1))/(I$11*IF(REGEXMATCH($C17,I$9),I$8,1))*6&gt;6,CEILING($E17*(IF(REGEXMATCH(I$10,$B17),$A17,1))/(I$11*IF(REGEXMATCH($C17,I$9),I$8,1))*6),FLOOR($E17*(IF(REGEXMATCH(I$10,$B17),$A17,1))/(I$11*IF(REGEXMATCH($C17,I$9),I$8,1"&amp;"))*6))"),6.0)</f>
        <v>6</v>
      </c>
      <c r="J17" s="285">
        <f>IFERROR(__xludf.DUMMYFUNCTION("IF($E17*(IF(REGEXMATCH(J$10,$B17),$A17,1))/(J$11*IF(REGEXMATCH($C17,J$9),J$8,1))*6&gt;6,CEILING($E17*(IF(REGEXMATCH(J$10,$B17),$A17,1))/(J$11*IF(REGEXMATCH($C17,J$9),J$8,1))*6),FLOOR($E17*(IF(REGEXMATCH(J$10,$B17),$A17,1))/(J$11*IF(REGEXMATCH($C17,J$9),J$8,1"&amp;"))*6))"),4.0)</f>
        <v>4</v>
      </c>
      <c r="K17" s="285">
        <f>IFERROR(__xludf.DUMMYFUNCTION("IF($E17*(IF(REGEXMATCH(K$10,$B17),$A17,1))/(K$11*IF(REGEXMATCH($C17,K$9),K$8,1))*6&gt;6,CEILING($E17*(IF(REGEXMATCH(K$10,$B17),$A17,1))/(K$11*IF(REGEXMATCH($C17,K$9),K$8,1))*6),FLOOR($E17*(IF(REGEXMATCH(K$10,$B17),$A17,1))/(K$11*IF(REGEXMATCH($C17,K$9),K$8,1"&amp;"))*6))"),6.0)</f>
        <v>6</v>
      </c>
      <c r="L17" s="285">
        <f>IFERROR(__xludf.DUMMYFUNCTION("IF($E17*(IF(REGEXMATCH(L$10,$B17),$A17,1))/(L$11*IF(REGEXMATCH($C17,L$9),L$8,1))*6&gt;6,CEILING($E17*(IF(REGEXMATCH(L$10,$B17),$A17,1))/(L$11*IF(REGEXMATCH($C17,L$9),L$8,1))*6),FLOOR($E17*(IF(REGEXMATCH(L$10,$B17),$A17,1))/(L$11*IF(REGEXMATCH($C17,L$9),L$8,1"&amp;"))*6))"),6.0)</f>
        <v>6</v>
      </c>
      <c r="M17" s="285">
        <f>IFERROR(__xludf.DUMMYFUNCTION("IF($E17*(IF(REGEXMATCH(M$10,$B17),$A17,1))/(M$11*IF(REGEXMATCH($C17,M$9),M$8,1))*6&gt;6,CEILING($E17*(IF(REGEXMATCH(M$10,$B17),$A17,1))/(M$11*IF(REGEXMATCH($C17,M$9),M$8,1))*6),FLOOR($E17*(IF(REGEXMATCH(M$10,$B17),$A17,1))/(M$11*IF(REGEXMATCH($C17,M$9),M$8,1"&amp;"))*6))"),6.0)</f>
        <v>6</v>
      </c>
      <c r="N17" s="285">
        <f>IFERROR(__xludf.DUMMYFUNCTION("IF($E17*(IF(REGEXMATCH(N$10,$B17),$A17,1))/(N$11*IF(REGEXMATCH($C17,N$9),N$8,1))*6&gt;6,CEILING($E17*(IF(REGEXMATCH(N$10,$B17),$A17,1))/(N$11*IF(REGEXMATCH($C17,N$9),N$8,1))*6),FLOOR($E17*(IF(REGEXMATCH(N$10,$B17),$A17,1))/(N$11*IF(REGEXMATCH($C17,N$9),N$8,1"&amp;"))*6))"),6.0)</f>
        <v>6</v>
      </c>
      <c r="O17" s="285">
        <f>IFERROR(__xludf.DUMMYFUNCTION("IF($E17*(IF(REGEXMATCH(O$10,$B17),$A17,1))/(O$11*IF(REGEXMATCH($C17,O$9),O$8,1))*6&gt;6,CEILING($E17*(IF(REGEXMATCH(O$10,$B17),$A17,1))/(O$11*IF(REGEXMATCH($C17,O$9),O$8,1))*6),FLOOR($E17*(IF(REGEXMATCH(O$10,$B17),$A17,1))/(O$11*IF(REGEXMATCH($C17,O$9),O$8,1"&amp;"))*6))"),6.0)</f>
        <v>6</v>
      </c>
      <c r="P17" s="285">
        <f>IFERROR(__xludf.DUMMYFUNCTION("IF($E17*(IF(REGEXMATCH(P$10,$B17),$A17,1))/(P$11*IF(REGEXMATCH($C17,P$9),P$8,1))*6&gt;6,CEILING($E17*(IF(REGEXMATCH(P$10,$B17),$A17,1))/(P$11*IF(REGEXMATCH($C17,P$9),P$8,1))*6),FLOOR($E17*(IF(REGEXMATCH(P$10,$B17),$A17,1))/(P$11*IF(REGEXMATCH($C17,P$9),P$8,1"&amp;"))*6))"),6.0)</f>
        <v>6</v>
      </c>
      <c r="Q17" s="285">
        <f>IFERROR(__xludf.DUMMYFUNCTION("IF($E17*(IF(REGEXMATCH(Q$10,$B17),$A17,1))/(Q$11*IF(REGEXMATCH($C17,Q$9),Q$8,1))*6&gt;6,CEILING($E17*(IF(REGEXMATCH(Q$10,$B17),$A17,1))/(Q$11*IF(REGEXMATCH($C17,Q$9),Q$8,1))*6),FLOOR($E17*(IF(REGEXMATCH(Q$10,$B17),$A17,1))/(Q$11*IF(REGEXMATCH($C17,Q$9),Q$8,1"&amp;"))*6))"),6.0)</f>
        <v>6</v>
      </c>
      <c r="R17" s="285">
        <f>IFERROR(__xludf.DUMMYFUNCTION("IF($E17*(IF(REGEXMATCH(R$10,$B17),$A17,1))/(R$11*IF(REGEXMATCH($C17,R$9),R$8,1))*6&gt;6,CEILING($E17*(IF(REGEXMATCH(R$10,$B17),$A17,1))/(R$11*IF(REGEXMATCH($C17,R$9),R$8,1))*6),FLOOR($E17*(IF(REGEXMATCH(R$10,$B17),$A17,1))/(R$11*IF(REGEXMATCH($C17,R$9),R$8,1"&amp;"))*6))"),6.0)</f>
        <v>6</v>
      </c>
      <c r="S17" s="285">
        <f>IFERROR(__xludf.DUMMYFUNCTION("IF($E17*(IF(REGEXMATCH(S$10,$B17),$A17,1))/(S$11*IF(REGEXMATCH($C17,S$9),S$8,1))*6&gt;6,CEILING($E17*(IF(REGEXMATCH(S$10,$B17),$A17,1))/(S$11*IF(REGEXMATCH($C17,S$9),S$8,1))*6),FLOOR($E17*(IF(REGEXMATCH(S$10,$B17),$A17,1))/(S$11*IF(REGEXMATCH($C17,S$9),S$8,1"&amp;"))*6))"),6.0)</f>
        <v>6</v>
      </c>
      <c r="T17" s="285">
        <f>IFERROR(__xludf.DUMMYFUNCTION("IF($E17*(IF(REGEXMATCH(T$10,$B17),$A17,1))/(T$11*IF(REGEXMATCH($C17,T$9),T$8,1))*6&gt;6,CEILING($E17*(IF(REGEXMATCH(T$10,$B17),$A17,1))/(T$11*IF(REGEXMATCH($C17,T$9),T$8,1))*6),FLOOR($E17*(IF(REGEXMATCH(T$10,$B17),$A17,1))/(T$11*IF(REGEXMATCH($C17,T$9),T$8,1"&amp;"))*6))"),6.0)</f>
        <v>6</v>
      </c>
      <c r="U17" s="285">
        <f>IFERROR(__xludf.DUMMYFUNCTION("IF($E17*(IF(REGEXMATCH(U$10,$B17),$A17,1))/(U$11*IF(REGEXMATCH($C17,U$9),U$8,1))*6&gt;6,CEILING($E17*(IF(REGEXMATCH(U$10,$B17),$A17,1))/(U$11*IF(REGEXMATCH($C17,U$9),U$8,1))*6),FLOOR($E17*(IF(REGEXMATCH(U$10,$B17),$A17,1))/(U$11*IF(REGEXMATCH($C17,U$9),U$8,1"&amp;"))*6))"),6.0)</f>
        <v>6</v>
      </c>
      <c r="V17" s="285">
        <f>IFERROR(__xludf.DUMMYFUNCTION("IF($E17*(IF(REGEXMATCH(V$10,$B17),$A17,1))/(V$11*IF(REGEXMATCH($C17,V$9),V$8,1))*6&gt;6,CEILING($E17*(IF(REGEXMATCH(V$10,$B17),$A17,1))/(V$11*IF(REGEXMATCH($C17,V$9),V$8,1))*6),FLOOR($E17*(IF(REGEXMATCH(V$10,$B17),$A17,1))/(V$11*IF(REGEXMATCH($C17,V$9),V$8,1"&amp;"))*6))"),6.0)</f>
        <v>6</v>
      </c>
      <c r="W17" s="285">
        <f>IFERROR(__xludf.DUMMYFUNCTION("IF($E17*(IF(REGEXMATCH(W$10,$B17),$A17,1))/(W$11*IF(REGEXMATCH($C17,W$9),W$8,1))*6&gt;6,CEILING($E17*(IF(REGEXMATCH(W$10,$B17),$A17,1))/(W$11*IF(REGEXMATCH($C17,W$9),W$8,1))*6),FLOOR($E17*(IF(REGEXMATCH(W$10,$B17),$A17,1))/(W$11*IF(REGEXMATCH($C17,W$9),W$8,1"&amp;"))*6))"),8.0)</f>
        <v>8</v>
      </c>
      <c r="X17" s="285">
        <f>IFERROR(__xludf.DUMMYFUNCTION("IF($E17*(IF(REGEXMATCH(X$10,$B17),$A17,1))/(X$11*IF(REGEXMATCH($C17,X$9),X$8,1))*6&gt;6,CEILING($E17*(IF(REGEXMATCH(X$10,$B17),$A17,1))/(X$11*IF(REGEXMATCH($C17,X$9),X$8,1))*6),FLOOR($E17*(IF(REGEXMATCH(X$10,$B17),$A17,1))/(X$11*IF(REGEXMATCH($C17,X$9),X$8,1"&amp;"))*6))"),8.0)</f>
        <v>8</v>
      </c>
      <c r="Y17" s="285">
        <f>IFERROR(__xludf.DUMMYFUNCTION("IF($E17*(IF(REGEXMATCH(Y$10,$B17),$A17,1))/(Y$11*IF(REGEXMATCH($C17,Y$9),Y$8,1))*6&gt;6,CEILING($E17*(IF(REGEXMATCH(Y$10,$B17),$A17,1))/(Y$11*IF(REGEXMATCH($C17,Y$9),Y$8,1))*6),FLOOR($E17*(IF(REGEXMATCH(Y$10,$B17),$A17,1))/(Y$11*IF(REGEXMATCH($C17,Y$9),Y$8,1"&amp;"))*6))"),8.0)</f>
        <v>8</v>
      </c>
      <c r="Z17" s="285">
        <f>IFERROR(__xludf.DUMMYFUNCTION("IF($E17*(IF(REGEXMATCH(Z$10,$B17),$A17,1))/(Z$11*IF(REGEXMATCH($C17,Z$9),Z$8,1))*6&gt;6,CEILING($E17*(IF(REGEXMATCH(Z$10,$B17),$A17,1))/(Z$11*IF(REGEXMATCH($C17,Z$9),Z$8,1))*6),FLOOR($E17*(IF(REGEXMATCH(Z$10,$B17),$A17,1))/(Z$11*IF(REGEXMATCH($C17,Z$9),Z$8,1"&amp;"))*6))"),8.0)</f>
        <v>8</v>
      </c>
      <c r="AA17" s="285">
        <f>IFERROR(__xludf.DUMMYFUNCTION("IF($E17*(IF(REGEXMATCH(AA$10,$B17),$A17,1))/(AA$11*IF(REGEXMATCH($C17,AA$9),AA$8,1))*6&gt;6,CEILING($E17*(IF(REGEXMATCH(AA$10,$B17),$A17,1))/(AA$11*IF(REGEXMATCH($C17,AA$9),AA$8,1))*6),FLOOR($E17*(IF(REGEXMATCH(AA$10,$B17),$A17,1))/(AA$11*IF(REGEXMATCH($C17,"&amp;"AA$9),AA$8,1))*6))"),8.0)</f>
        <v>8</v>
      </c>
      <c r="AB17" s="285">
        <f>IFERROR(__xludf.DUMMYFUNCTION("IF($E17*(IF(REGEXMATCH(AB$10,$B17),$A17,1))/(AB$11*IF(REGEXMATCH($C17,AB$9),AB$8,1))*6&gt;6,CEILING($E17*(IF(REGEXMATCH(AB$10,$B17),$A17,1))/(AB$11*IF(REGEXMATCH($C17,AB$9),AB$8,1))*6),FLOOR($E17*(IF(REGEXMATCH(AB$10,$B17),$A17,1))/(AB$11*IF(REGEXMATCH($C17,"&amp;"AB$9),AB$8,1))*6))"),8.0)</f>
        <v>8</v>
      </c>
      <c r="AC17" s="285">
        <f>IFERROR(__xludf.DUMMYFUNCTION("IF($E17*(IF(REGEXMATCH(AC$10,$B17),$A17,1))/(AC$11*IF(REGEXMATCH($C17,AC$9),AC$8,1))*6&gt;6,CEILING($E17*(IF(REGEXMATCH(AC$10,$B17),$A17,1))/(AC$11*IF(REGEXMATCH($C17,AC$9),AC$8,1))*6),FLOOR($E17*(IF(REGEXMATCH(AC$10,$B17),$A17,1))/(AC$11*IF(REGEXMATCH($C17,"&amp;"AC$9),AC$8,1))*6))"),8.0)</f>
        <v>8</v>
      </c>
      <c r="AD17" s="285">
        <f>IFERROR(__xludf.DUMMYFUNCTION("IF($E17*(IF(REGEXMATCH(AD$10,$B17),$A17,1))/(AD$11*IF(REGEXMATCH($C17,AD$9),AD$8,1))*6&gt;6,CEILING($E17*(IF(REGEXMATCH(AD$10,$B17),$A17,1))/(AD$11*IF(REGEXMATCH($C17,AD$9),AD$8,1))*6),FLOOR($E17*(IF(REGEXMATCH(AD$10,$B17),$A17,1))/(AD$11*IF(REGEXMATCH($C17,"&amp;"AD$9),AD$8,1))*6))"),8.0)</f>
        <v>8</v>
      </c>
      <c r="AE17" s="285">
        <f>IFERROR(__xludf.DUMMYFUNCTION("IF($E17*(IF(REGEXMATCH(AE$10,$B17),$A17,1))/(AE$11*IF(REGEXMATCH($C17,AE$9),AE$8,1))*6&gt;6,CEILING($E17*(IF(REGEXMATCH(AE$10,$B17),$A17,1))/(AE$11*IF(REGEXMATCH($C17,AE$9),AE$8,1))*6),FLOOR($E17*(IF(REGEXMATCH(AE$10,$B17),$A17,1))/(AE$11*IF(REGEXMATCH($C17,"&amp;"AE$9),AE$8,1))*6))"),8.0)</f>
        <v>8</v>
      </c>
      <c r="AF17" s="285">
        <f>IFERROR(__xludf.DUMMYFUNCTION("IF($E17*(IF(REGEXMATCH(AF$10,$B17),$A17,1))/(AF$11*IF(REGEXMATCH($C17,AF$9),AF$8,1))*6&gt;6,CEILING($E17*(IF(REGEXMATCH(AF$10,$B17),$A17,1))/(AF$11*IF(REGEXMATCH($C17,AF$9),AF$8,1))*6),FLOOR($E17*(IF(REGEXMATCH(AF$10,$B17),$A17,1))/(AF$11*IF(REGEXMATCH($C17,"&amp;"AF$9),AF$8,1))*6))"),8.0)</f>
        <v>8</v>
      </c>
      <c r="AG17" s="285">
        <f>IFERROR(__xludf.DUMMYFUNCTION("IF($E17*(IF(REGEXMATCH(AG$10,$B17),$A17,1))/(AG$11*IF(REGEXMATCH($C17,AG$9),AG$8,1))*6&gt;6,CEILING($E17*(IF(REGEXMATCH(AG$10,$B17),$A17,1))/(AG$11*IF(REGEXMATCH($C17,AG$9),AG$8,1))*6),FLOOR($E17*(IF(REGEXMATCH(AG$10,$B17),$A17,1))/(AG$11*IF(REGEXMATCH($C17,"&amp;"AG$9),AG$8,1))*6))"),8.0)</f>
        <v>8</v>
      </c>
      <c r="AH17" s="285">
        <f>IFERROR(__xludf.DUMMYFUNCTION("IF($E17*(IF(REGEXMATCH(AH$10,$B17),$A17,1))/(AH$11*IF(REGEXMATCH($C17,AH$9),AH$8,1))*6&gt;6,CEILING($E17*(IF(REGEXMATCH(AH$10,$B17),$A17,1))/(AH$11*IF(REGEXMATCH($C17,AH$9),AH$8,1))*6),FLOOR($E17*(IF(REGEXMATCH(AH$10,$B17),$A17,1))/(AH$11*IF(REGEXMATCH($C17,"&amp;"AH$9),AH$8,1))*6))"),8.0)</f>
        <v>8</v>
      </c>
      <c r="AI17" s="285">
        <f>IFERROR(__xludf.DUMMYFUNCTION("IF($E17*(IF(REGEXMATCH(AI$10,$B17),$A17,1))/(AI$11*IF(REGEXMATCH($C17,AI$9),AI$8,1))*6&gt;6,CEILING($E17*(IF(REGEXMATCH(AI$10,$B17),$A17,1))/(AI$11*IF(REGEXMATCH($C17,AI$9),AI$8,1))*6),FLOOR($E17*(IF(REGEXMATCH(AI$10,$B17),$A17,1))/(AI$11*IF(REGEXMATCH($C17,"&amp;"AI$9),AI$8,1))*6))"),8.0)</f>
        <v>8</v>
      </c>
      <c r="AJ17" s="285">
        <f>IFERROR(__xludf.DUMMYFUNCTION("IF($E17*(IF(REGEXMATCH(AJ$10,$B17),$A17,1))/(AJ$11*IF(REGEXMATCH($C17,AJ$9),AJ$8,1))*6&gt;6,CEILING($E17*(IF(REGEXMATCH(AJ$10,$B17),$A17,1))/(AJ$11*IF(REGEXMATCH($C17,AJ$9),AJ$8,1))*6),FLOOR($E17*(IF(REGEXMATCH(AJ$10,$B17),$A17,1))/(AJ$11*IF(REGEXMATCH($C17,"&amp;"AJ$9),AJ$8,1))*6))"),8.0)</f>
        <v>8</v>
      </c>
      <c r="AK17" s="285">
        <f>IFERROR(__xludf.DUMMYFUNCTION("IF($E17*(IF(REGEXMATCH(AK$10,$B17),$A17,1))/(AK$11*IF(REGEXMATCH($C17,AK$9),AK$8,1))*6&gt;6,CEILING($E17*(IF(REGEXMATCH(AK$10,$B17),$A17,1))/(AK$11*IF(REGEXMATCH($C17,AK$9),AK$8,1))*6),FLOOR($E17*(IF(REGEXMATCH(AK$10,$B17),$A17,1))/(AK$11*IF(REGEXMATCH($C17,"&amp;"AK$9),AK$8,1))*6))"),8.0)</f>
        <v>8</v>
      </c>
      <c r="AL17" s="285">
        <f>IFERROR(__xludf.DUMMYFUNCTION("IF($E17*(IF(REGEXMATCH(AL$10,$B17),$A17,1))/(AL$11*IF(REGEXMATCH($C17,AL$9),AL$8,1))*6&gt;6,CEILING($E17*(IF(REGEXMATCH(AL$10,$B17),$A17,1))/(AL$11*IF(REGEXMATCH($C17,AL$9),AL$8,1))*6),FLOOR($E17*(IF(REGEXMATCH(AL$10,$B17),$A17,1))/(AL$11*IF(REGEXMATCH($C17,"&amp;"AL$9),AL$8,1))*6))"),10.0)</f>
        <v>10</v>
      </c>
      <c r="AM17" s="285">
        <f>IFERROR(__xludf.DUMMYFUNCTION("IF($E17*(IF(REGEXMATCH(AM$10,$B17),$A17,1))/(AM$11*IF(REGEXMATCH($C17,AM$9),AM$8,1))*6&gt;6,CEILING($E17*(IF(REGEXMATCH(AM$10,$B17),$A17,1))/(AM$11*IF(REGEXMATCH($C17,AM$9),AM$8,1))*6),FLOOR($E17*(IF(REGEXMATCH(AM$10,$B17),$A17,1))/(AM$11*IF(REGEXMATCH($C17,"&amp;"AM$9),AM$8,1))*6))"),10.0)</f>
        <v>10</v>
      </c>
      <c r="AN17" s="285">
        <f>IFERROR(__xludf.DUMMYFUNCTION("IF($E17*(IF(REGEXMATCH(AN$10,$B17),$A17,1))/(AN$11*IF(REGEXMATCH($C17,AN$9),AN$8,1))*6&gt;6,CEILING($E17*(IF(REGEXMATCH(AN$10,$B17),$A17,1))/(AN$11*IF(REGEXMATCH($C17,AN$9),AN$8,1))*6),FLOOR($E17*(IF(REGEXMATCH(AN$10,$B17),$A17,1))/(AN$11*IF(REGEXMATCH($C17,"&amp;"AN$9),AN$8,1))*6))"),10.0)</f>
        <v>10</v>
      </c>
      <c r="AO17" s="285">
        <f>IFERROR(__xludf.DUMMYFUNCTION("IF($E17*(IF(REGEXMATCH(AO$10,$B17),$A17,1))/(AO$11*IF(REGEXMATCH($C17,AO$9),AO$8,1))*6&gt;6,CEILING($E17*(IF(REGEXMATCH(AO$10,$B17),$A17,1))/(AO$11*IF(REGEXMATCH($C17,AO$9),AO$8,1))*6),FLOOR($E17*(IF(REGEXMATCH(AO$10,$B17),$A17,1))/(AO$11*IF(REGEXMATCH($C17,"&amp;"AO$9),AO$8,1))*6))"),10.0)</f>
        <v>10</v>
      </c>
      <c r="AP17" s="285">
        <f>IFERROR(__xludf.DUMMYFUNCTION("IF($E17*(IF(REGEXMATCH(AP$10,$B17),$A17,1))/(AP$11*IF(REGEXMATCH($C17,AP$9),AP$8,1))*6&gt;6,CEILING($E17*(IF(REGEXMATCH(AP$10,$B17),$A17,1))/(AP$11*IF(REGEXMATCH($C17,AP$9),AP$8,1))*6),FLOOR($E17*(IF(REGEXMATCH(AP$10,$B17),$A17,1))/(AP$11*IF(REGEXMATCH($C17,"&amp;"AP$9),AP$8,1))*6))"),10.0)</f>
        <v>10</v>
      </c>
      <c r="AQ17" s="285">
        <f>IFERROR(__xludf.DUMMYFUNCTION("IF($E17*(IF(REGEXMATCH(AQ$10,$B17),$A17,1))/(AQ$11*IF(REGEXMATCH($C17,AQ$9),AQ$8,1))*6&gt;6,CEILING($E17*(IF(REGEXMATCH(AQ$10,$B17),$A17,1))/(AQ$11*IF(REGEXMATCH($C17,AQ$9),AQ$8,1))*6),FLOOR($E17*(IF(REGEXMATCH(AQ$10,$B17),$A17,1))/(AQ$11*IF(REGEXMATCH($C17,"&amp;"AQ$9),AQ$8,1))*6))"),10.0)</f>
        <v>10</v>
      </c>
      <c r="AR17" s="285">
        <f>IFERROR(__xludf.DUMMYFUNCTION("IF($E17*(IF(REGEXMATCH(AR$10,$B17),$A17,1))/(AR$11*IF(REGEXMATCH($C17,AR$9),AR$8,1))*6&gt;6,CEILING($E17*(IF(REGEXMATCH(AR$10,$B17),$A17,1))/(AR$11*IF(REGEXMATCH($C17,AR$9),AR$8,1))*6),FLOOR($E17*(IF(REGEXMATCH(AR$10,$B17),$A17,1))/(AR$11*IF(REGEXMATCH($C17,"&amp;"AR$9),AR$8,1))*6))"),12.0)</f>
        <v>12</v>
      </c>
      <c r="AS17" s="285">
        <f>IFERROR(__xludf.DUMMYFUNCTION("IF($E17*(IF(REGEXMATCH(AS$10,$B17),$A17,1))/(AS$11*IF(REGEXMATCH($C17,AS$9),AS$8,1))*6&gt;6,CEILING($E17*(IF(REGEXMATCH(AS$10,$B17),$A17,1))/(AS$11*IF(REGEXMATCH($C17,AS$9),AS$8,1))*6),FLOOR($E17*(IF(REGEXMATCH(AS$10,$B17),$A17,1))/(AS$11*IF(REGEXMATCH($C17,"&amp;"AS$9),AS$8,1))*6))"),12.0)</f>
        <v>12</v>
      </c>
      <c r="AT17" s="285">
        <f>IFERROR(__xludf.DUMMYFUNCTION("IF($E17*(IF(REGEXMATCH(AT$10,$B17),$A17,1))/(AT$11*IF(REGEXMATCH($C17,AT$9),AT$8,1))*6&gt;6,CEILING($E17*(IF(REGEXMATCH(AT$10,$B17),$A17,1))/(AT$11*IF(REGEXMATCH($C17,AT$9),AT$8,1))*6),FLOOR($E17*(IF(REGEXMATCH(AT$10,$B17),$A17,1))/(AT$11*IF(REGEXMATCH($C17,"&amp;"AT$9),AT$8,1))*6))"),16.0)</f>
        <v>16</v>
      </c>
    </row>
    <row r="18">
      <c r="A18" s="8">
        <v>1.0</v>
      </c>
      <c r="B18" s="8" t="s">
        <v>2577</v>
      </c>
      <c r="C18" s="812" t="s">
        <v>2582</v>
      </c>
      <c r="D18" s="8"/>
      <c r="E18" s="8">
        <v>8.0</v>
      </c>
      <c r="F18" s="48" t="s">
        <v>2217</v>
      </c>
      <c r="G18" s="285">
        <f>IFERROR(__xludf.DUMMYFUNCTION("IF($E18*(IF(REGEXMATCH(G$10,$B18),$A18,1))/(G$11*IF(REGEXMATCH($C18,G$9),G$8,1))*6&gt;6,CEILING($E18*(IF(REGEXMATCH(G$10,$B18),$A18,1))/(G$11*IF(REGEXMATCH($C18,G$9),G$8,1))*6),FLOOR($E18*(IF(REGEXMATCH(G$10,$B18),$A18,1))/(G$11*IF(REGEXMATCH($C18,G$9),G$8,1"&amp;"))*6))"),4.0)</f>
        <v>4</v>
      </c>
      <c r="H18" s="285">
        <f>IFERROR(__xludf.DUMMYFUNCTION("IF($E18*(IF(REGEXMATCH(H$10,$B18),$A18,1))/(H$11*IF(REGEXMATCH($C18,H$9),H$8,1))*6&gt;6,CEILING($E18*(IF(REGEXMATCH(H$10,$B18),$A18,1))/(H$11*IF(REGEXMATCH($C18,H$9),H$8,1))*6),FLOOR($E18*(IF(REGEXMATCH(H$10,$B18),$A18,1))/(H$11*IF(REGEXMATCH($C18,H$9),H$8,1"&amp;"))*6))"),4.0)</f>
        <v>4</v>
      </c>
      <c r="I18" s="285">
        <f>IFERROR(__xludf.DUMMYFUNCTION("IF($E18*(IF(REGEXMATCH(I$10,$B18),$A18,1))/(I$11*IF(REGEXMATCH($C18,I$9),I$8,1))*6&gt;6,CEILING($E18*(IF(REGEXMATCH(I$10,$B18),$A18,1))/(I$11*IF(REGEXMATCH($C18,I$9),I$8,1))*6),FLOOR($E18*(IF(REGEXMATCH(I$10,$B18),$A18,1))/(I$11*IF(REGEXMATCH($C18,I$9),I$8,1"&amp;"))*6))"),6.0)</f>
        <v>6</v>
      </c>
      <c r="J18" s="285">
        <f>IFERROR(__xludf.DUMMYFUNCTION("IF($E18*(IF(REGEXMATCH(J$10,$B18),$A18,1))/(J$11*IF(REGEXMATCH($C18,J$9),J$8,1))*6&gt;6,CEILING($E18*(IF(REGEXMATCH(J$10,$B18),$A18,1))/(J$11*IF(REGEXMATCH($C18,J$9),J$8,1))*6),FLOOR($E18*(IF(REGEXMATCH(J$10,$B18),$A18,1))/(J$11*IF(REGEXMATCH($C18,J$9),J$8,1"&amp;"))*6))"),6.0)</f>
        <v>6</v>
      </c>
      <c r="K18" s="285">
        <f>IFERROR(__xludf.DUMMYFUNCTION("IF($E18*(IF(REGEXMATCH(K$10,$B18),$A18,1))/(K$11*IF(REGEXMATCH($C18,K$9),K$8,1))*6&gt;6,CEILING($E18*(IF(REGEXMATCH(K$10,$B18),$A18,1))/(K$11*IF(REGEXMATCH($C18,K$9),K$8,1))*6),FLOOR($E18*(IF(REGEXMATCH(K$10,$B18),$A18,1))/(K$11*IF(REGEXMATCH($C18,K$9),K$8,1"&amp;"))*6))"),6.0)</f>
        <v>6</v>
      </c>
      <c r="L18" s="285">
        <f>IFERROR(__xludf.DUMMYFUNCTION("IF($E18*(IF(REGEXMATCH(L$10,$B18),$A18,1))/(L$11*IF(REGEXMATCH($C18,L$9),L$8,1))*6&gt;6,CEILING($E18*(IF(REGEXMATCH(L$10,$B18),$A18,1))/(L$11*IF(REGEXMATCH($C18,L$9),L$8,1))*6),FLOOR($E18*(IF(REGEXMATCH(L$10,$B18),$A18,1))/(L$11*IF(REGEXMATCH($C18,L$9),L$8,1"&amp;"))*6))"),6.0)</f>
        <v>6</v>
      </c>
      <c r="M18" s="285">
        <f>IFERROR(__xludf.DUMMYFUNCTION("IF($E18*(IF(REGEXMATCH(M$10,$B18),$A18,1))/(M$11*IF(REGEXMATCH($C18,M$9),M$8,1))*6&gt;6,CEILING($E18*(IF(REGEXMATCH(M$10,$B18),$A18,1))/(M$11*IF(REGEXMATCH($C18,M$9),M$8,1))*6),FLOOR($E18*(IF(REGEXMATCH(M$10,$B18),$A18,1))/(M$11*IF(REGEXMATCH($C18,M$9),M$8,1"&amp;"))*6))"),6.0)</f>
        <v>6</v>
      </c>
      <c r="N18" s="285">
        <f>IFERROR(__xludf.DUMMYFUNCTION("IF($E18*(IF(REGEXMATCH(N$10,$B18),$A18,1))/(N$11*IF(REGEXMATCH($C18,N$9),N$8,1))*6&gt;6,CEILING($E18*(IF(REGEXMATCH(N$10,$B18),$A18,1))/(N$11*IF(REGEXMATCH($C18,N$9),N$8,1))*6),FLOOR($E18*(IF(REGEXMATCH(N$10,$B18),$A18,1))/(N$11*IF(REGEXMATCH($C18,N$9),N$8,1"&amp;"))*6))"),6.0)</f>
        <v>6</v>
      </c>
      <c r="O18" s="285">
        <f>IFERROR(__xludf.DUMMYFUNCTION("IF($E18*(IF(REGEXMATCH(O$10,$B18),$A18,1))/(O$11*IF(REGEXMATCH($C18,O$9),O$8,1))*6&gt;6,CEILING($E18*(IF(REGEXMATCH(O$10,$B18),$A18,1))/(O$11*IF(REGEXMATCH($C18,O$9),O$8,1))*6),FLOOR($E18*(IF(REGEXMATCH(O$10,$B18),$A18,1))/(O$11*IF(REGEXMATCH($C18,O$9),O$8,1"&amp;"))*6))"),6.0)</f>
        <v>6</v>
      </c>
      <c r="P18" s="285">
        <f>IFERROR(__xludf.DUMMYFUNCTION("IF($E18*(IF(REGEXMATCH(P$10,$B18),$A18,1))/(P$11*IF(REGEXMATCH($C18,P$9),P$8,1))*6&gt;6,CEILING($E18*(IF(REGEXMATCH(P$10,$B18),$A18,1))/(P$11*IF(REGEXMATCH($C18,P$9),P$8,1))*6),FLOOR($E18*(IF(REGEXMATCH(P$10,$B18),$A18,1))/(P$11*IF(REGEXMATCH($C18,P$9),P$8,1"&amp;"))*6))"),6.0)</f>
        <v>6</v>
      </c>
      <c r="Q18" s="285">
        <f>IFERROR(__xludf.DUMMYFUNCTION("IF($E18*(IF(REGEXMATCH(Q$10,$B18),$A18,1))/(Q$11*IF(REGEXMATCH($C18,Q$9),Q$8,1))*6&gt;6,CEILING($E18*(IF(REGEXMATCH(Q$10,$B18),$A18,1))/(Q$11*IF(REGEXMATCH($C18,Q$9),Q$8,1))*6),FLOOR($E18*(IF(REGEXMATCH(Q$10,$B18),$A18,1))/(Q$11*IF(REGEXMATCH($C18,Q$9),Q$8,1"&amp;"))*6))"),6.0)</f>
        <v>6</v>
      </c>
      <c r="R18" s="285">
        <f>IFERROR(__xludf.DUMMYFUNCTION("IF($E18*(IF(REGEXMATCH(R$10,$B18),$A18,1))/(R$11*IF(REGEXMATCH($C18,R$9),R$8,1))*6&gt;6,CEILING($E18*(IF(REGEXMATCH(R$10,$B18),$A18,1))/(R$11*IF(REGEXMATCH($C18,R$9),R$8,1))*6),FLOOR($E18*(IF(REGEXMATCH(R$10,$B18),$A18,1))/(R$11*IF(REGEXMATCH($C18,R$9),R$8,1"&amp;"))*6))"),6.0)</f>
        <v>6</v>
      </c>
      <c r="S18" s="285">
        <f>IFERROR(__xludf.DUMMYFUNCTION("IF($E18*(IF(REGEXMATCH(S$10,$B18),$A18,1))/(S$11*IF(REGEXMATCH($C18,S$9),S$8,1))*6&gt;6,CEILING($E18*(IF(REGEXMATCH(S$10,$B18),$A18,1))/(S$11*IF(REGEXMATCH($C18,S$9),S$8,1))*6),FLOOR($E18*(IF(REGEXMATCH(S$10,$B18),$A18,1))/(S$11*IF(REGEXMATCH($C18,S$9),S$8,1"&amp;"))*6))"),6.0)</f>
        <v>6</v>
      </c>
      <c r="T18" s="285">
        <f>IFERROR(__xludf.DUMMYFUNCTION("IF($E18*(IF(REGEXMATCH(T$10,$B18),$A18,1))/(T$11*IF(REGEXMATCH($C18,T$9),T$8,1))*6&gt;6,CEILING($E18*(IF(REGEXMATCH(T$10,$B18),$A18,1))/(T$11*IF(REGEXMATCH($C18,T$9),T$8,1))*6),FLOOR($E18*(IF(REGEXMATCH(T$10,$B18),$A18,1))/(T$11*IF(REGEXMATCH($C18,T$9),T$8,1"&amp;"))*6))"),6.0)</f>
        <v>6</v>
      </c>
      <c r="U18" s="285">
        <f>IFERROR(__xludf.DUMMYFUNCTION("IF($E18*(IF(REGEXMATCH(U$10,$B18),$A18,1))/(U$11*IF(REGEXMATCH($C18,U$9),U$8,1))*6&gt;6,CEILING($E18*(IF(REGEXMATCH(U$10,$B18),$A18,1))/(U$11*IF(REGEXMATCH($C18,U$9),U$8,1))*6),FLOOR($E18*(IF(REGEXMATCH(U$10,$B18),$A18,1))/(U$11*IF(REGEXMATCH($C18,U$9),U$8,1"&amp;"))*6))"),6.0)</f>
        <v>6</v>
      </c>
      <c r="V18" s="285">
        <f>IFERROR(__xludf.DUMMYFUNCTION("IF($E18*(IF(REGEXMATCH(V$10,$B18),$A18,1))/(V$11*IF(REGEXMATCH($C18,V$9),V$8,1))*6&gt;6,CEILING($E18*(IF(REGEXMATCH(V$10,$B18),$A18,1))/(V$11*IF(REGEXMATCH($C18,V$9),V$8,1))*6),FLOOR($E18*(IF(REGEXMATCH(V$10,$B18),$A18,1))/(V$11*IF(REGEXMATCH($C18,V$9),V$8,1"&amp;"))*6))"),6.0)</f>
        <v>6</v>
      </c>
      <c r="W18" s="285">
        <f>IFERROR(__xludf.DUMMYFUNCTION("IF($E18*(IF(REGEXMATCH(W$10,$B18),$A18,1))/(W$11*IF(REGEXMATCH($C18,W$9),W$8,1))*6&gt;6,CEILING($E18*(IF(REGEXMATCH(W$10,$B18),$A18,1))/(W$11*IF(REGEXMATCH($C18,W$9),W$8,1))*6),FLOOR($E18*(IF(REGEXMATCH(W$10,$B18),$A18,1))/(W$11*IF(REGEXMATCH($C18,W$9),W$8,1"&amp;"))*6))"),8.0)</f>
        <v>8</v>
      </c>
      <c r="X18" s="285">
        <f>IFERROR(__xludf.DUMMYFUNCTION("IF($E18*(IF(REGEXMATCH(X$10,$B18),$A18,1))/(X$11*IF(REGEXMATCH($C18,X$9),X$8,1))*6&gt;6,CEILING($E18*(IF(REGEXMATCH(X$10,$B18),$A18,1))/(X$11*IF(REGEXMATCH($C18,X$9),X$8,1))*6),FLOOR($E18*(IF(REGEXMATCH(X$10,$B18),$A18,1))/(X$11*IF(REGEXMATCH($C18,X$9),X$8,1"&amp;"))*6))"),8.0)</f>
        <v>8</v>
      </c>
      <c r="Y18" s="285">
        <f>IFERROR(__xludf.DUMMYFUNCTION("IF($E18*(IF(REGEXMATCH(Y$10,$B18),$A18,1))/(Y$11*IF(REGEXMATCH($C18,Y$9),Y$8,1))*6&gt;6,CEILING($E18*(IF(REGEXMATCH(Y$10,$B18),$A18,1))/(Y$11*IF(REGEXMATCH($C18,Y$9),Y$8,1))*6),FLOOR($E18*(IF(REGEXMATCH(Y$10,$B18),$A18,1))/(Y$11*IF(REGEXMATCH($C18,Y$9),Y$8,1"&amp;"))*6))"),8.0)</f>
        <v>8</v>
      </c>
      <c r="Z18" s="285">
        <f>IFERROR(__xludf.DUMMYFUNCTION("IF($E18*(IF(REGEXMATCH(Z$10,$B18),$A18,1))/(Z$11*IF(REGEXMATCH($C18,Z$9),Z$8,1))*6&gt;6,CEILING($E18*(IF(REGEXMATCH(Z$10,$B18),$A18,1))/(Z$11*IF(REGEXMATCH($C18,Z$9),Z$8,1))*6),FLOOR($E18*(IF(REGEXMATCH(Z$10,$B18),$A18,1))/(Z$11*IF(REGEXMATCH($C18,Z$9),Z$8,1"&amp;"))*6))"),8.0)</f>
        <v>8</v>
      </c>
      <c r="AA18" s="285">
        <f>IFERROR(__xludf.DUMMYFUNCTION("IF($E18*(IF(REGEXMATCH(AA$10,$B18),$A18,1))/(AA$11*IF(REGEXMATCH($C18,AA$9),AA$8,1))*6&gt;6,CEILING($E18*(IF(REGEXMATCH(AA$10,$B18),$A18,1))/(AA$11*IF(REGEXMATCH($C18,AA$9),AA$8,1))*6),FLOOR($E18*(IF(REGEXMATCH(AA$10,$B18),$A18,1))/(AA$11*IF(REGEXMATCH($C18,"&amp;"AA$9),AA$8,1))*6))"),8.0)</f>
        <v>8</v>
      </c>
      <c r="AB18" s="285">
        <f>IFERROR(__xludf.DUMMYFUNCTION("IF($E18*(IF(REGEXMATCH(AB$10,$B18),$A18,1))/(AB$11*IF(REGEXMATCH($C18,AB$9),AB$8,1))*6&gt;6,CEILING($E18*(IF(REGEXMATCH(AB$10,$B18),$A18,1))/(AB$11*IF(REGEXMATCH($C18,AB$9),AB$8,1))*6),FLOOR($E18*(IF(REGEXMATCH(AB$10,$B18),$A18,1))/(AB$11*IF(REGEXMATCH($C18,"&amp;"AB$9),AB$8,1))*6))"),8.0)</f>
        <v>8</v>
      </c>
      <c r="AC18" s="285">
        <f>IFERROR(__xludf.DUMMYFUNCTION("IF($E18*(IF(REGEXMATCH(AC$10,$B18),$A18,1))/(AC$11*IF(REGEXMATCH($C18,AC$9),AC$8,1))*6&gt;6,CEILING($E18*(IF(REGEXMATCH(AC$10,$B18),$A18,1))/(AC$11*IF(REGEXMATCH($C18,AC$9),AC$8,1))*6),FLOOR($E18*(IF(REGEXMATCH(AC$10,$B18),$A18,1))/(AC$11*IF(REGEXMATCH($C18,"&amp;"AC$9),AC$8,1))*6))"),8.0)</f>
        <v>8</v>
      </c>
      <c r="AD18" s="285">
        <f>IFERROR(__xludf.DUMMYFUNCTION("IF($E18*(IF(REGEXMATCH(AD$10,$B18),$A18,1))/(AD$11*IF(REGEXMATCH($C18,AD$9),AD$8,1))*6&gt;6,CEILING($E18*(IF(REGEXMATCH(AD$10,$B18),$A18,1))/(AD$11*IF(REGEXMATCH($C18,AD$9),AD$8,1))*6),FLOOR($E18*(IF(REGEXMATCH(AD$10,$B18),$A18,1))/(AD$11*IF(REGEXMATCH($C18,"&amp;"AD$9),AD$8,1))*6))"),8.0)</f>
        <v>8</v>
      </c>
      <c r="AE18" s="285">
        <f>IFERROR(__xludf.DUMMYFUNCTION("IF($E18*(IF(REGEXMATCH(AE$10,$B18),$A18,1))/(AE$11*IF(REGEXMATCH($C18,AE$9),AE$8,1))*6&gt;6,CEILING($E18*(IF(REGEXMATCH(AE$10,$B18),$A18,1))/(AE$11*IF(REGEXMATCH($C18,AE$9),AE$8,1))*6),FLOOR($E18*(IF(REGEXMATCH(AE$10,$B18),$A18,1))/(AE$11*IF(REGEXMATCH($C18,"&amp;"AE$9),AE$8,1))*6))"),8.0)</f>
        <v>8</v>
      </c>
      <c r="AF18" s="285">
        <f>IFERROR(__xludf.DUMMYFUNCTION("IF($E18*(IF(REGEXMATCH(AF$10,$B18),$A18,1))/(AF$11*IF(REGEXMATCH($C18,AF$9),AF$8,1))*6&gt;6,CEILING($E18*(IF(REGEXMATCH(AF$10,$B18),$A18,1))/(AF$11*IF(REGEXMATCH($C18,AF$9),AF$8,1))*6),FLOOR($E18*(IF(REGEXMATCH(AF$10,$B18),$A18,1))/(AF$11*IF(REGEXMATCH($C18,"&amp;"AF$9),AF$8,1))*6))"),8.0)</f>
        <v>8</v>
      </c>
      <c r="AG18" s="285">
        <f>IFERROR(__xludf.DUMMYFUNCTION("IF($E18*(IF(REGEXMATCH(AG$10,$B18),$A18,1))/(AG$11*IF(REGEXMATCH($C18,AG$9),AG$8,1))*6&gt;6,CEILING($E18*(IF(REGEXMATCH(AG$10,$B18),$A18,1))/(AG$11*IF(REGEXMATCH($C18,AG$9),AG$8,1))*6),FLOOR($E18*(IF(REGEXMATCH(AG$10,$B18),$A18,1))/(AG$11*IF(REGEXMATCH($C18,"&amp;"AG$9),AG$8,1))*6))"),8.0)</f>
        <v>8</v>
      </c>
      <c r="AH18" s="285">
        <f>IFERROR(__xludf.DUMMYFUNCTION("IF($E18*(IF(REGEXMATCH(AH$10,$B18),$A18,1))/(AH$11*IF(REGEXMATCH($C18,AH$9),AH$8,1))*6&gt;6,CEILING($E18*(IF(REGEXMATCH(AH$10,$B18),$A18,1))/(AH$11*IF(REGEXMATCH($C18,AH$9),AH$8,1))*6),FLOOR($E18*(IF(REGEXMATCH(AH$10,$B18),$A18,1))/(AH$11*IF(REGEXMATCH($C18,"&amp;"AH$9),AH$8,1))*6))"),8.0)</f>
        <v>8</v>
      </c>
      <c r="AI18" s="285">
        <f>IFERROR(__xludf.DUMMYFUNCTION("IF($E18*(IF(REGEXMATCH(AI$10,$B18),$A18,1))/(AI$11*IF(REGEXMATCH($C18,AI$9),AI$8,1))*6&gt;6,CEILING($E18*(IF(REGEXMATCH(AI$10,$B18),$A18,1))/(AI$11*IF(REGEXMATCH($C18,AI$9),AI$8,1))*6),FLOOR($E18*(IF(REGEXMATCH(AI$10,$B18),$A18,1))/(AI$11*IF(REGEXMATCH($C18,"&amp;"AI$9),AI$8,1))*6))"),8.0)</f>
        <v>8</v>
      </c>
      <c r="AJ18" s="285">
        <f>IFERROR(__xludf.DUMMYFUNCTION("IF($E18*(IF(REGEXMATCH(AJ$10,$B18),$A18,1))/(AJ$11*IF(REGEXMATCH($C18,AJ$9),AJ$8,1))*6&gt;6,CEILING($E18*(IF(REGEXMATCH(AJ$10,$B18),$A18,1))/(AJ$11*IF(REGEXMATCH($C18,AJ$9),AJ$8,1))*6),FLOOR($E18*(IF(REGEXMATCH(AJ$10,$B18),$A18,1))/(AJ$11*IF(REGEXMATCH($C18,"&amp;"AJ$9),AJ$8,1))*6))"),8.0)</f>
        <v>8</v>
      </c>
      <c r="AK18" s="285">
        <f>IFERROR(__xludf.DUMMYFUNCTION("IF($E18*(IF(REGEXMATCH(AK$10,$B18),$A18,1))/(AK$11*IF(REGEXMATCH($C18,AK$9),AK$8,1))*6&gt;6,CEILING($E18*(IF(REGEXMATCH(AK$10,$B18),$A18,1))/(AK$11*IF(REGEXMATCH($C18,AK$9),AK$8,1))*6),FLOOR($E18*(IF(REGEXMATCH(AK$10,$B18),$A18,1))/(AK$11*IF(REGEXMATCH($C18,"&amp;"AK$9),AK$8,1))*6))"),8.0)</f>
        <v>8</v>
      </c>
      <c r="AL18" s="285">
        <f>IFERROR(__xludf.DUMMYFUNCTION("IF($E18*(IF(REGEXMATCH(AL$10,$B18),$A18,1))/(AL$11*IF(REGEXMATCH($C18,AL$9),AL$8,1))*6&gt;6,CEILING($E18*(IF(REGEXMATCH(AL$10,$B18),$A18,1))/(AL$11*IF(REGEXMATCH($C18,AL$9),AL$8,1))*6),FLOOR($E18*(IF(REGEXMATCH(AL$10,$B18),$A18,1))/(AL$11*IF(REGEXMATCH($C18,"&amp;"AL$9),AL$8,1))*6))"),10.0)</f>
        <v>10</v>
      </c>
      <c r="AM18" s="285">
        <f>IFERROR(__xludf.DUMMYFUNCTION("IF($E18*(IF(REGEXMATCH(AM$10,$B18),$A18,1))/(AM$11*IF(REGEXMATCH($C18,AM$9),AM$8,1))*6&gt;6,CEILING($E18*(IF(REGEXMATCH(AM$10,$B18),$A18,1))/(AM$11*IF(REGEXMATCH($C18,AM$9),AM$8,1))*6),FLOOR($E18*(IF(REGEXMATCH(AM$10,$B18),$A18,1))/(AM$11*IF(REGEXMATCH($C18,"&amp;"AM$9),AM$8,1))*6))"),10.0)</f>
        <v>10</v>
      </c>
      <c r="AN18" s="285">
        <f>IFERROR(__xludf.DUMMYFUNCTION("IF($E18*(IF(REGEXMATCH(AN$10,$B18),$A18,1))/(AN$11*IF(REGEXMATCH($C18,AN$9),AN$8,1))*6&gt;6,CEILING($E18*(IF(REGEXMATCH(AN$10,$B18),$A18,1))/(AN$11*IF(REGEXMATCH($C18,AN$9),AN$8,1))*6),FLOOR($E18*(IF(REGEXMATCH(AN$10,$B18),$A18,1))/(AN$11*IF(REGEXMATCH($C18,"&amp;"AN$9),AN$8,1))*6))"),10.0)</f>
        <v>10</v>
      </c>
      <c r="AO18" s="285">
        <f>IFERROR(__xludf.DUMMYFUNCTION("IF($E18*(IF(REGEXMATCH(AO$10,$B18),$A18,1))/(AO$11*IF(REGEXMATCH($C18,AO$9),AO$8,1))*6&gt;6,CEILING($E18*(IF(REGEXMATCH(AO$10,$B18),$A18,1))/(AO$11*IF(REGEXMATCH($C18,AO$9),AO$8,1))*6),FLOOR($E18*(IF(REGEXMATCH(AO$10,$B18),$A18,1))/(AO$11*IF(REGEXMATCH($C18,"&amp;"AO$9),AO$8,1))*6))"),10.0)</f>
        <v>10</v>
      </c>
      <c r="AP18" s="285">
        <f>IFERROR(__xludf.DUMMYFUNCTION("IF($E18*(IF(REGEXMATCH(AP$10,$B18),$A18,1))/(AP$11*IF(REGEXMATCH($C18,AP$9),AP$8,1))*6&gt;6,CEILING($E18*(IF(REGEXMATCH(AP$10,$B18),$A18,1))/(AP$11*IF(REGEXMATCH($C18,AP$9),AP$8,1))*6),FLOOR($E18*(IF(REGEXMATCH(AP$10,$B18),$A18,1))/(AP$11*IF(REGEXMATCH($C18,"&amp;"AP$9),AP$8,1))*6))"),10.0)</f>
        <v>10</v>
      </c>
      <c r="AQ18" s="285">
        <f>IFERROR(__xludf.DUMMYFUNCTION("IF($E18*(IF(REGEXMATCH(AQ$10,$B18),$A18,1))/(AQ$11*IF(REGEXMATCH($C18,AQ$9),AQ$8,1))*6&gt;6,CEILING($E18*(IF(REGEXMATCH(AQ$10,$B18),$A18,1))/(AQ$11*IF(REGEXMATCH($C18,AQ$9),AQ$8,1))*6),FLOOR($E18*(IF(REGEXMATCH(AQ$10,$B18),$A18,1))/(AQ$11*IF(REGEXMATCH($C18,"&amp;"AQ$9),AQ$8,1))*6))"),10.0)</f>
        <v>10</v>
      </c>
      <c r="AR18" s="285">
        <f>IFERROR(__xludf.DUMMYFUNCTION("IF($E18*(IF(REGEXMATCH(AR$10,$B18),$A18,1))/(AR$11*IF(REGEXMATCH($C18,AR$9),AR$8,1))*6&gt;6,CEILING($E18*(IF(REGEXMATCH(AR$10,$B18),$A18,1))/(AR$11*IF(REGEXMATCH($C18,AR$9),AR$8,1))*6),FLOOR($E18*(IF(REGEXMATCH(AR$10,$B18),$A18,1))/(AR$11*IF(REGEXMATCH($C18,"&amp;"AR$9),AR$8,1))*6))"),12.0)</f>
        <v>12</v>
      </c>
      <c r="AS18" s="285">
        <f>IFERROR(__xludf.DUMMYFUNCTION("IF($E18*(IF(REGEXMATCH(AS$10,$B18),$A18,1))/(AS$11*IF(REGEXMATCH($C18,AS$9),AS$8,1))*6&gt;6,CEILING($E18*(IF(REGEXMATCH(AS$10,$B18),$A18,1))/(AS$11*IF(REGEXMATCH($C18,AS$9),AS$8,1))*6),FLOOR($E18*(IF(REGEXMATCH(AS$10,$B18),$A18,1))/(AS$11*IF(REGEXMATCH($C18,"&amp;"AS$9),AS$8,1))*6))"),12.0)</f>
        <v>12</v>
      </c>
      <c r="AT18" s="285">
        <f>IFERROR(__xludf.DUMMYFUNCTION("IF($E18*(IF(REGEXMATCH(AT$10,$B18),$A18,1))/(AT$11*IF(REGEXMATCH($C18,AT$9),AT$8,1))*6&gt;6,CEILING($E18*(IF(REGEXMATCH(AT$10,$B18),$A18,1))/(AT$11*IF(REGEXMATCH($C18,AT$9),AT$8,1))*6),FLOOR($E18*(IF(REGEXMATCH(AT$10,$B18),$A18,1))/(AT$11*IF(REGEXMATCH($C18,"&amp;"AT$9),AT$8,1))*6))"),16.0)</f>
        <v>16</v>
      </c>
    </row>
    <row r="19">
      <c r="A19" s="8">
        <v>2.0</v>
      </c>
      <c r="B19" s="8" t="s">
        <v>2578</v>
      </c>
      <c r="C19" s="8" t="s">
        <v>2586</v>
      </c>
      <c r="D19" s="8"/>
      <c r="E19" s="8">
        <v>8.0</v>
      </c>
      <c r="F19" s="48" t="s">
        <v>2224</v>
      </c>
      <c r="G19" s="285">
        <f>IFERROR(__xludf.DUMMYFUNCTION("IF($E19*(IF(REGEXMATCH(G$10,$B19),$A19,1))/(G$11*IF(REGEXMATCH($C19,G$9),G$8,1))*6&gt;6,CEILING($E19*(IF(REGEXMATCH(G$10,$B19),$A19,1))/(G$11*IF(REGEXMATCH($C19,G$9),G$8,1))*6),FLOOR($E19*(IF(REGEXMATCH(G$10,$B19),$A19,1))/(G$11*IF(REGEXMATCH($C19,G$9),G$8,1"&amp;"))*6))"),4.0)</f>
        <v>4</v>
      </c>
      <c r="H19" s="285">
        <f>IFERROR(__xludf.DUMMYFUNCTION("IF($E19*(IF(REGEXMATCH(H$10,$B19),$A19,1))/(H$11*IF(REGEXMATCH($C19,H$9),H$8,1))*6&gt;6,CEILING($E19*(IF(REGEXMATCH(H$10,$B19),$A19,1))/(H$11*IF(REGEXMATCH($C19,H$9),H$8,1))*6),FLOOR($E19*(IF(REGEXMATCH(H$10,$B19),$A19,1))/(H$11*IF(REGEXMATCH($C19,H$9),H$8,1"&amp;"))*6))"),10.0)</f>
        <v>10</v>
      </c>
      <c r="I19" s="285">
        <f>IFERROR(__xludf.DUMMYFUNCTION("IF($E19*(IF(REGEXMATCH(I$10,$B19),$A19,1))/(I$11*IF(REGEXMATCH($C19,I$9),I$8,1))*6&gt;6,CEILING($E19*(IF(REGEXMATCH(I$10,$B19),$A19,1))/(I$11*IF(REGEXMATCH($C19,I$9),I$8,1))*6),FLOOR($E19*(IF(REGEXMATCH(I$10,$B19),$A19,1))/(I$11*IF(REGEXMATCH($C19,I$9),I$8,1"&amp;"))*6))"),4.0)</f>
        <v>4</v>
      </c>
      <c r="J19" s="285">
        <f>IFERROR(__xludf.DUMMYFUNCTION("IF($E19*(IF(REGEXMATCH(J$10,$B19),$A19,1))/(J$11*IF(REGEXMATCH($C19,J$9),J$8,1))*6&gt;6,CEILING($E19*(IF(REGEXMATCH(J$10,$B19),$A19,1))/(J$11*IF(REGEXMATCH($C19,J$9),J$8,1))*6),FLOOR($E19*(IF(REGEXMATCH(J$10,$B19),$A19,1))/(J$11*IF(REGEXMATCH($C19,J$9),J$8,1"&amp;"))*6))"),4.0)</f>
        <v>4</v>
      </c>
      <c r="K19" s="285">
        <f>IFERROR(__xludf.DUMMYFUNCTION("IF($E19*(IF(REGEXMATCH(K$10,$B19),$A19,1))/(K$11*IF(REGEXMATCH($C19,K$9),K$8,1))*6&gt;6,CEILING($E19*(IF(REGEXMATCH(K$10,$B19),$A19,1))/(K$11*IF(REGEXMATCH($C19,K$9),K$8,1))*6),FLOOR($E19*(IF(REGEXMATCH(K$10,$B19),$A19,1))/(K$11*IF(REGEXMATCH($C19,K$9),K$8,1"&amp;"))*6))"),6.0)</f>
        <v>6</v>
      </c>
      <c r="L19" s="285">
        <f>IFERROR(__xludf.DUMMYFUNCTION("IF($E19*(IF(REGEXMATCH(L$10,$B19),$A19,1))/(L$11*IF(REGEXMATCH($C19,L$9),L$8,1))*6&gt;6,CEILING($E19*(IF(REGEXMATCH(L$10,$B19),$A19,1))/(L$11*IF(REGEXMATCH($C19,L$9),L$8,1))*6),FLOOR($E19*(IF(REGEXMATCH(L$10,$B19),$A19,1))/(L$11*IF(REGEXMATCH($C19,L$9),L$8,1"&amp;"))*6))"),6.0)</f>
        <v>6</v>
      </c>
      <c r="M19" s="285">
        <f>IFERROR(__xludf.DUMMYFUNCTION("IF($E19*(IF(REGEXMATCH(M$10,$B19),$A19,1))/(M$11*IF(REGEXMATCH($C19,M$9),M$8,1))*6&gt;6,CEILING($E19*(IF(REGEXMATCH(M$10,$B19),$A19,1))/(M$11*IF(REGEXMATCH($C19,M$9),M$8,1))*6),FLOOR($E19*(IF(REGEXMATCH(M$10,$B19),$A19,1))/(M$11*IF(REGEXMATCH($C19,M$9),M$8,1"&amp;"))*6))"),6.0)</f>
        <v>6</v>
      </c>
      <c r="N19" s="285">
        <f>IFERROR(__xludf.DUMMYFUNCTION("IF($E19*(IF(REGEXMATCH(N$10,$B19),$A19,1))/(N$11*IF(REGEXMATCH($C19,N$9),N$8,1))*6&gt;6,CEILING($E19*(IF(REGEXMATCH(N$10,$B19),$A19,1))/(N$11*IF(REGEXMATCH($C19,N$9),N$8,1))*6),FLOOR($E19*(IF(REGEXMATCH(N$10,$B19),$A19,1))/(N$11*IF(REGEXMATCH($C19,N$9),N$8,1"&amp;"))*6))"),6.0)</f>
        <v>6</v>
      </c>
      <c r="O19" s="285">
        <f>IFERROR(__xludf.DUMMYFUNCTION("IF($E19*(IF(REGEXMATCH(O$10,$B19),$A19,1))/(O$11*IF(REGEXMATCH($C19,O$9),O$8,1))*6&gt;6,CEILING($E19*(IF(REGEXMATCH(O$10,$B19),$A19,1))/(O$11*IF(REGEXMATCH($C19,O$9),O$8,1))*6),FLOOR($E19*(IF(REGEXMATCH(O$10,$B19),$A19,1))/(O$11*IF(REGEXMATCH($C19,O$9),O$8,1"&amp;"))*6))"),6.0)</f>
        <v>6</v>
      </c>
      <c r="P19" s="285">
        <f>IFERROR(__xludf.DUMMYFUNCTION("IF($E19*(IF(REGEXMATCH(P$10,$B19),$A19,1))/(P$11*IF(REGEXMATCH($C19,P$9),P$8,1))*6&gt;6,CEILING($E19*(IF(REGEXMATCH(P$10,$B19),$A19,1))/(P$11*IF(REGEXMATCH($C19,P$9),P$8,1))*6),FLOOR($E19*(IF(REGEXMATCH(P$10,$B19),$A19,1))/(P$11*IF(REGEXMATCH($C19,P$9),P$8,1"&amp;"))*6))"),12.0)</f>
        <v>12</v>
      </c>
      <c r="Q19" s="285">
        <f>IFERROR(__xludf.DUMMYFUNCTION("IF($E19*(IF(REGEXMATCH(Q$10,$B19),$A19,1))/(Q$11*IF(REGEXMATCH($C19,Q$9),Q$8,1))*6&gt;6,CEILING($E19*(IF(REGEXMATCH(Q$10,$B19),$A19,1))/(Q$11*IF(REGEXMATCH($C19,Q$9),Q$8,1))*6),FLOOR($E19*(IF(REGEXMATCH(Q$10,$B19),$A19,1))/(Q$11*IF(REGEXMATCH($C19,Q$9),Q$8,1"&amp;"))*6))"),12.0)</f>
        <v>12</v>
      </c>
      <c r="R19" s="285">
        <f>IFERROR(__xludf.DUMMYFUNCTION("IF($E19*(IF(REGEXMATCH(R$10,$B19),$A19,1))/(R$11*IF(REGEXMATCH($C19,R$9),R$8,1))*6&gt;6,CEILING($E19*(IF(REGEXMATCH(R$10,$B19),$A19,1))/(R$11*IF(REGEXMATCH($C19,R$9),R$8,1))*6),FLOOR($E19*(IF(REGEXMATCH(R$10,$B19),$A19,1))/(R$11*IF(REGEXMATCH($C19,R$9),R$8,1"&amp;"))*6))"),6.0)</f>
        <v>6</v>
      </c>
      <c r="S19" s="285">
        <f>IFERROR(__xludf.DUMMYFUNCTION("IF($E19*(IF(REGEXMATCH(S$10,$B19),$A19,1))/(S$11*IF(REGEXMATCH($C19,S$9),S$8,1))*6&gt;6,CEILING($E19*(IF(REGEXMATCH(S$10,$B19),$A19,1))/(S$11*IF(REGEXMATCH($C19,S$9),S$8,1))*6),FLOOR($E19*(IF(REGEXMATCH(S$10,$B19),$A19,1))/(S$11*IF(REGEXMATCH($C19,S$9),S$8,1"&amp;"))*6))"),12.0)</f>
        <v>12</v>
      </c>
      <c r="T19" s="285">
        <f>IFERROR(__xludf.DUMMYFUNCTION("IF($E19*(IF(REGEXMATCH(T$10,$B19),$A19,1))/(T$11*IF(REGEXMATCH($C19,T$9),T$8,1))*6&gt;6,CEILING($E19*(IF(REGEXMATCH(T$10,$B19),$A19,1))/(T$11*IF(REGEXMATCH($C19,T$9),T$8,1))*6),FLOOR($E19*(IF(REGEXMATCH(T$10,$B19),$A19,1))/(T$11*IF(REGEXMATCH($C19,T$9),T$8,1"&amp;"))*6))"),4.0)</f>
        <v>4</v>
      </c>
      <c r="U19" s="285">
        <f>IFERROR(__xludf.DUMMYFUNCTION("IF($E19*(IF(REGEXMATCH(U$10,$B19),$A19,1))/(U$11*IF(REGEXMATCH($C19,U$9),U$8,1))*6&gt;6,CEILING($E19*(IF(REGEXMATCH(U$10,$B19),$A19,1))/(U$11*IF(REGEXMATCH($C19,U$9),U$8,1))*6),FLOOR($E19*(IF(REGEXMATCH(U$10,$B19),$A19,1))/(U$11*IF(REGEXMATCH($C19,U$9),U$8,1"&amp;"))*6))"),12.0)</f>
        <v>12</v>
      </c>
      <c r="V19" s="285">
        <f>IFERROR(__xludf.DUMMYFUNCTION("IF($E19*(IF(REGEXMATCH(V$10,$B19),$A19,1))/(V$11*IF(REGEXMATCH($C19,V$9),V$8,1))*6&gt;6,CEILING($E19*(IF(REGEXMATCH(V$10,$B19),$A19,1))/(V$11*IF(REGEXMATCH($C19,V$9),V$8,1))*6),FLOOR($E19*(IF(REGEXMATCH(V$10,$B19),$A19,1))/(V$11*IF(REGEXMATCH($C19,V$9),V$8,1"&amp;"))*6))"),6.0)</f>
        <v>6</v>
      </c>
      <c r="W19" s="285">
        <f>IFERROR(__xludf.DUMMYFUNCTION("IF($E19*(IF(REGEXMATCH(W$10,$B19),$A19,1))/(W$11*IF(REGEXMATCH($C19,W$9),W$8,1))*6&gt;6,CEILING($E19*(IF(REGEXMATCH(W$10,$B19),$A19,1))/(W$11*IF(REGEXMATCH($C19,W$9),W$8,1))*6),FLOOR($E19*(IF(REGEXMATCH(W$10,$B19),$A19,1))/(W$11*IF(REGEXMATCH($C19,W$9),W$8,1"&amp;"))*6))"),8.0)</f>
        <v>8</v>
      </c>
      <c r="X19" s="285">
        <f>IFERROR(__xludf.DUMMYFUNCTION("IF($E19*(IF(REGEXMATCH(X$10,$B19),$A19,1))/(X$11*IF(REGEXMATCH($C19,X$9),X$8,1))*6&gt;6,CEILING($E19*(IF(REGEXMATCH(X$10,$B19),$A19,1))/(X$11*IF(REGEXMATCH($C19,X$9),X$8,1))*6),FLOOR($E19*(IF(REGEXMATCH(X$10,$B19),$A19,1))/(X$11*IF(REGEXMATCH($C19,X$9),X$8,1"&amp;"))*6))"),16.0)</f>
        <v>16</v>
      </c>
      <c r="Y19" s="285">
        <f>IFERROR(__xludf.DUMMYFUNCTION("IF($E19*(IF(REGEXMATCH(Y$10,$B19),$A19,1))/(Y$11*IF(REGEXMATCH($C19,Y$9),Y$8,1))*6&gt;6,CEILING($E19*(IF(REGEXMATCH(Y$10,$B19),$A19,1))/(Y$11*IF(REGEXMATCH($C19,Y$9),Y$8,1))*6),FLOOR($E19*(IF(REGEXMATCH(Y$10,$B19),$A19,1))/(Y$11*IF(REGEXMATCH($C19,Y$9),Y$8,1"&amp;"))*6))"),7.0)</f>
        <v>7</v>
      </c>
      <c r="Z19" s="285">
        <f>IFERROR(__xludf.DUMMYFUNCTION("IF($E19*(IF(REGEXMATCH(Z$10,$B19),$A19,1))/(Z$11*IF(REGEXMATCH($C19,Z$9),Z$8,1))*6&gt;6,CEILING($E19*(IF(REGEXMATCH(Z$10,$B19),$A19,1))/(Z$11*IF(REGEXMATCH($C19,Z$9),Z$8,1))*6),FLOOR($E19*(IF(REGEXMATCH(Z$10,$B19),$A19,1))/(Z$11*IF(REGEXMATCH($C19,Z$9),Z$8,1"&amp;"))*6))"),16.0)</f>
        <v>16</v>
      </c>
      <c r="AA19" s="285">
        <f>IFERROR(__xludf.DUMMYFUNCTION("IF($E19*(IF(REGEXMATCH(AA$10,$B19),$A19,1))/(AA$11*IF(REGEXMATCH($C19,AA$9),AA$8,1))*6&gt;6,CEILING($E19*(IF(REGEXMATCH(AA$10,$B19),$A19,1))/(AA$11*IF(REGEXMATCH($C19,AA$9),AA$8,1))*6),FLOOR($E19*(IF(REGEXMATCH(AA$10,$B19),$A19,1))/(AA$11*IF(REGEXMATCH($C19,"&amp;"AA$9),AA$8,1))*6))"),16.0)</f>
        <v>16</v>
      </c>
      <c r="AB19" s="285">
        <f>IFERROR(__xludf.DUMMYFUNCTION("IF($E19*(IF(REGEXMATCH(AB$10,$B19),$A19,1))/(AB$11*IF(REGEXMATCH($C19,AB$9),AB$8,1))*6&gt;6,CEILING($E19*(IF(REGEXMATCH(AB$10,$B19),$A19,1))/(AB$11*IF(REGEXMATCH($C19,AB$9),AB$8,1))*6),FLOOR($E19*(IF(REGEXMATCH(AB$10,$B19),$A19,1))/(AB$11*IF(REGEXMATCH($C19,"&amp;"AB$9),AB$8,1))*6))"),8.0)</f>
        <v>8</v>
      </c>
      <c r="AC19" s="285">
        <f>IFERROR(__xludf.DUMMYFUNCTION("IF($E19*(IF(REGEXMATCH(AC$10,$B19),$A19,1))/(AC$11*IF(REGEXMATCH($C19,AC$9),AC$8,1))*6&gt;6,CEILING($E19*(IF(REGEXMATCH(AC$10,$B19),$A19,1))/(AC$11*IF(REGEXMATCH($C19,AC$9),AC$8,1))*6),FLOOR($E19*(IF(REGEXMATCH(AC$10,$B19),$A19,1))/(AC$11*IF(REGEXMATCH($C19,"&amp;"AC$9),AC$8,1))*6))"),8.0)</f>
        <v>8</v>
      </c>
      <c r="AD19" s="285">
        <f>IFERROR(__xludf.DUMMYFUNCTION("IF($E19*(IF(REGEXMATCH(AD$10,$B19),$A19,1))/(AD$11*IF(REGEXMATCH($C19,AD$9),AD$8,1))*6&gt;6,CEILING($E19*(IF(REGEXMATCH(AD$10,$B19),$A19,1))/(AD$11*IF(REGEXMATCH($C19,AD$9),AD$8,1))*6),FLOOR($E19*(IF(REGEXMATCH(AD$10,$B19),$A19,1))/(AD$11*IF(REGEXMATCH($C19,"&amp;"AD$9),AD$8,1))*6))"),8.0)</f>
        <v>8</v>
      </c>
      <c r="AE19" s="285">
        <f>IFERROR(__xludf.DUMMYFUNCTION("IF($E19*(IF(REGEXMATCH(AE$10,$B19),$A19,1))/(AE$11*IF(REGEXMATCH($C19,AE$9),AE$8,1))*6&gt;6,CEILING($E19*(IF(REGEXMATCH(AE$10,$B19),$A19,1))/(AE$11*IF(REGEXMATCH($C19,AE$9),AE$8,1))*6),FLOOR($E19*(IF(REGEXMATCH(AE$10,$B19),$A19,1))/(AE$11*IF(REGEXMATCH($C19,"&amp;"AE$9),AE$8,1))*6))"),16.0)</f>
        <v>16</v>
      </c>
      <c r="AF19" s="285">
        <f>IFERROR(__xludf.DUMMYFUNCTION("IF($E19*(IF(REGEXMATCH(AF$10,$B19),$A19,1))/(AF$11*IF(REGEXMATCH($C19,AF$9),AF$8,1))*6&gt;6,CEILING($E19*(IF(REGEXMATCH(AF$10,$B19),$A19,1))/(AF$11*IF(REGEXMATCH($C19,AF$9),AF$8,1))*6),FLOOR($E19*(IF(REGEXMATCH(AF$10,$B19),$A19,1))/(AF$11*IF(REGEXMATCH($C19,"&amp;"AF$9),AF$8,1))*6))"),16.0)</f>
        <v>16</v>
      </c>
      <c r="AG19" s="285">
        <f>IFERROR(__xludf.DUMMYFUNCTION("IF($E19*(IF(REGEXMATCH(AG$10,$B19),$A19,1))/(AG$11*IF(REGEXMATCH($C19,AG$9),AG$8,1))*6&gt;6,CEILING($E19*(IF(REGEXMATCH(AG$10,$B19),$A19,1))/(AG$11*IF(REGEXMATCH($C19,AG$9),AG$8,1))*6),FLOOR($E19*(IF(REGEXMATCH(AG$10,$B19),$A19,1))/(AG$11*IF(REGEXMATCH($C19,"&amp;"AG$9),AG$8,1))*6))"),8.0)</f>
        <v>8</v>
      </c>
      <c r="AH19" s="285">
        <f>IFERROR(__xludf.DUMMYFUNCTION("IF($E19*(IF(REGEXMATCH(AH$10,$B19),$A19,1))/(AH$11*IF(REGEXMATCH($C19,AH$9),AH$8,1))*6&gt;6,CEILING($E19*(IF(REGEXMATCH(AH$10,$B19),$A19,1))/(AH$11*IF(REGEXMATCH($C19,AH$9),AH$8,1))*6),FLOOR($E19*(IF(REGEXMATCH(AH$10,$B19),$A19,1))/(AH$11*IF(REGEXMATCH($C19,"&amp;"AH$9),AH$8,1))*6))"),16.0)</f>
        <v>16</v>
      </c>
      <c r="AI19" s="285">
        <f>IFERROR(__xludf.DUMMYFUNCTION("IF($E19*(IF(REGEXMATCH(AI$10,$B19),$A19,1))/(AI$11*IF(REGEXMATCH($C19,AI$9),AI$8,1))*6&gt;6,CEILING($E19*(IF(REGEXMATCH(AI$10,$B19),$A19,1))/(AI$11*IF(REGEXMATCH($C19,AI$9),AI$8,1))*6),FLOOR($E19*(IF(REGEXMATCH(AI$10,$B19),$A19,1))/(AI$11*IF(REGEXMATCH($C19,"&amp;"AI$9),AI$8,1))*6))"),7.0)</f>
        <v>7</v>
      </c>
      <c r="AJ19" s="285">
        <f>IFERROR(__xludf.DUMMYFUNCTION("IF($E19*(IF(REGEXMATCH(AJ$10,$B19),$A19,1))/(AJ$11*IF(REGEXMATCH($C19,AJ$9),AJ$8,1))*6&gt;6,CEILING($E19*(IF(REGEXMATCH(AJ$10,$B19),$A19,1))/(AJ$11*IF(REGEXMATCH($C19,AJ$9),AJ$8,1))*6),FLOOR($E19*(IF(REGEXMATCH(AJ$10,$B19),$A19,1))/(AJ$11*IF(REGEXMATCH($C19,"&amp;"AJ$9),AJ$8,1))*6))"),16.0)</f>
        <v>16</v>
      </c>
      <c r="AK19" s="285">
        <f>IFERROR(__xludf.DUMMYFUNCTION("IF($E19*(IF(REGEXMATCH(AK$10,$B19),$A19,1))/(AK$11*IF(REGEXMATCH($C19,AK$9),AK$8,1))*6&gt;6,CEILING($E19*(IF(REGEXMATCH(AK$10,$B19),$A19,1))/(AK$11*IF(REGEXMATCH($C19,AK$9),AK$8,1))*6),FLOOR($E19*(IF(REGEXMATCH(AK$10,$B19),$A19,1))/(AK$11*IF(REGEXMATCH($C19,"&amp;"AK$9),AK$8,1))*6))"),8.0)</f>
        <v>8</v>
      </c>
      <c r="AL19" s="285">
        <f>IFERROR(__xludf.DUMMYFUNCTION("IF($E19*(IF(REGEXMATCH(AL$10,$B19),$A19,1))/(AL$11*IF(REGEXMATCH($C19,AL$9),AL$8,1))*6&gt;6,CEILING($E19*(IF(REGEXMATCH(AL$10,$B19),$A19,1))/(AL$11*IF(REGEXMATCH($C19,AL$9),AL$8,1))*6),FLOOR($E19*(IF(REGEXMATCH(AL$10,$B19),$A19,1))/(AL$11*IF(REGEXMATCH($C19,"&amp;"AL$9),AL$8,1))*6))"),20.0)</f>
        <v>20</v>
      </c>
      <c r="AM19" s="285">
        <f>IFERROR(__xludf.DUMMYFUNCTION("IF($E19*(IF(REGEXMATCH(AM$10,$B19),$A19,1))/(AM$11*IF(REGEXMATCH($C19,AM$9),AM$8,1))*6&gt;6,CEILING($E19*(IF(REGEXMATCH(AM$10,$B19),$A19,1))/(AM$11*IF(REGEXMATCH($C19,AM$9),AM$8,1))*6),FLOOR($E19*(IF(REGEXMATCH(AM$10,$B19),$A19,1))/(AM$11*IF(REGEXMATCH($C19,"&amp;"AM$9),AM$8,1))*6))"),8.0)</f>
        <v>8</v>
      </c>
      <c r="AN19" s="285">
        <f>IFERROR(__xludf.DUMMYFUNCTION("IF($E19*(IF(REGEXMATCH(AN$10,$B19),$A19,1))/(AN$11*IF(REGEXMATCH($C19,AN$9),AN$8,1))*6&gt;6,CEILING($E19*(IF(REGEXMATCH(AN$10,$B19),$A19,1))/(AN$11*IF(REGEXMATCH($C19,AN$9),AN$8,1))*6),FLOOR($E19*(IF(REGEXMATCH(AN$10,$B19),$A19,1))/(AN$11*IF(REGEXMATCH($C19,"&amp;"AN$9),AN$8,1))*6))"),10.0)</f>
        <v>10</v>
      </c>
      <c r="AO19" s="285">
        <f>IFERROR(__xludf.DUMMYFUNCTION("IF($E19*(IF(REGEXMATCH(AO$10,$B19),$A19,1))/(AO$11*IF(REGEXMATCH($C19,AO$9),AO$8,1))*6&gt;6,CEILING($E19*(IF(REGEXMATCH(AO$10,$B19),$A19,1))/(AO$11*IF(REGEXMATCH($C19,AO$9),AO$8,1))*6),FLOOR($E19*(IF(REGEXMATCH(AO$10,$B19),$A19,1))/(AO$11*IF(REGEXMATCH($C19,"&amp;"AO$9),AO$8,1))*6))"),10.0)</f>
        <v>10</v>
      </c>
      <c r="AP19" s="285">
        <f>IFERROR(__xludf.DUMMYFUNCTION("IF($E19*(IF(REGEXMATCH(AP$10,$B19),$A19,1))/(AP$11*IF(REGEXMATCH($C19,AP$9),AP$8,1))*6&gt;6,CEILING($E19*(IF(REGEXMATCH(AP$10,$B19),$A19,1))/(AP$11*IF(REGEXMATCH($C19,AP$9),AP$8,1))*6),FLOOR($E19*(IF(REGEXMATCH(AP$10,$B19),$A19,1))/(AP$11*IF(REGEXMATCH($C19,"&amp;"AP$9),AP$8,1))*6))"),20.0)</f>
        <v>20</v>
      </c>
      <c r="AQ19" s="285">
        <f>IFERROR(__xludf.DUMMYFUNCTION("IF($E19*(IF(REGEXMATCH(AQ$10,$B19),$A19,1))/(AQ$11*IF(REGEXMATCH($C19,AQ$9),AQ$8,1))*6&gt;6,CEILING($E19*(IF(REGEXMATCH(AQ$10,$B19),$A19,1))/(AQ$11*IF(REGEXMATCH($C19,AQ$9),AQ$8,1))*6),FLOOR($E19*(IF(REGEXMATCH(AQ$10,$B19),$A19,1))/(AQ$11*IF(REGEXMATCH($C19,"&amp;"AQ$9),AQ$8,1))*6))"),10.0)</f>
        <v>10</v>
      </c>
      <c r="AR19" s="285">
        <f>IFERROR(__xludf.DUMMYFUNCTION("IF($E19*(IF(REGEXMATCH(AR$10,$B19),$A19,1))/(AR$11*IF(REGEXMATCH($C19,AR$9),AR$8,1))*6&gt;6,CEILING($E19*(IF(REGEXMATCH(AR$10,$B19),$A19,1))/(AR$11*IF(REGEXMATCH($C19,AR$9),AR$8,1))*6),FLOOR($E19*(IF(REGEXMATCH(AR$10,$B19),$A19,1))/(AR$11*IF(REGEXMATCH($C19,"&amp;"AR$9),AR$8,1))*6))"),12.0)</f>
        <v>12</v>
      </c>
      <c r="AS19" s="285">
        <f>IFERROR(__xludf.DUMMYFUNCTION("IF($E19*(IF(REGEXMATCH(AS$10,$B19),$A19,1))/(AS$11*IF(REGEXMATCH($C19,AS$9),AS$8,1))*6&gt;6,CEILING($E19*(IF(REGEXMATCH(AS$10,$B19),$A19,1))/(AS$11*IF(REGEXMATCH($C19,AS$9),AS$8,1))*6),FLOOR($E19*(IF(REGEXMATCH(AS$10,$B19),$A19,1))/(AS$11*IF(REGEXMATCH($C19,"&amp;"AS$9),AS$8,1))*6))"),12.0)</f>
        <v>12</v>
      </c>
      <c r="AT19" s="285">
        <f>IFERROR(__xludf.DUMMYFUNCTION("IF($E19*(IF(REGEXMATCH(AT$10,$B19),$A19,1))/(AT$11*IF(REGEXMATCH($C19,AT$9),AT$8,1))*6&gt;6,CEILING($E19*(IF(REGEXMATCH(AT$10,$B19),$A19,1))/(AT$11*IF(REGEXMATCH($C19,AT$9),AT$8,1))*6),FLOOR($E19*(IF(REGEXMATCH(AT$10,$B19),$A19,1))/(AT$11*IF(REGEXMATCH($C19,"&amp;"AT$9),AT$8,1))*6))"),16.0)</f>
        <v>16</v>
      </c>
    </row>
    <row r="20">
      <c r="A20" s="8">
        <v>1.0</v>
      </c>
      <c r="B20" s="8" t="s">
        <v>2577</v>
      </c>
      <c r="C20" s="812" t="s">
        <v>2587</v>
      </c>
      <c r="D20" s="8"/>
      <c r="E20" s="8">
        <v>8.0</v>
      </c>
      <c r="F20" s="98" t="s">
        <v>2521</v>
      </c>
      <c r="G20" s="285">
        <f>IFERROR(__xludf.DUMMYFUNCTION("IF($E20*(IF(REGEXMATCH(G$10,$B20),$A20,1))/(G$11*IF(REGEXMATCH($C20,G$9),G$8,1))*6&gt;6,CEILING($E20*(IF(REGEXMATCH(G$10,$B20),$A20,1))/(G$11*IF(REGEXMATCH($C20,G$9),G$8,1))*6),FLOOR($E20*(IF(REGEXMATCH(G$10,$B20),$A20,1))/(G$11*IF(REGEXMATCH($C20,G$9),G$8,1"&amp;"))*6))"),4.0)</f>
        <v>4</v>
      </c>
      <c r="H20" s="285">
        <f>IFERROR(__xludf.DUMMYFUNCTION("IF($E20*(IF(REGEXMATCH(H$10,$B20),$A20,1))/(H$11*IF(REGEXMATCH($C20,H$9),H$8,1))*6&gt;6,CEILING($E20*(IF(REGEXMATCH(H$10,$B20),$A20,1))/(H$11*IF(REGEXMATCH($C20,H$9),H$8,1))*6),FLOOR($E20*(IF(REGEXMATCH(H$10,$B20),$A20,1))/(H$11*IF(REGEXMATCH($C20,H$9),H$8,1"&amp;"))*6))"),4.0)</f>
        <v>4</v>
      </c>
      <c r="I20" s="285">
        <f>IFERROR(__xludf.DUMMYFUNCTION("IF($E20*(IF(REGEXMATCH(I$10,$B20),$A20,1))/(I$11*IF(REGEXMATCH($C20,I$9),I$8,1))*6&gt;6,CEILING($E20*(IF(REGEXMATCH(I$10,$B20),$A20,1))/(I$11*IF(REGEXMATCH($C20,I$9),I$8,1))*6),FLOOR($E20*(IF(REGEXMATCH(I$10,$B20),$A20,1))/(I$11*IF(REGEXMATCH($C20,I$9),I$8,1"&amp;"))*6))"),4.0)</f>
        <v>4</v>
      </c>
      <c r="J20" s="285">
        <f>IFERROR(__xludf.DUMMYFUNCTION("IF($E20*(IF(REGEXMATCH(J$10,$B20),$A20,1))/(J$11*IF(REGEXMATCH($C20,J$9),J$8,1))*6&gt;6,CEILING($E20*(IF(REGEXMATCH(J$10,$B20),$A20,1))/(J$11*IF(REGEXMATCH($C20,J$9),J$8,1))*6),FLOOR($E20*(IF(REGEXMATCH(J$10,$B20),$A20,1))/(J$11*IF(REGEXMATCH($C20,J$9),J$8,1"&amp;"))*6))"),6.0)</f>
        <v>6</v>
      </c>
      <c r="K20" s="285">
        <f>IFERROR(__xludf.DUMMYFUNCTION("IF($E20*(IF(REGEXMATCH(K$10,$B20),$A20,1))/(K$11*IF(REGEXMATCH($C20,K$9),K$8,1))*6&gt;6,CEILING($E20*(IF(REGEXMATCH(K$10,$B20),$A20,1))/(K$11*IF(REGEXMATCH($C20,K$9),K$8,1))*6),FLOOR($E20*(IF(REGEXMATCH(K$10,$B20),$A20,1))/(K$11*IF(REGEXMATCH($C20,K$9),K$8,1"&amp;"))*6))"),6.0)</f>
        <v>6</v>
      </c>
      <c r="L20" s="285">
        <f>IFERROR(__xludf.DUMMYFUNCTION("IF($E20*(IF(REGEXMATCH(L$10,$B20),$A20,1))/(L$11*IF(REGEXMATCH($C20,L$9),L$8,1))*6&gt;6,CEILING($E20*(IF(REGEXMATCH(L$10,$B20),$A20,1))/(L$11*IF(REGEXMATCH($C20,L$9),L$8,1))*6),FLOOR($E20*(IF(REGEXMATCH(L$10,$B20),$A20,1))/(L$11*IF(REGEXMATCH($C20,L$9),L$8,1"&amp;"))*6))"),6.0)</f>
        <v>6</v>
      </c>
      <c r="M20" s="285">
        <f>IFERROR(__xludf.DUMMYFUNCTION("IF($E20*(IF(REGEXMATCH(M$10,$B20),$A20,1))/(M$11*IF(REGEXMATCH($C20,M$9),M$8,1))*6&gt;6,CEILING($E20*(IF(REGEXMATCH(M$10,$B20),$A20,1))/(M$11*IF(REGEXMATCH($C20,M$9),M$8,1))*6),FLOOR($E20*(IF(REGEXMATCH(M$10,$B20),$A20,1))/(M$11*IF(REGEXMATCH($C20,M$9),M$8,1"&amp;"))*6))"),6.0)</f>
        <v>6</v>
      </c>
      <c r="N20" s="285">
        <f>IFERROR(__xludf.DUMMYFUNCTION("IF($E20*(IF(REGEXMATCH(N$10,$B20),$A20,1))/(N$11*IF(REGEXMATCH($C20,N$9),N$8,1))*6&gt;6,CEILING($E20*(IF(REGEXMATCH(N$10,$B20),$A20,1))/(N$11*IF(REGEXMATCH($C20,N$9),N$8,1))*6),FLOOR($E20*(IF(REGEXMATCH(N$10,$B20),$A20,1))/(N$11*IF(REGEXMATCH($C20,N$9),N$8,1"&amp;"))*6))"),6.0)</f>
        <v>6</v>
      </c>
      <c r="O20" s="285">
        <f>IFERROR(__xludf.DUMMYFUNCTION("IF($E20*(IF(REGEXMATCH(O$10,$B20),$A20,1))/(O$11*IF(REGEXMATCH($C20,O$9),O$8,1))*6&gt;6,CEILING($E20*(IF(REGEXMATCH(O$10,$B20),$A20,1))/(O$11*IF(REGEXMATCH($C20,O$9),O$8,1))*6),FLOOR($E20*(IF(REGEXMATCH(O$10,$B20),$A20,1))/(O$11*IF(REGEXMATCH($C20,O$9),O$8,1"&amp;"))*6))"),6.0)</f>
        <v>6</v>
      </c>
      <c r="P20" s="285">
        <f>IFERROR(__xludf.DUMMYFUNCTION("IF($E20*(IF(REGEXMATCH(P$10,$B20),$A20,1))/(P$11*IF(REGEXMATCH($C20,P$9),P$8,1))*6&gt;6,CEILING($E20*(IF(REGEXMATCH(P$10,$B20),$A20,1))/(P$11*IF(REGEXMATCH($C20,P$9),P$8,1))*6),FLOOR($E20*(IF(REGEXMATCH(P$10,$B20),$A20,1))/(P$11*IF(REGEXMATCH($C20,P$9),P$8,1"&amp;"))*6))"),6.0)</f>
        <v>6</v>
      </c>
      <c r="Q20" s="285">
        <f>IFERROR(__xludf.DUMMYFUNCTION("IF($E20*(IF(REGEXMATCH(Q$10,$B20),$A20,1))/(Q$11*IF(REGEXMATCH($C20,Q$9),Q$8,1))*6&gt;6,CEILING($E20*(IF(REGEXMATCH(Q$10,$B20),$A20,1))/(Q$11*IF(REGEXMATCH($C20,Q$9),Q$8,1))*6),FLOOR($E20*(IF(REGEXMATCH(Q$10,$B20),$A20,1))/(Q$11*IF(REGEXMATCH($C20,Q$9),Q$8,1"&amp;"))*6))"),6.0)</f>
        <v>6</v>
      </c>
      <c r="R20" s="285">
        <f>IFERROR(__xludf.DUMMYFUNCTION("IF($E20*(IF(REGEXMATCH(R$10,$B20),$A20,1))/(R$11*IF(REGEXMATCH($C20,R$9),R$8,1))*6&gt;6,CEILING($E20*(IF(REGEXMATCH(R$10,$B20),$A20,1))/(R$11*IF(REGEXMATCH($C20,R$9),R$8,1))*6),FLOOR($E20*(IF(REGEXMATCH(R$10,$B20),$A20,1))/(R$11*IF(REGEXMATCH($C20,R$9),R$8,1"&amp;"))*6))"),6.0)</f>
        <v>6</v>
      </c>
      <c r="S20" s="285">
        <f>IFERROR(__xludf.DUMMYFUNCTION("IF($E20*(IF(REGEXMATCH(S$10,$B20),$A20,1))/(S$11*IF(REGEXMATCH($C20,S$9),S$8,1))*6&gt;6,CEILING($E20*(IF(REGEXMATCH(S$10,$B20),$A20,1))/(S$11*IF(REGEXMATCH($C20,S$9),S$8,1))*6),FLOOR($E20*(IF(REGEXMATCH(S$10,$B20),$A20,1))/(S$11*IF(REGEXMATCH($C20,S$9),S$8,1"&amp;"))*6))"),6.0)</f>
        <v>6</v>
      </c>
      <c r="T20" s="285">
        <f>IFERROR(__xludf.DUMMYFUNCTION("IF($E20*(IF(REGEXMATCH(T$10,$B20),$A20,1))/(T$11*IF(REGEXMATCH($C20,T$9),T$8,1))*6&gt;6,CEILING($E20*(IF(REGEXMATCH(T$10,$B20),$A20,1))/(T$11*IF(REGEXMATCH($C20,T$9),T$8,1))*6),FLOOR($E20*(IF(REGEXMATCH(T$10,$B20),$A20,1))/(T$11*IF(REGEXMATCH($C20,T$9),T$8,1"&amp;"))*6))"),4.0)</f>
        <v>4</v>
      </c>
      <c r="U20" s="285">
        <f>IFERROR(__xludf.DUMMYFUNCTION("IF($E20*(IF(REGEXMATCH(U$10,$B20),$A20,1))/(U$11*IF(REGEXMATCH($C20,U$9),U$8,1))*6&gt;6,CEILING($E20*(IF(REGEXMATCH(U$10,$B20),$A20,1))/(U$11*IF(REGEXMATCH($C20,U$9),U$8,1))*6),FLOOR($E20*(IF(REGEXMATCH(U$10,$B20),$A20,1))/(U$11*IF(REGEXMATCH($C20,U$9),U$8,1"&amp;"))*6))"),6.0)</f>
        <v>6</v>
      </c>
      <c r="V20" s="285">
        <f>IFERROR(__xludf.DUMMYFUNCTION("IF($E20*(IF(REGEXMATCH(V$10,$B20),$A20,1))/(V$11*IF(REGEXMATCH($C20,V$9),V$8,1))*6&gt;6,CEILING($E20*(IF(REGEXMATCH(V$10,$B20),$A20,1))/(V$11*IF(REGEXMATCH($C20,V$9),V$8,1))*6),FLOOR($E20*(IF(REGEXMATCH(V$10,$B20),$A20,1))/(V$11*IF(REGEXMATCH($C20,V$9),V$8,1"&amp;"))*6))"),6.0)</f>
        <v>6</v>
      </c>
      <c r="W20" s="285">
        <f>IFERROR(__xludf.DUMMYFUNCTION("IF($E20*(IF(REGEXMATCH(W$10,$B20),$A20,1))/(W$11*IF(REGEXMATCH($C20,W$9),W$8,1))*6&gt;6,CEILING($E20*(IF(REGEXMATCH(W$10,$B20),$A20,1))/(W$11*IF(REGEXMATCH($C20,W$9),W$8,1))*6),FLOOR($E20*(IF(REGEXMATCH(W$10,$B20),$A20,1))/(W$11*IF(REGEXMATCH($C20,W$9),W$8,1"&amp;"))*6))"),8.0)</f>
        <v>8</v>
      </c>
      <c r="X20" s="285">
        <f>IFERROR(__xludf.DUMMYFUNCTION("IF($E20*(IF(REGEXMATCH(X$10,$B20),$A20,1))/(X$11*IF(REGEXMATCH($C20,X$9),X$8,1))*6&gt;6,CEILING($E20*(IF(REGEXMATCH(X$10,$B20),$A20,1))/(X$11*IF(REGEXMATCH($C20,X$9),X$8,1))*6),FLOOR($E20*(IF(REGEXMATCH(X$10,$B20),$A20,1))/(X$11*IF(REGEXMATCH($C20,X$9),X$8,1"&amp;"))*6))"),8.0)</f>
        <v>8</v>
      </c>
      <c r="Y20" s="285">
        <f>IFERROR(__xludf.DUMMYFUNCTION("IF($E20*(IF(REGEXMATCH(Y$10,$B20),$A20,1))/(Y$11*IF(REGEXMATCH($C20,Y$9),Y$8,1))*6&gt;6,CEILING($E20*(IF(REGEXMATCH(Y$10,$B20),$A20,1))/(Y$11*IF(REGEXMATCH($C20,Y$9),Y$8,1))*6),FLOOR($E20*(IF(REGEXMATCH(Y$10,$B20),$A20,1))/(Y$11*IF(REGEXMATCH($C20,Y$9),Y$8,1"&amp;"))*6))"),7.0)</f>
        <v>7</v>
      </c>
      <c r="Z20" s="285">
        <f>IFERROR(__xludf.DUMMYFUNCTION("IF($E20*(IF(REGEXMATCH(Z$10,$B20),$A20,1))/(Z$11*IF(REGEXMATCH($C20,Z$9),Z$8,1))*6&gt;6,CEILING($E20*(IF(REGEXMATCH(Z$10,$B20),$A20,1))/(Z$11*IF(REGEXMATCH($C20,Z$9),Z$8,1))*6),FLOOR($E20*(IF(REGEXMATCH(Z$10,$B20),$A20,1))/(Z$11*IF(REGEXMATCH($C20,Z$9),Z$8,1"&amp;"))*6))"),8.0)</f>
        <v>8</v>
      </c>
      <c r="AA20" s="285">
        <f>IFERROR(__xludf.DUMMYFUNCTION("IF($E20*(IF(REGEXMATCH(AA$10,$B20),$A20,1))/(AA$11*IF(REGEXMATCH($C20,AA$9),AA$8,1))*6&gt;6,CEILING($E20*(IF(REGEXMATCH(AA$10,$B20),$A20,1))/(AA$11*IF(REGEXMATCH($C20,AA$9),AA$8,1))*6),FLOOR($E20*(IF(REGEXMATCH(AA$10,$B20),$A20,1))/(AA$11*IF(REGEXMATCH($C20,"&amp;"AA$9),AA$8,1))*6))"),8.0)</f>
        <v>8</v>
      </c>
      <c r="AB20" s="285">
        <f>IFERROR(__xludf.DUMMYFUNCTION("IF($E20*(IF(REGEXMATCH(AB$10,$B20),$A20,1))/(AB$11*IF(REGEXMATCH($C20,AB$9),AB$8,1))*6&gt;6,CEILING($E20*(IF(REGEXMATCH(AB$10,$B20),$A20,1))/(AB$11*IF(REGEXMATCH($C20,AB$9),AB$8,1))*6),FLOOR($E20*(IF(REGEXMATCH(AB$10,$B20),$A20,1))/(AB$11*IF(REGEXMATCH($C20,"&amp;"AB$9),AB$8,1))*6))"),8.0)</f>
        <v>8</v>
      </c>
      <c r="AC20" s="285">
        <f>IFERROR(__xludf.DUMMYFUNCTION("IF($E20*(IF(REGEXMATCH(AC$10,$B20),$A20,1))/(AC$11*IF(REGEXMATCH($C20,AC$9),AC$8,1))*6&gt;6,CEILING($E20*(IF(REGEXMATCH(AC$10,$B20),$A20,1))/(AC$11*IF(REGEXMATCH($C20,AC$9),AC$8,1))*6),FLOOR($E20*(IF(REGEXMATCH(AC$10,$B20),$A20,1))/(AC$11*IF(REGEXMATCH($C20,"&amp;"AC$9),AC$8,1))*6))"),8.0)</f>
        <v>8</v>
      </c>
      <c r="AD20" s="285">
        <f>IFERROR(__xludf.DUMMYFUNCTION("IF($E20*(IF(REGEXMATCH(AD$10,$B20),$A20,1))/(AD$11*IF(REGEXMATCH($C20,AD$9),AD$8,1))*6&gt;6,CEILING($E20*(IF(REGEXMATCH(AD$10,$B20),$A20,1))/(AD$11*IF(REGEXMATCH($C20,AD$9),AD$8,1))*6),FLOOR($E20*(IF(REGEXMATCH(AD$10,$B20),$A20,1))/(AD$11*IF(REGEXMATCH($C20,"&amp;"AD$9),AD$8,1))*6))"),8.0)</f>
        <v>8</v>
      </c>
      <c r="AE20" s="285">
        <f>IFERROR(__xludf.DUMMYFUNCTION("IF($E20*(IF(REGEXMATCH(AE$10,$B20),$A20,1))/(AE$11*IF(REGEXMATCH($C20,AE$9),AE$8,1))*6&gt;6,CEILING($E20*(IF(REGEXMATCH(AE$10,$B20),$A20,1))/(AE$11*IF(REGEXMATCH($C20,AE$9),AE$8,1))*6),FLOOR($E20*(IF(REGEXMATCH(AE$10,$B20),$A20,1))/(AE$11*IF(REGEXMATCH($C20,"&amp;"AE$9),AE$8,1))*6))"),8.0)</f>
        <v>8</v>
      </c>
      <c r="AF20" s="285">
        <f>IFERROR(__xludf.DUMMYFUNCTION("IF($E20*(IF(REGEXMATCH(AF$10,$B20),$A20,1))/(AF$11*IF(REGEXMATCH($C20,AF$9),AF$8,1))*6&gt;6,CEILING($E20*(IF(REGEXMATCH(AF$10,$B20),$A20,1))/(AF$11*IF(REGEXMATCH($C20,AF$9),AF$8,1))*6),FLOOR($E20*(IF(REGEXMATCH(AF$10,$B20),$A20,1))/(AF$11*IF(REGEXMATCH($C20,"&amp;"AF$9),AF$8,1))*6))"),8.0)</f>
        <v>8</v>
      </c>
      <c r="AG20" s="285">
        <f>IFERROR(__xludf.DUMMYFUNCTION("IF($E20*(IF(REGEXMATCH(AG$10,$B20),$A20,1))/(AG$11*IF(REGEXMATCH($C20,AG$9),AG$8,1))*6&gt;6,CEILING($E20*(IF(REGEXMATCH(AG$10,$B20),$A20,1))/(AG$11*IF(REGEXMATCH($C20,AG$9),AG$8,1))*6),FLOOR($E20*(IF(REGEXMATCH(AG$10,$B20),$A20,1))/(AG$11*IF(REGEXMATCH($C20,"&amp;"AG$9),AG$8,1))*6))"),8.0)</f>
        <v>8</v>
      </c>
      <c r="AH20" s="285">
        <f>IFERROR(__xludf.DUMMYFUNCTION("IF($E20*(IF(REGEXMATCH(AH$10,$B20),$A20,1))/(AH$11*IF(REGEXMATCH($C20,AH$9),AH$8,1))*6&gt;6,CEILING($E20*(IF(REGEXMATCH(AH$10,$B20),$A20,1))/(AH$11*IF(REGEXMATCH($C20,AH$9),AH$8,1))*6),FLOOR($E20*(IF(REGEXMATCH(AH$10,$B20),$A20,1))/(AH$11*IF(REGEXMATCH($C20,"&amp;"AH$9),AH$8,1))*6))"),8.0)</f>
        <v>8</v>
      </c>
      <c r="AI20" s="285">
        <f>IFERROR(__xludf.DUMMYFUNCTION("IF($E20*(IF(REGEXMATCH(AI$10,$B20),$A20,1))/(AI$11*IF(REGEXMATCH($C20,AI$9),AI$8,1))*6&gt;6,CEILING($E20*(IF(REGEXMATCH(AI$10,$B20),$A20,1))/(AI$11*IF(REGEXMATCH($C20,AI$9),AI$8,1))*6),FLOOR($E20*(IF(REGEXMATCH(AI$10,$B20),$A20,1))/(AI$11*IF(REGEXMATCH($C20,"&amp;"AI$9),AI$8,1))*6))"),7.0)</f>
        <v>7</v>
      </c>
      <c r="AJ20" s="285">
        <f>IFERROR(__xludf.DUMMYFUNCTION("IF($E20*(IF(REGEXMATCH(AJ$10,$B20),$A20,1))/(AJ$11*IF(REGEXMATCH($C20,AJ$9),AJ$8,1))*6&gt;6,CEILING($E20*(IF(REGEXMATCH(AJ$10,$B20),$A20,1))/(AJ$11*IF(REGEXMATCH($C20,AJ$9),AJ$8,1))*6),FLOOR($E20*(IF(REGEXMATCH(AJ$10,$B20),$A20,1))/(AJ$11*IF(REGEXMATCH($C20,"&amp;"AJ$9),AJ$8,1))*6))"),8.0)</f>
        <v>8</v>
      </c>
      <c r="AK20" s="285">
        <f>IFERROR(__xludf.DUMMYFUNCTION("IF($E20*(IF(REGEXMATCH(AK$10,$B20),$A20,1))/(AK$11*IF(REGEXMATCH($C20,AK$9),AK$8,1))*6&gt;6,CEILING($E20*(IF(REGEXMATCH(AK$10,$B20),$A20,1))/(AK$11*IF(REGEXMATCH($C20,AK$9),AK$8,1))*6),FLOOR($E20*(IF(REGEXMATCH(AK$10,$B20),$A20,1))/(AK$11*IF(REGEXMATCH($C20,"&amp;"AK$9),AK$8,1))*6))"),8.0)</f>
        <v>8</v>
      </c>
      <c r="AL20" s="285">
        <f>IFERROR(__xludf.DUMMYFUNCTION("IF($E20*(IF(REGEXMATCH(AL$10,$B20),$A20,1))/(AL$11*IF(REGEXMATCH($C20,AL$9),AL$8,1))*6&gt;6,CEILING($E20*(IF(REGEXMATCH(AL$10,$B20),$A20,1))/(AL$11*IF(REGEXMATCH($C20,AL$9),AL$8,1))*6),FLOOR($E20*(IF(REGEXMATCH(AL$10,$B20),$A20,1))/(AL$11*IF(REGEXMATCH($C20,"&amp;"AL$9),AL$8,1))*6))"),10.0)</f>
        <v>10</v>
      </c>
      <c r="AM20" s="285">
        <f>IFERROR(__xludf.DUMMYFUNCTION("IF($E20*(IF(REGEXMATCH(AM$10,$B20),$A20,1))/(AM$11*IF(REGEXMATCH($C20,AM$9),AM$8,1))*6&gt;6,CEILING($E20*(IF(REGEXMATCH(AM$10,$B20),$A20,1))/(AM$11*IF(REGEXMATCH($C20,AM$9),AM$8,1))*6),FLOOR($E20*(IF(REGEXMATCH(AM$10,$B20),$A20,1))/(AM$11*IF(REGEXMATCH($C20,"&amp;"AM$9),AM$8,1))*6))"),10.0)</f>
        <v>10</v>
      </c>
      <c r="AN20" s="285">
        <f>IFERROR(__xludf.DUMMYFUNCTION("IF($E20*(IF(REGEXMATCH(AN$10,$B20),$A20,1))/(AN$11*IF(REGEXMATCH($C20,AN$9),AN$8,1))*6&gt;6,CEILING($E20*(IF(REGEXMATCH(AN$10,$B20),$A20,1))/(AN$11*IF(REGEXMATCH($C20,AN$9),AN$8,1))*6),FLOOR($E20*(IF(REGEXMATCH(AN$10,$B20),$A20,1))/(AN$11*IF(REGEXMATCH($C20,"&amp;"AN$9),AN$8,1))*6))"),10.0)</f>
        <v>10</v>
      </c>
      <c r="AO20" s="285">
        <f>IFERROR(__xludf.DUMMYFUNCTION("IF($E20*(IF(REGEXMATCH(AO$10,$B20),$A20,1))/(AO$11*IF(REGEXMATCH($C20,AO$9),AO$8,1))*6&gt;6,CEILING($E20*(IF(REGEXMATCH(AO$10,$B20),$A20,1))/(AO$11*IF(REGEXMATCH($C20,AO$9),AO$8,1))*6),FLOOR($E20*(IF(REGEXMATCH(AO$10,$B20),$A20,1))/(AO$11*IF(REGEXMATCH($C20,"&amp;"AO$9),AO$8,1))*6))"),10.0)</f>
        <v>10</v>
      </c>
      <c r="AP20" s="285">
        <f>IFERROR(__xludf.DUMMYFUNCTION("IF($E20*(IF(REGEXMATCH(AP$10,$B20),$A20,1))/(AP$11*IF(REGEXMATCH($C20,AP$9),AP$8,1))*6&gt;6,CEILING($E20*(IF(REGEXMATCH(AP$10,$B20),$A20,1))/(AP$11*IF(REGEXMATCH($C20,AP$9),AP$8,1))*6),FLOOR($E20*(IF(REGEXMATCH(AP$10,$B20),$A20,1))/(AP$11*IF(REGEXMATCH($C20,"&amp;"AP$9),AP$8,1))*6))"),10.0)</f>
        <v>10</v>
      </c>
      <c r="AQ20" s="285">
        <f>IFERROR(__xludf.DUMMYFUNCTION("IF($E20*(IF(REGEXMATCH(AQ$10,$B20),$A20,1))/(AQ$11*IF(REGEXMATCH($C20,AQ$9),AQ$8,1))*6&gt;6,CEILING($E20*(IF(REGEXMATCH(AQ$10,$B20),$A20,1))/(AQ$11*IF(REGEXMATCH($C20,AQ$9),AQ$8,1))*6),FLOOR($E20*(IF(REGEXMATCH(AQ$10,$B20),$A20,1))/(AQ$11*IF(REGEXMATCH($C20,"&amp;"AQ$9),AQ$8,1))*6))"),10.0)</f>
        <v>10</v>
      </c>
      <c r="AR20" s="285">
        <f>IFERROR(__xludf.DUMMYFUNCTION("IF($E20*(IF(REGEXMATCH(AR$10,$B20),$A20,1))/(AR$11*IF(REGEXMATCH($C20,AR$9),AR$8,1))*6&gt;6,CEILING($E20*(IF(REGEXMATCH(AR$10,$B20),$A20,1))/(AR$11*IF(REGEXMATCH($C20,AR$9),AR$8,1))*6),FLOOR($E20*(IF(REGEXMATCH(AR$10,$B20),$A20,1))/(AR$11*IF(REGEXMATCH($C20,"&amp;"AR$9),AR$8,1))*6))"),12.0)</f>
        <v>12</v>
      </c>
      <c r="AS20" s="285">
        <f>IFERROR(__xludf.DUMMYFUNCTION("IF($E20*(IF(REGEXMATCH(AS$10,$B20),$A20,1))/(AS$11*IF(REGEXMATCH($C20,AS$9),AS$8,1))*6&gt;6,CEILING($E20*(IF(REGEXMATCH(AS$10,$B20),$A20,1))/(AS$11*IF(REGEXMATCH($C20,AS$9),AS$8,1))*6),FLOOR($E20*(IF(REGEXMATCH(AS$10,$B20),$A20,1))/(AS$11*IF(REGEXMATCH($C20,"&amp;"AS$9),AS$8,1))*6))"),12.0)</f>
        <v>12</v>
      </c>
      <c r="AT20" s="285">
        <f>IFERROR(__xludf.DUMMYFUNCTION("IF($E20*(IF(REGEXMATCH(AT$10,$B20),$A20,1))/(AT$11*IF(REGEXMATCH($C20,AT$9),AT$8,1))*6&gt;6,CEILING($E20*(IF(REGEXMATCH(AT$10,$B20),$A20,1))/(AT$11*IF(REGEXMATCH($C20,AT$9),AT$8,1))*6),FLOOR($E20*(IF(REGEXMATCH(AT$10,$B20),$A20,1))/(AT$11*IF(REGEXMATCH($C20,"&amp;"AT$9),AT$8,1))*6))"),16.0)</f>
        <v>16</v>
      </c>
    </row>
    <row r="21">
      <c r="A21" s="8">
        <v>1.0</v>
      </c>
      <c r="B21" s="8" t="s">
        <v>2577</v>
      </c>
      <c r="C21" s="812" t="s">
        <v>2584</v>
      </c>
      <c r="D21" s="8"/>
      <c r="E21" s="8">
        <v>8.0</v>
      </c>
      <c r="F21" s="99" t="s">
        <v>2522</v>
      </c>
      <c r="G21" s="285">
        <f>IFERROR(__xludf.DUMMYFUNCTION("IF($E21*(IF(REGEXMATCH(G$10,$B21),$A21,1))/(G$11*IF(REGEXMATCH($C21,G$9),G$8,1))*6&gt;6,CEILING($E21*(IF(REGEXMATCH(G$10,$B21),$A21,1))/(G$11*IF(REGEXMATCH($C21,G$9),G$8,1))*6),FLOOR($E21*(IF(REGEXMATCH(G$10,$B21),$A21,1))/(G$11*IF(REGEXMATCH($C21,G$9),G$8,1"&amp;"))*6))"),4.0)</f>
        <v>4</v>
      </c>
      <c r="H21" s="285">
        <f>IFERROR(__xludf.DUMMYFUNCTION("IF($E21*(IF(REGEXMATCH(H$10,$B21),$A21,1))/(H$11*IF(REGEXMATCH($C21,H$9),H$8,1))*6&gt;6,CEILING($E21*(IF(REGEXMATCH(H$10,$B21),$A21,1))/(H$11*IF(REGEXMATCH($C21,H$9),H$8,1))*6),FLOOR($E21*(IF(REGEXMATCH(H$10,$B21),$A21,1))/(H$11*IF(REGEXMATCH($C21,H$9),H$8,1"&amp;"))*6))"),4.0)</f>
        <v>4</v>
      </c>
      <c r="I21" s="285">
        <f>IFERROR(__xludf.DUMMYFUNCTION("IF($E21*(IF(REGEXMATCH(I$10,$B21),$A21,1))/(I$11*IF(REGEXMATCH($C21,I$9),I$8,1))*6&gt;6,CEILING($E21*(IF(REGEXMATCH(I$10,$B21),$A21,1))/(I$11*IF(REGEXMATCH($C21,I$9),I$8,1))*6),FLOOR($E21*(IF(REGEXMATCH(I$10,$B21),$A21,1))/(I$11*IF(REGEXMATCH($C21,I$9),I$8,1"&amp;"))*6))"),6.0)</f>
        <v>6</v>
      </c>
      <c r="J21" s="285">
        <f>IFERROR(__xludf.DUMMYFUNCTION("IF($E21*(IF(REGEXMATCH(J$10,$B21),$A21,1))/(J$11*IF(REGEXMATCH($C21,J$9),J$8,1))*6&gt;6,CEILING($E21*(IF(REGEXMATCH(J$10,$B21),$A21,1))/(J$11*IF(REGEXMATCH($C21,J$9),J$8,1))*6),FLOOR($E21*(IF(REGEXMATCH(J$10,$B21),$A21,1))/(J$11*IF(REGEXMATCH($C21,J$9),J$8,1"&amp;"))*6))"),4.0)</f>
        <v>4</v>
      </c>
      <c r="K21" s="285">
        <f>IFERROR(__xludf.DUMMYFUNCTION("IF($E21*(IF(REGEXMATCH(K$10,$B21),$A21,1))/(K$11*IF(REGEXMATCH($C21,K$9),K$8,1))*6&gt;6,CEILING($E21*(IF(REGEXMATCH(K$10,$B21),$A21,1))/(K$11*IF(REGEXMATCH($C21,K$9),K$8,1))*6),FLOOR($E21*(IF(REGEXMATCH(K$10,$B21),$A21,1))/(K$11*IF(REGEXMATCH($C21,K$9),K$8,1"&amp;"))*6))"),6.0)</f>
        <v>6</v>
      </c>
      <c r="L21" s="285">
        <f>IFERROR(__xludf.DUMMYFUNCTION("IF($E21*(IF(REGEXMATCH(L$10,$B21),$A21,1))/(L$11*IF(REGEXMATCH($C21,L$9),L$8,1))*6&gt;6,CEILING($E21*(IF(REGEXMATCH(L$10,$B21),$A21,1))/(L$11*IF(REGEXMATCH($C21,L$9),L$8,1))*6),FLOOR($E21*(IF(REGEXMATCH(L$10,$B21),$A21,1))/(L$11*IF(REGEXMATCH($C21,L$9),L$8,1"&amp;"))*6))"),6.0)</f>
        <v>6</v>
      </c>
      <c r="M21" s="285">
        <f>IFERROR(__xludf.DUMMYFUNCTION("IF($E21*(IF(REGEXMATCH(M$10,$B21),$A21,1))/(M$11*IF(REGEXMATCH($C21,M$9),M$8,1))*6&gt;6,CEILING($E21*(IF(REGEXMATCH(M$10,$B21),$A21,1))/(M$11*IF(REGEXMATCH($C21,M$9),M$8,1))*6),FLOOR($E21*(IF(REGEXMATCH(M$10,$B21),$A21,1))/(M$11*IF(REGEXMATCH($C21,M$9),M$8,1"&amp;"))*6))"),6.0)</f>
        <v>6</v>
      </c>
      <c r="N21" s="285">
        <f>IFERROR(__xludf.DUMMYFUNCTION("IF($E21*(IF(REGEXMATCH(N$10,$B21),$A21,1))/(N$11*IF(REGEXMATCH($C21,N$9),N$8,1))*6&gt;6,CEILING($E21*(IF(REGEXMATCH(N$10,$B21),$A21,1))/(N$11*IF(REGEXMATCH($C21,N$9),N$8,1))*6),FLOOR($E21*(IF(REGEXMATCH(N$10,$B21),$A21,1))/(N$11*IF(REGEXMATCH($C21,N$9),N$8,1"&amp;"))*6))"),6.0)</f>
        <v>6</v>
      </c>
      <c r="O21" s="285">
        <f>IFERROR(__xludf.DUMMYFUNCTION("IF($E21*(IF(REGEXMATCH(O$10,$B21),$A21,1))/(O$11*IF(REGEXMATCH($C21,O$9),O$8,1))*6&gt;6,CEILING($E21*(IF(REGEXMATCH(O$10,$B21),$A21,1))/(O$11*IF(REGEXMATCH($C21,O$9),O$8,1))*6),FLOOR($E21*(IF(REGEXMATCH(O$10,$B21),$A21,1))/(O$11*IF(REGEXMATCH($C21,O$9),O$8,1"&amp;"))*6))"),6.0)</f>
        <v>6</v>
      </c>
      <c r="P21" s="285">
        <f>IFERROR(__xludf.DUMMYFUNCTION("IF($E21*(IF(REGEXMATCH(P$10,$B21),$A21,1))/(P$11*IF(REGEXMATCH($C21,P$9),P$8,1))*6&gt;6,CEILING($E21*(IF(REGEXMATCH(P$10,$B21),$A21,1))/(P$11*IF(REGEXMATCH($C21,P$9),P$8,1))*6),FLOOR($E21*(IF(REGEXMATCH(P$10,$B21),$A21,1))/(P$11*IF(REGEXMATCH($C21,P$9),P$8,1"&amp;"))*6))"),6.0)</f>
        <v>6</v>
      </c>
      <c r="Q21" s="285">
        <f>IFERROR(__xludf.DUMMYFUNCTION("IF($E21*(IF(REGEXMATCH(Q$10,$B21),$A21,1))/(Q$11*IF(REGEXMATCH($C21,Q$9),Q$8,1))*6&gt;6,CEILING($E21*(IF(REGEXMATCH(Q$10,$B21),$A21,1))/(Q$11*IF(REGEXMATCH($C21,Q$9),Q$8,1))*6),FLOOR($E21*(IF(REGEXMATCH(Q$10,$B21),$A21,1))/(Q$11*IF(REGEXMATCH($C21,Q$9),Q$8,1"&amp;"))*6))"),6.0)</f>
        <v>6</v>
      </c>
      <c r="R21" s="285">
        <f>IFERROR(__xludf.DUMMYFUNCTION("IF($E21*(IF(REGEXMATCH(R$10,$B21),$A21,1))/(R$11*IF(REGEXMATCH($C21,R$9),R$8,1))*6&gt;6,CEILING($E21*(IF(REGEXMATCH(R$10,$B21),$A21,1))/(R$11*IF(REGEXMATCH($C21,R$9),R$8,1))*6),FLOOR($E21*(IF(REGEXMATCH(R$10,$B21),$A21,1))/(R$11*IF(REGEXMATCH($C21,R$9),R$8,1"&amp;"))*6))"),6.0)</f>
        <v>6</v>
      </c>
      <c r="S21" s="285">
        <f>IFERROR(__xludf.DUMMYFUNCTION("IF($E21*(IF(REGEXMATCH(S$10,$B21),$A21,1))/(S$11*IF(REGEXMATCH($C21,S$9),S$8,1))*6&gt;6,CEILING($E21*(IF(REGEXMATCH(S$10,$B21),$A21,1))/(S$11*IF(REGEXMATCH($C21,S$9),S$8,1))*6),FLOOR($E21*(IF(REGEXMATCH(S$10,$B21),$A21,1))/(S$11*IF(REGEXMATCH($C21,S$9),S$8,1"&amp;"))*6))"),6.0)</f>
        <v>6</v>
      </c>
      <c r="T21" s="285">
        <f>IFERROR(__xludf.DUMMYFUNCTION("IF($E21*(IF(REGEXMATCH(T$10,$B21),$A21,1))/(T$11*IF(REGEXMATCH($C21,T$9),T$8,1))*6&gt;6,CEILING($E21*(IF(REGEXMATCH(T$10,$B21),$A21,1))/(T$11*IF(REGEXMATCH($C21,T$9),T$8,1))*6),FLOOR($E21*(IF(REGEXMATCH(T$10,$B21),$A21,1))/(T$11*IF(REGEXMATCH($C21,T$9),T$8,1"&amp;"))*6))"),6.0)</f>
        <v>6</v>
      </c>
      <c r="U21" s="285">
        <f>IFERROR(__xludf.DUMMYFUNCTION("IF($E21*(IF(REGEXMATCH(U$10,$B21),$A21,1))/(U$11*IF(REGEXMATCH($C21,U$9),U$8,1))*6&gt;6,CEILING($E21*(IF(REGEXMATCH(U$10,$B21),$A21,1))/(U$11*IF(REGEXMATCH($C21,U$9),U$8,1))*6),FLOOR($E21*(IF(REGEXMATCH(U$10,$B21),$A21,1))/(U$11*IF(REGEXMATCH($C21,U$9),U$8,1"&amp;"))*6))"),6.0)</f>
        <v>6</v>
      </c>
      <c r="V21" s="285">
        <f>IFERROR(__xludf.DUMMYFUNCTION("IF($E21*(IF(REGEXMATCH(V$10,$B21),$A21,1))/(V$11*IF(REGEXMATCH($C21,V$9),V$8,1))*6&gt;6,CEILING($E21*(IF(REGEXMATCH(V$10,$B21),$A21,1))/(V$11*IF(REGEXMATCH($C21,V$9),V$8,1))*6),FLOOR($E21*(IF(REGEXMATCH(V$10,$B21),$A21,1))/(V$11*IF(REGEXMATCH($C21,V$9),V$8,1"&amp;"))*6))"),6.0)</f>
        <v>6</v>
      </c>
      <c r="W21" s="285">
        <f>IFERROR(__xludf.DUMMYFUNCTION("IF($E21*(IF(REGEXMATCH(W$10,$B21),$A21,1))/(W$11*IF(REGEXMATCH($C21,W$9),W$8,1))*6&gt;6,CEILING($E21*(IF(REGEXMATCH(W$10,$B21),$A21,1))/(W$11*IF(REGEXMATCH($C21,W$9),W$8,1))*6),FLOOR($E21*(IF(REGEXMATCH(W$10,$B21),$A21,1))/(W$11*IF(REGEXMATCH($C21,W$9),W$8,1"&amp;"))*6))"),8.0)</f>
        <v>8</v>
      </c>
      <c r="X21" s="285">
        <f>IFERROR(__xludf.DUMMYFUNCTION("IF($E21*(IF(REGEXMATCH(X$10,$B21),$A21,1))/(X$11*IF(REGEXMATCH($C21,X$9),X$8,1))*6&gt;6,CEILING($E21*(IF(REGEXMATCH(X$10,$B21),$A21,1))/(X$11*IF(REGEXMATCH($C21,X$9),X$8,1))*6),FLOOR($E21*(IF(REGEXMATCH(X$10,$B21),$A21,1))/(X$11*IF(REGEXMATCH($C21,X$9),X$8,1"&amp;"))*6))"),8.0)</f>
        <v>8</v>
      </c>
      <c r="Y21" s="285">
        <f>IFERROR(__xludf.DUMMYFUNCTION("IF($E21*(IF(REGEXMATCH(Y$10,$B21),$A21,1))/(Y$11*IF(REGEXMATCH($C21,Y$9),Y$8,1))*6&gt;6,CEILING($E21*(IF(REGEXMATCH(Y$10,$B21),$A21,1))/(Y$11*IF(REGEXMATCH($C21,Y$9),Y$8,1))*6),FLOOR($E21*(IF(REGEXMATCH(Y$10,$B21),$A21,1))/(Y$11*IF(REGEXMATCH($C21,Y$9),Y$8,1"&amp;"))*6))"),8.0)</f>
        <v>8</v>
      </c>
      <c r="Z21" s="285">
        <f>IFERROR(__xludf.DUMMYFUNCTION("IF($E21*(IF(REGEXMATCH(Z$10,$B21),$A21,1))/(Z$11*IF(REGEXMATCH($C21,Z$9),Z$8,1))*6&gt;6,CEILING($E21*(IF(REGEXMATCH(Z$10,$B21),$A21,1))/(Z$11*IF(REGEXMATCH($C21,Z$9),Z$8,1))*6),FLOOR($E21*(IF(REGEXMATCH(Z$10,$B21),$A21,1))/(Z$11*IF(REGEXMATCH($C21,Z$9),Z$8,1"&amp;"))*6))"),8.0)</f>
        <v>8</v>
      </c>
      <c r="AA21" s="285">
        <f>IFERROR(__xludf.DUMMYFUNCTION("IF($E21*(IF(REGEXMATCH(AA$10,$B21),$A21,1))/(AA$11*IF(REGEXMATCH($C21,AA$9),AA$8,1))*6&gt;6,CEILING($E21*(IF(REGEXMATCH(AA$10,$B21),$A21,1))/(AA$11*IF(REGEXMATCH($C21,AA$9),AA$8,1))*6),FLOOR($E21*(IF(REGEXMATCH(AA$10,$B21),$A21,1))/(AA$11*IF(REGEXMATCH($C21,"&amp;"AA$9),AA$8,1))*6))"),8.0)</f>
        <v>8</v>
      </c>
      <c r="AB21" s="285">
        <f>IFERROR(__xludf.DUMMYFUNCTION("IF($E21*(IF(REGEXMATCH(AB$10,$B21),$A21,1))/(AB$11*IF(REGEXMATCH($C21,AB$9),AB$8,1))*6&gt;6,CEILING($E21*(IF(REGEXMATCH(AB$10,$B21),$A21,1))/(AB$11*IF(REGEXMATCH($C21,AB$9),AB$8,1))*6),FLOOR($E21*(IF(REGEXMATCH(AB$10,$B21),$A21,1))/(AB$11*IF(REGEXMATCH($C21,"&amp;"AB$9),AB$8,1))*6))"),8.0)</f>
        <v>8</v>
      </c>
      <c r="AC21" s="285">
        <f>IFERROR(__xludf.DUMMYFUNCTION("IF($E21*(IF(REGEXMATCH(AC$10,$B21),$A21,1))/(AC$11*IF(REGEXMATCH($C21,AC$9),AC$8,1))*6&gt;6,CEILING($E21*(IF(REGEXMATCH(AC$10,$B21),$A21,1))/(AC$11*IF(REGEXMATCH($C21,AC$9),AC$8,1))*6),FLOOR($E21*(IF(REGEXMATCH(AC$10,$B21),$A21,1))/(AC$11*IF(REGEXMATCH($C21,"&amp;"AC$9),AC$8,1))*6))"),8.0)</f>
        <v>8</v>
      </c>
      <c r="AD21" s="285">
        <f>IFERROR(__xludf.DUMMYFUNCTION("IF($E21*(IF(REGEXMATCH(AD$10,$B21),$A21,1))/(AD$11*IF(REGEXMATCH($C21,AD$9),AD$8,1))*6&gt;6,CEILING($E21*(IF(REGEXMATCH(AD$10,$B21),$A21,1))/(AD$11*IF(REGEXMATCH($C21,AD$9),AD$8,1))*6),FLOOR($E21*(IF(REGEXMATCH(AD$10,$B21),$A21,1))/(AD$11*IF(REGEXMATCH($C21,"&amp;"AD$9),AD$8,1))*6))"),8.0)</f>
        <v>8</v>
      </c>
      <c r="AE21" s="285">
        <f>IFERROR(__xludf.DUMMYFUNCTION("IF($E21*(IF(REGEXMATCH(AE$10,$B21),$A21,1))/(AE$11*IF(REGEXMATCH($C21,AE$9),AE$8,1))*6&gt;6,CEILING($E21*(IF(REGEXMATCH(AE$10,$B21),$A21,1))/(AE$11*IF(REGEXMATCH($C21,AE$9),AE$8,1))*6),FLOOR($E21*(IF(REGEXMATCH(AE$10,$B21),$A21,1))/(AE$11*IF(REGEXMATCH($C21,"&amp;"AE$9),AE$8,1))*6))"),8.0)</f>
        <v>8</v>
      </c>
      <c r="AF21" s="285">
        <f>IFERROR(__xludf.DUMMYFUNCTION("IF($E21*(IF(REGEXMATCH(AF$10,$B21),$A21,1))/(AF$11*IF(REGEXMATCH($C21,AF$9),AF$8,1))*6&gt;6,CEILING($E21*(IF(REGEXMATCH(AF$10,$B21),$A21,1))/(AF$11*IF(REGEXMATCH($C21,AF$9),AF$8,1))*6),FLOOR($E21*(IF(REGEXMATCH(AF$10,$B21),$A21,1))/(AF$11*IF(REGEXMATCH($C21,"&amp;"AF$9),AF$8,1))*6))"),8.0)</f>
        <v>8</v>
      </c>
      <c r="AG21" s="285">
        <f>IFERROR(__xludf.DUMMYFUNCTION("IF($E21*(IF(REGEXMATCH(AG$10,$B21),$A21,1))/(AG$11*IF(REGEXMATCH($C21,AG$9),AG$8,1))*6&gt;6,CEILING($E21*(IF(REGEXMATCH(AG$10,$B21),$A21,1))/(AG$11*IF(REGEXMATCH($C21,AG$9),AG$8,1))*6),FLOOR($E21*(IF(REGEXMATCH(AG$10,$B21),$A21,1))/(AG$11*IF(REGEXMATCH($C21,"&amp;"AG$9),AG$8,1))*6))"),8.0)</f>
        <v>8</v>
      </c>
      <c r="AH21" s="285">
        <f>IFERROR(__xludf.DUMMYFUNCTION("IF($E21*(IF(REGEXMATCH(AH$10,$B21),$A21,1))/(AH$11*IF(REGEXMATCH($C21,AH$9),AH$8,1))*6&gt;6,CEILING($E21*(IF(REGEXMATCH(AH$10,$B21),$A21,1))/(AH$11*IF(REGEXMATCH($C21,AH$9),AH$8,1))*6),FLOOR($E21*(IF(REGEXMATCH(AH$10,$B21),$A21,1))/(AH$11*IF(REGEXMATCH($C21,"&amp;"AH$9),AH$8,1))*6))"),8.0)</f>
        <v>8</v>
      </c>
      <c r="AI21" s="285">
        <f>IFERROR(__xludf.DUMMYFUNCTION("IF($E21*(IF(REGEXMATCH(AI$10,$B21),$A21,1))/(AI$11*IF(REGEXMATCH($C21,AI$9),AI$8,1))*6&gt;6,CEILING($E21*(IF(REGEXMATCH(AI$10,$B21),$A21,1))/(AI$11*IF(REGEXMATCH($C21,AI$9),AI$8,1))*6),FLOOR($E21*(IF(REGEXMATCH(AI$10,$B21),$A21,1))/(AI$11*IF(REGEXMATCH($C21,"&amp;"AI$9),AI$8,1))*6))"),8.0)</f>
        <v>8</v>
      </c>
      <c r="AJ21" s="285">
        <f>IFERROR(__xludf.DUMMYFUNCTION("IF($E21*(IF(REGEXMATCH(AJ$10,$B21),$A21,1))/(AJ$11*IF(REGEXMATCH($C21,AJ$9),AJ$8,1))*6&gt;6,CEILING($E21*(IF(REGEXMATCH(AJ$10,$B21),$A21,1))/(AJ$11*IF(REGEXMATCH($C21,AJ$9),AJ$8,1))*6),FLOOR($E21*(IF(REGEXMATCH(AJ$10,$B21),$A21,1))/(AJ$11*IF(REGEXMATCH($C21,"&amp;"AJ$9),AJ$8,1))*6))"),8.0)</f>
        <v>8</v>
      </c>
      <c r="AK21" s="285">
        <f>IFERROR(__xludf.DUMMYFUNCTION("IF($E21*(IF(REGEXMATCH(AK$10,$B21),$A21,1))/(AK$11*IF(REGEXMATCH($C21,AK$9),AK$8,1))*6&gt;6,CEILING($E21*(IF(REGEXMATCH(AK$10,$B21),$A21,1))/(AK$11*IF(REGEXMATCH($C21,AK$9),AK$8,1))*6),FLOOR($E21*(IF(REGEXMATCH(AK$10,$B21),$A21,1))/(AK$11*IF(REGEXMATCH($C21,"&amp;"AK$9),AK$8,1))*6))"),8.0)</f>
        <v>8</v>
      </c>
      <c r="AL21" s="285">
        <f>IFERROR(__xludf.DUMMYFUNCTION("IF($E21*(IF(REGEXMATCH(AL$10,$B21),$A21,1))/(AL$11*IF(REGEXMATCH($C21,AL$9),AL$8,1))*6&gt;6,CEILING($E21*(IF(REGEXMATCH(AL$10,$B21),$A21,1))/(AL$11*IF(REGEXMATCH($C21,AL$9),AL$8,1))*6),FLOOR($E21*(IF(REGEXMATCH(AL$10,$B21),$A21,1))/(AL$11*IF(REGEXMATCH($C21,"&amp;"AL$9),AL$8,1))*6))"),10.0)</f>
        <v>10</v>
      </c>
      <c r="AM21" s="285">
        <f>IFERROR(__xludf.DUMMYFUNCTION("IF($E21*(IF(REGEXMATCH(AM$10,$B21),$A21,1))/(AM$11*IF(REGEXMATCH($C21,AM$9),AM$8,1))*6&gt;6,CEILING($E21*(IF(REGEXMATCH(AM$10,$B21),$A21,1))/(AM$11*IF(REGEXMATCH($C21,AM$9),AM$8,1))*6),FLOOR($E21*(IF(REGEXMATCH(AM$10,$B21),$A21,1))/(AM$11*IF(REGEXMATCH($C21,"&amp;"AM$9),AM$8,1))*6))"),10.0)</f>
        <v>10</v>
      </c>
      <c r="AN21" s="285">
        <f>IFERROR(__xludf.DUMMYFUNCTION("IF($E21*(IF(REGEXMATCH(AN$10,$B21),$A21,1))/(AN$11*IF(REGEXMATCH($C21,AN$9),AN$8,1))*6&gt;6,CEILING($E21*(IF(REGEXMATCH(AN$10,$B21),$A21,1))/(AN$11*IF(REGEXMATCH($C21,AN$9),AN$8,1))*6),FLOOR($E21*(IF(REGEXMATCH(AN$10,$B21),$A21,1))/(AN$11*IF(REGEXMATCH($C21,"&amp;"AN$9),AN$8,1))*6))"),10.0)</f>
        <v>10</v>
      </c>
      <c r="AO21" s="285">
        <f>IFERROR(__xludf.DUMMYFUNCTION("IF($E21*(IF(REGEXMATCH(AO$10,$B21),$A21,1))/(AO$11*IF(REGEXMATCH($C21,AO$9),AO$8,1))*6&gt;6,CEILING($E21*(IF(REGEXMATCH(AO$10,$B21),$A21,1))/(AO$11*IF(REGEXMATCH($C21,AO$9),AO$8,1))*6),FLOOR($E21*(IF(REGEXMATCH(AO$10,$B21),$A21,1))/(AO$11*IF(REGEXMATCH($C21,"&amp;"AO$9),AO$8,1))*6))"),10.0)</f>
        <v>10</v>
      </c>
      <c r="AP21" s="285">
        <f>IFERROR(__xludf.DUMMYFUNCTION("IF($E21*(IF(REGEXMATCH(AP$10,$B21),$A21,1))/(AP$11*IF(REGEXMATCH($C21,AP$9),AP$8,1))*6&gt;6,CEILING($E21*(IF(REGEXMATCH(AP$10,$B21),$A21,1))/(AP$11*IF(REGEXMATCH($C21,AP$9),AP$8,1))*6),FLOOR($E21*(IF(REGEXMATCH(AP$10,$B21),$A21,1))/(AP$11*IF(REGEXMATCH($C21,"&amp;"AP$9),AP$8,1))*6))"),10.0)</f>
        <v>10</v>
      </c>
      <c r="AQ21" s="285">
        <f>IFERROR(__xludf.DUMMYFUNCTION("IF($E21*(IF(REGEXMATCH(AQ$10,$B21),$A21,1))/(AQ$11*IF(REGEXMATCH($C21,AQ$9),AQ$8,1))*6&gt;6,CEILING($E21*(IF(REGEXMATCH(AQ$10,$B21),$A21,1))/(AQ$11*IF(REGEXMATCH($C21,AQ$9),AQ$8,1))*6),FLOOR($E21*(IF(REGEXMATCH(AQ$10,$B21),$A21,1))/(AQ$11*IF(REGEXMATCH($C21,"&amp;"AQ$9),AQ$8,1))*6))"),10.0)</f>
        <v>10</v>
      </c>
      <c r="AR21" s="285">
        <f>IFERROR(__xludf.DUMMYFUNCTION("IF($E21*(IF(REGEXMATCH(AR$10,$B21),$A21,1))/(AR$11*IF(REGEXMATCH($C21,AR$9),AR$8,1))*6&gt;6,CEILING($E21*(IF(REGEXMATCH(AR$10,$B21),$A21,1))/(AR$11*IF(REGEXMATCH($C21,AR$9),AR$8,1))*6),FLOOR($E21*(IF(REGEXMATCH(AR$10,$B21),$A21,1))/(AR$11*IF(REGEXMATCH($C21,"&amp;"AR$9),AR$8,1))*6))"),12.0)</f>
        <v>12</v>
      </c>
      <c r="AS21" s="285">
        <f>IFERROR(__xludf.DUMMYFUNCTION("IF($E21*(IF(REGEXMATCH(AS$10,$B21),$A21,1))/(AS$11*IF(REGEXMATCH($C21,AS$9),AS$8,1))*6&gt;6,CEILING($E21*(IF(REGEXMATCH(AS$10,$B21),$A21,1))/(AS$11*IF(REGEXMATCH($C21,AS$9),AS$8,1))*6),FLOOR($E21*(IF(REGEXMATCH(AS$10,$B21),$A21,1))/(AS$11*IF(REGEXMATCH($C21,"&amp;"AS$9),AS$8,1))*6))"),12.0)</f>
        <v>12</v>
      </c>
      <c r="AT21" s="285">
        <f>IFERROR(__xludf.DUMMYFUNCTION("IF($E21*(IF(REGEXMATCH(AT$10,$B21),$A21,1))/(AT$11*IF(REGEXMATCH($C21,AT$9),AT$8,1))*6&gt;6,CEILING($E21*(IF(REGEXMATCH(AT$10,$B21),$A21,1))/(AT$11*IF(REGEXMATCH($C21,AT$9),AT$8,1))*6),FLOOR($E21*(IF(REGEXMATCH(AT$10,$B21),$A21,1))/(AT$11*IF(REGEXMATCH($C21,"&amp;"AT$9),AT$8,1))*6))"),16.0)</f>
        <v>16</v>
      </c>
    </row>
    <row r="22">
      <c r="A22" s="8">
        <v>1.0</v>
      </c>
      <c r="B22" s="8" t="s">
        <v>2577</v>
      </c>
      <c r="C22" s="812" t="s">
        <v>2588</v>
      </c>
      <c r="D22" s="8"/>
      <c r="E22" s="8">
        <v>8.0</v>
      </c>
      <c r="F22" s="806" t="s">
        <v>2523</v>
      </c>
      <c r="G22" s="285">
        <f>IFERROR(__xludf.DUMMYFUNCTION("IF($E22*(IF(REGEXMATCH(G$10,$B22),$A22,1))/(G$11*IF(REGEXMATCH($C22,G$9),G$8,1))*6&gt;6,CEILING($E22*(IF(REGEXMATCH(G$10,$B22),$A22,1))/(G$11*IF(REGEXMATCH($C22,G$9),G$8,1))*6),FLOOR($E22*(IF(REGEXMATCH(G$10,$B22),$A22,1))/(G$11*IF(REGEXMATCH($C22,G$9),G$8,1"&amp;"))*6))"),4.0)</f>
        <v>4</v>
      </c>
      <c r="H22" s="285">
        <f>IFERROR(__xludf.DUMMYFUNCTION("IF($E22*(IF(REGEXMATCH(H$10,$B22),$A22,1))/(H$11*IF(REGEXMATCH($C22,H$9),H$8,1))*6&gt;6,CEILING($E22*(IF(REGEXMATCH(H$10,$B22),$A22,1))/(H$11*IF(REGEXMATCH($C22,H$9),H$8,1))*6),FLOOR($E22*(IF(REGEXMATCH(H$10,$B22),$A22,1))/(H$11*IF(REGEXMATCH($C22,H$9),H$8,1"&amp;"))*6))"),4.0)</f>
        <v>4</v>
      </c>
      <c r="I22" s="285">
        <f>IFERROR(__xludf.DUMMYFUNCTION("IF($E22*(IF(REGEXMATCH(I$10,$B22),$A22,1))/(I$11*IF(REGEXMATCH($C22,I$9),I$8,1))*6&gt;6,CEILING($E22*(IF(REGEXMATCH(I$10,$B22),$A22,1))/(I$11*IF(REGEXMATCH($C22,I$9),I$8,1))*6),FLOOR($E22*(IF(REGEXMATCH(I$10,$B22),$A22,1))/(I$11*IF(REGEXMATCH($C22,I$9),I$8,1"&amp;"))*6))"),4.0)</f>
        <v>4</v>
      </c>
      <c r="J22" s="285">
        <f>IFERROR(__xludf.DUMMYFUNCTION("IF($E22*(IF(REGEXMATCH(J$10,$B22),$A22,1))/(J$11*IF(REGEXMATCH($C22,J$9),J$8,1))*6&gt;6,CEILING($E22*(IF(REGEXMATCH(J$10,$B22),$A22,1))/(J$11*IF(REGEXMATCH($C22,J$9),J$8,1))*6),FLOOR($E22*(IF(REGEXMATCH(J$10,$B22),$A22,1))/(J$11*IF(REGEXMATCH($C22,J$9),J$8,1"&amp;"))*6))"),6.0)</f>
        <v>6</v>
      </c>
      <c r="K22" s="285">
        <f>IFERROR(__xludf.DUMMYFUNCTION("IF($E22*(IF(REGEXMATCH(K$10,$B22),$A22,1))/(K$11*IF(REGEXMATCH($C22,K$9),K$8,1))*6&gt;6,CEILING($E22*(IF(REGEXMATCH(K$10,$B22),$A22,1))/(K$11*IF(REGEXMATCH($C22,K$9),K$8,1))*6),FLOOR($E22*(IF(REGEXMATCH(K$10,$B22),$A22,1))/(K$11*IF(REGEXMATCH($C22,K$9),K$8,1"&amp;"))*6))"),6.0)</f>
        <v>6</v>
      </c>
      <c r="L22" s="285">
        <f>IFERROR(__xludf.DUMMYFUNCTION("IF($E22*(IF(REGEXMATCH(L$10,$B22),$A22,1))/(L$11*IF(REGEXMATCH($C22,L$9),L$8,1))*6&gt;6,CEILING($E22*(IF(REGEXMATCH(L$10,$B22),$A22,1))/(L$11*IF(REGEXMATCH($C22,L$9),L$8,1))*6),FLOOR($E22*(IF(REGEXMATCH(L$10,$B22),$A22,1))/(L$11*IF(REGEXMATCH($C22,L$9),L$8,1"&amp;"))*6))"),6.0)</f>
        <v>6</v>
      </c>
      <c r="M22" s="285">
        <f>IFERROR(__xludf.DUMMYFUNCTION("IF($E22*(IF(REGEXMATCH(M$10,$B22),$A22,1))/(M$11*IF(REGEXMATCH($C22,M$9),M$8,1))*6&gt;6,CEILING($E22*(IF(REGEXMATCH(M$10,$B22),$A22,1))/(M$11*IF(REGEXMATCH($C22,M$9),M$8,1))*6),FLOOR($E22*(IF(REGEXMATCH(M$10,$B22),$A22,1))/(M$11*IF(REGEXMATCH($C22,M$9),M$8,1"&amp;"))*6))"),3.0)</f>
        <v>3</v>
      </c>
      <c r="N22" s="285">
        <f>IFERROR(__xludf.DUMMYFUNCTION("IF($E22*(IF(REGEXMATCH(N$10,$B22),$A22,1))/(N$11*IF(REGEXMATCH($C22,N$9),N$8,1))*6&gt;6,CEILING($E22*(IF(REGEXMATCH(N$10,$B22),$A22,1))/(N$11*IF(REGEXMATCH($C22,N$9),N$8,1))*6),FLOOR($E22*(IF(REGEXMATCH(N$10,$B22),$A22,1))/(N$11*IF(REGEXMATCH($C22,N$9),N$8,1"&amp;"))*6))"),6.0)</f>
        <v>6</v>
      </c>
      <c r="O22" s="285">
        <f>IFERROR(__xludf.DUMMYFUNCTION("IF($E22*(IF(REGEXMATCH(O$10,$B22),$A22,1))/(O$11*IF(REGEXMATCH($C22,O$9),O$8,1))*6&gt;6,CEILING($E22*(IF(REGEXMATCH(O$10,$B22),$A22,1))/(O$11*IF(REGEXMATCH($C22,O$9),O$8,1))*6),FLOOR($E22*(IF(REGEXMATCH(O$10,$B22),$A22,1))/(O$11*IF(REGEXMATCH($C22,O$9),O$8,1"&amp;"))*6))"),6.0)</f>
        <v>6</v>
      </c>
      <c r="P22" s="285">
        <f>IFERROR(__xludf.DUMMYFUNCTION("IF($E22*(IF(REGEXMATCH(P$10,$B22),$A22,1))/(P$11*IF(REGEXMATCH($C22,P$9),P$8,1))*6&gt;6,CEILING($E22*(IF(REGEXMATCH(P$10,$B22),$A22,1))/(P$11*IF(REGEXMATCH($C22,P$9),P$8,1))*6),FLOOR($E22*(IF(REGEXMATCH(P$10,$B22),$A22,1))/(P$11*IF(REGEXMATCH($C22,P$9),P$8,1"&amp;"))*6))"),6.0)</f>
        <v>6</v>
      </c>
      <c r="Q22" s="285">
        <f>IFERROR(__xludf.DUMMYFUNCTION("IF($E22*(IF(REGEXMATCH(Q$10,$B22),$A22,1))/(Q$11*IF(REGEXMATCH($C22,Q$9),Q$8,1))*6&gt;6,CEILING($E22*(IF(REGEXMATCH(Q$10,$B22),$A22,1))/(Q$11*IF(REGEXMATCH($C22,Q$9),Q$8,1))*6),FLOOR($E22*(IF(REGEXMATCH(Q$10,$B22),$A22,1))/(Q$11*IF(REGEXMATCH($C22,Q$9),Q$8,1"&amp;"))*6))"),6.0)</f>
        <v>6</v>
      </c>
      <c r="R22" s="285">
        <f>IFERROR(__xludf.DUMMYFUNCTION("IF($E22*(IF(REGEXMATCH(R$10,$B22),$A22,1))/(R$11*IF(REGEXMATCH($C22,R$9),R$8,1))*6&gt;6,CEILING($E22*(IF(REGEXMATCH(R$10,$B22),$A22,1))/(R$11*IF(REGEXMATCH($C22,R$9),R$8,1))*6),FLOOR($E22*(IF(REGEXMATCH(R$10,$B22),$A22,1))/(R$11*IF(REGEXMATCH($C22,R$9),R$8,1"&amp;"))*6))"),4.0)</f>
        <v>4</v>
      </c>
      <c r="S22" s="285">
        <f>IFERROR(__xludf.DUMMYFUNCTION("IF($E22*(IF(REGEXMATCH(S$10,$B22),$A22,1))/(S$11*IF(REGEXMATCH($C22,S$9),S$8,1))*6&gt;6,CEILING($E22*(IF(REGEXMATCH(S$10,$B22),$A22,1))/(S$11*IF(REGEXMATCH($C22,S$9),S$8,1))*6),FLOOR($E22*(IF(REGEXMATCH(S$10,$B22),$A22,1))/(S$11*IF(REGEXMATCH($C22,S$9),S$8,1"&amp;"))*6))"),6.0)</f>
        <v>6</v>
      </c>
      <c r="T22" s="285">
        <f>IFERROR(__xludf.DUMMYFUNCTION("IF($E22*(IF(REGEXMATCH(T$10,$B22),$A22,1))/(T$11*IF(REGEXMATCH($C22,T$9),T$8,1))*6&gt;6,CEILING($E22*(IF(REGEXMATCH(T$10,$B22),$A22,1))/(T$11*IF(REGEXMATCH($C22,T$9),T$8,1))*6),FLOOR($E22*(IF(REGEXMATCH(T$10,$B22),$A22,1))/(T$11*IF(REGEXMATCH($C22,T$9),T$8,1"&amp;"))*6))"),4.0)</f>
        <v>4</v>
      </c>
      <c r="U22" s="285">
        <f>IFERROR(__xludf.DUMMYFUNCTION("IF($E22*(IF(REGEXMATCH(U$10,$B22),$A22,1))/(U$11*IF(REGEXMATCH($C22,U$9),U$8,1))*6&gt;6,CEILING($E22*(IF(REGEXMATCH(U$10,$B22),$A22,1))/(U$11*IF(REGEXMATCH($C22,U$9),U$8,1))*6),FLOOR($E22*(IF(REGEXMATCH(U$10,$B22),$A22,1))/(U$11*IF(REGEXMATCH($C22,U$9),U$8,1"&amp;"))*6))"),6.0)</f>
        <v>6</v>
      </c>
      <c r="V22" s="285">
        <f>IFERROR(__xludf.DUMMYFUNCTION("IF($E22*(IF(REGEXMATCH(V$10,$B22),$A22,1))/(V$11*IF(REGEXMATCH($C22,V$9),V$8,1))*6&gt;6,CEILING($E22*(IF(REGEXMATCH(V$10,$B22),$A22,1))/(V$11*IF(REGEXMATCH($C22,V$9),V$8,1))*6),FLOOR($E22*(IF(REGEXMATCH(V$10,$B22),$A22,1))/(V$11*IF(REGEXMATCH($C22,V$9),V$8,1"&amp;"))*6))"),6.0)</f>
        <v>6</v>
      </c>
      <c r="W22" s="285">
        <f>IFERROR(__xludf.DUMMYFUNCTION("IF($E22*(IF(REGEXMATCH(W$10,$B22),$A22,1))/(W$11*IF(REGEXMATCH($C22,W$9),W$8,1))*6&gt;6,CEILING($E22*(IF(REGEXMATCH(W$10,$B22),$A22,1))/(W$11*IF(REGEXMATCH($C22,W$9),W$8,1))*6),FLOOR($E22*(IF(REGEXMATCH(W$10,$B22),$A22,1))/(W$11*IF(REGEXMATCH($C22,W$9),W$8,1"&amp;"))*6))"),8.0)</f>
        <v>8</v>
      </c>
      <c r="X22" s="285">
        <f>IFERROR(__xludf.DUMMYFUNCTION("IF($E22*(IF(REGEXMATCH(X$10,$B22),$A22,1))/(X$11*IF(REGEXMATCH($C22,X$9),X$8,1))*6&gt;6,CEILING($E22*(IF(REGEXMATCH(X$10,$B22),$A22,1))/(X$11*IF(REGEXMATCH($C22,X$9),X$8,1))*6),FLOOR($E22*(IF(REGEXMATCH(X$10,$B22),$A22,1))/(X$11*IF(REGEXMATCH($C22,X$9),X$8,1"&amp;"))*6))"),8.0)</f>
        <v>8</v>
      </c>
      <c r="Y22" s="285">
        <f>IFERROR(__xludf.DUMMYFUNCTION("IF($E22*(IF(REGEXMATCH(Y$10,$B22),$A22,1))/(Y$11*IF(REGEXMATCH($C22,Y$9),Y$8,1))*6&gt;6,CEILING($E22*(IF(REGEXMATCH(Y$10,$B22),$A22,1))/(Y$11*IF(REGEXMATCH($C22,Y$9),Y$8,1))*6),FLOOR($E22*(IF(REGEXMATCH(Y$10,$B22),$A22,1))/(Y$11*IF(REGEXMATCH($C22,Y$9),Y$8,1"&amp;"))*6))"),7.0)</f>
        <v>7</v>
      </c>
      <c r="Z22" s="285">
        <f>IFERROR(__xludf.DUMMYFUNCTION("IF($E22*(IF(REGEXMATCH(Z$10,$B22),$A22,1))/(Z$11*IF(REGEXMATCH($C22,Z$9),Z$8,1))*6&gt;6,CEILING($E22*(IF(REGEXMATCH(Z$10,$B22),$A22,1))/(Z$11*IF(REGEXMATCH($C22,Z$9),Z$8,1))*6),FLOOR($E22*(IF(REGEXMATCH(Z$10,$B22),$A22,1))/(Z$11*IF(REGEXMATCH($C22,Z$9),Z$8,1"&amp;"))*6))"),8.0)</f>
        <v>8</v>
      </c>
      <c r="AA22" s="285">
        <f>IFERROR(__xludf.DUMMYFUNCTION("IF($E22*(IF(REGEXMATCH(AA$10,$B22),$A22,1))/(AA$11*IF(REGEXMATCH($C22,AA$9),AA$8,1))*6&gt;6,CEILING($E22*(IF(REGEXMATCH(AA$10,$B22),$A22,1))/(AA$11*IF(REGEXMATCH($C22,AA$9),AA$8,1))*6),FLOOR($E22*(IF(REGEXMATCH(AA$10,$B22),$A22,1))/(AA$11*IF(REGEXMATCH($C22,"&amp;"AA$9),AA$8,1))*6))"),8.0)</f>
        <v>8</v>
      </c>
      <c r="AB22" s="285">
        <f>IFERROR(__xludf.DUMMYFUNCTION("IF($E22*(IF(REGEXMATCH(AB$10,$B22),$A22,1))/(AB$11*IF(REGEXMATCH($C22,AB$9),AB$8,1))*6&gt;6,CEILING($E22*(IF(REGEXMATCH(AB$10,$B22),$A22,1))/(AB$11*IF(REGEXMATCH($C22,AB$9),AB$8,1))*6),FLOOR($E22*(IF(REGEXMATCH(AB$10,$B22),$A22,1))/(AB$11*IF(REGEXMATCH($C22,"&amp;"AB$9),AB$8,1))*6))"),8.0)</f>
        <v>8</v>
      </c>
      <c r="AC22" s="285">
        <f>IFERROR(__xludf.DUMMYFUNCTION("IF($E22*(IF(REGEXMATCH(AC$10,$B22),$A22,1))/(AC$11*IF(REGEXMATCH($C22,AC$9),AC$8,1))*6&gt;6,CEILING($E22*(IF(REGEXMATCH(AC$10,$B22),$A22,1))/(AC$11*IF(REGEXMATCH($C22,AC$9),AC$8,1))*6),FLOOR($E22*(IF(REGEXMATCH(AC$10,$B22),$A22,1))/(AC$11*IF(REGEXMATCH($C22,"&amp;"AC$9),AC$8,1))*6))"),8.0)</f>
        <v>8</v>
      </c>
      <c r="AD22" s="285">
        <f>IFERROR(__xludf.DUMMYFUNCTION("IF($E22*(IF(REGEXMATCH(AD$10,$B22),$A22,1))/(AD$11*IF(REGEXMATCH($C22,AD$9),AD$8,1))*6&gt;6,CEILING($E22*(IF(REGEXMATCH(AD$10,$B22),$A22,1))/(AD$11*IF(REGEXMATCH($C22,AD$9),AD$8,1))*6),FLOOR($E22*(IF(REGEXMATCH(AD$10,$B22),$A22,1))/(AD$11*IF(REGEXMATCH($C22,"&amp;"AD$9),AD$8,1))*6))"),8.0)</f>
        <v>8</v>
      </c>
      <c r="AE22" s="285">
        <f>IFERROR(__xludf.DUMMYFUNCTION("IF($E22*(IF(REGEXMATCH(AE$10,$B22),$A22,1))/(AE$11*IF(REGEXMATCH($C22,AE$9),AE$8,1))*6&gt;6,CEILING($E22*(IF(REGEXMATCH(AE$10,$B22),$A22,1))/(AE$11*IF(REGEXMATCH($C22,AE$9),AE$8,1))*6),FLOOR($E22*(IF(REGEXMATCH(AE$10,$B22),$A22,1))/(AE$11*IF(REGEXMATCH($C22,"&amp;"AE$9),AE$8,1))*6))"),8.0)</f>
        <v>8</v>
      </c>
      <c r="AF22" s="285">
        <f>IFERROR(__xludf.DUMMYFUNCTION("IF($E22*(IF(REGEXMATCH(AF$10,$B22),$A22,1))/(AF$11*IF(REGEXMATCH($C22,AF$9),AF$8,1))*6&gt;6,CEILING($E22*(IF(REGEXMATCH(AF$10,$B22),$A22,1))/(AF$11*IF(REGEXMATCH($C22,AF$9),AF$8,1))*6),FLOOR($E22*(IF(REGEXMATCH(AF$10,$B22),$A22,1))/(AF$11*IF(REGEXMATCH($C22,"&amp;"AF$9),AF$8,1))*6))"),8.0)</f>
        <v>8</v>
      </c>
      <c r="AG22" s="285">
        <f>IFERROR(__xludf.DUMMYFUNCTION("IF($E22*(IF(REGEXMATCH(AG$10,$B22),$A22,1))/(AG$11*IF(REGEXMATCH($C22,AG$9),AG$8,1))*6&gt;6,CEILING($E22*(IF(REGEXMATCH(AG$10,$B22),$A22,1))/(AG$11*IF(REGEXMATCH($C22,AG$9),AG$8,1))*6),FLOOR($E22*(IF(REGEXMATCH(AG$10,$B22),$A22,1))/(AG$11*IF(REGEXMATCH($C22,"&amp;"AG$9),AG$8,1))*6))"),5.0)</f>
        <v>5</v>
      </c>
      <c r="AH22" s="285">
        <f>IFERROR(__xludf.DUMMYFUNCTION("IF($E22*(IF(REGEXMATCH(AH$10,$B22),$A22,1))/(AH$11*IF(REGEXMATCH($C22,AH$9),AH$8,1))*6&gt;6,CEILING($E22*(IF(REGEXMATCH(AH$10,$B22),$A22,1))/(AH$11*IF(REGEXMATCH($C22,AH$9),AH$8,1))*6),FLOOR($E22*(IF(REGEXMATCH(AH$10,$B22),$A22,1))/(AH$11*IF(REGEXMATCH($C22,"&amp;"AH$9),AH$8,1))*6))"),8.0)</f>
        <v>8</v>
      </c>
      <c r="AI22" s="285">
        <f>IFERROR(__xludf.DUMMYFUNCTION("IF($E22*(IF(REGEXMATCH(AI$10,$B22),$A22,1))/(AI$11*IF(REGEXMATCH($C22,AI$9),AI$8,1))*6&gt;6,CEILING($E22*(IF(REGEXMATCH(AI$10,$B22),$A22,1))/(AI$11*IF(REGEXMATCH($C22,AI$9),AI$8,1))*6),FLOOR($E22*(IF(REGEXMATCH(AI$10,$B22),$A22,1))/(AI$11*IF(REGEXMATCH($C22,"&amp;"AI$9),AI$8,1))*6))"),7.0)</f>
        <v>7</v>
      </c>
      <c r="AJ22" s="285">
        <f>IFERROR(__xludf.DUMMYFUNCTION("IF($E22*(IF(REGEXMATCH(AJ$10,$B22),$A22,1))/(AJ$11*IF(REGEXMATCH($C22,AJ$9),AJ$8,1))*6&gt;6,CEILING($E22*(IF(REGEXMATCH(AJ$10,$B22),$A22,1))/(AJ$11*IF(REGEXMATCH($C22,AJ$9),AJ$8,1))*6),FLOOR($E22*(IF(REGEXMATCH(AJ$10,$B22),$A22,1))/(AJ$11*IF(REGEXMATCH($C22,"&amp;"AJ$9),AJ$8,1))*6))"),8.0)</f>
        <v>8</v>
      </c>
      <c r="AK22" s="285">
        <f>IFERROR(__xludf.DUMMYFUNCTION("IF($E22*(IF(REGEXMATCH(AK$10,$B22),$A22,1))/(AK$11*IF(REGEXMATCH($C22,AK$9),AK$8,1))*6&gt;6,CEILING($E22*(IF(REGEXMATCH(AK$10,$B22),$A22,1))/(AK$11*IF(REGEXMATCH($C22,AK$9),AK$8,1))*6),FLOOR($E22*(IF(REGEXMATCH(AK$10,$B22),$A22,1))/(AK$11*IF(REGEXMATCH($C22,"&amp;"AK$9),AK$8,1))*6))"),8.0)</f>
        <v>8</v>
      </c>
      <c r="AL22" s="285">
        <f>IFERROR(__xludf.DUMMYFUNCTION("IF($E22*(IF(REGEXMATCH(AL$10,$B22),$A22,1))/(AL$11*IF(REGEXMATCH($C22,AL$9),AL$8,1))*6&gt;6,CEILING($E22*(IF(REGEXMATCH(AL$10,$B22),$A22,1))/(AL$11*IF(REGEXMATCH($C22,AL$9),AL$8,1))*6),FLOOR($E22*(IF(REGEXMATCH(AL$10,$B22),$A22,1))/(AL$11*IF(REGEXMATCH($C22,"&amp;"AL$9),AL$8,1))*6))"),10.0)</f>
        <v>10</v>
      </c>
      <c r="AM22" s="285">
        <f>IFERROR(__xludf.DUMMYFUNCTION("IF($E22*(IF(REGEXMATCH(AM$10,$B22),$A22,1))/(AM$11*IF(REGEXMATCH($C22,AM$9),AM$8,1))*6&gt;6,CEILING($E22*(IF(REGEXMATCH(AM$10,$B22),$A22,1))/(AM$11*IF(REGEXMATCH($C22,AM$9),AM$8,1))*6),FLOOR($E22*(IF(REGEXMATCH(AM$10,$B22),$A22,1))/(AM$11*IF(REGEXMATCH($C22,"&amp;"AM$9),AM$8,1))*6))"),10.0)</f>
        <v>10</v>
      </c>
      <c r="AN22" s="285">
        <f>IFERROR(__xludf.DUMMYFUNCTION("IF($E22*(IF(REGEXMATCH(AN$10,$B22),$A22,1))/(AN$11*IF(REGEXMATCH($C22,AN$9),AN$8,1))*6&gt;6,CEILING($E22*(IF(REGEXMATCH(AN$10,$B22),$A22,1))/(AN$11*IF(REGEXMATCH($C22,AN$9),AN$8,1))*6),FLOOR($E22*(IF(REGEXMATCH(AN$10,$B22),$A22,1))/(AN$11*IF(REGEXMATCH($C22,"&amp;"AN$9),AN$8,1))*6))"),7.0)</f>
        <v>7</v>
      </c>
      <c r="AO22" s="285">
        <f>IFERROR(__xludf.DUMMYFUNCTION("IF($E22*(IF(REGEXMATCH(AO$10,$B22),$A22,1))/(AO$11*IF(REGEXMATCH($C22,AO$9),AO$8,1))*6&gt;6,CEILING($E22*(IF(REGEXMATCH(AO$10,$B22),$A22,1))/(AO$11*IF(REGEXMATCH($C22,AO$9),AO$8,1))*6),FLOOR($E22*(IF(REGEXMATCH(AO$10,$B22),$A22,1))/(AO$11*IF(REGEXMATCH($C22,"&amp;"AO$9),AO$8,1))*6))"),10.0)</f>
        <v>10</v>
      </c>
      <c r="AP22" s="285">
        <f>IFERROR(__xludf.DUMMYFUNCTION("IF($E22*(IF(REGEXMATCH(AP$10,$B22),$A22,1))/(AP$11*IF(REGEXMATCH($C22,AP$9),AP$8,1))*6&gt;6,CEILING($E22*(IF(REGEXMATCH(AP$10,$B22),$A22,1))/(AP$11*IF(REGEXMATCH($C22,AP$9),AP$8,1))*6),FLOOR($E22*(IF(REGEXMATCH(AP$10,$B22),$A22,1))/(AP$11*IF(REGEXMATCH($C22,"&amp;"AP$9),AP$8,1))*6))"),10.0)</f>
        <v>10</v>
      </c>
      <c r="AQ22" s="285">
        <f>IFERROR(__xludf.DUMMYFUNCTION("IF($E22*(IF(REGEXMATCH(AQ$10,$B22),$A22,1))/(AQ$11*IF(REGEXMATCH($C22,AQ$9),AQ$8,1))*6&gt;6,CEILING($E22*(IF(REGEXMATCH(AQ$10,$B22),$A22,1))/(AQ$11*IF(REGEXMATCH($C22,AQ$9),AQ$8,1))*6),FLOOR($E22*(IF(REGEXMATCH(AQ$10,$B22),$A22,1))/(AQ$11*IF(REGEXMATCH($C22,"&amp;"AQ$9),AQ$8,1))*6))"),8.0)</f>
        <v>8</v>
      </c>
      <c r="AR22" s="285">
        <f>IFERROR(__xludf.DUMMYFUNCTION("IF($E22*(IF(REGEXMATCH(AR$10,$B22),$A22,1))/(AR$11*IF(REGEXMATCH($C22,AR$9),AR$8,1))*6&gt;6,CEILING($E22*(IF(REGEXMATCH(AR$10,$B22),$A22,1))/(AR$11*IF(REGEXMATCH($C22,AR$9),AR$8,1))*6),FLOOR($E22*(IF(REGEXMATCH(AR$10,$B22),$A22,1))/(AR$11*IF(REGEXMATCH($C22,"&amp;"AR$9),AR$8,1))*6))"),12.0)</f>
        <v>12</v>
      </c>
      <c r="AS22" s="285">
        <f>IFERROR(__xludf.DUMMYFUNCTION("IF($E22*(IF(REGEXMATCH(AS$10,$B22),$A22,1))/(AS$11*IF(REGEXMATCH($C22,AS$9),AS$8,1))*6&gt;6,CEILING($E22*(IF(REGEXMATCH(AS$10,$B22),$A22,1))/(AS$11*IF(REGEXMATCH($C22,AS$9),AS$8,1))*6),FLOOR($E22*(IF(REGEXMATCH(AS$10,$B22),$A22,1))/(AS$11*IF(REGEXMATCH($C22,"&amp;"AS$9),AS$8,1))*6))"),12.0)</f>
        <v>12</v>
      </c>
      <c r="AT22" s="285">
        <f>IFERROR(__xludf.DUMMYFUNCTION("IF($E22*(IF(REGEXMATCH(AT$10,$B22),$A22,1))/(AT$11*IF(REGEXMATCH($C22,AT$9),AT$8,1))*6&gt;6,CEILING($E22*(IF(REGEXMATCH(AT$10,$B22),$A22,1))/(AT$11*IF(REGEXMATCH($C22,AT$9),AT$8,1))*6),FLOOR($E22*(IF(REGEXMATCH(AT$10,$B22),$A22,1))/(AT$11*IF(REGEXMATCH($C22,"&amp;"AT$9),AT$8,1))*6))"),16.0)</f>
        <v>16</v>
      </c>
    </row>
    <row r="23">
      <c r="A23" s="8">
        <v>1.0</v>
      </c>
      <c r="B23" s="8" t="s">
        <v>2577</v>
      </c>
      <c r="C23" s="812" t="s">
        <v>2589</v>
      </c>
      <c r="D23" s="8"/>
      <c r="E23" s="8">
        <v>8.0</v>
      </c>
      <c r="F23" s="807" t="s">
        <v>2527</v>
      </c>
      <c r="G23" s="285">
        <f>IFERROR(__xludf.DUMMYFUNCTION("IF($E23*(IF(REGEXMATCH(G$10,$B23),$A23,1))/(G$11*IF(REGEXMATCH($C23,G$9),G$8,1))*6&gt;6,CEILING($E23*(IF(REGEXMATCH(G$10,$B23),$A23,1))/(G$11*IF(REGEXMATCH($C23,G$9),G$8,1))*6),FLOOR($E23*(IF(REGEXMATCH(G$10,$B23),$A23,1))/(G$11*IF(REGEXMATCH($C23,G$9),G$8,1"&amp;"))*6))"),4.0)</f>
        <v>4</v>
      </c>
      <c r="H23" s="285">
        <f>IFERROR(__xludf.DUMMYFUNCTION("IF($E23*(IF(REGEXMATCH(H$10,$B23),$A23,1))/(H$11*IF(REGEXMATCH($C23,H$9),H$8,1))*6&gt;6,CEILING($E23*(IF(REGEXMATCH(H$10,$B23),$A23,1))/(H$11*IF(REGEXMATCH($C23,H$9),H$8,1))*6),FLOOR($E23*(IF(REGEXMATCH(H$10,$B23),$A23,1))/(H$11*IF(REGEXMATCH($C23,H$9),H$8,1"&amp;"))*6))"),4.0)</f>
        <v>4</v>
      </c>
      <c r="I23" s="285">
        <f>IFERROR(__xludf.DUMMYFUNCTION("IF($E23*(IF(REGEXMATCH(I$10,$B23),$A23,1))/(I$11*IF(REGEXMATCH($C23,I$9),I$8,1))*6&gt;6,CEILING($E23*(IF(REGEXMATCH(I$10,$B23),$A23,1))/(I$11*IF(REGEXMATCH($C23,I$9),I$8,1))*6),FLOOR($E23*(IF(REGEXMATCH(I$10,$B23),$A23,1))/(I$11*IF(REGEXMATCH($C23,I$9),I$8,1"&amp;"))*6))"),6.0)</f>
        <v>6</v>
      </c>
      <c r="J23" s="285">
        <f>IFERROR(__xludf.DUMMYFUNCTION("IF($E23*(IF(REGEXMATCH(J$10,$B23),$A23,1))/(J$11*IF(REGEXMATCH($C23,J$9),J$8,1))*6&gt;6,CEILING($E23*(IF(REGEXMATCH(J$10,$B23),$A23,1))/(J$11*IF(REGEXMATCH($C23,J$9),J$8,1))*6),FLOOR($E23*(IF(REGEXMATCH(J$10,$B23),$A23,1))/(J$11*IF(REGEXMATCH($C23,J$9),J$8,1"&amp;"))*6))"),6.0)</f>
        <v>6</v>
      </c>
      <c r="K23" s="285">
        <f>IFERROR(__xludf.DUMMYFUNCTION("IF($E23*(IF(REGEXMATCH(K$10,$B23),$A23,1))/(K$11*IF(REGEXMATCH($C23,K$9),K$8,1))*6&gt;6,CEILING($E23*(IF(REGEXMATCH(K$10,$B23),$A23,1))/(K$11*IF(REGEXMATCH($C23,K$9),K$8,1))*6),FLOOR($E23*(IF(REGEXMATCH(K$10,$B23),$A23,1))/(K$11*IF(REGEXMATCH($C23,K$9),K$8,1"&amp;"))*6))"),6.0)</f>
        <v>6</v>
      </c>
      <c r="L23" s="285">
        <f>IFERROR(__xludf.DUMMYFUNCTION("IF($E23*(IF(REGEXMATCH(L$10,$B23),$A23,1))/(L$11*IF(REGEXMATCH($C23,L$9),L$8,1))*6&gt;6,CEILING($E23*(IF(REGEXMATCH(L$10,$B23),$A23,1))/(L$11*IF(REGEXMATCH($C23,L$9),L$8,1))*6),FLOOR($E23*(IF(REGEXMATCH(L$10,$B23),$A23,1))/(L$11*IF(REGEXMATCH($C23,L$9),L$8,1"&amp;"))*6))"),6.0)</f>
        <v>6</v>
      </c>
      <c r="M23" s="285">
        <f>IFERROR(__xludf.DUMMYFUNCTION("IF($E23*(IF(REGEXMATCH(M$10,$B23),$A23,1))/(M$11*IF(REGEXMATCH($C23,M$9),M$8,1))*6&gt;6,CEILING($E23*(IF(REGEXMATCH(M$10,$B23),$A23,1))/(M$11*IF(REGEXMATCH($C23,M$9),M$8,1))*6),FLOOR($E23*(IF(REGEXMATCH(M$10,$B23),$A23,1))/(M$11*IF(REGEXMATCH($C23,M$9),M$8,1"&amp;"))*6))"),3.0)</f>
        <v>3</v>
      </c>
      <c r="N23" s="285">
        <f>IFERROR(__xludf.DUMMYFUNCTION("IF($E23*(IF(REGEXMATCH(N$10,$B23),$A23,1))/(N$11*IF(REGEXMATCH($C23,N$9),N$8,1))*6&gt;6,CEILING($E23*(IF(REGEXMATCH(N$10,$B23),$A23,1))/(N$11*IF(REGEXMATCH($C23,N$9),N$8,1))*6),FLOOR($E23*(IF(REGEXMATCH(N$10,$B23),$A23,1))/(N$11*IF(REGEXMATCH($C23,N$9),N$8,1"&amp;"))*6))"),6.0)</f>
        <v>6</v>
      </c>
      <c r="O23" s="285">
        <f>IFERROR(__xludf.DUMMYFUNCTION("IF($E23*(IF(REGEXMATCH(O$10,$B23),$A23,1))/(O$11*IF(REGEXMATCH($C23,O$9),O$8,1))*6&gt;6,CEILING($E23*(IF(REGEXMATCH(O$10,$B23),$A23,1))/(O$11*IF(REGEXMATCH($C23,O$9),O$8,1))*6),FLOOR($E23*(IF(REGEXMATCH(O$10,$B23),$A23,1))/(O$11*IF(REGEXMATCH($C23,O$9),O$8,1"&amp;"))*6))"),6.0)</f>
        <v>6</v>
      </c>
      <c r="P23" s="285">
        <f>IFERROR(__xludf.DUMMYFUNCTION("IF($E23*(IF(REGEXMATCH(P$10,$B23),$A23,1))/(P$11*IF(REGEXMATCH($C23,P$9),P$8,1))*6&gt;6,CEILING($E23*(IF(REGEXMATCH(P$10,$B23),$A23,1))/(P$11*IF(REGEXMATCH($C23,P$9),P$8,1))*6),FLOOR($E23*(IF(REGEXMATCH(P$10,$B23),$A23,1))/(P$11*IF(REGEXMATCH($C23,P$9),P$8,1"&amp;"))*6))"),6.0)</f>
        <v>6</v>
      </c>
      <c r="Q23" s="285">
        <f>IFERROR(__xludf.DUMMYFUNCTION("IF($E23*(IF(REGEXMATCH(Q$10,$B23),$A23,1))/(Q$11*IF(REGEXMATCH($C23,Q$9),Q$8,1))*6&gt;6,CEILING($E23*(IF(REGEXMATCH(Q$10,$B23),$A23,1))/(Q$11*IF(REGEXMATCH($C23,Q$9),Q$8,1))*6),FLOOR($E23*(IF(REGEXMATCH(Q$10,$B23),$A23,1))/(Q$11*IF(REGEXMATCH($C23,Q$9),Q$8,1"&amp;"))*6))"),6.0)</f>
        <v>6</v>
      </c>
      <c r="R23" s="285">
        <f>IFERROR(__xludf.DUMMYFUNCTION("IF($E23*(IF(REGEXMATCH(R$10,$B23),$A23,1))/(R$11*IF(REGEXMATCH($C23,R$9),R$8,1))*6&gt;6,CEILING($E23*(IF(REGEXMATCH(R$10,$B23),$A23,1))/(R$11*IF(REGEXMATCH($C23,R$9),R$8,1))*6),FLOOR($E23*(IF(REGEXMATCH(R$10,$B23),$A23,1))/(R$11*IF(REGEXMATCH($C23,R$9),R$8,1"&amp;"))*6))"),4.0)</f>
        <v>4</v>
      </c>
      <c r="S23" s="285">
        <f>IFERROR(__xludf.DUMMYFUNCTION("IF($E23*(IF(REGEXMATCH(S$10,$B23),$A23,1))/(S$11*IF(REGEXMATCH($C23,S$9),S$8,1))*6&gt;6,CEILING($E23*(IF(REGEXMATCH(S$10,$B23),$A23,1))/(S$11*IF(REGEXMATCH($C23,S$9),S$8,1))*6),FLOOR($E23*(IF(REGEXMATCH(S$10,$B23),$A23,1))/(S$11*IF(REGEXMATCH($C23,S$9),S$8,1"&amp;"))*6))"),6.0)</f>
        <v>6</v>
      </c>
      <c r="T23" s="285">
        <f>IFERROR(__xludf.DUMMYFUNCTION("IF($E23*(IF(REGEXMATCH(T$10,$B23),$A23,1))/(T$11*IF(REGEXMATCH($C23,T$9),T$8,1))*6&gt;6,CEILING($E23*(IF(REGEXMATCH(T$10,$B23),$A23,1))/(T$11*IF(REGEXMATCH($C23,T$9),T$8,1))*6),FLOOR($E23*(IF(REGEXMATCH(T$10,$B23),$A23,1))/(T$11*IF(REGEXMATCH($C23,T$9),T$8,1"&amp;"))*6))"),6.0)</f>
        <v>6</v>
      </c>
      <c r="U23" s="285">
        <f>IFERROR(__xludf.DUMMYFUNCTION("IF($E23*(IF(REGEXMATCH(U$10,$B23),$A23,1))/(U$11*IF(REGEXMATCH($C23,U$9),U$8,1))*6&gt;6,CEILING($E23*(IF(REGEXMATCH(U$10,$B23),$A23,1))/(U$11*IF(REGEXMATCH($C23,U$9),U$8,1))*6),FLOOR($E23*(IF(REGEXMATCH(U$10,$B23),$A23,1))/(U$11*IF(REGEXMATCH($C23,U$9),U$8,1"&amp;"))*6))"),6.0)</f>
        <v>6</v>
      </c>
      <c r="V23" s="285">
        <f>IFERROR(__xludf.DUMMYFUNCTION("IF($E23*(IF(REGEXMATCH(V$10,$B23),$A23,1))/(V$11*IF(REGEXMATCH($C23,V$9),V$8,1))*6&gt;6,CEILING($E23*(IF(REGEXMATCH(V$10,$B23),$A23,1))/(V$11*IF(REGEXMATCH($C23,V$9),V$8,1))*6),FLOOR($E23*(IF(REGEXMATCH(V$10,$B23),$A23,1))/(V$11*IF(REGEXMATCH($C23,V$9),V$8,1"&amp;"))*6))"),6.0)</f>
        <v>6</v>
      </c>
      <c r="W23" s="285">
        <f>IFERROR(__xludf.DUMMYFUNCTION("IF($E23*(IF(REGEXMATCH(W$10,$B23),$A23,1))/(W$11*IF(REGEXMATCH($C23,W$9),W$8,1))*6&gt;6,CEILING($E23*(IF(REGEXMATCH(W$10,$B23),$A23,1))/(W$11*IF(REGEXMATCH($C23,W$9),W$8,1))*6),FLOOR($E23*(IF(REGEXMATCH(W$10,$B23),$A23,1))/(W$11*IF(REGEXMATCH($C23,W$9),W$8,1"&amp;"))*6))"),8.0)</f>
        <v>8</v>
      </c>
      <c r="X23" s="285">
        <f>IFERROR(__xludf.DUMMYFUNCTION("IF($E23*(IF(REGEXMATCH(X$10,$B23),$A23,1))/(X$11*IF(REGEXMATCH($C23,X$9),X$8,1))*6&gt;6,CEILING($E23*(IF(REGEXMATCH(X$10,$B23),$A23,1))/(X$11*IF(REGEXMATCH($C23,X$9),X$8,1))*6),FLOOR($E23*(IF(REGEXMATCH(X$10,$B23),$A23,1))/(X$11*IF(REGEXMATCH($C23,X$9),X$8,1"&amp;"))*6))"),8.0)</f>
        <v>8</v>
      </c>
      <c r="Y23" s="285">
        <f>IFERROR(__xludf.DUMMYFUNCTION("IF($E23*(IF(REGEXMATCH(Y$10,$B23),$A23,1))/(Y$11*IF(REGEXMATCH($C23,Y$9),Y$8,1))*6&gt;6,CEILING($E23*(IF(REGEXMATCH(Y$10,$B23),$A23,1))/(Y$11*IF(REGEXMATCH($C23,Y$9),Y$8,1))*6),FLOOR($E23*(IF(REGEXMATCH(Y$10,$B23),$A23,1))/(Y$11*IF(REGEXMATCH($C23,Y$9),Y$8,1"&amp;"))*6))"),8.0)</f>
        <v>8</v>
      </c>
      <c r="Z23" s="285">
        <f>IFERROR(__xludf.DUMMYFUNCTION("IF($E23*(IF(REGEXMATCH(Z$10,$B23),$A23,1))/(Z$11*IF(REGEXMATCH($C23,Z$9),Z$8,1))*6&gt;6,CEILING($E23*(IF(REGEXMATCH(Z$10,$B23),$A23,1))/(Z$11*IF(REGEXMATCH($C23,Z$9),Z$8,1))*6),FLOOR($E23*(IF(REGEXMATCH(Z$10,$B23),$A23,1))/(Z$11*IF(REGEXMATCH($C23,Z$9),Z$8,1"&amp;"))*6))"),8.0)</f>
        <v>8</v>
      </c>
      <c r="AA23" s="285">
        <f>IFERROR(__xludf.DUMMYFUNCTION("IF($E23*(IF(REGEXMATCH(AA$10,$B23),$A23,1))/(AA$11*IF(REGEXMATCH($C23,AA$9),AA$8,1))*6&gt;6,CEILING($E23*(IF(REGEXMATCH(AA$10,$B23),$A23,1))/(AA$11*IF(REGEXMATCH($C23,AA$9),AA$8,1))*6),FLOOR($E23*(IF(REGEXMATCH(AA$10,$B23),$A23,1))/(AA$11*IF(REGEXMATCH($C23,"&amp;"AA$9),AA$8,1))*6))"),8.0)</f>
        <v>8</v>
      </c>
      <c r="AB23" s="285">
        <f>IFERROR(__xludf.DUMMYFUNCTION("IF($E23*(IF(REGEXMATCH(AB$10,$B23),$A23,1))/(AB$11*IF(REGEXMATCH($C23,AB$9),AB$8,1))*6&gt;6,CEILING($E23*(IF(REGEXMATCH(AB$10,$B23),$A23,1))/(AB$11*IF(REGEXMATCH($C23,AB$9),AB$8,1))*6),FLOOR($E23*(IF(REGEXMATCH(AB$10,$B23),$A23,1))/(AB$11*IF(REGEXMATCH($C23,"&amp;"AB$9),AB$8,1))*6))"),8.0)</f>
        <v>8</v>
      </c>
      <c r="AC23" s="285">
        <f>IFERROR(__xludf.DUMMYFUNCTION("IF($E23*(IF(REGEXMATCH(AC$10,$B23),$A23,1))/(AC$11*IF(REGEXMATCH($C23,AC$9),AC$8,1))*6&gt;6,CEILING($E23*(IF(REGEXMATCH(AC$10,$B23),$A23,1))/(AC$11*IF(REGEXMATCH($C23,AC$9),AC$8,1))*6),FLOOR($E23*(IF(REGEXMATCH(AC$10,$B23),$A23,1))/(AC$11*IF(REGEXMATCH($C23,"&amp;"AC$9),AC$8,1))*6))"),8.0)</f>
        <v>8</v>
      </c>
      <c r="AD23" s="285">
        <f>IFERROR(__xludf.DUMMYFUNCTION("IF($E23*(IF(REGEXMATCH(AD$10,$B23),$A23,1))/(AD$11*IF(REGEXMATCH($C23,AD$9),AD$8,1))*6&gt;6,CEILING($E23*(IF(REGEXMATCH(AD$10,$B23),$A23,1))/(AD$11*IF(REGEXMATCH($C23,AD$9),AD$8,1))*6),FLOOR($E23*(IF(REGEXMATCH(AD$10,$B23),$A23,1))/(AD$11*IF(REGEXMATCH($C23,"&amp;"AD$9),AD$8,1))*6))"),8.0)</f>
        <v>8</v>
      </c>
      <c r="AE23" s="285">
        <f>IFERROR(__xludf.DUMMYFUNCTION("IF($E23*(IF(REGEXMATCH(AE$10,$B23),$A23,1))/(AE$11*IF(REGEXMATCH($C23,AE$9),AE$8,1))*6&gt;6,CEILING($E23*(IF(REGEXMATCH(AE$10,$B23),$A23,1))/(AE$11*IF(REGEXMATCH($C23,AE$9),AE$8,1))*6),FLOOR($E23*(IF(REGEXMATCH(AE$10,$B23),$A23,1))/(AE$11*IF(REGEXMATCH($C23,"&amp;"AE$9),AE$8,1))*6))"),8.0)</f>
        <v>8</v>
      </c>
      <c r="AF23" s="285">
        <f>IFERROR(__xludf.DUMMYFUNCTION("IF($E23*(IF(REGEXMATCH(AF$10,$B23),$A23,1))/(AF$11*IF(REGEXMATCH($C23,AF$9),AF$8,1))*6&gt;6,CEILING($E23*(IF(REGEXMATCH(AF$10,$B23),$A23,1))/(AF$11*IF(REGEXMATCH($C23,AF$9),AF$8,1))*6),FLOOR($E23*(IF(REGEXMATCH(AF$10,$B23),$A23,1))/(AF$11*IF(REGEXMATCH($C23,"&amp;"AF$9),AF$8,1))*6))"),8.0)</f>
        <v>8</v>
      </c>
      <c r="AG23" s="285">
        <f>IFERROR(__xludf.DUMMYFUNCTION("IF($E23*(IF(REGEXMATCH(AG$10,$B23),$A23,1))/(AG$11*IF(REGEXMATCH($C23,AG$9),AG$8,1))*6&gt;6,CEILING($E23*(IF(REGEXMATCH(AG$10,$B23),$A23,1))/(AG$11*IF(REGEXMATCH($C23,AG$9),AG$8,1))*6),FLOOR($E23*(IF(REGEXMATCH(AG$10,$B23),$A23,1))/(AG$11*IF(REGEXMATCH($C23,"&amp;"AG$9),AG$8,1))*6))"),5.0)</f>
        <v>5</v>
      </c>
      <c r="AH23" s="285">
        <f>IFERROR(__xludf.DUMMYFUNCTION("IF($E23*(IF(REGEXMATCH(AH$10,$B23),$A23,1))/(AH$11*IF(REGEXMATCH($C23,AH$9),AH$8,1))*6&gt;6,CEILING($E23*(IF(REGEXMATCH(AH$10,$B23),$A23,1))/(AH$11*IF(REGEXMATCH($C23,AH$9),AH$8,1))*6),FLOOR($E23*(IF(REGEXMATCH(AH$10,$B23),$A23,1))/(AH$11*IF(REGEXMATCH($C23,"&amp;"AH$9),AH$8,1))*6))"),8.0)</f>
        <v>8</v>
      </c>
      <c r="AI23" s="285">
        <f>IFERROR(__xludf.DUMMYFUNCTION("IF($E23*(IF(REGEXMATCH(AI$10,$B23),$A23,1))/(AI$11*IF(REGEXMATCH($C23,AI$9),AI$8,1))*6&gt;6,CEILING($E23*(IF(REGEXMATCH(AI$10,$B23),$A23,1))/(AI$11*IF(REGEXMATCH($C23,AI$9),AI$8,1))*6),FLOOR($E23*(IF(REGEXMATCH(AI$10,$B23),$A23,1))/(AI$11*IF(REGEXMATCH($C23,"&amp;"AI$9),AI$8,1))*6))"),8.0)</f>
        <v>8</v>
      </c>
      <c r="AJ23" s="285">
        <f>IFERROR(__xludf.DUMMYFUNCTION("IF($E23*(IF(REGEXMATCH(AJ$10,$B23),$A23,1))/(AJ$11*IF(REGEXMATCH($C23,AJ$9),AJ$8,1))*6&gt;6,CEILING($E23*(IF(REGEXMATCH(AJ$10,$B23),$A23,1))/(AJ$11*IF(REGEXMATCH($C23,AJ$9),AJ$8,1))*6),FLOOR($E23*(IF(REGEXMATCH(AJ$10,$B23),$A23,1))/(AJ$11*IF(REGEXMATCH($C23,"&amp;"AJ$9),AJ$8,1))*6))"),8.0)</f>
        <v>8</v>
      </c>
      <c r="AK23" s="285">
        <f>IFERROR(__xludf.DUMMYFUNCTION("IF($E23*(IF(REGEXMATCH(AK$10,$B23),$A23,1))/(AK$11*IF(REGEXMATCH($C23,AK$9),AK$8,1))*6&gt;6,CEILING($E23*(IF(REGEXMATCH(AK$10,$B23),$A23,1))/(AK$11*IF(REGEXMATCH($C23,AK$9),AK$8,1))*6),FLOOR($E23*(IF(REGEXMATCH(AK$10,$B23),$A23,1))/(AK$11*IF(REGEXMATCH($C23,"&amp;"AK$9),AK$8,1))*6))"),8.0)</f>
        <v>8</v>
      </c>
      <c r="AL23" s="285">
        <f>IFERROR(__xludf.DUMMYFUNCTION("IF($E23*(IF(REGEXMATCH(AL$10,$B23),$A23,1))/(AL$11*IF(REGEXMATCH($C23,AL$9),AL$8,1))*6&gt;6,CEILING($E23*(IF(REGEXMATCH(AL$10,$B23),$A23,1))/(AL$11*IF(REGEXMATCH($C23,AL$9),AL$8,1))*6),FLOOR($E23*(IF(REGEXMATCH(AL$10,$B23),$A23,1))/(AL$11*IF(REGEXMATCH($C23,"&amp;"AL$9),AL$8,1))*6))"),10.0)</f>
        <v>10</v>
      </c>
      <c r="AM23" s="285">
        <f>IFERROR(__xludf.DUMMYFUNCTION("IF($E23*(IF(REGEXMATCH(AM$10,$B23),$A23,1))/(AM$11*IF(REGEXMATCH($C23,AM$9),AM$8,1))*6&gt;6,CEILING($E23*(IF(REGEXMATCH(AM$10,$B23),$A23,1))/(AM$11*IF(REGEXMATCH($C23,AM$9),AM$8,1))*6),FLOOR($E23*(IF(REGEXMATCH(AM$10,$B23),$A23,1))/(AM$11*IF(REGEXMATCH($C23,"&amp;"AM$9),AM$8,1))*6))"),10.0)</f>
        <v>10</v>
      </c>
      <c r="AN23" s="285">
        <f>IFERROR(__xludf.DUMMYFUNCTION("IF($E23*(IF(REGEXMATCH(AN$10,$B23),$A23,1))/(AN$11*IF(REGEXMATCH($C23,AN$9),AN$8,1))*6&gt;6,CEILING($E23*(IF(REGEXMATCH(AN$10,$B23),$A23,1))/(AN$11*IF(REGEXMATCH($C23,AN$9),AN$8,1))*6),FLOOR($E23*(IF(REGEXMATCH(AN$10,$B23),$A23,1))/(AN$11*IF(REGEXMATCH($C23,"&amp;"AN$9),AN$8,1))*6))"),7.0)</f>
        <v>7</v>
      </c>
      <c r="AO23" s="285">
        <f>IFERROR(__xludf.DUMMYFUNCTION("IF($E23*(IF(REGEXMATCH(AO$10,$B23),$A23,1))/(AO$11*IF(REGEXMATCH($C23,AO$9),AO$8,1))*6&gt;6,CEILING($E23*(IF(REGEXMATCH(AO$10,$B23),$A23,1))/(AO$11*IF(REGEXMATCH($C23,AO$9),AO$8,1))*6),FLOOR($E23*(IF(REGEXMATCH(AO$10,$B23),$A23,1))/(AO$11*IF(REGEXMATCH($C23,"&amp;"AO$9),AO$8,1))*6))"),10.0)</f>
        <v>10</v>
      </c>
      <c r="AP23" s="285">
        <f>IFERROR(__xludf.DUMMYFUNCTION("IF($E23*(IF(REGEXMATCH(AP$10,$B23),$A23,1))/(AP$11*IF(REGEXMATCH($C23,AP$9),AP$8,1))*6&gt;6,CEILING($E23*(IF(REGEXMATCH(AP$10,$B23),$A23,1))/(AP$11*IF(REGEXMATCH($C23,AP$9),AP$8,1))*6),FLOOR($E23*(IF(REGEXMATCH(AP$10,$B23),$A23,1))/(AP$11*IF(REGEXMATCH($C23,"&amp;"AP$9),AP$8,1))*6))"),7.0)</f>
        <v>7</v>
      </c>
      <c r="AQ23" s="285">
        <f>IFERROR(__xludf.DUMMYFUNCTION("IF($E23*(IF(REGEXMATCH(AQ$10,$B23),$A23,1))/(AQ$11*IF(REGEXMATCH($C23,AQ$9),AQ$8,1))*6&gt;6,CEILING($E23*(IF(REGEXMATCH(AQ$10,$B23),$A23,1))/(AQ$11*IF(REGEXMATCH($C23,AQ$9),AQ$8,1))*6),FLOOR($E23*(IF(REGEXMATCH(AQ$10,$B23),$A23,1))/(AQ$11*IF(REGEXMATCH($C23,"&amp;"AQ$9),AQ$8,1))*6))"),8.0)</f>
        <v>8</v>
      </c>
      <c r="AR23" s="285">
        <f>IFERROR(__xludf.DUMMYFUNCTION("IF($E23*(IF(REGEXMATCH(AR$10,$B23),$A23,1))/(AR$11*IF(REGEXMATCH($C23,AR$9),AR$8,1))*6&gt;6,CEILING($E23*(IF(REGEXMATCH(AR$10,$B23),$A23,1))/(AR$11*IF(REGEXMATCH($C23,AR$9),AR$8,1))*6),FLOOR($E23*(IF(REGEXMATCH(AR$10,$B23),$A23,1))/(AR$11*IF(REGEXMATCH($C23,"&amp;"AR$9),AR$8,1))*6))"),12.0)</f>
        <v>12</v>
      </c>
      <c r="AS23" s="285">
        <f>IFERROR(__xludf.DUMMYFUNCTION("IF($E23*(IF(REGEXMATCH(AS$10,$B23),$A23,1))/(AS$11*IF(REGEXMATCH($C23,AS$9),AS$8,1))*6&gt;6,CEILING($E23*(IF(REGEXMATCH(AS$10,$B23),$A23,1))/(AS$11*IF(REGEXMATCH($C23,AS$9),AS$8,1))*6),FLOOR($E23*(IF(REGEXMATCH(AS$10,$B23),$A23,1))/(AS$11*IF(REGEXMATCH($C23,"&amp;"AS$9),AS$8,1))*6))"),12.0)</f>
        <v>12</v>
      </c>
      <c r="AT23" s="285">
        <f>IFERROR(__xludf.DUMMYFUNCTION("IF($E23*(IF(REGEXMATCH(AT$10,$B23),$A23,1))/(AT$11*IF(REGEXMATCH($C23,AT$9),AT$8,1))*6&gt;6,CEILING($E23*(IF(REGEXMATCH(AT$10,$B23),$A23,1))/(AT$11*IF(REGEXMATCH($C23,AT$9),AT$8,1))*6),FLOOR($E23*(IF(REGEXMATCH(AT$10,$B23),$A23,1))/(AT$11*IF(REGEXMATCH($C23,"&amp;"AT$9),AT$8,1))*6))"),16.0)</f>
        <v>16</v>
      </c>
    </row>
    <row r="24">
      <c r="A24" s="8">
        <v>1.5</v>
      </c>
      <c r="B24" s="8" t="s">
        <v>2578</v>
      </c>
      <c r="C24" s="8" t="s">
        <v>2586</v>
      </c>
      <c r="D24" s="8"/>
      <c r="E24" s="8">
        <v>8.0</v>
      </c>
      <c r="F24" s="808" t="s">
        <v>2528</v>
      </c>
      <c r="G24" s="285">
        <f>IFERROR(__xludf.DUMMYFUNCTION("IF($E24*(IF(REGEXMATCH(G$10,$B24),$A24,1))/(G$11*IF(REGEXMATCH($C24,G$9),G$8,1))*6&gt;6,CEILING($E24*(IF(REGEXMATCH(G$10,$B24),$A24,1))/(G$11*IF(REGEXMATCH($C24,G$9),G$8,1))*6),FLOOR($E24*(IF(REGEXMATCH(G$10,$B24),$A24,1))/(G$11*IF(REGEXMATCH($C24,G$9),G$8,1"&amp;"))*6))"),4.0)</f>
        <v>4</v>
      </c>
      <c r="H24" s="285">
        <f>IFERROR(__xludf.DUMMYFUNCTION("IF($E24*(IF(REGEXMATCH(H$10,$B24),$A24,1))/(H$11*IF(REGEXMATCH($C24,H$9),H$8,1))*6&gt;6,CEILING($E24*(IF(REGEXMATCH(H$10,$B24),$A24,1))/(H$11*IF(REGEXMATCH($C24,H$9),H$8,1))*6),FLOOR($E24*(IF(REGEXMATCH(H$10,$B24),$A24,1))/(H$11*IF(REGEXMATCH($C24,H$9),H$8,1"&amp;"))*6))"),8.0)</f>
        <v>8</v>
      </c>
      <c r="I24" s="285">
        <f>IFERROR(__xludf.DUMMYFUNCTION("IF($E24*(IF(REGEXMATCH(I$10,$B24),$A24,1))/(I$11*IF(REGEXMATCH($C24,I$9),I$8,1))*6&gt;6,CEILING($E24*(IF(REGEXMATCH(I$10,$B24),$A24,1))/(I$11*IF(REGEXMATCH($C24,I$9),I$8,1))*6),FLOOR($E24*(IF(REGEXMATCH(I$10,$B24),$A24,1))/(I$11*IF(REGEXMATCH($C24,I$9),I$8,1"&amp;"))*6))"),4.0)</f>
        <v>4</v>
      </c>
      <c r="J24" s="285">
        <f>IFERROR(__xludf.DUMMYFUNCTION("IF($E24*(IF(REGEXMATCH(J$10,$B24),$A24,1))/(J$11*IF(REGEXMATCH($C24,J$9),J$8,1))*6&gt;6,CEILING($E24*(IF(REGEXMATCH(J$10,$B24),$A24,1))/(J$11*IF(REGEXMATCH($C24,J$9),J$8,1))*6),FLOOR($E24*(IF(REGEXMATCH(J$10,$B24),$A24,1))/(J$11*IF(REGEXMATCH($C24,J$9),J$8,1"&amp;"))*6))"),4.0)</f>
        <v>4</v>
      </c>
      <c r="K24" s="285">
        <f>IFERROR(__xludf.DUMMYFUNCTION("IF($E24*(IF(REGEXMATCH(K$10,$B24),$A24,1))/(K$11*IF(REGEXMATCH($C24,K$9),K$8,1))*6&gt;6,CEILING($E24*(IF(REGEXMATCH(K$10,$B24),$A24,1))/(K$11*IF(REGEXMATCH($C24,K$9),K$8,1))*6),FLOOR($E24*(IF(REGEXMATCH(K$10,$B24),$A24,1))/(K$11*IF(REGEXMATCH($C24,K$9),K$8,1"&amp;"))*6))"),6.0)</f>
        <v>6</v>
      </c>
      <c r="L24" s="285">
        <f>IFERROR(__xludf.DUMMYFUNCTION("IF($E24*(IF(REGEXMATCH(L$10,$B24),$A24,1))/(L$11*IF(REGEXMATCH($C24,L$9),L$8,1))*6&gt;6,CEILING($E24*(IF(REGEXMATCH(L$10,$B24),$A24,1))/(L$11*IF(REGEXMATCH($C24,L$9),L$8,1))*6),FLOOR($E24*(IF(REGEXMATCH(L$10,$B24),$A24,1))/(L$11*IF(REGEXMATCH($C24,L$9),L$8,1"&amp;"))*6))"),6.0)</f>
        <v>6</v>
      </c>
      <c r="M24" s="285">
        <f>IFERROR(__xludf.DUMMYFUNCTION("IF($E24*(IF(REGEXMATCH(M$10,$B24),$A24,1))/(M$11*IF(REGEXMATCH($C24,M$9),M$8,1))*6&gt;6,CEILING($E24*(IF(REGEXMATCH(M$10,$B24),$A24,1))/(M$11*IF(REGEXMATCH($C24,M$9),M$8,1))*6),FLOOR($E24*(IF(REGEXMATCH(M$10,$B24),$A24,1))/(M$11*IF(REGEXMATCH($C24,M$9),M$8,1"&amp;"))*6))"),6.0)</f>
        <v>6</v>
      </c>
      <c r="N24" s="285">
        <f>IFERROR(__xludf.DUMMYFUNCTION("IF($E24*(IF(REGEXMATCH(N$10,$B24),$A24,1))/(N$11*IF(REGEXMATCH($C24,N$9),N$8,1))*6&gt;6,CEILING($E24*(IF(REGEXMATCH(N$10,$B24),$A24,1))/(N$11*IF(REGEXMATCH($C24,N$9),N$8,1))*6),FLOOR($E24*(IF(REGEXMATCH(N$10,$B24),$A24,1))/(N$11*IF(REGEXMATCH($C24,N$9),N$8,1"&amp;"))*6))"),6.0)</f>
        <v>6</v>
      </c>
      <c r="O24" s="285">
        <f>IFERROR(__xludf.DUMMYFUNCTION("IF($E24*(IF(REGEXMATCH(O$10,$B24),$A24,1))/(O$11*IF(REGEXMATCH($C24,O$9),O$8,1))*6&gt;6,CEILING($E24*(IF(REGEXMATCH(O$10,$B24),$A24,1))/(O$11*IF(REGEXMATCH($C24,O$9),O$8,1))*6),FLOOR($E24*(IF(REGEXMATCH(O$10,$B24),$A24,1))/(O$11*IF(REGEXMATCH($C24,O$9),O$8,1"&amp;"))*6))"),6.0)</f>
        <v>6</v>
      </c>
      <c r="P24" s="285">
        <f>IFERROR(__xludf.DUMMYFUNCTION("IF($E24*(IF(REGEXMATCH(P$10,$B24),$A24,1))/(P$11*IF(REGEXMATCH($C24,P$9),P$8,1))*6&gt;6,CEILING($E24*(IF(REGEXMATCH(P$10,$B24),$A24,1))/(P$11*IF(REGEXMATCH($C24,P$9),P$8,1))*6),FLOOR($E24*(IF(REGEXMATCH(P$10,$B24),$A24,1))/(P$11*IF(REGEXMATCH($C24,P$9),P$8,1"&amp;"))*6))"),9.0)</f>
        <v>9</v>
      </c>
      <c r="Q24" s="285">
        <f>IFERROR(__xludf.DUMMYFUNCTION("IF($E24*(IF(REGEXMATCH(Q$10,$B24),$A24,1))/(Q$11*IF(REGEXMATCH($C24,Q$9),Q$8,1))*6&gt;6,CEILING($E24*(IF(REGEXMATCH(Q$10,$B24),$A24,1))/(Q$11*IF(REGEXMATCH($C24,Q$9),Q$8,1))*6),FLOOR($E24*(IF(REGEXMATCH(Q$10,$B24),$A24,1))/(Q$11*IF(REGEXMATCH($C24,Q$9),Q$8,1"&amp;"))*6))"),9.0)</f>
        <v>9</v>
      </c>
      <c r="R24" s="285">
        <f>IFERROR(__xludf.DUMMYFUNCTION("IF($E24*(IF(REGEXMATCH(R$10,$B24),$A24,1))/(R$11*IF(REGEXMATCH($C24,R$9),R$8,1))*6&gt;6,CEILING($E24*(IF(REGEXMATCH(R$10,$B24),$A24,1))/(R$11*IF(REGEXMATCH($C24,R$9),R$8,1))*6),FLOOR($E24*(IF(REGEXMATCH(R$10,$B24),$A24,1))/(R$11*IF(REGEXMATCH($C24,R$9),R$8,1"&amp;"))*6))"),6.0)</f>
        <v>6</v>
      </c>
      <c r="S24" s="285">
        <f>IFERROR(__xludf.DUMMYFUNCTION("IF($E24*(IF(REGEXMATCH(S$10,$B24),$A24,1))/(S$11*IF(REGEXMATCH($C24,S$9),S$8,1))*6&gt;6,CEILING($E24*(IF(REGEXMATCH(S$10,$B24),$A24,1))/(S$11*IF(REGEXMATCH($C24,S$9),S$8,1))*6),FLOOR($E24*(IF(REGEXMATCH(S$10,$B24),$A24,1))/(S$11*IF(REGEXMATCH($C24,S$9),S$8,1"&amp;"))*6))"),9.0)</f>
        <v>9</v>
      </c>
      <c r="T24" s="285">
        <f>IFERROR(__xludf.DUMMYFUNCTION("IF($E24*(IF(REGEXMATCH(T$10,$B24),$A24,1))/(T$11*IF(REGEXMATCH($C24,T$9),T$8,1))*6&gt;6,CEILING($E24*(IF(REGEXMATCH(T$10,$B24),$A24,1))/(T$11*IF(REGEXMATCH($C24,T$9),T$8,1))*6),FLOOR($E24*(IF(REGEXMATCH(T$10,$B24),$A24,1))/(T$11*IF(REGEXMATCH($C24,T$9),T$8,1"&amp;"))*6))"),4.0)</f>
        <v>4</v>
      </c>
      <c r="U24" s="285">
        <f>IFERROR(__xludf.DUMMYFUNCTION("IF($E24*(IF(REGEXMATCH(U$10,$B24),$A24,1))/(U$11*IF(REGEXMATCH($C24,U$9),U$8,1))*6&gt;6,CEILING($E24*(IF(REGEXMATCH(U$10,$B24),$A24,1))/(U$11*IF(REGEXMATCH($C24,U$9),U$8,1))*6),FLOOR($E24*(IF(REGEXMATCH(U$10,$B24),$A24,1))/(U$11*IF(REGEXMATCH($C24,U$9),U$8,1"&amp;"))*6))"),9.0)</f>
        <v>9</v>
      </c>
      <c r="V24" s="285">
        <f>IFERROR(__xludf.DUMMYFUNCTION("IF($E24*(IF(REGEXMATCH(V$10,$B24),$A24,1))/(V$11*IF(REGEXMATCH($C24,V$9),V$8,1))*6&gt;6,CEILING($E24*(IF(REGEXMATCH(V$10,$B24),$A24,1))/(V$11*IF(REGEXMATCH($C24,V$9),V$8,1))*6),FLOOR($E24*(IF(REGEXMATCH(V$10,$B24),$A24,1))/(V$11*IF(REGEXMATCH($C24,V$9),V$8,1"&amp;"))*6))"),6.0)</f>
        <v>6</v>
      </c>
      <c r="W24" s="285">
        <f>IFERROR(__xludf.DUMMYFUNCTION("IF($E24*(IF(REGEXMATCH(W$10,$B24),$A24,1))/(W$11*IF(REGEXMATCH($C24,W$9),W$8,1))*6&gt;6,CEILING($E24*(IF(REGEXMATCH(W$10,$B24),$A24,1))/(W$11*IF(REGEXMATCH($C24,W$9),W$8,1))*6),FLOOR($E24*(IF(REGEXMATCH(W$10,$B24),$A24,1))/(W$11*IF(REGEXMATCH($C24,W$9),W$8,1"&amp;"))*6))"),8.0)</f>
        <v>8</v>
      </c>
      <c r="X24" s="285">
        <f>IFERROR(__xludf.DUMMYFUNCTION("IF($E24*(IF(REGEXMATCH(X$10,$B24),$A24,1))/(X$11*IF(REGEXMATCH($C24,X$9),X$8,1))*6&gt;6,CEILING($E24*(IF(REGEXMATCH(X$10,$B24),$A24,1))/(X$11*IF(REGEXMATCH($C24,X$9),X$8,1))*6),FLOOR($E24*(IF(REGEXMATCH(X$10,$B24),$A24,1))/(X$11*IF(REGEXMATCH($C24,X$9),X$8,1"&amp;"))*6))"),12.0)</f>
        <v>12</v>
      </c>
      <c r="Y24" s="285">
        <f>IFERROR(__xludf.DUMMYFUNCTION("IF($E24*(IF(REGEXMATCH(Y$10,$B24),$A24,1))/(Y$11*IF(REGEXMATCH($C24,Y$9),Y$8,1))*6&gt;6,CEILING($E24*(IF(REGEXMATCH(Y$10,$B24),$A24,1))/(Y$11*IF(REGEXMATCH($C24,Y$9),Y$8,1))*6),FLOOR($E24*(IF(REGEXMATCH(Y$10,$B24),$A24,1))/(Y$11*IF(REGEXMATCH($C24,Y$9),Y$8,1"&amp;"))*6))"),7.0)</f>
        <v>7</v>
      </c>
      <c r="Z24" s="285">
        <f>IFERROR(__xludf.DUMMYFUNCTION("IF($E24*(IF(REGEXMATCH(Z$10,$B24),$A24,1))/(Z$11*IF(REGEXMATCH($C24,Z$9),Z$8,1))*6&gt;6,CEILING($E24*(IF(REGEXMATCH(Z$10,$B24),$A24,1))/(Z$11*IF(REGEXMATCH($C24,Z$9),Z$8,1))*6),FLOOR($E24*(IF(REGEXMATCH(Z$10,$B24),$A24,1))/(Z$11*IF(REGEXMATCH($C24,Z$9),Z$8,1"&amp;"))*6))"),12.0)</f>
        <v>12</v>
      </c>
      <c r="AA24" s="285">
        <f>IFERROR(__xludf.DUMMYFUNCTION("IF($E24*(IF(REGEXMATCH(AA$10,$B24),$A24,1))/(AA$11*IF(REGEXMATCH($C24,AA$9),AA$8,1))*6&gt;6,CEILING($E24*(IF(REGEXMATCH(AA$10,$B24),$A24,1))/(AA$11*IF(REGEXMATCH($C24,AA$9),AA$8,1))*6),FLOOR($E24*(IF(REGEXMATCH(AA$10,$B24),$A24,1))/(AA$11*IF(REGEXMATCH($C24,"&amp;"AA$9),AA$8,1))*6))"),12.0)</f>
        <v>12</v>
      </c>
      <c r="AB24" s="285">
        <f>IFERROR(__xludf.DUMMYFUNCTION("IF($E24*(IF(REGEXMATCH(AB$10,$B24),$A24,1))/(AB$11*IF(REGEXMATCH($C24,AB$9),AB$8,1))*6&gt;6,CEILING($E24*(IF(REGEXMATCH(AB$10,$B24),$A24,1))/(AB$11*IF(REGEXMATCH($C24,AB$9),AB$8,1))*6),FLOOR($E24*(IF(REGEXMATCH(AB$10,$B24),$A24,1))/(AB$11*IF(REGEXMATCH($C24,"&amp;"AB$9),AB$8,1))*6))"),8.0)</f>
        <v>8</v>
      </c>
      <c r="AC24" s="285">
        <f>IFERROR(__xludf.DUMMYFUNCTION("IF($E24*(IF(REGEXMATCH(AC$10,$B24),$A24,1))/(AC$11*IF(REGEXMATCH($C24,AC$9),AC$8,1))*6&gt;6,CEILING($E24*(IF(REGEXMATCH(AC$10,$B24),$A24,1))/(AC$11*IF(REGEXMATCH($C24,AC$9),AC$8,1))*6),FLOOR($E24*(IF(REGEXMATCH(AC$10,$B24),$A24,1))/(AC$11*IF(REGEXMATCH($C24,"&amp;"AC$9),AC$8,1))*6))"),8.0)</f>
        <v>8</v>
      </c>
      <c r="AD24" s="285">
        <f>IFERROR(__xludf.DUMMYFUNCTION("IF($E24*(IF(REGEXMATCH(AD$10,$B24),$A24,1))/(AD$11*IF(REGEXMATCH($C24,AD$9),AD$8,1))*6&gt;6,CEILING($E24*(IF(REGEXMATCH(AD$10,$B24),$A24,1))/(AD$11*IF(REGEXMATCH($C24,AD$9),AD$8,1))*6),FLOOR($E24*(IF(REGEXMATCH(AD$10,$B24),$A24,1))/(AD$11*IF(REGEXMATCH($C24,"&amp;"AD$9),AD$8,1))*6))"),8.0)</f>
        <v>8</v>
      </c>
      <c r="AE24" s="285">
        <f>IFERROR(__xludf.DUMMYFUNCTION("IF($E24*(IF(REGEXMATCH(AE$10,$B24),$A24,1))/(AE$11*IF(REGEXMATCH($C24,AE$9),AE$8,1))*6&gt;6,CEILING($E24*(IF(REGEXMATCH(AE$10,$B24),$A24,1))/(AE$11*IF(REGEXMATCH($C24,AE$9),AE$8,1))*6),FLOOR($E24*(IF(REGEXMATCH(AE$10,$B24),$A24,1))/(AE$11*IF(REGEXMATCH($C24,"&amp;"AE$9),AE$8,1))*6))"),12.0)</f>
        <v>12</v>
      </c>
      <c r="AF24" s="285">
        <f>IFERROR(__xludf.DUMMYFUNCTION("IF($E24*(IF(REGEXMATCH(AF$10,$B24),$A24,1))/(AF$11*IF(REGEXMATCH($C24,AF$9),AF$8,1))*6&gt;6,CEILING($E24*(IF(REGEXMATCH(AF$10,$B24),$A24,1))/(AF$11*IF(REGEXMATCH($C24,AF$9),AF$8,1))*6),FLOOR($E24*(IF(REGEXMATCH(AF$10,$B24),$A24,1))/(AF$11*IF(REGEXMATCH($C24,"&amp;"AF$9),AF$8,1))*6))"),12.0)</f>
        <v>12</v>
      </c>
      <c r="AG24" s="285">
        <f>IFERROR(__xludf.DUMMYFUNCTION("IF($E24*(IF(REGEXMATCH(AG$10,$B24),$A24,1))/(AG$11*IF(REGEXMATCH($C24,AG$9),AG$8,1))*6&gt;6,CEILING($E24*(IF(REGEXMATCH(AG$10,$B24),$A24,1))/(AG$11*IF(REGEXMATCH($C24,AG$9),AG$8,1))*6),FLOOR($E24*(IF(REGEXMATCH(AG$10,$B24),$A24,1))/(AG$11*IF(REGEXMATCH($C24,"&amp;"AG$9),AG$8,1))*6))"),8.0)</f>
        <v>8</v>
      </c>
      <c r="AH24" s="285">
        <f>IFERROR(__xludf.DUMMYFUNCTION("IF($E24*(IF(REGEXMATCH(AH$10,$B24),$A24,1))/(AH$11*IF(REGEXMATCH($C24,AH$9),AH$8,1))*6&gt;6,CEILING($E24*(IF(REGEXMATCH(AH$10,$B24),$A24,1))/(AH$11*IF(REGEXMATCH($C24,AH$9),AH$8,1))*6),FLOOR($E24*(IF(REGEXMATCH(AH$10,$B24),$A24,1))/(AH$11*IF(REGEXMATCH($C24,"&amp;"AH$9),AH$8,1))*6))"),12.0)</f>
        <v>12</v>
      </c>
      <c r="AI24" s="285">
        <f>IFERROR(__xludf.DUMMYFUNCTION("IF($E24*(IF(REGEXMATCH(AI$10,$B24),$A24,1))/(AI$11*IF(REGEXMATCH($C24,AI$9),AI$8,1))*6&gt;6,CEILING($E24*(IF(REGEXMATCH(AI$10,$B24),$A24,1))/(AI$11*IF(REGEXMATCH($C24,AI$9),AI$8,1))*6),FLOOR($E24*(IF(REGEXMATCH(AI$10,$B24),$A24,1))/(AI$11*IF(REGEXMATCH($C24,"&amp;"AI$9),AI$8,1))*6))"),7.0)</f>
        <v>7</v>
      </c>
      <c r="AJ24" s="285">
        <f>IFERROR(__xludf.DUMMYFUNCTION("IF($E24*(IF(REGEXMATCH(AJ$10,$B24),$A24,1))/(AJ$11*IF(REGEXMATCH($C24,AJ$9),AJ$8,1))*6&gt;6,CEILING($E24*(IF(REGEXMATCH(AJ$10,$B24),$A24,1))/(AJ$11*IF(REGEXMATCH($C24,AJ$9),AJ$8,1))*6),FLOOR($E24*(IF(REGEXMATCH(AJ$10,$B24),$A24,1))/(AJ$11*IF(REGEXMATCH($C24,"&amp;"AJ$9),AJ$8,1))*6))"),12.0)</f>
        <v>12</v>
      </c>
      <c r="AK24" s="285">
        <f>IFERROR(__xludf.DUMMYFUNCTION("IF($E24*(IF(REGEXMATCH(AK$10,$B24),$A24,1))/(AK$11*IF(REGEXMATCH($C24,AK$9),AK$8,1))*6&gt;6,CEILING($E24*(IF(REGEXMATCH(AK$10,$B24),$A24,1))/(AK$11*IF(REGEXMATCH($C24,AK$9),AK$8,1))*6),FLOOR($E24*(IF(REGEXMATCH(AK$10,$B24),$A24,1))/(AK$11*IF(REGEXMATCH($C24,"&amp;"AK$9),AK$8,1))*6))"),8.0)</f>
        <v>8</v>
      </c>
      <c r="AL24" s="285">
        <f>IFERROR(__xludf.DUMMYFUNCTION("IF($E24*(IF(REGEXMATCH(AL$10,$B24),$A24,1))/(AL$11*IF(REGEXMATCH($C24,AL$9),AL$8,1))*6&gt;6,CEILING($E24*(IF(REGEXMATCH(AL$10,$B24),$A24,1))/(AL$11*IF(REGEXMATCH($C24,AL$9),AL$8,1))*6),FLOOR($E24*(IF(REGEXMATCH(AL$10,$B24),$A24,1))/(AL$11*IF(REGEXMATCH($C24,"&amp;"AL$9),AL$8,1))*6))"),15.0)</f>
        <v>15</v>
      </c>
      <c r="AM24" s="285">
        <f>IFERROR(__xludf.DUMMYFUNCTION("IF($E24*(IF(REGEXMATCH(AM$10,$B24),$A24,1))/(AM$11*IF(REGEXMATCH($C24,AM$9),AM$8,1))*6&gt;6,CEILING($E24*(IF(REGEXMATCH(AM$10,$B24),$A24,1))/(AM$11*IF(REGEXMATCH($C24,AM$9),AM$8,1))*6),FLOOR($E24*(IF(REGEXMATCH(AM$10,$B24),$A24,1))/(AM$11*IF(REGEXMATCH($C24,"&amp;"AM$9),AM$8,1))*6))"),8.0)</f>
        <v>8</v>
      </c>
      <c r="AN24" s="285">
        <f>IFERROR(__xludf.DUMMYFUNCTION("IF($E24*(IF(REGEXMATCH(AN$10,$B24),$A24,1))/(AN$11*IF(REGEXMATCH($C24,AN$9),AN$8,1))*6&gt;6,CEILING($E24*(IF(REGEXMATCH(AN$10,$B24),$A24,1))/(AN$11*IF(REGEXMATCH($C24,AN$9),AN$8,1))*6),FLOOR($E24*(IF(REGEXMATCH(AN$10,$B24),$A24,1))/(AN$11*IF(REGEXMATCH($C24,"&amp;"AN$9),AN$8,1))*6))"),10.0)</f>
        <v>10</v>
      </c>
      <c r="AO24" s="285">
        <f>IFERROR(__xludf.DUMMYFUNCTION("IF($E24*(IF(REGEXMATCH(AO$10,$B24),$A24,1))/(AO$11*IF(REGEXMATCH($C24,AO$9),AO$8,1))*6&gt;6,CEILING($E24*(IF(REGEXMATCH(AO$10,$B24),$A24,1))/(AO$11*IF(REGEXMATCH($C24,AO$9),AO$8,1))*6),FLOOR($E24*(IF(REGEXMATCH(AO$10,$B24),$A24,1))/(AO$11*IF(REGEXMATCH($C24,"&amp;"AO$9),AO$8,1))*6))"),10.0)</f>
        <v>10</v>
      </c>
      <c r="AP24" s="285">
        <f>IFERROR(__xludf.DUMMYFUNCTION("IF($E24*(IF(REGEXMATCH(AP$10,$B24),$A24,1))/(AP$11*IF(REGEXMATCH($C24,AP$9),AP$8,1))*6&gt;6,CEILING($E24*(IF(REGEXMATCH(AP$10,$B24),$A24,1))/(AP$11*IF(REGEXMATCH($C24,AP$9),AP$8,1))*6),FLOOR($E24*(IF(REGEXMATCH(AP$10,$B24),$A24,1))/(AP$11*IF(REGEXMATCH($C24,"&amp;"AP$9),AP$8,1))*6))"),15.0)</f>
        <v>15</v>
      </c>
      <c r="AQ24" s="285">
        <f>IFERROR(__xludf.DUMMYFUNCTION("IF($E24*(IF(REGEXMATCH(AQ$10,$B24),$A24,1))/(AQ$11*IF(REGEXMATCH($C24,AQ$9),AQ$8,1))*6&gt;6,CEILING($E24*(IF(REGEXMATCH(AQ$10,$B24),$A24,1))/(AQ$11*IF(REGEXMATCH($C24,AQ$9),AQ$8,1))*6),FLOOR($E24*(IF(REGEXMATCH(AQ$10,$B24),$A24,1))/(AQ$11*IF(REGEXMATCH($C24,"&amp;"AQ$9),AQ$8,1))*6))"),10.0)</f>
        <v>10</v>
      </c>
      <c r="AR24" s="285">
        <f>IFERROR(__xludf.DUMMYFUNCTION("IF($E24*(IF(REGEXMATCH(AR$10,$B24),$A24,1))/(AR$11*IF(REGEXMATCH($C24,AR$9),AR$8,1))*6&gt;6,CEILING($E24*(IF(REGEXMATCH(AR$10,$B24),$A24,1))/(AR$11*IF(REGEXMATCH($C24,AR$9),AR$8,1))*6),FLOOR($E24*(IF(REGEXMATCH(AR$10,$B24),$A24,1))/(AR$11*IF(REGEXMATCH($C24,"&amp;"AR$9),AR$8,1))*6))"),12.0)</f>
        <v>12</v>
      </c>
      <c r="AS24" s="285">
        <f>IFERROR(__xludf.DUMMYFUNCTION("IF($E24*(IF(REGEXMATCH(AS$10,$B24),$A24,1))/(AS$11*IF(REGEXMATCH($C24,AS$9),AS$8,1))*6&gt;6,CEILING($E24*(IF(REGEXMATCH(AS$10,$B24),$A24,1))/(AS$11*IF(REGEXMATCH($C24,AS$9),AS$8,1))*6),FLOOR($E24*(IF(REGEXMATCH(AS$10,$B24),$A24,1))/(AS$11*IF(REGEXMATCH($C24,"&amp;"AS$9),AS$8,1))*6))"),12.0)</f>
        <v>12</v>
      </c>
      <c r="AT24" s="285">
        <f>IFERROR(__xludf.DUMMYFUNCTION("IF($E24*(IF(REGEXMATCH(AT$10,$B24),$A24,1))/(AT$11*IF(REGEXMATCH($C24,AT$9),AT$8,1))*6&gt;6,CEILING($E24*(IF(REGEXMATCH(AT$10,$B24),$A24,1))/(AT$11*IF(REGEXMATCH($C24,AT$9),AT$8,1))*6),FLOOR($E24*(IF(REGEXMATCH(AT$10,$B24),$A24,1))/(AT$11*IF(REGEXMATCH($C24,"&amp;"AT$9),AT$8,1))*6))"),16.0)</f>
        <v>16</v>
      </c>
    </row>
    <row r="25">
      <c r="A25" s="8">
        <v>1.0</v>
      </c>
      <c r="B25" s="8" t="s">
        <v>2577</v>
      </c>
      <c r="C25" s="812" t="s">
        <v>2589</v>
      </c>
      <c r="D25" s="8"/>
      <c r="E25" s="8">
        <v>8.0</v>
      </c>
      <c r="F25" s="95" t="s">
        <v>2529</v>
      </c>
      <c r="G25" s="285">
        <f>IFERROR(__xludf.DUMMYFUNCTION("IF($E25*(IF(REGEXMATCH(G$10,$B25),$A25,1))/(G$11*IF(REGEXMATCH($C25,G$9),G$8,1))*6&gt;6,CEILING($E25*(IF(REGEXMATCH(G$10,$B25),$A25,1))/(G$11*IF(REGEXMATCH($C25,G$9),G$8,1))*6),FLOOR($E25*(IF(REGEXMATCH(G$10,$B25),$A25,1))/(G$11*IF(REGEXMATCH($C25,G$9),G$8,1"&amp;"))*6))"),4.0)</f>
        <v>4</v>
      </c>
      <c r="H25" s="285">
        <f>IFERROR(__xludf.DUMMYFUNCTION("IF($E25*(IF(REGEXMATCH(H$10,$B25),$A25,1))/(H$11*IF(REGEXMATCH($C25,H$9),H$8,1))*6&gt;6,CEILING($E25*(IF(REGEXMATCH(H$10,$B25),$A25,1))/(H$11*IF(REGEXMATCH($C25,H$9),H$8,1))*6),FLOOR($E25*(IF(REGEXMATCH(H$10,$B25),$A25,1))/(H$11*IF(REGEXMATCH($C25,H$9),H$8,1"&amp;"))*6))"),4.0)</f>
        <v>4</v>
      </c>
      <c r="I25" s="285">
        <f>IFERROR(__xludf.DUMMYFUNCTION("IF($E25*(IF(REGEXMATCH(I$10,$B25),$A25,1))/(I$11*IF(REGEXMATCH($C25,I$9),I$8,1))*6&gt;6,CEILING($E25*(IF(REGEXMATCH(I$10,$B25),$A25,1))/(I$11*IF(REGEXMATCH($C25,I$9),I$8,1))*6),FLOOR($E25*(IF(REGEXMATCH(I$10,$B25),$A25,1))/(I$11*IF(REGEXMATCH($C25,I$9),I$8,1"&amp;"))*6))"),6.0)</f>
        <v>6</v>
      </c>
      <c r="J25" s="285">
        <f>IFERROR(__xludf.DUMMYFUNCTION("IF($E25*(IF(REGEXMATCH(J$10,$B25),$A25,1))/(J$11*IF(REGEXMATCH($C25,J$9),J$8,1))*6&gt;6,CEILING($E25*(IF(REGEXMATCH(J$10,$B25),$A25,1))/(J$11*IF(REGEXMATCH($C25,J$9),J$8,1))*6),FLOOR($E25*(IF(REGEXMATCH(J$10,$B25),$A25,1))/(J$11*IF(REGEXMATCH($C25,J$9),J$8,1"&amp;"))*6))"),6.0)</f>
        <v>6</v>
      </c>
      <c r="K25" s="285">
        <f>IFERROR(__xludf.DUMMYFUNCTION("IF($E25*(IF(REGEXMATCH(K$10,$B25),$A25,1))/(K$11*IF(REGEXMATCH($C25,K$9),K$8,1))*6&gt;6,CEILING($E25*(IF(REGEXMATCH(K$10,$B25),$A25,1))/(K$11*IF(REGEXMATCH($C25,K$9),K$8,1))*6),FLOOR($E25*(IF(REGEXMATCH(K$10,$B25),$A25,1))/(K$11*IF(REGEXMATCH($C25,K$9),K$8,1"&amp;"))*6))"),6.0)</f>
        <v>6</v>
      </c>
      <c r="L25" s="285">
        <f>IFERROR(__xludf.DUMMYFUNCTION("IF($E25*(IF(REGEXMATCH(L$10,$B25),$A25,1))/(L$11*IF(REGEXMATCH($C25,L$9),L$8,1))*6&gt;6,CEILING($E25*(IF(REGEXMATCH(L$10,$B25),$A25,1))/(L$11*IF(REGEXMATCH($C25,L$9),L$8,1))*6),FLOOR($E25*(IF(REGEXMATCH(L$10,$B25),$A25,1))/(L$11*IF(REGEXMATCH($C25,L$9),L$8,1"&amp;"))*6))"),6.0)</f>
        <v>6</v>
      </c>
      <c r="M25" s="285">
        <f>IFERROR(__xludf.DUMMYFUNCTION("IF($E25*(IF(REGEXMATCH(M$10,$B25),$A25,1))/(M$11*IF(REGEXMATCH($C25,M$9),M$8,1))*6&gt;6,CEILING($E25*(IF(REGEXMATCH(M$10,$B25),$A25,1))/(M$11*IF(REGEXMATCH($C25,M$9),M$8,1))*6),FLOOR($E25*(IF(REGEXMATCH(M$10,$B25),$A25,1))/(M$11*IF(REGEXMATCH($C25,M$9),M$8,1"&amp;"))*6))"),3.0)</f>
        <v>3</v>
      </c>
      <c r="N25" s="285">
        <f>IFERROR(__xludf.DUMMYFUNCTION("IF($E25*(IF(REGEXMATCH(N$10,$B25),$A25,1))/(N$11*IF(REGEXMATCH($C25,N$9),N$8,1))*6&gt;6,CEILING($E25*(IF(REGEXMATCH(N$10,$B25),$A25,1))/(N$11*IF(REGEXMATCH($C25,N$9),N$8,1))*6),FLOOR($E25*(IF(REGEXMATCH(N$10,$B25),$A25,1))/(N$11*IF(REGEXMATCH($C25,N$9),N$8,1"&amp;"))*6))"),6.0)</f>
        <v>6</v>
      </c>
      <c r="O25" s="285">
        <f>IFERROR(__xludf.DUMMYFUNCTION("IF($E25*(IF(REGEXMATCH(O$10,$B25),$A25,1))/(O$11*IF(REGEXMATCH($C25,O$9),O$8,1))*6&gt;6,CEILING($E25*(IF(REGEXMATCH(O$10,$B25),$A25,1))/(O$11*IF(REGEXMATCH($C25,O$9),O$8,1))*6),FLOOR($E25*(IF(REGEXMATCH(O$10,$B25),$A25,1))/(O$11*IF(REGEXMATCH($C25,O$9),O$8,1"&amp;"))*6))"),6.0)</f>
        <v>6</v>
      </c>
      <c r="P25" s="285">
        <f>IFERROR(__xludf.DUMMYFUNCTION("IF($E25*(IF(REGEXMATCH(P$10,$B25),$A25,1))/(P$11*IF(REGEXMATCH($C25,P$9),P$8,1))*6&gt;6,CEILING($E25*(IF(REGEXMATCH(P$10,$B25),$A25,1))/(P$11*IF(REGEXMATCH($C25,P$9),P$8,1))*6),FLOOR($E25*(IF(REGEXMATCH(P$10,$B25),$A25,1))/(P$11*IF(REGEXMATCH($C25,P$9),P$8,1"&amp;"))*6))"),6.0)</f>
        <v>6</v>
      </c>
      <c r="Q25" s="285">
        <f>IFERROR(__xludf.DUMMYFUNCTION("IF($E25*(IF(REGEXMATCH(Q$10,$B25),$A25,1))/(Q$11*IF(REGEXMATCH($C25,Q$9),Q$8,1))*6&gt;6,CEILING($E25*(IF(REGEXMATCH(Q$10,$B25),$A25,1))/(Q$11*IF(REGEXMATCH($C25,Q$9),Q$8,1))*6),FLOOR($E25*(IF(REGEXMATCH(Q$10,$B25),$A25,1))/(Q$11*IF(REGEXMATCH($C25,Q$9),Q$8,1"&amp;"))*6))"),6.0)</f>
        <v>6</v>
      </c>
      <c r="R25" s="285">
        <f>IFERROR(__xludf.DUMMYFUNCTION("IF($E25*(IF(REGEXMATCH(R$10,$B25),$A25,1))/(R$11*IF(REGEXMATCH($C25,R$9),R$8,1))*6&gt;6,CEILING($E25*(IF(REGEXMATCH(R$10,$B25),$A25,1))/(R$11*IF(REGEXMATCH($C25,R$9),R$8,1))*6),FLOOR($E25*(IF(REGEXMATCH(R$10,$B25),$A25,1))/(R$11*IF(REGEXMATCH($C25,R$9),R$8,1"&amp;"))*6))"),4.0)</f>
        <v>4</v>
      </c>
      <c r="S25" s="285">
        <f>IFERROR(__xludf.DUMMYFUNCTION("IF($E25*(IF(REGEXMATCH(S$10,$B25),$A25,1))/(S$11*IF(REGEXMATCH($C25,S$9),S$8,1))*6&gt;6,CEILING($E25*(IF(REGEXMATCH(S$10,$B25),$A25,1))/(S$11*IF(REGEXMATCH($C25,S$9),S$8,1))*6),FLOOR($E25*(IF(REGEXMATCH(S$10,$B25),$A25,1))/(S$11*IF(REGEXMATCH($C25,S$9),S$8,1"&amp;"))*6))"),6.0)</f>
        <v>6</v>
      </c>
      <c r="T25" s="285">
        <f>IFERROR(__xludf.DUMMYFUNCTION("IF($E25*(IF(REGEXMATCH(T$10,$B25),$A25,1))/(T$11*IF(REGEXMATCH($C25,T$9),T$8,1))*6&gt;6,CEILING($E25*(IF(REGEXMATCH(T$10,$B25),$A25,1))/(T$11*IF(REGEXMATCH($C25,T$9),T$8,1))*6),FLOOR($E25*(IF(REGEXMATCH(T$10,$B25),$A25,1))/(T$11*IF(REGEXMATCH($C25,T$9),T$8,1"&amp;"))*6))"),6.0)</f>
        <v>6</v>
      </c>
      <c r="U25" s="285">
        <f>IFERROR(__xludf.DUMMYFUNCTION("IF($E25*(IF(REGEXMATCH(U$10,$B25),$A25,1))/(U$11*IF(REGEXMATCH($C25,U$9),U$8,1))*6&gt;6,CEILING($E25*(IF(REGEXMATCH(U$10,$B25),$A25,1))/(U$11*IF(REGEXMATCH($C25,U$9),U$8,1))*6),FLOOR($E25*(IF(REGEXMATCH(U$10,$B25),$A25,1))/(U$11*IF(REGEXMATCH($C25,U$9),U$8,1"&amp;"))*6))"),6.0)</f>
        <v>6</v>
      </c>
      <c r="V25" s="285">
        <f>IFERROR(__xludf.DUMMYFUNCTION("IF($E25*(IF(REGEXMATCH(V$10,$B25),$A25,1))/(V$11*IF(REGEXMATCH($C25,V$9),V$8,1))*6&gt;6,CEILING($E25*(IF(REGEXMATCH(V$10,$B25),$A25,1))/(V$11*IF(REGEXMATCH($C25,V$9),V$8,1))*6),FLOOR($E25*(IF(REGEXMATCH(V$10,$B25),$A25,1))/(V$11*IF(REGEXMATCH($C25,V$9),V$8,1"&amp;"))*6))"),6.0)</f>
        <v>6</v>
      </c>
      <c r="W25" s="285">
        <f>IFERROR(__xludf.DUMMYFUNCTION("IF($E25*(IF(REGEXMATCH(W$10,$B25),$A25,1))/(W$11*IF(REGEXMATCH($C25,W$9),W$8,1))*6&gt;6,CEILING($E25*(IF(REGEXMATCH(W$10,$B25),$A25,1))/(W$11*IF(REGEXMATCH($C25,W$9),W$8,1))*6),FLOOR($E25*(IF(REGEXMATCH(W$10,$B25),$A25,1))/(W$11*IF(REGEXMATCH($C25,W$9),W$8,1"&amp;"))*6))"),8.0)</f>
        <v>8</v>
      </c>
      <c r="X25" s="285">
        <f>IFERROR(__xludf.DUMMYFUNCTION("IF($E25*(IF(REGEXMATCH(X$10,$B25),$A25,1))/(X$11*IF(REGEXMATCH($C25,X$9),X$8,1))*6&gt;6,CEILING($E25*(IF(REGEXMATCH(X$10,$B25),$A25,1))/(X$11*IF(REGEXMATCH($C25,X$9),X$8,1))*6),FLOOR($E25*(IF(REGEXMATCH(X$10,$B25),$A25,1))/(X$11*IF(REGEXMATCH($C25,X$9),X$8,1"&amp;"))*6))"),8.0)</f>
        <v>8</v>
      </c>
      <c r="Y25" s="285">
        <f>IFERROR(__xludf.DUMMYFUNCTION("IF($E25*(IF(REGEXMATCH(Y$10,$B25),$A25,1))/(Y$11*IF(REGEXMATCH($C25,Y$9),Y$8,1))*6&gt;6,CEILING($E25*(IF(REGEXMATCH(Y$10,$B25),$A25,1))/(Y$11*IF(REGEXMATCH($C25,Y$9),Y$8,1))*6),FLOOR($E25*(IF(REGEXMATCH(Y$10,$B25),$A25,1))/(Y$11*IF(REGEXMATCH($C25,Y$9),Y$8,1"&amp;"))*6))"),8.0)</f>
        <v>8</v>
      </c>
      <c r="Z25" s="285">
        <f>IFERROR(__xludf.DUMMYFUNCTION("IF($E25*(IF(REGEXMATCH(Z$10,$B25),$A25,1))/(Z$11*IF(REGEXMATCH($C25,Z$9),Z$8,1))*6&gt;6,CEILING($E25*(IF(REGEXMATCH(Z$10,$B25),$A25,1))/(Z$11*IF(REGEXMATCH($C25,Z$9),Z$8,1))*6),FLOOR($E25*(IF(REGEXMATCH(Z$10,$B25),$A25,1))/(Z$11*IF(REGEXMATCH($C25,Z$9),Z$8,1"&amp;"))*6))"),8.0)</f>
        <v>8</v>
      </c>
      <c r="AA25" s="285">
        <f>IFERROR(__xludf.DUMMYFUNCTION("IF($E25*(IF(REGEXMATCH(AA$10,$B25),$A25,1))/(AA$11*IF(REGEXMATCH($C25,AA$9),AA$8,1))*6&gt;6,CEILING($E25*(IF(REGEXMATCH(AA$10,$B25),$A25,1))/(AA$11*IF(REGEXMATCH($C25,AA$9),AA$8,1))*6),FLOOR($E25*(IF(REGEXMATCH(AA$10,$B25),$A25,1))/(AA$11*IF(REGEXMATCH($C25,"&amp;"AA$9),AA$8,1))*6))"),8.0)</f>
        <v>8</v>
      </c>
      <c r="AB25" s="285">
        <f>IFERROR(__xludf.DUMMYFUNCTION("IF($E25*(IF(REGEXMATCH(AB$10,$B25),$A25,1))/(AB$11*IF(REGEXMATCH($C25,AB$9),AB$8,1))*6&gt;6,CEILING($E25*(IF(REGEXMATCH(AB$10,$B25),$A25,1))/(AB$11*IF(REGEXMATCH($C25,AB$9),AB$8,1))*6),FLOOR($E25*(IF(REGEXMATCH(AB$10,$B25),$A25,1))/(AB$11*IF(REGEXMATCH($C25,"&amp;"AB$9),AB$8,1))*6))"),8.0)</f>
        <v>8</v>
      </c>
      <c r="AC25" s="285">
        <f>IFERROR(__xludf.DUMMYFUNCTION("IF($E25*(IF(REGEXMATCH(AC$10,$B25),$A25,1))/(AC$11*IF(REGEXMATCH($C25,AC$9),AC$8,1))*6&gt;6,CEILING($E25*(IF(REGEXMATCH(AC$10,$B25),$A25,1))/(AC$11*IF(REGEXMATCH($C25,AC$9),AC$8,1))*6),FLOOR($E25*(IF(REGEXMATCH(AC$10,$B25),$A25,1))/(AC$11*IF(REGEXMATCH($C25,"&amp;"AC$9),AC$8,1))*6))"),8.0)</f>
        <v>8</v>
      </c>
      <c r="AD25" s="285">
        <f>IFERROR(__xludf.DUMMYFUNCTION("IF($E25*(IF(REGEXMATCH(AD$10,$B25),$A25,1))/(AD$11*IF(REGEXMATCH($C25,AD$9),AD$8,1))*6&gt;6,CEILING($E25*(IF(REGEXMATCH(AD$10,$B25),$A25,1))/(AD$11*IF(REGEXMATCH($C25,AD$9),AD$8,1))*6),FLOOR($E25*(IF(REGEXMATCH(AD$10,$B25),$A25,1))/(AD$11*IF(REGEXMATCH($C25,"&amp;"AD$9),AD$8,1))*6))"),8.0)</f>
        <v>8</v>
      </c>
      <c r="AE25" s="285">
        <f>IFERROR(__xludf.DUMMYFUNCTION("IF($E25*(IF(REGEXMATCH(AE$10,$B25),$A25,1))/(AE$11*IF(REGEXMATCH($C25,AE$9),AE$8,1))*6&gt;6,CEILING($E25*(IF(REGEXMATCH(AE$10,$B25),$A25,1))/(AE$11*IF(REGEXMATCH($C25,AE$9),AE$8,1))*6),FLOOR($E25*(IF(REGEXMATCH(AE$10,$B25),$A25,1))/(AE$11*IF(REGEXMATCH($C25,"&amp;"AE$9),AE$8,1))*6))"),8.0)</f>
        <v>8</v>
      </c>
      <c r="AF25" s="285">
        <f>IFERROR(__xludf.DUMMYFUNCTION("IF($E25*(IF(REGEXMATCH(AF$10,$B25),$A25,1))/(AF$11*IF(REGEXMATCH($C25,AF$9),AF$8,1))*6&gt;6,CEILING($E25*(IF(REGEXMATCH(AF$10,$B25),$A25,1))/(AF$11*IF(REGEXMATCH($C25,AF$9),AF$8,1))*6),FLOOR($E25*(IF(REGEXMATCH(AF$10,$B25),$A25,1))/(AF$11*IF(REGEXMATCH($C25,"&amp;"AF$9),AF$8,1))*6))"),8.0)</f>
        <v>8</v>
      </c>
      <c r="AG25" s="285">
        <f>IFERROR(__xludf.DUMMYFUNCTION("IF($E25*(IF(REGEXMATCH(AG$10,$B25),$A25,1))/(AG$11*IF(REGEXMATCH($C25,AG$9),AG$8,1))*6&gt;6,CEILING($E25*(IF(REGEXMATCH(AG$10,$B25),$A25,1))/(AG$11*IF(REGEXMATCH($C25,AG$9),AG$8,1))*6),FLOOR($E25*(IF(REGEXMATCH(AG$10,$B25),$A25,1))/(AG$11*IF(REGEXMATCH($C25,"&amp;"AG$9),AG$8,1))*6))"),5.0)</f>
        <v>5</v>
      </c>
      <c r="AH25" s="285">
        <f>IFERROR(__xludf.DUMMYFUNCTION("IF($E25*(IF(REGEXMATCH(AH$10,$B25),$A25,1))/(AH$11*IF(REGEXMATCH($C25,AH$9),AH$8,1))*6&gt;6,CEILING($E25*(IF(REGEXMATCH(AH$10,$B25),$A25,1))/(AH$11*IF(REGEXMATCH($C25,AH$9),AH$8,1))*6),FLOOR($E25*(IF(REGEXMATCH(AH$10,$B25),$A25,1))/(AH$11*IF(REGEXMATCH($C25,"&amp;"AH$9),AH$8,1))*6))"),8.0)</f>
        <v>8</v>
      </c>
      <c r="AI25" s="285">
        <f>IFERROR(__xludf.DUMMYFUNCTION("IF($E25*(IF(REGEXMATCH(AI$10,$B25),$A25,1))/(AI$11*IF(REGEXMATCH($C25,AI$9),AI$8,1))*6&gt;6,CEILING($E25*(IF(REGEXMATCH(AI$10,$B25),$A25,1))/(AI$11*IF(REGEXMATCH($C25,AI$9),AI$8,1))*6),FLOOR($E25*(IF(REGEXMATCH(AI$10,$B25),$A25,1))/(AI$11*IF(REGEXMATCH($C25,"&amp;"AI$9),AI$8,1))*6))"),8.0)</f>
        <v>8</v>
      </c>
      <c r="AJ25" s="285">
        <f>IFERROR(__xludf.DUMMYFUNCTION("IF($E25*(IF(REGEXMATCH(AJ$10,$B25),$A25,1))/(AJ$11*IF(REGEXMATCH($C25,AJ$9),AJ$8,1))*6&gt;6,CEILING($E25*(IF(REGEXMATCH(AJ$10,$B25),$A25,1))/(AJ$11*IF(REGEXMATCH($C25,AJ$9),AJ$8,1))*6),FLOOR($E25*(IF(REGEXMATCH(AJ$10,$B25),$A25,1))/(AJ$11*IF(REGEXMATCH($C25,"&amp;"AJ$9),AJ$8,1))*6))"),8.0)</f>
        <v>8</v>
      </c>
      <c r="AK25" s="285">
        <f>IFERROR(__xludf.DUMMYFUNCTION("IF($E25*(IF(REGEXMATCH(AK$10,$B25),$A25,1))/(AK$11*IF(REGEXMATCH($C25,AK$9),AK$8,1))*6&gt;6,CEILING($E25*(IF(REGEXMATCH(AK$10,$B25),$A25,1))/(AK$11*IF(REGEXMATCH($C25,AK$9),AK$8,1))*6),FLOOR($E25*(IF(REGEXMATCH(AK$10,$B25),$A25,1))/(AK$11*IF(REGEXMATCH($C25,"&amp;"AK$9),AK$8,1))*6))"),8.0)</f>
        <v>8</v>
      </c>
      <c r="AL25" s="285">
        <f>IFERROR(__xludf.DUMMYFUNCTION("IF($E25*(IF(REGEXMATCH(AL$10,$B25),$A25,1))/(AL$11*IF(REGEXMATCH($C25,AL$9),AL$8,1))*6&gt;6,CEILING($E25*(IF(REGEXMATCH(AL$10,$B25),$A25,1))/(AL$11*IF(REGEXMATCH($C25,AL$9),AL$8,1))*6),FLOOR($E25*(IF(REGEXMATCH(AL$10,$B25),$A25,1))/(AL$11*IF(REGEXMATCH($C25,"&amp;"AL$9),AL$8,1))*6))"),10.0)</f>
        <v>10</v>
      </c>
      <c r="AM25" s="285">
        <f>IFERROR(__xludf.DUMMYFUNCTION("IF($E25*(IF(REGEXMATCH(AM$10,$B25),$A25,1))/(AM$11*IF(REGEXMATCH($C25,AM$9),AM$8,1))*6&gt;6,CEILING($E25*(IF(REGEXMATCH(AM$10,$B25),$A25,1))/(AM$11*IF(REGEXMATCH($C25,AM$9),AM$8,1))*6),FLOOR($E25*(IF(REGEXMATCH(AM$10,$B25),$A25,1))/(AM$11*IF(REGEXMATCH($C25,"&amp;"AM$9),AM$8,1))*6))"),10.0)</f>
        <v>10</v>
      </c>
      <c r="AN25" s="285">
        <f>IFERROR(__xludf.DUMMYFUNCTION("IF($E25*(IF(REGEXMATCH(AN$10,$B25),$A25,1))/(AN$11*IF(REGEXMATCH($C25,AN$9),AN$8,1))*6&gt;6,CEILING($E25*(IF(REGEXMATCH(AN$10,$B25),$A25,1))/(AN$11*IF(REGEXMATCH($C25,AN$9),AN$8,1))*6),FLOOR($E25*(IF(REGEXMATCH(AN$10,$B25),$A25,1))/(AN$11*IF(REGEXMATCH($C25,"&amp;"AN$9),AN$8,1))*6))"),7.0)</f>
        <v>7</v>
      </c>
      <c r="AO25" s="285">
        <f>IFERROR(__xludf.DUMMYFUNCTION("IF($E25*(IF(REGEXMATCH(AO$10,$B25),$A25,1))/(AO$11*IF(REGEXMATCH($C25,AO$9),AO$8,1))*6&gt;6,CEILING($E25*(IF(REGEXMATCH(AO$10,$B25),$A25,1))/(AO$11*IF(REGEXMATCH($C25,AO$9),AO$8,1))*6),FLOOR($E25*(IF(REGEXMATCH(AO$10,$B25),$A25,1))/(AO$11*IF(REGEXMATCH($C25,"&amp;"AO$9),AO$8,1))*6))"),10.0)</f>
        <v>10</v>
      </c>
      <c r="AP25" s="285">
        <f>IFERROR(__xludf.DUMMYFUNCTION("IF($E25*(IF(REGEXMATCH(AP$10,$B25),$A25,1))/(AP$11*IF(REGEXMATCH($C25,AP$9),AP$8,1))*6&gt;6,CEILING($E25*(IF(REGEXMATCH(AP$10,$B25),$A25,1))/(AP$11*IF(REGEXMATCH($C25,AP$9),AP$8,1))*6),FLOOR($E25*(IF(REGEXMATCH(AP$10,$B25),$A25,1))/(AP$11*IF(REGEXMATCH($C25,"&amp;"AP$9),AP$8,1))*6))"),7.0)</f>
        <v>7</v>
      </c>
      <c r="AQ25" s="285">
        <f>IFERROR(__xludf.DUMMYFUNCTION("IF($E25*(IF(REGEXMATCH(AQ$10,$B25),$A25,1))/(AQ$11*IF(REGEXMATCH($C25,AQ$9),AQ$8,1))*6&gt;6,CEILING($E25*(IF(REGEXMATCH(AQ$10,$B25),$A25,1))/(AQ$11*IF(REGEXMATCH($C25,AQ$9),AQ$8,1))*6),FLOOR($E25*(IF(REGEXMATCH(AQ$10,$B25),$A25,1))/(AQ$11*IF(REGEXMATCH($C25,"&amp;"AQ$9),AQ$8,1))*6))"),8.0)</f>
        <v>8</v>
      </c>
      <c r="AR25" s="285">
        <f>IFERROR(__xludf.DUMMYFUNCTION("IF($E25*(IF(REGEXMATCH(AR$10,$B25),$A25,1))/(AR$11*IF(REGEXMATCH($C25,AR$9),AR$8,1))*6&gt;6,CEILING($E25*(IF(REGEXMATCH(AR$10,$B25),$A25,1))/(AR$11*IF(REGEXMATCH($C25,AR$9),AR$8,1))*6),FLOOR($E25*(IF(REGEXMATCH(AR$10,$B25),$A25,1))/(AR$11*IF(REGEXMATCH($C25,"&amp;"AR$9),AR$8,1))*6))"),12.0)</f>
        <v>12</v>
      </c>
      <c r="AS25" s="285">
        <f>IFERROR(__xludf.DUMMYFUNCTION("IF($E25*(IF(REGEXMATCH(AS$10,$B25),$A25,1))/(AS$11*IF(REGEXMATCH($C25,AS$9),AS$8,1))*6&gt;6,CEILING($E25*(IF(REGEXMATCH(AS$10,$B25),$A25,1))/(AS$11*IF(REGEXMATCH($C25,AS$9),AS$8,1))*6),FLOOR($E25*(IF(REGEXMATCH(AS$10,$B25),$A25,1))/(AS$11*IF(REGEXMATCH($C25,"&amp;"AS$9),AS$8,1))*6))"),12.0)</f>
        <v>12</v>
      </c>
      <c r="AT25" s="285">
        <f>IFERROR(__xludf.DUMMYFUNCTION("IF($E25*(IF(REGEXMATCH(AT$10,$B25),$A25,1))/(AT$11*IF(REGEXMATCH($C25,AT$9),AT$8,1))*6&gt;6,CEILING($E25*(IF(REGEXMATCH(AT$10,$B25),$A25,1))/(AT$11*IF(REGEXMATCH($C25,AT$9),AT$8,1))*6),FLOOR($E25*(IF(REGEXMATCH(AT$10,$B25),$A25,1))/(AT$11*IF(REGEXMATCH($C25,"&amp;"AT$9),AT$8,1))*6))"),16.0)</f>
        <v>16</v>
      </c>
    </row>
    <row r="26">
      <c r="A26" s="8">
        <v>1.25</v>
      </c>
      <c r="B26" s="8" t="s">
        <v>2433</v>
      </c>
      <c r="C26" s="812" t="s">
        <v>2585</v>
      </c>
      <c r="D26" s="8"/>
      <c r="E26" s="8">
        <v>8.0</v>
      </c>
      <c r="F26" s="809" t="s">
        <v>2530</v>
      </c>
      <c r="G26" s="285">
        <f>IFERROR(__xludf.DUMMYFUNCTION("IF($E26*(IF(REGEXMATCH(G$10,$B26),$A26,1))/(G$11*IF(REGEXMATCH($C26,G$9),G$8,1))*6&gt;6,CEILING($E26*(IF(REGEXMATCH(G$10,$B26),$A26,1))/(G$11*IF(REGEXMATCH($C26,G$9),G$8,1))*6),FLOOR($E26*(IF(REGEXMATCH(G$10,$B26),$A26,1))/(G$11*IF(REGEXMATCH($C26,G$9),G$8,1"&amp;"))*6))"),4.0)</f>
        <v>4</v>
      </c>
      <c r="H26" s="285">
        <f>IFERROR(__xludf.DUMMYFUNCTION("IF($E26*(IF(REGEXMATCH(H$10,$B26),$A26,1))/(H$11*IF(REGEXMATCH($C26,H$9),H$8,1))*6&gt;6,CEILING($E26*(IF(REGEXMATCH(H$10,$B26),$A26,1))/(H$11*IF(REGEXMATCH($C26,H$9),H$8,1))*6),FLOOR($E26*(IF(REGEXMATCH(H$10,$B26),$A26,1))/(H$11*IF(REGEXMATCH($C26,H$9),H$8,1"&amp;"))*6))"),6.0)</f>
        <v>6</v>
      </c>
      <c r="I26" s="285">
        <f>IFERROR(__xludf.DUMMYFUNCTION("IF($E26*(IF(REGEXMATCH(I$10,$B26),$A26,1))/(I$11*IF(REGEXMATCH($C26,I$9),I$8,1))*6&gt;6,CEILING($E26*(IF(REGEXMATCH(I$10,$B26),$A26,1))/(I$11*IF(REGEXMATCH($C26,I$9),I$8,1))*6),FLOOR($E26*(IF(REGEXMATCH(I$10,$B26),$A26,1))/(I$11*IF(REGEXMATCH($C26,I$9),I$8,1"&amp;"))*6))"),4.0)</f>
        <v>4</v>
      </c>
      <c r="J26" s="285">
        <f>IFERROR(__xludf.DUMMYFUNCTION("IF($E26*(IF(REGEXMATCH(J$10,$B26),$A26,1))/(J$11*IF(REGEXMATCH($C26,J$9),J$8,1))*6&gt;6,CEILING($E26*(IF(REGEXMATCH(J$10,$B26),$A26,1))/(J$11*IF(REGEXMATCH($C26,J$9),J$8,1))*6),FLOOR($E26*(IF(REGEXMATCH(J$10,$B26),$A26,1))/(J$11*IF(REGEXMATCH($C26,J$9),J$8,1"&amp;"))*6))"),5.0)</f>
        <v>5</v>
      </c>
      <c r="K26" s="285">
        <f>IFERROR(__xludf.DUMMYFUNCTION("IF($E26*(IF(REGEXMATCH(K$10,$B26),$A26,1))/(K$11*IF(REGEXMATCH($C26,K$9),K$8,1))*6&gt;6,CEILING($E26*(IF(REGEXMATCH(K$10,$B26),$A26,1))/(K$11*IF(REGEXMATCH($C26,K$9),K$8,1))*6),FLOOR($E26*(IF(REGEXMATCH(K$10,$B26),$A26,1))/(K$11*IF(REGEXMATCH($C26,K$9),K$8,1"&amp;"))*6))"),6.0)</f>
        <v>6</v>
      </c>
      <c r="L26" s="285">
        <f>IFERROR(__xludf.DUMMYFUNCTION("IF($E26*(IF(REGEXMATCH(L$10,$B26),$A26,1))/(L$11*IF(REGEXMATCH($C26,L$9),L$8,1))*6&gt;6,CEILING($E26*(IF(REGEXMATCH(L$10,$B26),$A26,1))/(L$11*IF(REGEXMATCH($C26,L$9),L$8,1))*6),FLOOR($E26*(IF(REGEXMATCH(L$10,$B26),$A26,1))/(L$11*IF(REGEXMATCH($C26,L$9),L$8,1"&amp;"))*6))"),6.0)</f>
        <v>6</v>
      </c>
      <c r="M26" s="285">
        <f>IFERROR(__xludf.DUMMYFUNCTION("IF($E26*(IF(REGEXMATCH(M$10,$B26),$A26,1))/(M$11*IF(REGEXMATCH($C26,M$9),M$8,1))*6&gt;6,CEILING($E26*(IF(REGEXMATCH(M$10,$B26),$A26,1))/(M$11*IF(REGEXMATCH($C26,M$9),M$8,1))*6),FLOOR($E26*(IF(REGEXMATCH(M$10,$B26),$A26,1))/(M$11*IF(REGEXMATCH($C26,M$9),M$8,1"&amp;"))*6))"),8.0)</f>
        <v>8</v>
      </c>
      <c r="N26" s="285">
        <f>IFERROR(__xludf.DUMMYFUNCTION("IF($E26*(IF(REGEXMATCH(N$10,$B26),$A26,1))/(N$11*IF(REGEXMATCH($C26,N$9),N$8,1))*6&gt;6,CEILING($E26*(IF(REGEXMATCH(N$10,$B26),$A26,1))/(N$11*IF(REGEXMATCH($C26,N$9),N$8,1))*6),FLOOR($E26*(IF(REGEXMATCH(N$10,$B26),$A26,1))/(N$11*IF(REGEXMATCH($C26,N$9),N$8,1"&amp;"))*6))"),8.0)</f>
        <v>8</v>
      </c>
      <c r="O26" s="285">
        <f>IFERROR(__xludf.DUMMYFUNCTION("IF($E26*(IF(REGEXMATCH(O$10,$B26),$A26,1))/(O$11*IF(REGEXMATCH($C26,O$9),O$8,1))*6&gt;6,CEILING($E26*(IF(REGEXMATCH(O$10,$B26),$A26,1))/(O$11*IF(REGEXMATCH($C26,O$9),O$8,1))*6),FLOOR($E26*(IF(REGEXMATCH(O$10,$B26),$A26,1))/(O$11*IF(REGEXMATCH($C26,O$9),O$8,1"&amp;"))*6))"),6.0)</f>
        <v>6</v>
      </c>
      <c r="P26" s="285">
        <f>IFERROR(__xludf.DUMMYFUNCTION("IF($E26*(IF(REGEXMATCH(P$10,$B26),$A26,1))/(P$11*IF(REGEXMATCH($C26,P$9),P$8,1))*6&gt;6,CEILING($E26*(IF(REGEXMATCH(P$10,$B26),$A26,1))/(P$11*IF(REGEXMATCH($C26,P$9),P$8,1))*6),FLOOR($E26*(IF(REGEXMATCH(P$10,$B26),$A26,1))/(P$11*IF(REGEXMATCH($C26,P$9),P$8,1"&amp;"))*6))"),8.0)</f>
        <v>8</v>
      </c>
      <c r="Q26" s="285">
        <f>IFERROR(__xludf.DUMMYFUNCTION("IF($E26*(IF(REGEXMATCH(Q$10,$B26),$A26,1))/(Q$11*IF(REGEXMATCH($C26,Q$9),Q$8,1))*6&gt;6,CEILING($E26*(IF(REGEXMATCH(Q$10,$B26),$A26,1))/(Q$11*IF(REGEXMATCH($C26,Q$9),Q$8,1))*6),FLOOR($E26*(IF(REGEXMATCH(Q$10,$B26),$A26,1))/(Q$11*IF(REGEXMATCH($C26,Q$9),Q$8,1"&amp;"))*6))"),6.0)</f>
        <v>6</v>
      </c>
      <c r="R26" s="285">
        <f>IFERROR(__xludf.DUMMYFUNCTION("IF($E26*(IF(REGEXMATCH(R$10,$B26),$A26,1))/(R$11*IF(REGEXMATCH($C26,R$9),R$8,1))*6&gt;6,CEILING($E26*(IF(REGEXMATCH(R$10,$B26),$A26,1))/(R$11*IF(REGEXMATCH($C26,R$9),R$8,1))*6),FLOOR($E26*(IF(REGEXMATCH(R$10,$B26),$A26,1))/(R$11*IF(REGEXMATCH($C26,R$9),R$8,1"&amp;"))*6))"),8.0)</f>
        <v>8</v>
      </c>
      <c r="S26" s="285">
        <f>IFERROR(__xludf.DUMMYFUNCTION("IF($E26*(IF(REGEXMATCH(S$10,$B26),$A26,1))/(S$11*IF(REGEXMATCH($C26,S$9),S$8,1))*6&gt;6,CEILING($E26*(IF(REGEXMATCH(S$10,$B26),$A26,1))/(S$11*IF(REGEXMATCH($C26,S$9),S$8,1))*6),FLOOR($E26*(IF(REGEXMATCH(S$10,$B26),$A26,1))/(S$11*IF(REGEXMATCH($C26,S$9),S$8,1"&amp;"))*6))"),6.0)</f>
        <v>6</v>
      </c>
      <c r="T26" s="285">
        <f>IFERROR(__xludf.DUMMYFUNCTION("IF($E26*(IF(REGEXMATCH(T$10,$B26),$A26,1))/(T$11*IF(REGEXMATCH($C26,T$9),T$8,1))*6&gt;6,CEILING($E26*(IF(REGEXMATCH(T$10,$B26),$A26,1))/(T$11*IF(REGEXMATCH($C26,T$9),T$8,1))*6),FLOOR($E26*(IF(REGEXMATCH(T$10,$B26),$A26,1))/(T$11*IF(REGEXMATCH($C26,T$9),T$8,1"&amp;"))*6))"),6.0)</f>
        <v>6</v>
      </c>
      <c r="U26" s="285">
        <f>IFERROR(__xludf.DUMMYFUNCTION("IF($E26*(IF(REGEXMATCH(U$10,$B26),$A26,1))/(U$11*IF(REGEXMATCH($C26,U$9),U$8,1))*6&gt;6,CEILING($E26*(IF(REGEXMATCH(U$10,$B26),$A26,1))/(U$11*IF(REGEXMATCH($C26,U$9),U$8,1))*6),FLOOR($E26*(IF(REGEXMATCH(U$10,$B26),$A26,1))/(U$11*IF(REGEXMATCH($C26,U$9),U$8,1"&amp;"))*6))"),8.0)</f>
        <v>8</v>
      </c>
      <c r="V26" s="285">
        <f>IFERROR(__xludf.DUMMYFUNCTION("IF($E26*(IF(REGEXMATCH(V$10,$B26),$A26,1))/(V$11*IF(REGEXMATCH($C26,V$9),V$8,1))*6&gt;6,CEILING($E26*(IF(REGEXMATCH(V$10,$B26),$A26,1))/(V$11*IF(REGEXMATCH($C26,V$9),V$8,1))*6),FLOOR($E26*(IF(REGEXMATCH(V$10,$B26),$A26,1))/(V$11*IF(REGEXMATCH($C26,V$9),V$8,1"&amp;"))*6))"),6.0)</f>
        <v>6</v>
      </c>
      <c r="W26" s="285">
        <f>IFERROR(__xludf.DUMMYFUNCTION("IF($E26*(IF(REGEXMATCH(W$10,$B26),$A26,1))/(W$11*IF(REGEXMATCH($C26,W$9),W$8,1))*6&gt;6,CEILING($E26*(IF(REGEXMATCH(W$10,$B26),$A26,1))/(W$11*IF(REGEXMATCH($C26,W$9),W$8,1))*6),FLOOR($E26*(IF(REGEXMATCH(W$10,$B26),$A26,1))/(W$11*IF(REGEXMATCH($C26,W$9),W$8,1"&amp;"))*6))"),8.0)</f>
        <v>8</v>
      </c>
      <c r="X26" s="285">
        <f>IFERROR(__xludf.DUMMYFUNCTION("IF($E26*(IF(REGEXMATCH(X$10,$B26),$A26,1))/(X$11*IF(REGEXMATCH($C26,X$9),X$8,1))*6&gt;6,CEILING($E26*(IF(REGEXMATCH(X$10,$B26),$A26,1))/(X$11*IF(REGEXMATCH($C26,X$9),X$8,1))*6),FLOOR($E26*(IF(REGEXMATCH(X$10,$B26),$A26,1))/(X$11*IF(REGEXMATCH($C26,X$9),X$8,1"&amp;"))*6))"),10.0)</f>
        <v>10</v>
      </c>
      <c r="Y26" s="285">
        <f>IFERROR(__xludf.DUMMYFUNCTION("IF($E26*(IF(REGEXMATCH(Y$10,$B26),$A26,1))/(Y$11*IF(REGEXMATCH($C26,Y$9),Y$8,1))*6&gt;6,CEILING($E26*(IF(REGEXMATCH(Y$10,$B26),$A26,1))/(Y$11*IF(REGEXMATCH($C26,Y$9),Y$8,1))*6),FLOOR($E26*(IF(REGEXMATCH(Y$10,$B26),$A26,1))/(Y$11*IF(REGEXMATCH($C26,Y$9),Y$8,1"&amp;"))*6))"),8.0)</f>
        <v>8</v>
      </c>
      <c r="Z26" s="285">
        <f>IFERROR(__xludf.DUMMYFUNCTION("IF($E26*(IF(REGEXMATCH(Z$10,$B26),$A26,1))/(Z$11*IF(REGEXMATCH($C26,Z$9),Z$8,1))*6&gt;6,CEILING($E26*(IF(REGEXMATCH(Z$10,$B26),$A26,1))/(Z$11*IF(REGEXMATCH($C26,Z$9),Z$8,1))*6),FLOOR($E26*(IF(REGEXMATCH(Z$10,$B26),$A26,1))/(Z$11*IF(REGEXMATCH($C26,Z$9),Z$8,1"&amp;"))*6))"),10.0)</f>
        <v>10</v>
      </c>
      <c r="AA26" s="285">
        <f>IFERROR(__xludf.DUMMYFUNCTION("IF($E26*(IF(REGEXMATCH(AA$10,$B26),$A26,1))/(AA$11*IF(REGEXMATCH($C26,AA$9),AA$8,1))*6&gt;6,CEILING($E26*(IF(REGEXMATCH(AA$10,$B26),$A26,1))/(AA$11*IF(REGEXMATCH($C26,AA$9),AA$8,1))*6),FLOOR($E26*(IF(REGEXMATCH(AA$10,$B26),$A26,1))/(AA$11*IF(REGEXMATCH($C26,"&amp;"AA$9),AA$8,1))*6))"),8.0)</f>
        <v>8</v>
      </c>
      <c r="AB26" s="285">
        <f>IFERROR(__xludf.DUMMYFUNCTION("IF($E26*(IF(REGEXMATCH(AB$10,$B26),$A26,1))/(AB$11*IF(REGEXMATCH($C26,AB$9),AB$8,1))*6&gt;6,CEILING($E26*(IF(REGEXMATCH(AB$10,$B26),$A26,1))/(AB$11*IF(REGEXMATCH($C26,AB$9),AB$8,1))*6),FLOOR($E26*(IF(REGEXMATCH(AB$10,$B26),$A26,1))/(AB$11*IF(REGEXMATCH($C26,"&amp;"AB$9),AB$8,1))*6))"),8.0)</f>
        <v>8</v>
      </c>
      <c r="AC26" s="285">
        <f>IFERROR(__xludf.DUMMYFUNCTION("IF($E26*(IF(REGEXMATCH(AC$10,$B26),$A26,1))/(AC$11*IF(REGEXMATCH($C26,AC$9),AC$8,1))*6&gt;6,CEILING($E26*(IF(REGEXMATCH(AC$10,$B26),$A26,1))/(AC$11*IF(REGEXMATCH($C26,AC$9),AC$8,1))*6),FLOOR($E26*(IF(REGEXMATCH(AC$10,$B26),$A26,1))/(AC$11*IF(REGEXMATCH($C26,"&amp;"AC$9),AC$8,1))*6))"),10.0)</f>
        <v>10</v>
      </c>
      <c r="AD26" s="285">
        <f>IFERROR(__xludf.DUMMYFUNCTION("IF($E26*(IF(REGEXMATCH(AD$10,$B26),$A26,1))/(AD$11*IF(REGEXMATCH($C26,AD$9),AD$8,1))*6&gt;6,CEILING($E26*(IF(REGEXMATCH(AD$10,$B26),$A26,1))/(AD$11*IF(REGEXMATCH($C26,AD$9),AD$8,1))*6),FLOOR($E26*(IF(REGEXMATCH(AD$10,$B26),$A26,1))/(AD$11*IF(REGEXMATCH($C26,"&amp;"AD$9),AD$8,1))*6))"),8.0)</f>
        <v>8</v>
      </c>
      <c r="AE26" s="285">
        <f>IFERROR(__xludf.DUMMYFUNCTION("IF($E26*(IF(REGEXMATCH(AE$10,$B26),$A26,1))/(AE$11*IF(REGEXMATCH($C26,AE$9),AE$8,1))*6&gt;6,CEILING($E26*(IF(REGEXMATCH(AE$10,$B26),$A26,1))/(AE$11*IF(REGEXMATCH($C26,AE$9),AE$8,1))*6),FLOOR($E26*(IF(REGEXMATCH(AE$10,$B26),$A26,1))/(AE$11*IF(REGEXMATCH($C26,"&amp;"AE$9),AE$8,1))*6))"),10.0)</f>
        <v>10</v>
      </c>
      <c r="AF26" s="285">
        <f>IFERROR(__xludf.DUMMYFUNCTION("IF($E26*(IF(REGEXMATCH(AF$10,$B26),$A26,1))/(AF$11*IF(REGEXMATCH($C26,AF$9),AF$8,1))*6&gt;6,CEILING($E26*(IF(REGEXMATCH(AF$10,$B26),$A26,1))/(AF$11*IF(REGEXMATCH($C26,AF$9),AF$8,1))*6),FLOOR($E26*(IF(REGEXMATCH(AF$10,$B26),$A26,1))/(AF$11*IF(REGEXMATCH($C26,"&amp;"AF$9),AF$8,1))*6))"),8.0)</f>
        <v>8</v>
      </c>
      <c r="AG26" s="285">
        <f>IFERROR(__xludf.DUMMYFUNCTION("IF($E26*(IF(REGEXMATCH(AG$10,$B26),$A26,1))/(AG$11*IF(REGEXMATCH($C26,AG$9),AG$8,1))*6&gt;6,CEILING($E26*(IF(REGEXMATCH(AG$10,$B26),$A26,1))/(AG$11*IF(REGEXMATCH($C26,AG$9),AG$8,1))*6),FLOOR($E26*(IF(REGEXMATCH(AG$10,$B26),$A26,1))/(AG$11*IF(REGEXMATCH($C26,"&amp;"AG$9),AG$8,1))*6))"),10.0)</f>
        <v>10</v>
      </c>
      <c r="AH26" s="285">
        <f>IFERROR(__xludf.DUMMYFUNCTION("IF($E26*(IF(REGEXMATCH(AH$10,$B26),$A26,1))/(AH$11*IF(REGEXMATCH($C26,AH$9),AH$8,1))*6&gt;6,CEILING($E26*(IF(REGEXMATCH(AH$10,$B26),$A26,1))/(AH$11*IF(REGEXMATCH($C26,AH$9),AH$8,1))*6),FLOOR($E26*(IF(REGEXMATCH(AH$10,$B26),$A26,1))/(AH$11*IF(REGEXMATCH($C26,"&amp;"AH$9),AH$8,1))*6))"),8.0)</f>
        <v>8</v>
      </c>
      <c r="AI26" s="285">
        <f>IFERROR(__xludf.DUMMYFUNCTION("IF($E26*(IF(REGEXMATCH(AI$10,$B26),$A26,1))/(AI$11*IF(REGEXMATCH($C26,AI$9),AI$8,1))*6&gt;6,CEILING($E26*(IF(REGEXMATCH(AI$10,$B26),$A26,1))/(AI$11*IF(REGEXMATCH($C26,AI$9),AI$8,1))*6),FLOOR($E26*(IF(REGEXMATCH(AI$10,$B26),$A26,1))/(AI$11*IF(REGEXMATCH($C26,"&amp;"AI$9),AI$8,1))*6))"),8.0)</f>
        <v>8</v>
      </c>
      <c r="AJ26" s="285">
        <f>IFERROR(__xludf.DUMMYFUNCTION("IF($E26*(IF(REGEXMATCH(AJ$10,$B26),$A26,1))/(AJ$11*IF(REGEXMATCH($C26,AJ$9),AJ$8,1))*6&gt;6,CEILING($E26*(IF(REGEXMATCH(AJ$10,$B26),$A26,1))/(AJ$11*IF(REGEXMATCH($C26,AJ$9),AJ$8,1))*6),FLOOR($E26*(IF(REGEXMATCH(AJ$10,$B26),$A26,1))/(AJ$11*IF(REGEXMATCH($C26,"&amp;"AJ$9),AJ$8,1))*6))"),10.0)</f>
        <v>10</v>
      </c>
      <c r="AK26" s="285">
        <f>IFERROR(__xludf.DUMMYFUNCTION("IF($E26*(IF(REGEXMATCH(AK$10,$B26),$A26,1))/(AK$11*IF(REGEXMATCH($C26,AK$9),AK$8,1))*6&gt;6,CEILING($E26*(IF(REGEXMATCH(AK$10,$B26),$A26,1))/(AK$11*IF(REGEXMATCH($C26,AK$9),AK$8,1))*6),FLOOR($E26*(IF(REGEXMATCH(AK$10,$B26),$A26,1))/(AK$11*IF(REGEXMATCH($C26,"&amp;"AK$9),AK$8,1))*6))"),8.0)</f>
        <v>8</v>
      </c>
      <c r="AL26" s="285">
        <f>IFERROR(__xludf.DUMMYFUNCTION("IF($E26*(IF(REGEXMATCH(AL$10,$B26),$A26,1))/(AL$11*IF(REGEXMATCH($C26,AL$9),AL$8,1))*6&gt;6,CEILING($E26*(IF(REGEXMATCH(AL$10,$B26),$A26,1))/(AL$11*IF(REGEXMATCH($C26,AL$9),AL$8,1))*6),FLOOR($E26*(IF(REGEXMATCH(AL$10,$B26),$A26,1))/(AL$11*IF(REGEXMATCH($C26,"&amp;"AL$9),AL$8,1))*6))"),12.0)</f>
        <v>12</v>
      </c>
      <c r="AM26" s="285">
        <f>IFERROR(__xludf.DUMMYFUNCTION("IF($E26*(IF(REGEXMATCH(AM$10,$B26),$A26,1))/(AM$11*IF(REGEXMATCH($C26,AM$9),AM$8,1))*6&gt;6,CEILING($E26*(IF(REGEXMATCH(AM$10,$B26),$A26,1))/(AM$11*IF(REGEXMATCH($C26,AM$9),AM$8,1))*6),FLOOR($E26*(IF(REGEXMATCH(AM$10,$B26),$A26,1))/(AM$11*IF(REGEXMATCH($C26,"&amp;"AM$9),AM$8,1))*6))"),12.0)</f>
        <v>12</v>
      </c>
      <c r="AN26" s="285">
        <f>IFERROR(__xludf.DUMMYFUNCTION("IF($E26*(IF(REGEXMATCH(AN$10,$B26),$A26,1))/(AN$11*IF(REGEXMATCH($C26,AN$9),AN$8,1))*6&gt;6,CEILING($E26*(IF(REGEXMATCH(AN$10,$B26),$A26,1))/(AN$11*IF(REGEXMATCH($C26,AN$9),AN$8,1))*6),FLOOR($E26*(IF(REGEXMATCH(AN$10,$B26),$A26,1))/(AN$11*IF(REGEXMATCH($C26,"&amp;"AN$9),AN$8,1))*6))"),12.0)</f>
        <v>12</v>
      </c>
      <c r="AO26" s="285">
        <f>IFERROR(__xludf.DUMMYFUNCTION("IF($E26*(IF(REGEXMATCH(AO$10,$B26),$A26,1))/(AO$11*IF(REGEXMATCH($C26,AO$9),AO$8,1))*6&gt;6,CEILING($E26*(IF(REGEXMATCH(AO$10,$B26),$A26,1))/(AO$11*IF(REGEXMATCH($C26,AO$9),AO$8,1))*6),FLOOR($E26*(IF(REGEXMATCH(AO$10,$B26),$A26,1))/(AO$11*IF(REGEXMATCH($C26,"&amp;"AO$9),AO$8,1))*6))"),10.0)</f>
        <v>10</v>
      </c>
      <c r="AP26" s="285">
        <f>IFERROR(__xludf.DUMMYFUNCTION("IF($E26*(IF(REGEXMATCH(AP$10,$B26),$A26,1))/(AP$11*IF(REGEXMATCH($C26,AP$9),AP$8,1))*6&gt;6,CEILING($E26*(IF(REGEXMATCH(AP$10,$B26),$A26,1))/(AP$11*IF(REGEXMATCH($C26,AP$9),AP$8,1))*6),FLOOR($E26*(IF(REGEXMATCH(AP$10,$B26),$A26,1))/(AP$11*IF(REGEXMATCH($C26,"&amp;"AP$9),AP$8,1))*6))"),10.0)</f>
        <v>10</v>
      </c>
      <c r="AQ26" s="285">
        <f>IFERROR(__xludf.DUMMYFUNCTION("IF($E26*(IF(REGEXMATCH(AQ$10,$B26),$A26,1))/(AQ$11*IF(REGEXMATCH($C26,AQ$9),AQ$8,1))*6&gt;6,CEILING($E26*(IF(REGEXMATCH(AQ$10,$B26),$A26,1))/(AQ$11*IF(REGEXMATCH($C26,AQ$9),AQ$8,1))*6),FLOOR($E26*(IF(REGEXMATCH(AQ$10,$B26),$A26,1))/(AQ$11*IF(REGEXMATCH($C26,"&amp;"AQ$9),AQ$8,1))*6))"),12.0)</f>
        <v>12</v>
      </c>
      <c r="AR26" s="285">
        <f>IFERROR(__xludf.DUMMYFUNCTION("IF($E26*(IF(REGEXMATCH(AR$10,$B26),$A26,1))/(AR$11*IF(REGEXMATCH($C26,AR$9),AR$8,1))*6&gt;6,CEILING($E26*(IF(REGEXMATCH(AR$10,$B26),$A26,1))/(AR$11*IF(REGEXMATCH($C26,AR$9),AR$8,1))*6),FLOOR($E26*(IF(REGEXMATCH(AR$10,$B26),$A26,1))/(AR$11*IF(REGEXMATCH($C26,"&amp;"AR$9),AR$8,1))*6))"),15.0)</f>
        <v>15</v>
      </c>
      <c r="AS26" s="285">
        <f>IFERROR(__xludf.DUMMYFUNCTION("IF($E26*(IF(REGEXMATCH(AS$10,$B26),$A26,1))/(AS$11*IF(REGEXMATCH($C26,AS$9),AS$8,1))*6&gt;6,CEILING($E26*(IF(REGEXMATCH(AS$10,$B26),$A26,1))/(AS$11*IF(REGEXMATCH($C26,AS$9),AS$8,1))*6),FLOOR($E26*(IF(REGEXMATCH(AS$10,$B26),$A26,1))/(AS$11*IF(REGEXMATCH($C26,"&amp;"AS$9),AS$8,1))*6))"),12.0)</f>
        <v>12</v>
      </c>
      <c r="AT26" s="285">
        <f>IFERROR(__xludf.DUMMYFUNCTION("IF($E26*(IF(REGEXMATCH(AT$10,$B26),$A26,1))/(AT$11*IF(REGEXMATCH($C26,AT$9),AT$8,1))*6&gt;6,CEILING($E26*(IF(REGEXMATCH(AT$10,$B26),$A26,1))/(AT$11*IF(REGEXMATCH($C26,AT$9),AT$8,1))*6),FLOOR($E26*(IF(REGEXMATCH(AT$10,$B26),$A26,1))/(AT$11*IF(REGEXMATCH($C26,"&amp;"AT$9),AT$8,1))*6))"),20.0)</f>
        <v>20</v>
      </c>
    </row>
    <row r="27">
      <c r="A27" s="8">
        <v>1.5</v>
      </c>
      <c r="B27" s="8" t="s">
        <v>2435</v>
      </c>
      <c r="C27" s="812" t="s">
        <v>2583</v>
      </c>
      <c r="D27" s="8"/>
      <c r="E27" s="8">
        <v>8.0</v>
      </c>
      <c r="F27" s="175" t="s">
        <v>2532</v>
      </c>
      <c r="G27" s="285">
        <f>IFERROR(__xludf.DUMMYFUNCTION("IF($E27*(IF(REGEXMATCH(G$10,$B27),$A27,1))/(G$11*IF(REGEXMATCH($C27,G$9),G$8,1))*6&gt;6,CEILING($E27*(IF(REGEXMATCH(G$10,$B27),$A27,1))/(G$11*IF(REGEXMATCH($C27,G$9),G$8,1))*6),FLOOR($E27*(IF(REGEXMATCH(G$10,$B27),$A27,1))/(G$11*IF(REGEXMATCH($C27,G$9),G$8,1"&amp;"))*6))"),8.0)</f>
        <v>8</v>
      </c>
      <c r="H27" s="285">
        <f>IFERROR(__xludf.DUMMYFUNCTION("IF($E27*(IF(REGEXMATCH(H$10,$B27),$A27,1))/(H$11*IF(REGEXMATCH($C27,H$9),H$8,1))*6&gt;6,CEILING($E27*(IF(REGEXMATCH(H$10,$B27),$A27,1))/(H$11*IF(REGEXMATCH($C27,H$9),H$8,1))*6),FLOOR($E27*(IF(REGEXMATCH(H$10,$B27),$A27,1))/(H$11*IF(REGEXMATCH($C27,H$9),H$8,1"&amp;"))*6))"),4.0)</f>
        <v>4</v>
      </c>
      <c r="I27" s="285">
        <f>IFERROR(__xludf.DUMMYFUNCTION("IF($E27*(IF(REGEXMATCH(I$10,$B27),$A27,1))/(I$11*IF(REGEXMATCH($C27,I$9),I$8,1))*6&gt;6,CEILING($E27*(IF(REGEXMATCH(I$10,$B27),$A27,1))/(I$11*IF(REGEXMATCH($C27,I$9),I$8,1))*6),FLOOR($E27*(IF(REGEXMATCH(I$10,$B27),$A27,1))/(I$11*IF(REGEXMATCH($C27,I$9),I$8,1"&amp;"))*6))"),4.0)</f>
        <v>4</v>
      </c>
      <c r="J27" s="285">
        <f>IFERROR(__xludf.DUMMYFUNCTION("IF($E27*(IF(REGEXMATCH(J$10,$B27),$A27,1))/(J$11*IF(REGEXMATCH($C27,J$9),J$8,1))*6&gt;6,CEILING($E27*(IF(REGEXMATCH(J$10,$B27),$A27,1))/(J$11*IF(REGEXMATCH($C27,J$9),J$8,1))*6),FLOOR($E27*(IF(REGEXMATCH(J$10,$B27),$A27,1))/(J$11*IF(REGEXMATCH($C27,J$9),J$8,1"&amp;"))*6))"),6.0)</f>
        <v>6</v>
      </c>
      <c r="K27" s="285">
        <f>IFERROR(__xludf.DUMMYFUNCTION("IF($E27*(IF(REGEXMATCH(K$10,$B27),$A27,1))/(K$11*IF(REGEXMATCH($C27,K$9),K$8,1))*6&gt;6,CEILING($E27*(IF(REGEXMATCH(K$10,$B27),$A27,1))/(K$11*IF(REGEXMATCH($C27,K$9),K$8,1))*6),FLOOR($E27*(IF(REGEXMATCH(K$10,$B27),$A27,1))/(K$11*IF(REGEXMATCH($C27,K$9),K$8,1"&amp;"))*6))"),6.0)</f>
        <v>6</v>
      </c>
      <c r="L27" s="285">
        <f>IFERROR(__xludf.DUMMYFUNCTION("IF($E27*(IF(REGEXMATCH(L$10,$B27),$A27,1))/(L$11*IF(REGEXMATCH($C27,L$9),L$8,1))*6&gt;6,CEILING($E27*(IF(REGEXMATCH(L$10,$B27),$A27,1))/(L$11*IF(REGEXMATCH($C27,L$9),L$8,1))*6),FLOOR($E27*(IF(REGEXMATCH(L$10,$B27),$A27,1))/(L$11*IF(REGEXMATCH($C27,L$9),L$8,1"&amp;"))*6))"),9.0)</f>
        <v>9</v>
      </c>
      <c r="M27" s="285">
        <f>IFERROR(__xludf.DUMMYFUNCTION("IF($E27*(IF(REGEXMATCH(M$10,$B27),$A27,1))/(M$11*IF(REGEXMATCH($C27,M$9),M$8,1))*6&gt;6,CEILING($E27*(IF(REGEXMATCH(M$10,$B27),$A27,1))/(M$11*IF(REGEXMATCH($C27,M$9),M$8,1))*6),FLOOR($E27*(IF(REGEXMATCH(M$10,$B27),$A27,1))/(M$11*IF(REGEXMATCH($C27,M$9),M$8,1"&amp;"))*6))"),3.0)</f>
        <v>3</v>
      </c>
      <c r="N27" s="285">
        <f>IFERROR(__xludf.DUMMYFUNCTION("IF($E27*(IF(REGEXMATCH(N$10,$B27),$A27,1))/(N$11*IF(REGEXMATCH($C27,N$9),N$8,1))*6&gt;6,CEILING($E27*(IF(REGEXMATCH(N$10,$B27),$A27,1))/(N$11*IF(REGEXMATCH($C27,N$9),N$8,1))*6),FLOOR($E27*(IF(REGEXMATCH(N$10,$B27),$A27,1))/(N$11*IF(REGEXMATCH($C27,N$9),N$8,1"&amp;"))*6))"),9.0)</f>
        <v>9</v>
      </c>
      <c r="O27" s="285">
        <f>IFERROR(__xludf.DUMMYFUNCTION("IF($E27*(IF(REGEXMATCH(O$10,$B27),$A27,1))/(O$11*IF(REGEXMATCH($C27,O$9),O$8,1))*6&gt;6,CEILING($E27*(IF(REGEXMATCH(O$10,$B27),$A27,1))/(O$11*IF(REGEXMATCH($C27,O$9),O$8,1))*6),FLOOR($E27*(IF(REGEXMATCH(O$10,$B27),$A27,1))/(O$11*IF(REGEXMATCH($C27,O$9),O$8,1"&amp;"))*6))"),6.0)</f>
        <v>6</v>
      </c>
      <c r="P27" s="285">
        <f>IFERROR(__xludf.DUMMYFUNCTION("IF($E27*(IF(REGEXMATCH(P$10,$B27),$A27,1))/(P$11*IF(REGEXMATCH($C27,P$9),P$8,1))*6&gt;6,CEILING($E27*(IF(REGEXMATCH(P$10,$B27),$A27,1))/(P$11*IF(REGEXMATCH($C27,P$9),P$8,1))*6),FLOOR($E27*(IF(REGEXMATCH(P$10,$B27),$A27,1))/(P$11*IF(REGEXMATCH($C27,P$9),P$8,1"&amp;"))*6))"),6.0)</f>
        <v>6</v>
      </c>
      <c r="Q27" s="285">
        <f>IFERROR(__xludf.DUMMYFUNCTION("IF($E27*(IF(REGEXMATCH(Q$10,$B27),$A27,1))/(Q$11*IF(REGEXMATCH($C27,Q$9),Q$8,1))*6&gt;6,CEILING($E27*(IF(REGEXMATCH(Q$10,$B27),$A27,1))/(Q$11*IF(REGEXMATCH($C27,Q$9),Q$8,1))*6),FLOOR($E27*(IF(REGEXMATCH(Q$10,$B27),$A27,1))/(Q$11*IF(REGEXMATCH($C27,Q$9),Q$8,1"&amp;"))*6))"),6.0)</f>
        <v>6</v>
      </c>
      <c r="R27" s="285">
        <f>IFERROR(__xludf.DUMMYFUNCTION("IF($E27*(IF(REGEXMATCH(R$10,$B27),$A27,1))/(R$11*IF(REGEXMATCH($C27,R$9),R$8,1))*6&gt;6,CEILING($E27*(IF(REGEXMATCH(R$10,$B27),$A27,1))/(R$11*IF(REGEXMATCH($C27,R$9),R$8,1))*6),FLOOR($E27*(IF(REGEXMATCH(R$10,$B27),$A27,1))/(R$11*IF(REGEXMATCH($C27,R$9),R$8,1"&amp;"))*6))"),4.0)</f>
        <v>4</v>
      </c>
      <c r="S27" s="285">
        <f>IFERROR(__xludf.DUMMYFUNCTION("IF($E27*(IF(REGEXMATCH(S$10,$B27),$A27,1))/(S$11*IF(REGEXMATCH($C27,S$9),S$8,1))*6&gt;6,CEILING($E27*(IF(REGEXMATCH(S$10,$B27),$A27,1))/(S$11*IF(REGEXMATCH($C27,S$9),S$8,1))*6),FLOOR($E27*(IF(REGEXMATCH(S$10,$B27),$A27,1))/(S$11*IF(REGEXMATCH($C27,S$9),S$8,1"&amp;"))*6))"),6.0)</f>
        <v>6</v>
      </c>
      <c r="T27" s="285">
        <f>IFERROR(__xludf.DUMMYFUNCTION("IF($E27*(IF(REGEXMATCH(T$10,$B27),$A27,1))/(T$11*IF(REGEXMATCH($C27,T$9),T$8,1))*6&gt;6,CEILING($E27*(IF(REGEXMATCH(T$10,$B27),$A27,1))/(T$11*IF(REGEXMATCH($C27,T$9),T$8,1))*6),FLOOR($E27*(IF(REGEXMATCH(T$10,$B27),$A27,1))/(T$11*IF(REGEXMATCH($C27,T$9),T$8,1"&amp;"))*6))"),4.0)</f>
        <v>4</v>
      </c>
      <c r="U27" s="285">
        <f>IFERROR(__xludf.DUMMYFUNCTION("IF($E27*(IF(REGEXMATCH(U$10,$B27),$A27,1))/(U$11*IF(REGEXMATCH($C27,U$9),U$8,1))*6&gt;6,CEILING($E27*(IF(REGEXMATCH(U$10,$B27),$A27,1))/(U$11*IF(REGEXMATCH($C27,U$9),U$8,1))*6),FLOOR($E27*(IF(REGEXMATCH(U$10,$B27),$A27,1))/(U$11*IF(REGEXMATCH($C27,U$9),U$8,1"&amp;"))*6))"),6.0)</f>
        <v>6</v>
      </c>
      <c r="V27" s="285">
        <f>IFERROR(__xludf.DUMMYFUNCTION("IF($E27*(IF(REGEXMATCH(V$10,$B27),$A27,1))/(V$11*IF(REGEXMATCH($C27,V$9),V$8,1))*6&gt;6,CEILING($E27*(IF(REGEXMATCH(V$10,$B27),$A27,1))/(V$11*IF(REGEXMATCH($C27,V$9),V$8,1))*6),FLOOR($E27*(IF(REGEXMATCH(V$10,$B27),$A27,1))/(V$11*IF(REGEXMATCH($C27,V$9),V$8,1"&amp;"))*6))"),6.0)</f>
        <v>6</v>
      </c>
      <c r="W27" s="285">
        <f>IFERROR(__xludf.DUMMYFUNCTION("IF($E27*(IF(REGEXMATCH(W$10,$B27),$A27,1))/(W$11*IF(REGEXMATCH($C27,W$9),W$8,1))*6&gt;6,CEILING($E27*(IF(REGEXMATCH(W$10,$B27),$A27,1))/(W$11*IF(REGEXMATCH($C27,W$9),W$8,1))*6),FLOOR($E27*(IF(REGEXMATCH(W$10,$B27),$A27,1))/(W$11*IF(REGEXMATCH($C27,W$9),W$8,1"&amp;"))*6))"),12.0)</f>
        <v>12</v>
      </c>
      <c r="X27" s="285">
        <f>IFERROR(__xludf.DUMMYFUNCTION("IF($E27*(IF(REGEXMATCH(X$10,$B27),$A27,1))/(X$11*IF(REGEXMATCH($C27,X$9),X$8,1))*6&gt;6,CEILING($E27*(IF(REGEXMATCH(X$10,$B27),$A27,1))/(X$11*IF(REGEXMATCH($C27,X$9),X$8,1))*6),FLOOR($E27*(IF(REGEXMATCH(X$10,$B27),$A27,1))/(X$11*IF(REGEXMATCH($C27,X$9),X$8,1"&amp;"))*6))"),8.0)</f>
        <v>8</v>
      </c>
      <c r="Y27" s="285">
        <f>IFERROR(__xludf.DUMMYFUNCTION("IF($E27*(IF(REGEXMATCH(Y$10,$B27),$A27,1))/(Y$11*IF(REGEXMATCH($C27,Y$9),Y$8,1))*6&gt;6,CEILING($E27*(IF(REGEXMATCH(Y$10,$B27),$A27,1))/(Y$11*IF(REGEXMATCH($C27,Y$9),Y$8,1))*6),FLOOR($E27*(IF(REGEXMATCH(Y$10,$B27),$A27,1))/(Y$11*IF(REGEXMATCH($C27,Y$9),Y$8,1"&amp;"))*6))"),7.0)</f>
        <v>7</v>
      </c>
      <c r="Z27" s="285">
        <f>IFERROR(__xludf.DUMMYFUNCTION("IF($E27*(IF(REGEXMATCH(Z$10,$B27),$A27,1))/(Z$11*IF(REGEXMATCH($C27,Z$9),Z$8,1))*6&gt;6,CEILING($E27*(IF(REGEXMATCH(Z$10,$B27),$A27,1))/(Z$11*IF(REGEXMATCH($C27,Z$9),Z$8,1))*6),FLOOR($E27*(IF(REGEXMATCH(Z$10,$B27),$A27,1))/(Z$11*IF(REGEXMATCH($C27,Z$9),Z$8,1"&amp;"))*6))"),8.0)</f>
        <v>8</v>
      </c>
      <c r="AA27" s="285">
        <f>IFERROR(__xludf.DUMMYFUNCTION("IF($E27*(IF(REGEXMATCH(AA$10,$B27),$A27,1))/(AA$11*IF(REGEXMATCH($C27,AA$9),AA$8,1))*6&gt;6,CEILING($E27*(IF(REGEXMATCH(AA$10,$B27),$A27,1))/(AA$11*IF(REGEXMATCH($C27,AA$9),AA$8,1))*6),FLOOR($E27*(IF(REGEXMATCH(AA$10,$B27),$A27,1))/(AA$11*IF(REGEXMATCH($C27,"&amp;"AA$9),AA$8,1))*6))"),8.0)</f>
        <v>8</v>
      </c>
      <c r="AB27" s="285">
        <f>IFERROR(__xludf.DUMMYFUNCTION("IF($E27*(IF(REGEXMATCH(AB$10,$B27),$A27,1))/(AB$11*IF(REGEXMATCH($C27,AB$9),AB$8,1))*6&gt;6,CEILING($E27*(IF(REGEXMATCH(AB$10,$B27),$A27,1))/(AB$11*IF(REGEXMATCH($C27,AB$9),AB$8,1))*6),FLOOR($E27*(IF(REGEXMATCH(AB$10,$B27),$A27,1))/(AB$11*IF(REGEXMATCH($C27,"&amp;"AB$9),AB$8,1))*6))"),12.0)</f>
        <v>12</v>
      </c>
      <c r="AC27" s="285">
        <f>IFERROR(__xludf.DUMMYFUNCTION("IF($E27*(IF(REGEXMATCH(AC$10,$B27),$A27,1))/(AC$11*IF(REGEXMATCH($C27,AC$9),AC$8,1))*6&gt;6,CEILING($E27*(IF(REGEXMATCH(AC$10,$B27),$A27,1))/(AC$11*IF(REGEXMATCH($C27,AC$9),AC$8,1))*6),FLOOR($E27*(IF(REGEXMATCH(AC$10,$B27),$A27,1))/(AC$11*IF(REGEXMATCH($C27,"&amp;"AC$9),AC$8,1))*6))"),12.0)</f>
        <v>12</v>
      </c>
      <c r="AD27" s="285">
        <f>IFERROR(__xludf.DUMMYFUNCTION("IF($E27*(IF(REGEXMATCH(AD$10,$B27),$A27,1))/(AD$11*IF(REGEXMATCH($C27,AD$9),AD$8,1))*6&gt;6,CEILING($E27*(IF(REGEXMATCH(AD$10,$B27),$A27,1))/(AD$11*IF(REGEXMATCH($C27,AD$9),AD$8,1))*6),FLOOR($E27*(IF(REGEXMATCH(AD$10,$B27),$A27,1))/(AD$11*IF(REGEXMATCH($C27,"&amp;"AD$9),AD$8,1))*6))"),8.0)</f>
        <v>8</v>
      </c>
      <c r="AE27" s="285">
        <f>IFERROR(__xludf.DUMMYFUNCTION("IF($E27*(IF(REGEXMATCH(AE$10,$B27),$A27,1))/(AE$11*IF(REGEXMATCH($C27,AE$9),AE$8,1))*6&gt;6,CEILING($E27*(IF(REGEXMATCH(AE$10,$B27),$A27,1))/(AE$11*IF(REGEXMATCH($C27,AE$9),AE$8,1))*6),FLOOR($E27*(IF(REGEXMATCH(AE$10,$B27),$A27,1))/(AE$11*IF(REGEXMATCH($C27,"&amp;"AE$9),AE$8,1))*6))"),8.0)</f>
        <v>8</v>
      </c>
      <c r="AF27" s="285">
        <f>IFERROR(__xludf.DUMMYFUNCTION("IF($E27*(IF(REGEXMATCH(AF$10,$B27),$A27,1))/(AF$11*IF(REGEXMATCH($C27,AF$9),AF$8,1))*6&gt;6,CEILING($E27*(IF(REGEXMATCH(AF$10,$B27),$A27,1))/(AF$11*IF(REGEXMATCH($C27,AF$9),AF$8,1))*6),FLOOR($E27*(IF(REGEXMATCH(AF$10,$B27),$A27,1))/(AF$11*IF(REGEXMATCH($C27,"&amp;"AF$9),AF$8,1))*6))"),8.0)</f>
        <v>8</v>
      </c>
      <c r="AG27" s="285">
        <f>IFERROR(__xludf.DUMMYFUNCTION("IF($E27*(IF(REGEXMATCH(AG$10,$B27),$A27,1))/(AG$11*IF(REGEXMATCH($C27,AG$9),AG$8,1))*6&gt;6,CEILING($E27*(IF(REGEXMATCH(AG$10,$B27),$A27,1))/(AG$11*IF(REGEXMATCH($C27,AG$9),AG$8,1))*6),FLOOR($E27*(IF(REGEXMATCH(AG$10,$B27),$A27,1))/(AG$11*IF(REGEXMATCH($C27,"&amp;"AG$9),AG$8,1))*6))"),5.0)</f>
        <v>5</v>
      </c>
      <c r="AH27" s="285">
        <f>IFERROR(__xludf.DUMMYFUNCTION("IF($E27*(IF(REGEXMATCH(AH$10,$B27),$A27,1))/(AH$11*IF(REGEXMATCH($C27,AH$9),AH$8,1))*6&gt;6,CEILING($E27*(IF(REGEXMATCH(AH$10,$B27),$A27,1))/(AH$11*IF(REGEXMATCH($C27,AH$9),AH$8,1))*6),FLOOR($E27*(IF(REGEXMATCH(AH$10,$B27),$A27,1))/(AH$11*IF(REGEXMATCH($C27,"&amp;"AH$9),AH$8,1))*6))"),8.0)</f>
        <v>8</v>
      </c>
      <c r="AI27" s="285">
        <f>IFERROR(__xludf.DUMMYFUNCTION("IF($E27*(IF(REGEXMATCH(AI$10,$B27),$A27,1))/(AI$11*IF(REGEXMATCH($C27,AI$9),AI$8,1))*6&gt;6,CEILING($E27*(IF(REGEXMATCH(AI$10,$B27),$A27,1))/(AI$11*IF(REGEXMATCH($C27,AI$9),AI$8,1))*6),FLOOR($E27*(IF(REGEXMATCH(AI$10,$B27),$A27,1))/(AI$11*IF(REGEXMATCH($C27,"&amp;"AI$9),AI$8,1))*6))"),7.0)</f>
        <v>7</v>
      </c>
      <c r="AJ27" s="285">
        <f>IFERROR(__xludf.DUMMYFUNCTION("IF($E27*(IF(REGEXMATCH(AJ$10,$B27),$A27,1))/(AJ$11*IF(REGEXMATCH($C27,AJ$9),AJ$8,1))*6&gt;6,CEILING($E27*(IF(REGEXMATCH(AJ$10,$B27),$A27,1))/(AJ$11*IF(REGEXMATCH($C27,AJ$9),AJ$8,1))*6),FLOOR($E27*(IF(REGEXMATCH(AJ$10,$B27),$A27,1))/(AJ$11*IF(REGEXMATCH($C27,"&amp;"AJ$9),AJ$8,1))*6))"),8.0)</f>
        <v>8</v>
      </c>
      <c r="AK27" s="285">
        <f>IFERROR(__xludf.DUMMYFUNCTION("IF($E27*(IF(REGEXMATCH(AK$10,$B27),$A27,1))/(AK$11*IF(REGEXMATCH($C27,AK$9),AK$8,1))*6&gt;6,CEILING($E27*(IF(REGEXMATCH(AK$10,$B27),$A27,1))/(AK$11*IF(REGEXMATCH($C27,AK$9),AK$8,1))*6),FLOOR($E27*(IF(REGEXMATCH(AK$10,$B27),$A27,1))/(AK$11*IF(REGEXMATCH($C27,"&amp;"AK$9),AK$8,1))*6))"),8.0)</f>
        <v>8</v>
      </c>
      <c r="AL27" s="285">
        <f>IFERROR(__xludf.DUMMYFUNCTION("IF($E27*(IF(REGEXMATCH(AL$10,$B27),$A27,1))/(AL$11*IF(REGEXMATCH($C27,AL$9),AL$8,1))*6&gt;6,CEILING($E27*(IF(REGEXMATCH(AL$10,$B27),$A27,1))/(AL$11*IF(REGEXMATCH($C27,AL$9),AL$8,1))*6),FLOOR($E27*(IF(REGEXMATCH(AL$10,$B27),$A27,1))/(AL$11*IF(REGEXMATCH($C27,"&amp;"AL$9),AL$8,1))*6))"),10.0)</f>
        <v>10</v>
      </c>
      <c r="AM27" s="285">
        <f>IFERROR(__xludf.DUMMYFUNCTION("IF($E27*(IF(REGEXMATCH(AM$10,$B27),$A27,1))/(AM$11*IF(REGEXMATCH($C27,AM$9),AM$8,1))*6&gt;6,CEILING($E27*(IF(REGEXMATCH(AM$10,$B27),$A27,1))/(AM$11*IF(REGEXMATCH($C27,AM$9),AM$8,1))*6),FLOOR($E27*(IF(REGEXMATCH(AM$10,$B27),$A27,1))/(AM$11*IF(REGEXMATCH($C27,"&amp;"AM$9),AM$8,1))*6))"),10.0)</f>
        <v>10</v>
      </c>
      <c r="AN27" s="285">
        <f>IFERROR(__xludf.DUMMYFUNCTION("IF($E27*(IF(REGEXMATCH(AN$10,$B27),$A27,1))/(AN$11*IF(REGEXMATCH($C27,AN$9),AN$8,1))*6&gt;6,CEILING($E27*(IF(REGEXMATCH(AN$10,$B27),$A27,1))/(AN$11*IF(REGEXMATCH($C27,AN$9),AN$8,1))*6),FLOOR($E27*(IF(REGEXMATCH(AN$10,$B27),$A27,1))/(AN$11*IF(REGEXMATCH($C27,"&amp;"AN$9),AN$8,1))*6))"),7.0)</f>
        <v>7</v>
      </c>
      <c r="AO27" s="285">
        <f>IFERROR(__xludf.DUMMYFUNCTION("IF($E27*(IF(REGEXMATCH(AO$10,$B27),$A27,1))/(AO$11*IF(REGEXMATCH($C27,AO$9),AO$8,1))*6&gt;6,CEILING($E27*(IF(REGEXMATCH(AO$10,$B27),$A27,1))/(AO$11*IF(REGEXMATCH($C27,AO$9),AO$8,1))*6),FLOOR($E27*(IF(REGEXMATCH(AO$10,$B27),$A27,1))/(AO$11*IF(REGEXMATCH($C27,"&amp;"AO$9),AO$8,1))*6))"),10.0)</f>
        <v>10</v>
      </c>
      <c r="AP27" s="285">
        <f>IFERROR(__xludf.DUMMYFUNCTION("IF($E27*(IF(REGEXMATCH(AP$10,$B27),$A27,1))/(AP$11*IF(REGEXMATCH($C27,AP$9),AP$8,1))*6&gt;6,CEILING($E27*(IF(REGEXMATCH(AP$10,$B27),$A27,1))/(AP$11*IF(REGEXMATCH($C27,AP$9),AP$8,1))*6),FLOOR($E27*(IF(REGEXMATCH(AP$10,$B27),$A27,1))/(AP$11*IF(REGEXMATCH($C27,"&amp;"AP$9),AP$8,1))*6))"),7.0)</f>
        <v>7</v>
      </c>
      <c r="AQ27" s="285">
        <f>IFERROR(__xludf.DUMMYFUNCTION("IF($E27*(IF(REGEXMATCH(AQ$10,$B27),$A27,1))/(AQ$11*IF(REGEXMATCH($C27,AQ$9),AQ$8,1))*6&gt;6,CEILING($E27*(IF(REGEXMATCH(AQ$10,$B27),$A27,1))/(AQ$11*IF(REGEXMATCH($C27,AQ$9),AQ$8,1))*6),FLOOR($E27*(IF(REGEXMATCH(AQ$10,$B27),$A27,1))/(AQ$11*IF(REGEXMATCH($C27,"&amp;"AQ$9),AQ$8,1))*6))"),8.0)</f>
        <v>8</v>
      </c>
      <c r="AR27" s="285">
        <f>IFERROR(__xludf.DUMMYFUNCTION("IF($E27*(IF(REGEXMATCH(AR$10,$B27),$A27,1))/(AR$11*IF(REGEXMATCH($C27,AR$9),AR$8,1))*6&gt;6,CEILING($E27*(IF(REGEXMATCH(AR$10,$B27),$A27,1))/(AR$11*IF(REGEXMATCH($C27,AR$9),AR$8,1))*6),FLOOR($E27*(IF(REGEXMATCH(AR$10,$B27),$A27,1))/(AR$11*IF(REGEXMATCH($C27,"&amp;"AR$9),AR$8,1))*6))"),12.0)</f>
        <v>12</v>
      </c>
      <c r="AS27" s="285">
        <f>IFERROR(__xludf.DUMMYFUNCTION("IF($E27*(IF(REGEXMATCH(AS$10,$B27),$A27,1))/(AS$11*IF(REGEXMATCH($C27,AS$9),AS$8,1))*6&gt;6,CEILING($E27*(IF(REGEXMATCH(AS$10,$B27),$A27,1))/(AS$11*IF(REGEXMATCH($C27,AS$9),AS$8,1))*6),FLOOR($E27*(IF(REGEXMATCH(AS$10,$B27),$A27,1))/(AS$11*IF(REGEXMATCH($C27,"&amp;"AS$9),AS$8,1))*6))"),12.0)</f>
        <v>12</v>
      </c>
      <c r="AT27" s="285">
        <f>IFERROR(__xludf.DUMMYFUNCTION("IF($E27*(IF(REGEXMATCH(AT$10,$B27),$A27,1))/(AT$11*IF(REGEXMATCH($C27,AT$9),AT$8,1))*6&gt;6,CEILING($E27*(IF(REGEXMATCH(AT$10,$B27),$A27,1))/(AT$11*IF(REGEXMATCH($C27,AT$9),AT$8,1))*6),FLOOR($E27*(IF(REGEXMATCH(AT$10,$B27),$A27,1))/(AT$11*IF(REGEXMATCH($C27,"&amp;"AT$9),AT$8,1))*6))"),16.0)</f>
        <v>16</v>
      </c>
    </row>
    <row r="28">
      <c r="A28" s="8">
        <v>1.0</v>
      </c>
      <c r="B28" s="8" t="s">
        <v>2577</v>
      </c>
      <c r="C28" s="812" t="s">
        <v>2584</v>
      </c>
      <c r="D28" s="8"/>
      <c r="E28" s="8">
        <v>8.0</v>
      </c>
      <c r="F28" s="815" t="s">
        <v>2533</v>
      </c>
      <c r="G28" s="285">
        <f>IFERROR(__xludf.DUMMYFUNCTION("IF($E28*(IF(REGEXMATCH(G$10,$B28),$A28,1))/(G$11*IF(REGEXMATCH($C28,G$9),G$8,1))*6&gt;6,CEILING($E28*(IF(REGEXMATCH(G$10,$B28),$A28,1))/(G$11*IF(REGEXMATCH($C28,G$9),G$8,1))*6),FLOOR($E28*(IF(REGEXMATCH(G$10,$B28),$A28,1))/(G$11*IF(REGEXMATCH($C28,G$9),G$8,1"&amp;"))*6))"),4.0)</f>
        <v>4</v>
      </c>
      <c r="H28" s="285">
        <f>IFERROR(__xludf.DUMMYFUNCTION("IF($E28*(IF(REGEXMATCH(H$10,$B28),$A28,1))/(H$11*IF(REGEXMATCH($C28,H$9),H$8,1))*6&gt;6,CEILING($E28*(IF(REGEXMATCH(H$10,$B28),$A28,1))/(H$11*IF(REGEXMATCH($C28,H$9),H$8,1))*6),FLOOR($E28*(IF(REGEXMATCH(H$10,$B28),$A28,1))/(H$11*IF(REGEXMATCH($C28,H$9),H$8,1"&amp;"))*6))"),4.0)</f>
        <v>4</v>
      </c>
      <c r="I28" s="285">
        <f>IFERROR(__xludf.DUMMYFUNCTION("IF($E28*(IF(REGEXMATCH(I$10,$B28),$A28,1))/(I$11*IF(REGEXMATCH($C28,I$9),I$8,1))*6&gt;6,CEILING($E28*(IF(REGEXMATCH(I$10,$B28),$A28,1))/(I$11*IF(REGEXMATCH($C28,I$9),I$8,1))*6),FLOOR($E28*(IF(REGEXMATCH(I$10,$B28),$A28,1))/(I$11*IF(REGEXMATCH($C28,I$9),I$8,1"&amp;"))*6))"),6.0)</f>
        <v>6</v>
      </c>
      <c r="J28" s="285">
        <f>IFERROR(__xludf.DUMMYFUNCTION("IF($E28*(IF(REGEXMATCH(J$10,$B28),$A28,1))/(J$11*IF(REGEXMATCH($C28,J$9),J$8,1))*6&gt;6,CEILING($E28*(IF(REGEXMATCH(J$10,$B28),$A28,1))/(J$11*IF(REGEXMATCH($C28,J$9),J$8,1))*6),FLOOR($E28*(IF(REGEXMATCH(J$10,$B28),$A28,1))/(J$11*IF(REGEXMATCH($C28,J$9),J$8,1"&amp;"))*6))"),4.0)</f>
        <v>4</v>
      </c>
      <c r="K28" s="285">
        <f>IFERROR(__xludf.DUMMYFUNCTION("IF($E28*(IF(REGEXMATCH(K$10,$B28),$A28,1))/(K$11*IF(REGEXMATCH($C28,K$9),K$8,1))*6&gt;6,CEILING($E28*(IF(REGEXMATCH(K$10,$B28),$A28,1))/(K$11*IF(REGEXMATCH($C28,K$9),K$8,1))*6),FLOOR($E28*(IF(REGEXMATCH(K$10,$B28),$A28,1))/(K$11*IF(REGEXMATCH($C28,K$9),K$8,1"&amp;"))*6))"),6.0)</f>
        <v>6</v>
      </c>
      <c r="L28" s="285">
        <f>IFERROR(__xludf.DUMMYFUNCTION("IF($E28*(IF(REGEXMATCH(L$10,$B28),$A28,1))/(L$11*IF(REGEXMATCH($C28,L$9),L$8,1))*6&gt;6,CEILING($E28*(IF(REGEXMATCH(L$10,$B28),$A28,1))/(L$11*IF(REGEXMATCH($C28,L$9),L$8,1))*6),FLOOR($E28*(IF(REGEXMATCH(L$10,$B28),$A28,1))/(L$11*IF(REGEXMATCH($C28,L$9),L$8,1"&amp;"))*6))"),6.0)</f>
        <v>6</v>
      </c>
      <c r="M28" s="285">
        <f>IFERROR(__xludf.DUMMYFUNCTION("IF($E28*(IF(REGEXMATCH(M$10,$B28),$A28,1))/(M$11*IF(REGEXMATCH($C28,M$9),M$8,1))*6&gt;6,CEILING($E28*(IF(REGEXMATCH(M$10,$B28),$A28,1))/(M$11*IF(REGEXMATCH($C28,M$9),M$8,1))*6),FLOOR($E28*(IF(REGEXMATCH(M$10,$B28),$A28,1))/(M$11*IF(REGEXMATCH($C28,M$9),M$8,1"&amp;"))*6))"),6.0)</f>
        <v>6</v>
      </c>
      <c r="N28" s="285">
        <f>IFERROR(__xludf.DUMMYFUNCTION("IF($E28*(IF(REGEXMATCH(N$10,$B28),$A28,1))/(N$11*IF(REGEXMATCH($C28,N$9),N$8,1))*6&gt;6,CEILING($E28*(IF(REGEXMATCH(N$10,$B28),$A28,1))/(N$11*IF(REGEXMATCH($C28,N$9),N$8,1))*6),FLOOR($E28*(IF(REGEXMATCH(N$10,$B28),$A28,1))/(N$11*IF(REGEXMATCH($C28,N$9),N$8,1"&amp;"))*6))"),6.0)</f>
        <v>6</v>
      </c>
      <c r="O28" s="285">
        <f>IFERROR(__xludf.DUMMYFUNCTION("IF($E28*(IF(REGEXMATCH(O$10,$B28),$A28,1))/(O$11*IF(REGEXMATCH($C28,O$9),O$8,1))*6&gt;6,CEILING($E28*(IF(REGEXMATCH(O$10,$B28),$A28,1))/(O$11*IF(REGEXMATCH($C28,O$9),O$8,1))*6),FLOOR($E28*(IF(REGEXMATCH(O$10,$B28),$A28,1))/(O$11*IF(REGEXMATCH($C28,O$9),O$8,1"&amp;"))*6))"),6.0)</f>
        <v>6</v>
      </c>
      <c r="P28" s="285">
        <f>IFERROR(__xludf.DUMMYFUNCTION("IF($E28*(IF(REGEXMATCH(P$10,$B28),$A28,1))/(P$11*IF(REGEXMATCH($C28,P$9),P$8,1))*6&gt;6,CEILING($E28*(IF(REGEXMATCH(P$10,$B28),$A28,1))/(P$11*IF(REGEXMATCH($C28,P$9),P$8,1))*6),FLOOR($E28*(IF(REGEXMATCH(P$10,$B28),$A28,1))/(P$11*IF(REGEXMATCH($C28,P$9),P$8,1"&amp;"))*6))"),6.0)</f>
        <v>6</v>
      </c>
      <c r="Q28" s="285">
        <f>IFERROR(__xludf.DUMMYFUNCTION("IF($E28*(IF(REGEXMATCH(Q$10,$B28),$A28,1))/(Q$11*IF(REGEXMATCH($C28,Q$9),Q$8,1))*6&gt;6,CEILING($E28*(IF(REGEXMATCH(Q$10,$B28),$A28,1))/(Q$11*IF(REGEXMATCH($C28,Q$9),Q$8,1))*6),FLOOR($E28*(IF(REGEXMATCH(Q$10,$B28),$A28,1))/(Q$11*IF(REGEXMATCH($C28,Q$9),Q$8,1"&amp;"))*6))"),6.0)</f>
        <v>6</v>
      </c>
      <c r="R28" s="285">
        <f>IFERROR(__xludf.DUMMYFUNCTION("IF($E28*(IF(REGEXMATCH(R$10,$B28),$A28,1))/(R$11*IF(REGEXMATCH($C28,R$9),R$8,1))*6&gt;6,CEILING($E28*(IF(REGEXMATCH(R$10,$B28),$A28,1))/(R$11*IF(REGEXMATCH($C28,R$9),R$8,1))*6),FLOOR($E28*(IF(REGEXMATCH(R$10,$B28),$A28,1))/(R$11*IF(REGEXMATCH($C28,R$9),R$8,1"&amp;"))*6))"),6.0)</f>
        <v>6</v>
      </c>
      <c r="S28" s="285">
        <f>IFERROR(__xludf.DUMMYFUNCTION("IF($E28*(IF(REGEXMATCH(S$10,$B28),$A28,1))/(S$11*IF(REGEXMATCH($C28,S$9),S$8,1))*6&gt;6,CEILING($E28*(IF(REGEXMATCH(S$10,$B28),$A28,1))/(S$11*IF(REGEXMATCH($C28,S$9),S$8,1))*6),FLOOR($E28*(IF(REGEXMATCH(S$10,$B28),$A28,1))/(S$11*IF(REGEXMATCH($C28,S$9),S$8,1"&amp;"))*6))"),6.0)</f>
        <v>6</v>
      </c>
      <c r="T28" s="285">
        <f>IFERROR(__xludf.DUMMYFUNCTION("IF($E28*(IF(REGEXMATCH(T$10,$B28),$A28,1))/(T$11*IF(REGEXMATCH($C28,T$9),T$8,1))*6&gt;6,CEILING($E28*(IF(REGEXMATCH(T$10,$B28),$A28,1))/(T$11*IF(REGEXMATCH($C28,T$9),T$8,1))*6),FLOOR($E28*(IF(REGEXMATCH(T$10,$B28),$A28,1))/(T$11*IF(REGEXMATCH($C28,T$9),T$8,1"&amp;"))*6))"),6.0)</f>
        <v>6</v>
      </c>
      <c r="U28" s="285">
        <f>IFERROR(__xludf.DUMMYFUNCTION("IF($E28*(IF(REGEXMATCH(U$10,$B28),$A28,1))/(U$11*IF(REGEXMATCH($C28,U$9),U$8,1))*6&gt;6,CEILING($E28*(IF(REGEXMATCH(U$10,$B28),$A28,1))/(U$11*IF(REGEXMATCH($C28,U$9),U$8,1))*6),FLOOR($E28*(IF(REGEXMATCH(U$10,$B28),$A28,1))/(U$11*IF(REGEXMATCH($C28,U$9),U$8,1"&amp;"))*6))"),6.0)</f>
        <v>6</v>
      </c>
      <c r="V28" s="285">
        <f>IFERROR(__xludf.DUMMYFUNCTION("IF($E28*(IF(REGEXMATCH(V$10,$B28),$A28,1))/(V$11*IF(REGEXMATCH($C28,V$9),V$8,1))*6&gt;6,CEILING($E28*(IF(REGEXMATCH(V$10,$B28),$A28,1))/(V$11*IF(REGEXMATCH($C28,V$9),V$8,1))*6),FLOOR($E28*(IF(REGEXMATCH(V$10,$B28),$A28,1))/(V$11*IF(REGEXMATCH($C28,V$9),V$8,1"&amp;"))*6))"),6.0)</f>
        <v>6</v>
      </c>
      <c r="W28" s="285">
        <f>IFERROR(__xludf.DUMMYFUNCTION("IF($E28*(IF(REGEXMATCH(W$10,$B28),$A28,1))/(W$11*IF(REGEXMATCH($C28,W$9),W$8,1))*6&gt;6,CEILING($E28*(IF(REGEXMATCH(W$10,$B28),$A28,1))/(W$11*IF(REGEXMATCH($C28,W$9),W$8,1))*6),FLOOR($E28*(IF(REGEXMATCH(W$10,$B28),$A28,1))/(W$11*IF(REGEXMATCH($C28,W$9),W$8,1"&amp;"))*6))"),8.0)</f>
        <v>8</v>
      </c>
      <c r="X28" s="285">
        <f>IFERROR(__xludf.DUMMYFUNCTION("IF($E28*(IF(REGEXMATCH(X$10,$B28),$A28,1))/(X$11*IF(REGEXMATCH($C28,X$9),X$8,1))*6&gt;6,CEILING($E28*(IF(REGEXMATCH(X$10,$B28),$A28,1))/(X$11*IF(REGEXMATCH($C28,X$9),X$8,1))*6),FLOOR($E28*(IF(REGEXMATCH(X$10,$B28),$A28,1))/(X$11*IF(REGEXMATCH($C28,X$9),X$8,1"&amp;"))*6))"),8.0)</f>
        <v>8</v>
      </c>
      <c r="Y28" s="285">
        <f>IFERROR(__xludf.DUMMYFUNCTION("IF($E28*(IF(REGEXMATCH(Y$10,$B28),$A28,1))/(Y$11*IF(REGEXMATCH($C28,Y$9),Y$8,1))*6&gt;6,CEILING($E28*(IF(REGEXMATCH(Y$10,$B28),$A28,1))/(Y$11*IF(REGEXMATCH($C28,Y$9),Y$8,1))*6),FLOOR($E28*(IF(REGEXMATCH(Y$10,$B28),$A28,1))/(Y$11*IF(REGEXMATCH($C28,Y$9),Y$8,1"&amp;"))*6))"),8.0)</f>
        <v>8</v>
      </c>
      <c r="Z28" s="285">
        <f>IFERROR(__xludf.DUMMYFUNCTION("IF($E28*(IF(REGEXMATCH(Z$10,$B28),$A28,1))/(Z$11*IF(REGEXMATCH($C28,Z$9),Z$8,1))*6&gt;6,CEILING($E28*(IF(REGEXMATCH(Z$10,$B28),$A28,1))/(Z$11*IF(REGEXMATCH($C28,Z$9),Z$8,1))*6),FLOOR($E28*(IF(REGEXMATCH(Z$10,$B28),$A28,1))/(Z$11*IF(REGEXMATCH($C28,Z$9),Z$8,1"&amp;"))*6))"),8.0)</f>
        <v>8</v>
      </c>
      <c r="AA28" s="285">
        <f>IFERROR(__xludf.DUMMYFUNCTION("IF($E28*(IF(REGEXMATCH(AA$10,$B28),$A28,1))/(AA$11*IF(REGEXMATCH($C28,AA$9),AA$8,1))*6&gt;6,CEILING($E28*(IF(REGEXMATCH(AA$10,$B28),$A28,1))/(AA$11*IF(REGEXMATCH($C28,AA$9),AA$8,1))*6),FLOOR($E28*(IF(REGEXMATCH(AA$10,$B28),$A28,1))/(AA$11*IF(REGEXMATCH($C28,"&amp;"AA$9),AA$8,1))*6))"),8.0)</f>
        <v>8</v>
      </c>
      <c r="AB28" s="285">
        <f>IFERROR(__xludf.DUMMYFUNCTION("IF($E28*(IF(REGEXMATCH(AB$10,$B28),$A28,1))/(AB$11*IF(REGEXMATCH($C28,AB$9),AB$8,1))*6&gt;6,CEILING($E28*(IF(REGEXMATCH(AB$10,$B28),$A28,1))/(AB$11*IF(REGEXMATCH($C28,AB$9),AB$8,1))*6),FLOOR($E28*(IF(REGEXMATCH(AB$10,$B28),$A28,1))/(AB$11*IF(REGEXMATCH($C28,"&amp;"AB$9),AB$8,1))*6))"),8.0)</f>
        <v>8</v>
      </c>
      <c r="AC28" s="285">
        <f>IFERROR(__xludf.DUMMYFUNCTION("IF($E28*(IF(REGEXMATCH(AC$10,$B28),$A28,1))/(AC$11*IF(REGEXMATCH($C28,AC$9),AC$8,1))*6&gt;6,CEILING($E28*(IF(REGEXMATCH(AC$10,$B28),$A28,1))/(AC$11*IF(REGEXMATCH($C28,AC$9),AC$8,1))*6),FLOOR($E28*(IF(REGEXMATCH(AC$10,$B28),$A28,1))/(AC$11*IF(REGEXMATCH($C28,"&amp;"AC$9),AC$8,1))*6))"),8.0)</f>
        <v>8</v>
      </c>
      <c r="AD28" s="285">
        <f>IFERROR(__xludf.DUMMYFUNCTION("IF($E28*(IF(REGEXMATCH(AD$10,$B28),$A28,1))/(AD$11*IF(REGEXMATCH($C28,AD$9),AD$8,1))*6&gt;6,CEILING($E28*(IF(REGEXMATCH(AD$10,$B28),$A28,1))/(AD$11*IF(REGEXMATCH($C28,AD$9),AD$8,1))*6),FLOOR($E28*(IF(REGEXMATCH(AD$10,$B28),$A28,1))/(AD$11*IF(REGEXMATCH($C28,"&amp;"AD$9),AD$8,1))*6))"),8.0)</f>
        <v>8</v>
      </c>
      <c r="AE28" s="285">
        <f>IFERROR(__xludf.DUMMYFUNCTION("IF($E28*(IF(REGEXMATCH(AE$10,$B28),$A28,1))/(AE$11*IF(REGEXMATCH($C28,AE$9),AE$8,1))*6&gt;6,CEILING($E28*(IF(REGEXMATCH(AE$10,$B28),$A28,1))/(AE$11*IF(REGEXMATCH($C28,AE$9),AE$8,1))*6),FLOOR($E28*(IF(REGEXMATCH(AE$10,$B28),$A28,1))/(AE$11*IF(REGEXMATCH($C28,"&amp;"AE$9),AE$8,1))*6))"),8.0)</f>
        <v>8</v>
      </c>
      <c r="AF28" s="285">
        <f>IFERROR(__xludf.DUMMYFUNCTION("IF($E28*(IF(REGEXMATCH(AF$10,$B28),$A28,1))/(AF$11*IF(REGEXMATCH($C28,AF$9),AF$8,1))*6&gt;6,CEILING($E28*(IF(REGEXMATCH(AF$10,$B28),$A28,1))/(AF$11*IF(REGEXMATCH($C28,AF$9),AF$8,1))*6),FLOOR($E28*(IF(REGEXMATCH(AF$10,$B28),$A28,1))/(AF$11*IF(REGEXMATCH($C28,"&amp;"AF$9),AF$8,1))*6))"),8.0)</f>
        <v>8</v>
      </c>
      <c r="AG28" s="285">
        <f>IFERROR(__xludf.DUMMYFUNCTION("IF($E28*(IF(REGEXMATCH(AG$10,$B28),$A28,1))/(AG$11*IF(REGEXMATCH($C28,AG$9),AG$8,1))*6&gt;6,CEILING($E28*(IF(REGEXMATCH(AG$10,$B28),$A28,1))/(AG$11*IF(REGEXMATCH($C28,AG$9),AG$8,1))*6),FLOOR($E28*(IF(REGEXMATCH(AG$10,$B28),$A28,1))/(AG$11*IF(REGEXMATCH($C28,"&amp;"AG$9),AG$8,1))*6))"),8.0)</f>
        <v>8</v>
      </c>
      <c r="AH28" s="285">
        <f>IFERROR(__xludf.DUMMYFUNCTION("IF($E28*(IF(REGEXMATCH(AH$10,$B28),$A28,1))/(AH$11*IF(REGEXMATCH($C28,AH$9),AH$8,1))*6&gt;6,CEILING($E28*(IF(REGEXMATCH(AH$10,$B28),$A28,1))/(AH$11*IF(REGEXMATCH($C28,AH$9),AH$8,1))*6),FLOOR($E28*(IF(REGEXMATCH(AH$10,$B28),$A28,1))/(AH$11*IF(REGEXMATCH($C28,"&amp;"AH$9),AH$8,1))*6))"),8.0)</f>
        <v>8</v>
      </c>
      <c r="AI28" s="285">
        <f>IFERROR(__xludf.DUMMYFUNCTION("IF($E28*(IF(REGEXMATCH(AI$10,$B28),$A28,1))/(AI$11*IF(REGEXMATCH($C28,AI$9),AI$8,1))*6&gt;6,CEILING($E28*(IF(REGEXMATCH(AI$10,$B28),$A28,1))/(AI$11*IF(REGEXMATCH($C28,AI$9),AI$8,1))*6),FLOOR($E28*(IF(REGEXMATCH(AI$10,$B28),$A28,1))/(AI$11*IF(REGEXMATCH($C28,"&amp;"AI$9),AI$8,1))*6))"),8.0)</f>
        <v>8</v>
      </c>
      <c r="AJ28" s="285">
        <f>IFERROR(__xludf.DUMMYFUNCTION("IF($E28*(IF(REGEXMATCH(AJ$10,$B28),$A28,1))/(AJ$11*IF(REGEXMATCH($C28,AJ$9),AJ$8,1))*6&gt;6,CEILING($E28*(IF(REGEXMATCH(AJ$10,$B28),$A28,1))/(AJ$11*IF(REGEXMATCH($C28,AJ$9),AJ$8,1))*6),FLOOR($E28*(IF(REGEXMATCH(AJ$10,$B28),$A28,1))/(AJ$11*IF(REGEXMATCH($C28,"&amp;"AJ$9),AJ$8,1))*6))"),8.0)</f>
        <v>8</v>
      </c>
      <c r="AK28" s="285">
        <f>IFERROR(__xludf.DUMMYFUNCTION("IF($E28*(IF(REGEXMATCH(AK$10,$B28),$A28,1))/(AK$11*IF(REGEXMATCH($C28,AK$9),AK$8,1))*6&gt;6,CEILING($E28*(IF(REGEXMATCH(AK$10,$B28),$A28,1))/(AK$11*IF(REGEXMATCH($C28,AK$9),AK$8,1))*6),FLOOR($E28*(IF(REGEXMATCH(AK$10,$B28),$A28,1))/(AK$11*IF(REGEXMATCH($C28,"&amp;"AK$9),AK$8,1))*6))"),8.0)</f>
        <v>8</v>
      </c>
      <c r="AL28" s="285">
        <f>IFERROR(__xludf.DUMMYFUNCTION("IF($E28*(IF(REGEXMATCH(AL$10,$B28),$A28,1))/(AL$11*IF(REGEXMATCH($C28,AL$9),AL$8,1))*6&gt;6,CEILING($E28*(IF(REGEXMATCH(AL$10,$B28),$A28,1))/(AL$11*IF(REGEXMATCH($C28,AL$9),AL$8,1))*6),FLOOR($E28*(IF(REGEXMATCH(AL$10,$B28),$A28,1))/(AL$11*IF(REGEXMATCH($C28,"&amp;"AL$9),AL$8,1))*6))"),10.0)</f>
        <v>10</v>
      </c>
      <c r="AM28" s="285">
        <f>IFERROR(__xludf.DUMMYFUNCTION("IF($E28*(IF(REGEXMATCH(AM$10,$B28),$A28,1))/(AM$11*IF(REGEXMATCH($C28,AM$9),AM$8,1))*6&gt;6,CEILING($E28*(IF(REGEXMATCH(AM$10,$B28),$A28,1))/(AM$11*IF(REGEXMATCH($C28,AM$9),AM$8,1))*6),FLOOR($E28*(IF(REGEXMATCH(AM$10,$B28),$A28,1))/(AM$11*IF(REGEXMATCH($C28,"&amp;"AM$9),AM$8,1))*6))"),10.0)</f>
        <v>10</v>
      </c>
      <c r="AN28" s="285">
        <f>IFERROR(__xludf.DUMMYFUNCTION("IF($E28*(IF(REGEXMATCH(AN$10,$B28),$A28,1))/(AN$11*IF(REGEXMATCH($C28,AN$9),AN$8,1))*6&gt;6,CEILING($E28*(IF(REGEXMATCH(AN$10,$B28),$A28,1))/(AN$11*IF(REGEXMATCH($C28,AN$9),AN$8,1))*6),FLOOR($E28*(IF(REGEXMATCH(AN$10,$B28),$A28,1))/(AN$11*IF(REGEXMATCH($C28,"&amp;"AN$9),AN$8,1))*6))"),10.0)</f>
        <v>10</v>
      </c>
      <c r="AO28" s="285">
        <f>IFERROR(__xludf.DUMMYFUNCTION("IF($E28*(IF(REGEXMATCH(AO$10,$B28),$A28,1))/(AO$11*IF(REGEXMATCH($C28,AO$9),AO$8,1))*6&gt;6,CEILING($E28*(IF(REGEXMATCH(AO$10,$B28),$A28,1))/(AO$11*IF(REGEXMATCH($C28,AO$9),AO$8,1))*6),FLOOR($E28*(IF(REGEXMATCH(AO$10,$B28),$A28,1))/(AO$11*IF(REGEXMATCH($C28,"&amp;"AO$9),AO$8,1))*6))"),10.0)</f>
        <v>10</v>
      </c>
      <c r="AP28" s="285">
        <f>IFERROR(__xludf.DUMMYFUNCTION("IF($E28*(IF(REGEXMATCH(AP$10,$B28),$A28,1))/(AP$11*IF(REGEXMATCH($C28,AP$9),AP$8,1))*6&gt;6,CEILING($E28*(IF(REGEXMATCH(AP$10,$B28),$A28,1))/(AP$11*IF(REGEXMATCH($C28,AP$9),AP$8,1))*6),FLOOR($E28*(IF(REGEXMATCH(AP$10,$B28),$A28,1))/(AP$11*IF(REGEXMATCH($C28,"&amp;"AP$9),AP$8,1))*6))"),10.0)</f>
        <v>10</v>
      </c>
      <c r="AQ28" s="285">
        <f>IFERROR(__xludf.DUMMYFUNCTION("IF($E28*(IF(REGEXMATCH(AQ$10,$B28),$A28,1))/(AQ$11*IF(REGEXMATCH($C28,AQ$9),AQ$8,1))*6&gt;6,CEILING($E28*(IF(REGEXMATCH(AQ$10,$B28),$A28,1))/(AQ$11*IF(REGEXMATCH($C28,AQ$9),AQ$8,1))*6),FLOOR($E28*(IF(REGEXMATCH(AQ$10,$B28),$A28,1))/(AQ$11*IF(REGEXMATCH($C28,"&amp;"AQ$9),AQ$8,1))*6))"),10.0)</f>
        <v>10</v>
      </c>
      <c r="AR28" s="285">
        <f>IFERROR(__xludf.DUMMYFUNCTION("IF($E28*(IF(REGEXMATCH(AR$10,$B28),$A28,1))/(AR$11*IF(REGEXMATCH($C28,AR$9),AR$8,1))*6&gt;6,CEILING($E28*(IF(REGEXMATCH(AR$10,$B28),$A28,1))/(AR$11*IF(REGEXMATCH($C28,AR$9),AR$8,1))*6),FLOOR($E28*(IF(REGEXMATCH(AR$10,$B28),$A28,1))/(AR$11*IF(REGEXMATCH($C28,"&amp;"AR$9),AR$8,1))*6))"),12.0)</f>
        <v>12</v>
      </c>
      <c r="AS28" s="285">
        <f>IFERROR(__xludf.DUMMYFUNCTION("IF($E28*(IF(REGEXMATCH(AS$10,$B28),$A28,1))/(AS$11*IF(REGEXMATCH($C28,AS$9),AS$8,1))*6&gt;6,CEILING($E28*(IF(REGEXMATCH(AS$10,$B28),$A28,1))/(AS$11*IF(REGEXMATCH($C28,AS$9),AS$8,1))*6),FLOOR($E28*(IF(REGEXMATCH(AS$10,$B28),$A28,1))/(AS$11*IF(REGEXMATCH($C28,"&amp;"AS$9),AS$8,1))*6))"),12.0)</f>
        <v>12</v>
      </c>
      <c r="AT28" s="285">
        <f>IFERROR(__xludf.DUMMYFUNCTION("IF($E28*(IF(REGEXMATCH(AT$10,$B28),$A28,1))/(AT$11*IF(REGEXMATCH($C28,AT$9),AT$8,1))*6&gt;6,CEILING($E28*(IF(REGEXMATCH(AT$10,$B28),$A28,1))/(AT$11*IF(REGEXMATCH($C28,AT$9),AT$8,1))*6),FLOOR($E28*(IF(REGEXMATCH(AT$10,$B28),$A28,1))/(AT$11*IF(REGEXMATCH($C28,"&amp;"AT$9),AT$8,1))*6))"),16.0)</f>
        <v>16</v>
      </c>
    </row>
    <row r="29">
      <c r="A29" s="8">
        <v>2.0</v>
      </c>
      <c r="B29" s="8" t="s">
        <v>2432</v>
      </c>
      <c r="C29" s="812" t="s">
        <v>2582</v>
      </c>
      <c r="D29" s="8"/>
      <c r="E29" s="8">
        <v>6.0</v>
      </c>
      <c r="F29" s="47" t="s">
        <v>2183</v>
      </c>
      <c r="G29" s="285">
        <f>IFERROR(__xludf.DUMMYFUNCTION("IF($E29*(IF(REGEXMATCH(G$10,$B29),$A29,1))/(G$11*IF(REGEXMATCH($C29,G$9),G$8,1))*6&gt;6,CEILING($E29*(IF(REGEXMATCH(G$10,$B29),$A29,1))/(G$11*IF(REGEXMATCH($C29,G$9),G$8,1))*6),FLOOR($E29*(IF(REGEXMATCH(G$10,$B29),$A29,1))/(G$11*IF(REGEXMATCH($C29,G$9),G$8,1"&amp;"))*6))"),3.0)</f>
        <v>3</v>
      </c>
      <c r="H29" s="285">
        <f>IFERROR(__xludf.DUMMYFUNCTION("IF($E29*(IF(REGEXMATCH(H$10,$B29),$A29,1))/(H$11*IF(REGEXMATCH($C29,H$9),H$8,1))*6&gt;6,CEILING($E29*(IF(REGEXMATCH(H$10,$B29),$A29,1))/(H$11*IF(REGEXMATCH($C29,H$9),H$8,1))*6),FLOOR($E29*(IF(REGEXMATCH(H$10,$B29),$A29,1))/(H$11*IF(REGEXMATCH($C29,H$9),H$8,1"&amp;"))*6))"),3.0)</f>
        <v>3</v>
      </c>
      <c r="I29" s="285">
        <f>IFERROR(__xludf.DUMMYFUNCTION("IF($E29*(IF(REGEXMATCH(I$10,$B29),$A29,1))/(I$11*IF(REGEXMATCH($C29,I$9),I$8,1))*6&gt;6,CEILING($E29*(IF(REGEXMATCH(I$10,$B29),$A29,1))/(I$11*IF(REGEXMATCH($C29,I$9),I$8,1))*6),FLOOR($E29*(IF(REGEXMATCH(I$10,$B29),$A29,1))/(I$11*IF(REGEXMATCH($C29,I$9),I$8,1"&amp;"))*6))"),9.0)</f>
        <v>9</v>
      </c>
      <c r="J29" s="285">
        <f>IFERROR(__xludf.DUMMYFUNCTION("IF($E29*(IF(REGEXMATCH(J$10,$B29),$A29,1))/(J$11*IF(REGEXMATCH($C29,J$9),J$8,1))*6&gt;6,CEILING($E29*(IF(REGEXMATCH(J$10,$B29),$A29,1))/(J$11*IF(REGEXMATCH($C29,J$9),J$8,1))*6),FLOOR($E29*(IF(REGEXMATCH(J$10,$B29),$A29,1))/(J$11*IF(REGEXMATCH($C29,J$9),J$8,1"&amp;"))*6))"),9.0)</f>
        <v>9</v>
      </c>
      <c r="K29" s="285">
        <f>IFERROR(__xludf.DUMMYFUNCTION("IF($E29*(IF(REGEXMATCH(K$10,$B29),$A29,1))/(K$11*IF(REGEXMATCH($C29,K$9),K$8,1))*6&gt;6,CEILING($E29*(IF(REGEXMATCH(K$10,$B29),$A29,1))/(K$11*IF(REGEXMATCH($C29,K$9),K$8,1))*6),FLOOR($E29*(IF(REGEXMATCH(K$10,$B29),$A29,1))/(K$11*IF(REGEXMATCH($C29,K$9),K$8,1"&amp;"))*6))"),9.0)</f>
        <v>9</v>
      </c>
      <c r="L29" s="285">
        <f>IFERROR(__xludf.DUMMYFUNCTION("IF($E29*(IF(REGEXMATCH(L$10,$B29),$A29,1))/(L$11*IF(REGEXMATCH($C29,L$9),L$8,1))*6&gt;6,CEILING($E29*(IF(REGEXMATCH(L$10,$B29),$A29,1))/(L$11*IF(REGEXMATCH($C29,L$9),L$8,1))*6),FLOOR($E29*(IF(REGEXMATCH(L$10,$B29),$A29,1))/(L$11*IF(REGEXMATCH($C29,L$9),L$8,1"&amp;"))*6))"),4.0)</f>
        <v>4</v>
      </c>
      <c r="M29" s="285">
        <f>IFERROR(__xludf.DUMMYFUNCTION("IF($E29*(IF(REGEXMATCH(M$10,$B29),$A29,1))/(M$11*IF(REGEXMATCH($C29,M$9),M$8,1))*6&gt;6,CEILING($E29*(IF(REGEXMATCH(M$10,$B29),$A29,1))/(M$11*IF(REGEXMATCH($C29,M$9),M$8,1))*6),FLOOR($E29*(IF(REGEXMATCH(M$10,$B29),$A29,1))/(M$11*IF(REGEXMATCH($C29,M$9),M$8,1"&amp;"))*6))"),9.0)</f>
        <v>9</v>
      </c>
      <c r="N29" s="285">
        <f>IFERROR(__xludf.DUMMYFUNCTION("IF($E29*(IF(REGEXMATCH(N$10,$B29),$A29,1))/(N$11*IF(REGEXMATCH($C29,N$9),N$8,1))*6&gt;6,CEILING($E29*(IF(REGEXMATCH(N$10,$B29),$A29,1))/(N$11*IF(REGEXMATCH($C29,N$9),N$8,1))*6),FLOOR($E29*(IF(REGEXMATCH(N$10,$B29),$A29,1))/(N$11*IF(REGEXMATCH($C29,N$9),N$8,1"&amp;"))*6))"),4.0)</f>
        <v>4</v>
      </c>
      <c r="O29" s="285">
        <f>IFERROR(__xludf.DUMMYFUNCTION("IF($E29*(IF(REGEXMATCH(O$10,$B29),$A29,1))/(O$11*IF(REGEXMATCH($C29,O$9),O$8,1))*6&gt;6,CEILING($E29*(IF(REGEXMATCH(O$10,$B29),$A29,1))/(O$11*IF(REGEXMATCH($C29,O$9),O$8,1))*6),FLOOR($E29*(IF(REGEXMATCH(O$10,$B29),$A29,1))/(O$11*IF(REGEXMATCH($C29,O$9),O$8,1"&amp;"))*6))"),9.0)</f>
        <v>9</v>
      </c>
      <c r="P29" s="285">
        <f>IFERROR(__xludf.DUMMYFUNCTION("IF($E29*(IF(REGEXMATCH(P$10,$B29),$A29,1))/(P$11*IF(REGEXMATCH($C29,P$9),P$8,1))*6&gt;6,CEILING($E29*(IF(REGEXMATCH(P$10,$B29),$A29,1))/(P$11*IF(REGEXMATCH($C29,P$9),P$8,1))*6),FLOOR($E29*(IF(REGEXMATCH(P$10,$B29),$A29,1))/(P$11*IF(REGEXMATCH($C29,P$9),P$8,1"&amp;"))*6))"),4.0)</f>
        <v>4</v>
      </c>
      <c r="Q29" s="285">
        <f>IFERROR(__xludf.DUMMYFUNCTION("IF($E29*(IF(REGEXMATCH(Q$10,$B29),$A29,1))/(Q$11*IF(REGEXMATCH($C29,Q$9),Q$8,1))*6&gt;6,CEILING($E29*(IF(REGEXMATCH(Q$10,$B29),$A29,1))/(Q$11*IF(REGEXMATCH($C29,Q$9),Q$8,1))*6),FLOOR($E29*(IF(REGEXMATCH(Q$10,$B29),$A29,1))/(Q$11*IF(REGEXMATCH($C29,Q$9),Q$8,1"&amp;"))*6))"),4.0)</f>
        <v>4</v>
      </c>
      <c r="R29" s="285">
        <f>IFERROR(__xludf.DUMMYFUNCTION("IF($E29*(IF(REGEXMATCH(R$10,$B29),$A29,1))/(R$11*IF(REGEXMATCH($C29,R$9),R$8,1))*6&gt;6,CEILING($E29*(IF(REGEXMATCH(R$10,$B29),$A29,1))/(R$11*IF(REGEXMATCH($C29,R$9),R$8,1))*6),FLOOR($E29*(IF(REGEXMATCH(R$10,$B29),$A29,1))/(R$11*IF(REGEXMATCH($C29,R$9),R$8,1"&amp;"))*6))"),9.0)</f>
        <v>9</v>
      </c>
      <c r="S29" s="285">
        <f>IFERROR(__xludf.DUMMYFUNCTION("IF($E29*(IF(REGEXMATCH(S$10,$B29),$A29,1))/(S$11*IF(REGEXMATCH($C29,S$9),S$8,1))*6&gt;6,CEILING($E29*(IF(REGEXMATCH(S$10,$B29),$A29,1))/(S$11*IF(REGEXMATCH($C29,S$9),S$8,1))*6),FLOOR($E29*(IF(REGEXMATCH(S$10,$B29),$A29,1))/(S$11*IF(REGEXMATCH($C29,S$9),S$8,1"&amp;"))*6))"),4.0)</f>
        <v>4</v>
      </c>
      <c r="T29" s="285">
        <f>IFERROR(__xludf.DUMMYFUNCTION("IF($E29*(IF(REGEXMATCH(T$10,$B29),$A29,1))/(T$11*IF(REGEXMATCH($C29,T$9),T$8,1))*6&gt;6,CEILING($E29*(IF(REGEXMATCH(T$10,$B29),$A29,1))/(T$11*IF(REGEXMATCH($C29,T$9),T$8,1))*6),FLOOR($E29*(IF(REGEXMATCH(T$10,$B29),$A29,1))/(T$11*IF(REGEXMATCH($C29,T$9),T$8,1"&amp;"))*6))"),9.0)</f>
        <v>9</v>
      </c>
      <c r="U29" s="285">
        <f>IFERROR(__xludf.DUMMYFUNCTION("IF($E29*(IF(REGEXMATCH(U$10,$B29),$A29,1))/(U$11*IF(REGEXMATCH($C29,U$9),U$8,1))*6&gt;6,CEILING($E29*(IF(REGEXMATCH(U$10,$B29),$A29,1))/(U$11*IF(REGEXMATCH($C29,U$9),U$8,1))*6),FLOOR($E29*(IF(REGEXMATCH(U$10,$B29),$A29,1))/(U$11*IF(REGEXMATCH($C29,U$9),U$8,1"&amp;"))*6))"),4.0)</f>
        <v>4</v>
      </c>
      <c r="V29" s="285">
        <f>IFERROR(__xludf.DUMMYFUNCTION("IF($E29*(IF(REGEXMATCH(V$10,$B29),$A29,1))/(V$11*IF(REGEXMATCH($C29,V$9),V$8,1))*6&gt;6,CEILING($E29*(IF(REGEXMATCH(V$10,$B29),$A29,1))/(V$11*IF(REGEXMATCH($C29,V$9),V$8,1))*6),FLOOR($E29*(IF(REGEXMATCH(V$10,$B29),$A29,1))/(V$11*IF(REGEXMATCH($C29,V$9),V$8,1"&amp;"))*6))"),9.0)</f>
        <v>9</v>
      </c>
      <c r="W29" s="285">
        <f>IFERROR(__xludf.DUMMYFUNCTION("IF($E29*(IF(REGEXMATCH(W$10,$B29),$A29,1))/(W$11*IF(REGEXMATCH($C29,W$9),W$8,1))*6&gt;6,CEILING($E29*(IF(REGEXMATCH(W$10,$B29),$A29,1))/(W$11*IF(REGEXMATCH($C29,W$9),W$8,1))*6),FLOOR($E29*(IF(REGEXMATCH(W$10,$B29),$A29,1))/(W$11*IF(REGEXMATCH($C29,W$9),W$8,1"&amp;"))*6))"),6.0)</f>
        <v>6</v>
      </c>
      <c r="X29" s="285">
        <f>IFERROR(__xludf.DUMMYFUNCTION("IF($E29*(IF(REGEXMATCH(X$10,$B29),$A29,1))/(X$11*IF(REGEXMATCH($C29,X$9),X$8,1))*6&gt;6,CEILING($E29*(IF(REGEXMATCH(X$10,$B29),$A29,1))/(X$11*IF(REGEXMATCH($C29,X$9),X$8,1))*6),FLOOR($E29*(IF(REGEXMATCH(X$10,$B29),$A29,1))/(X$11*IF(REGEXMATCH($C29,X$9),X$8,1"&amp;"))*6))"),6.0)</f>
        <v>6</v>
      </c>
      <c r="Y29" s="285">
        <f>IFERROR(__xludf.DUMMYFUNCTION("IF($E29*(IF(REGEXMATCH(Y$10,$B29),$A29,1))/(Y$11*IF(REGEXMATCH($C29,Y$9),Y$8,1))*6&gt;6,CEILING($E29*(IF(REGEXMATCH(Y$10,$B29),$A29,1))/(Y$11*IF(REGEXMATCH($C29,Y$9),Y$8,1))*6),FLOOR($E29*(IF(REGEXMATCH(Y$10,$B29),$A29,1))/(Y$11*IF(REGEXMATCH($C29,Y$9),Y$8,1"&amp;"))*6))"),12.0)</f>
        <v>12</v>
      </c>
      <c r="Z29" s="285">
        <f>IFERROR(__xludf.DUMMYFUNCTION("IF($E29*(IF(REGEXMATCH(Z$10,$B29),$A29,1))/(Z$11*IF(REGEXMATCH($C29,Z$9),Z$8,1))*6&gt;6,CEILING($E29*(IF(REGEXMATCH(Z$10,$B29),$A29,1))/(Z$11*IF(REGEXMATCH($C29,Z$9),Z$8,1))*6),FLOOR($E29*(IF(REGEXMATCH(Z$10,$B29),$A29,1))/(Z$11*IF(REGEXMATCH($C29,Z$9),Z$8,1"&amp;"))*6))"),6.0)</f>
        <v>6</v>
      </c>
      <c r="AA29" s="285">
        <f>IFERROR(__xludf.DUMMYFUNCTION("IF($E29*(IF(REGEXMATCH(AA$10,$B29),$A29,1))/(AA$11*IF(REGEXMATCH($C29,AA$9),AA$8,1))*6&gt;6,CEILING($E29*(IF(REGEXMATCH(AA$10,$B29),$A29,1))/(AA$11*IF(REGEXMATCH($C29,AA$9),AA$8,1))*6),FLOOR($E29*(IF(REGEXMATCH(AA$10,$B29),$A29,1))/(AA$11*IF(REGEXMATCH($C29,"&amp;"AA$9),AA$8,1))*6))"),6.0)</f>
        <v>6</v>
      </c>
      <c r="AB29" s="285">
        <f>IFERROR(__xludf.DUMMYFUNCTION("IF($E29*(IF(REGEXMATCH(AB$10,$B29),$A29,1))/(AB$11*IF(REGEXMATCH($C29,AB$9),AB$8,1))*6&gt;6,CEILING($E29*(IF(REGEXMATCH(AB$10,$B29),$A29,1))/(AB$11*IF(REGEXMATCH($C29,AB$9),AB$8,1))*6),FLOOR($E29*(IF(REGEXMATCH(AB$10,$B29),$A29,1))/(AB$11*IF(REGEXMATCH($C29,"&amp;"AB$9),AB$8,1))*6))"),6.0)</f>
        <v>6</v>
      </c>
      <c r="AC29" s="285">
        <f>IFERROR(__xludf.DUMMYFUNCTION("IF($E29*(IF(REGEXMATCH(AC$10,$B29),$A29,1))/(AC$11*IF(REGEXMATCH($C29,AC$9),AC$8,1))*6&gt;6,CEILING($E29*(IF(REGEXMATCH(AC$10,$B29),$A29,1))/(AC$11*IF(REGEXMATCH($C29,AC$9),AC$8,1))*6),FLOOR($E29*(IF(REGEXMATCH(AC$10,$B29),$A29,1))/(AC$11*IF(REGEXMATCH($C29,"&amp;"AC$9),AC$8,1))*6))"),6.0)</f>
        <v>6</v>
      </c>
      <c r="AD29" s="285">
        <f>IFERROR(__xludf.DUMMYFUNCTION("IF($E29*(IF(REGEXMATCH(AD$10,$B29),$A29,1))/(AD$11*IF(REGEXMATCH($C29,AD$9),AD$8,1))*6&gt;6,CEILING($E29*(IF(REGEXMATCH(AD$10,$B29),$A29,1))/(AD$11*IF(REGEXMATCH($C29,AD$9),AD$8,1))*6),FLOOR($E29*(IF(REGEXMATCH(AD$10,$B29),$A29,1))/(AD$11*IF(REGEXMATCH($C29,"&amp;"AD$9),AD$8,1))*6))"),12.0)</f>
        <v>12</v>
      </c>
      <c r="AE29" s="285">
        <f>IFERROR(__xludf.DUMMYFUNCTION("IF($E29*(IF(REGEXMATCH(AE$10,$B29),$A29,1))/(AE$11*IF(REGEXMATCH($C29,AE$9),AE$8,1))*6&gt;6,CEILING($E29*(IF(REGEXMATCH(AE$10,$B29),$A29,1))/(AE$11*IF(REGEXMATCH($C29,AE$9),AE$8,1))*6),FLOOR($E29*(IF(REGEXMATCH(AE$10,$B29),$A29,1))/(AE$11*IF(REGEXMATCH($C29,"&amp;"AE$9),AE$8,1))*6))"),6.0)</f>
        <v>6</v>
      </c>
      <c r="AF29" s="285">
        <f>IFERROR(__xludf.DUMMYFUNCTION("IF($E29*(IF(REGEXMATCH(AF$10,$B29),$A29,1))/(AF$11*IF(REGEXMATCH($C29,AF$9),AF$8,1))*6&gt;6,CEILING($E29*(IF(REGEXMATCH(AF$10,$B29),$A29,1))/(AF$11*IF(REGEXMATCH($C29,AF$9),AF$8,1))*6),FLOOR($E29*(IF(REGEXMATCH(AF$10,$B29),$A29,1))/(AF$11*IF(REGEXMATCH($C29,"&amp;"AF$9),AF$8,1))*6))"),6.0)</f>
        <v>6</v>
      </c>
      <c r="AG29" s="285">
        <f>IFERROR(__xludf.DUMMYFUNCTION("IF($E29*(IF(REGEXMATCH(AG$10,$B29),$A29,1))/(AG$11*IF(REGEXMATCH($C29,AG$9),AG$8,1))*6&gt;6,CEILING($E29*(IF(REGEXMATCH(AG$10,$B29),$A29,1))/(AG$11*IF(REGEXMATCH($C29,AG$9),AG$8,1))*6),FLOOR($E29*(IF(REGEXMATCH(AG$10,$B29),$A29,1))/(AG$11*IF(REGEXMATCH($C29,"&amp;"AG$9),AG$8,1))*6))"),12.0)</f>
        <v>12</v>
      </c>
      <c r="AH29" s="285">
        <f>IFERROR(__xludf.DUMMYFUNCTION("IF($E29*(IF(REGEXMATCH(AH$10,$B29),$A29,1))/(AH$11*IF(REGEXMATCH($C29,AH$9),AH$8,1))*6&gt;6,CEILING($E29*(IF(REGEXMATCH(AH$10,$B29),$A29,1))/(AH$11*IF(REGEXMATCH($C29,AH$9),AH$8,1))*6),FLOOR($E29*(IF(REGEXMATCH(AH$10,$B29),$A29,1))/(AH$11*IF(REGEXMATCH($C29,"&amp;"AH$9),AH$8,1))*6))"),6.0)</f>
        <v>6</v>
      </c>
      <c r="AI29" s="285">
        <f>IFERROR(__xludf.DUMMYFUNCTION("IF($E29*(IF(REGEXMATCH(AI$10,$B29),$A29,1))/(AI$11*IF(REGEXMATCH($C29,AI$9),AI$8,1))*6&gt;6,CEILING($E29*(IF(REGEXMATCH(AI$10,$B29),$A29,1))/(AI$11*IF(REGEXMATCH($C29,AI$9),AI$8,1))*6),FLOOR($E29*(IF(REGEXMATCH(AI$10,$B29),$A29,1))/(AI$11*IF(REGEXMATCH($C29,"&amp;"AI$9),AI$8,1))*6))"),12.0)</f>
        <v>12</v>
      </c>
      <c r="AJ29" s="285">
        <f>IFERROR(__xludf.DUMMYFUNCTION("IF($E29*(IF(REGEXMATCH(AJ$10,$B29),$A29,1))/(AJ$11*IF(REGEXMATCH($C29,AJ$9),AJ$8,1))*6&gt;6,CEILING($E29*(IF(REGEXMATCH(AJ$10,$B29),$A29,1))/(AJ$11*IF(REGEXMATCH($C29,AJ$9),AJ$8,1))*6),FLOOR($E29*(IF(REGEXMATCH(AJ$10,$B29),$A29,1))/(AJ$11*IF(REGEXMATCH($C29,"&amp;"AJ$9),AJ$8,1))*6))"),6.0)</f>
        <v>6</v>
      </c>
      <c r="AK29" s="285">
        <f>IFERROR(__xludf.DUMMYFUNCTION("IF($E29*(IF(REGEXMATCH(AK$10,$B29),$A29,1))/(AK$11*IF(REGEXMATCH($C29,AK$9),AK$8,1))*6&gt;6,CEILING($E29*(IF(REGEXMATCH(AK$10,$B29),$A29,1))/(AK$11*IF(REGEXMATCH($C29,AK$9),AK$8,1))*6),FLOOR($E29*(IF(REGEXMATCH(AK$10,$B29),$A29,1))/(AK$11*IF(REGEXMATCH($C29,"&amp;"AK$9),AK$8,1))*6))"),12.0)</f>
        <v>12</v>
      </c>
      <c r="AL29" s="285">
        <f>IFERROR(__xludf.DUMMYFUNCTION("IF($E29*(IF(REGEXMATCH(AL$10,$B29),$A29,1))/(AL$11*IF(REGEXMATCH($C29,AL$9),AL$8,1))*6&gt;6,CEILING($E29*(IF(REGEXMATCH(AL$10,$B29),$A29,1))/(AL$11*IF(REGEXMATCH($C29,AL$9),AL$8,1))*6),FLOOR($E29*(IF(REGEXMATCH(AL$10,$B29),$A29,1))/(AL$11*IF(REGEXMATCH($C29,"&amp;"AL$9),AL$8,1))*6))"),8.0)</f>
        <v>8</v>
      </c>
      <c r="AM29" s="285">
        <f>IFERROR(__xludf.DUMMYFUNCTION("IF($E29*(IF(REGEXMATCH(AM$10,$B29),$A29,1))/(AM$11*IF(REGEXMATCH($C29,AM$9),AM$8,1))*6&gt;6,CEILING($E29*(IF(REGEXMATCH(AM$10,$B29),$A29,1))/(AM$11*IF(REGEXMATCH($C29,AM$9),AM$8,1))*6),FLOOR($E29*(IF(REGEXMATCH(AM$10,$B29),$A29,1))/(AM$11*IF(REGEXMATCH($C29,"&amp;"AM$9),AM$8,1))*6))"),15.0)</f>
        <v>15</v>
      </c>
      <c r="AN29" s="285">
        <f>IFERROR(__xludf.DUMMYFUNCTION("IF($E29*(IF(REGEXMATCH(AN$10,$B29),$A29,1))/(AN$11*IF(REGEXMATCH($C29,AN$9),AN$8,1))*6&gt;6,CEILING($E29*(IF(REGEXMATCH(AN$10,$B29),$A29,1))/(AN$11*IF(REGEXMATCH($C29,AN$9),AN$8,1))*6),FLOOR($E29*(IF(REGEXMATCH(AN$10,$B29),$A29,1))/(AN$11*IF(REGEXMATCH($C29,"&amp;"AN$9),AN$8,1))*6))"),15.0)</f>
        <v>15</v>
      </c>
      <c r="AO29" s="285">
        <f>IFERROR(__xludf.DUMMYFUNCTION("IF($E29*(IF(REGEXMATCH(AO$10,$B29),$A29,1))/(AO$11*IF(REGEXMATCH($C29,AO$9),AO$8,1))*6&gt;6,CEILING($E29*(IF(REGEXMATCH(AO$10,$B29),$A29,1))/(AO$11*IF(REGEXMATCH($C29,AO$9),AO$8,1))*6),FLOOR($E29*(IF(REGEXMATCH(AO$10,$B29),$A29,1))/(AO$11*IF(REGEXMATCH($C29,"&amp;"AO$9),AO$8,1))*6))"),15.0)</f>
        <v>15</v>
      </c>
      <c r="AP29" s="285">
        <f>IFERROR(__xludf.DUMMYFUNCTION("IF($E29*(IF(REGEXMATCH(AP$10,$B29),$A29,1))/(AP$11*IF(REGEXMATCH($C29,AP$9),AP$8,1))*6&gt;6,CEILING($E29*(IF(REGEXMATCH(AP$10,$B29),$A29,1))/(AP$11*IF(REGEXMATCH($C29,AP$9),AP$8,1))*6),FLOOR($E29*(IF(REGEXMATCH(AP$10,$B29),$A29,1))/(AP$11*IF(REGEXMATCH($C29,"&amp;"AP$9),AP$8,1))*6))"),8.0)</f>
        <v>8</v>
      </c>
      <c r="AQ29" s="285">
        <f>IFERROR(__xludf.DUMMYFUNCTION("IF($E29*(IF(REGEXMATCH(AQ$10,$B29),$A29,1))/(AQ$11*IF(REGEXMATCH($C29,AQ$9),AQ$8,1))*6&gt;6,CEILING($E29*(IF(REGEXMATCH(AQ$10,$B29),$A29,1))/(AQ$11*IF(REGEXMATCH($C29,AQ$9),AQ$8,1))*6),FLOOR($E29*(IF(REGEXMATCH(AQ$10,$B29),$A29,1))/(AQ$11*IF(REGEXMATCH($C29,"&amp;"AQ$9),AQ$8,1))*6))"),15.0)</f>
        <v>15</v>
      </c>
      <c r="AR29" s="285">
        <f>IFERROR(__xludf.DUMMYFUNCTION("IF($E29*(IF(REGEXMATCH(AR$10,$B29),$A29,1))/(AR$11*IF(REGEXMATCH($C29,AR$9),AR$8,1))*6&gt;6,CEILING($E29*(IF(REGEXMATCH(AR$10,$B29),$A29,1))/(AR$11*IF(REGEXMATCH($C29,AR$9),AR$8,1))*6),FLOOR($E29*(IF(REGEXMATCH(AR$10,$B29),$A29,1))/(AR$11*IF(REGEXMATCH($C29,"&amp;"AR$9),AR$8,1))*6))"),18.0)</f>
        <v>18</v>
      </c>
      <c r="AS29" s="285">
        <f>IFERROR(__xludf.DUMMYFUNCTION("IF($E29*(IF(REGEXMATCH(AS$10,$B29),$A29,1))/(AS$11*IF(REGEXMATCH($C29,AS$9),AS$8,1))*6&gt;6,CEILING($E29*(IF(REGEXMATCH(AS$10,$B29),$A29,1))/(AS$11*IF(REGEXMATCH($C29,AS$9),AS$8,1))*6),FLOOR($E29*(IF(REGEXMATCH(AS$10,$B29),$A29,1))/(AS$11*IF(REGEXMATCH($C29,"&amp;"AS$9),AS$8,1))*6))"),18.0)</f>
        <v>18</v>
      </c>
      <c r="AT29" s="285">
        <f>IFERROR(__xludf.DUMMYFUNCTION("IF($E29*(IF(REGEXMATCH(AT$10,$B29),$A29,1))/(AT$11*IF(REGEXMATCH($C29,AT$9),AT$8,1))*6&gt;6,CEILING($E29*(IF(REGEXMATCH(AT$10,$B29),$A29,1))/(AT$11*IF(REGEXMATCH($C29,AT$9),AT$8,1))*6),FLOOR($E29*(IF(REGEXMATCH(AT$10,$B29),$A29,1))/(AT$11*IF(REGEXMATCH($C29,"&amp;"AT$9),AT$8,1))*6))"),24.0)</f>
        <v>24</v>
      </c>
    </row>
    <row r="30">
      <c r="A30" s="8">
        <v>1.0</v>
      </c>
      <c r="B30" s="8" t="s">
        <v>2577</v>
      </c>
      <c r="C30" s="812" t="s">
        <v>2588</v>
      </c>
      <c r="D30" s="8"/>
      <c r="E30" s="8">
        <v>6.0</v>
      </c>
      <c r="F30" s="285" t="s">
        <v>2538</v>
      </c>
      <c r="G30" s="285">
        <f>IFERROR(__xludf.DUMMYFUNCTION("IF($E30*(IF(REGEXMATCH(G$10,$B30),$A30,1))/(G$11*IF(REGEXMATCH($C30,G$9),G$8,1))*6&gt;6,CEILING($E30*(IF(REGEXMATCH(G$10,$B30),$A30,1))/(G$11*IF(REGEXMATCH($C30,G$9),G$8,1))*6),FLOOR($E30*(IF(REGEXMATCH(G$10,$B30),$A30,1))/(G$11*IF(REGEXMATCH($C30,G$9),G$8,1"&amp;"))*6))"),3.0)</f>
        <v>3</v>
      </c>
      <c r="H30" s="285">
        <f>IFERROR(__xludf.DUMMYFUNCTION("IF($E30*(IF(REGEXMATCH(H$10,$B30),$A30,1))/(H$11*IF(REGEXMATCH($C30,H$9),H$8,1))*6&gt;6,CEILING($E30*(IF(REGEXMATCH(H$10,$B30),$A30,1))/(H$11*IF(REGEXMATCH($C30,H$9),H$8,1))*6),FLOOR($E30*(IF(REGEXMATCH(H$10,$B30),$A30,1))/(H$11*IF(REGEXMATCH($C30,H$9),H$8,1"&amp;"))*6))"),3.0)</f>
        <v>3</v>
      </c>
      <c r="I30" s="285">
        <f>IFERROR(__xludf.DUMMYFUNCTION("IF($E30*(IF(REGEXMATCH(I$10,$B30),$A30,1))/(I$11*IF(REGEXMATCH($C30,I$9),I$8,1))*6&gt;6,CEILING($E30*(IF(REGEXMATCH(I$10,$B30),$A30,1))/(I$11*IF(REGEXMATCH($C30,I$9),I$8,1))*6),FLOOR($E30*(IF(REGEXMATCH(I$10,$B30),$A30,1))/(I$11*IF(REGEXMATCH($C30,I$9),I$8,1"&amp;"))*6))"),3.0)</f>
        <v>3</v>
      </c>
      <c r="J30" s="285">
        <f>IFERROR(__xludf.DUMMYFUNCTION("IF($E30*(IF(REGEXMATCH(J$10,$B30),$A30,1))/(J$11*IF(REGEXMATCH($C30,J$9),J$8,1))*6&gt;6,CEILING($E30*(IF(REGEXMATCH(J$10,$B30),$A30,1))/(J$11*IF(REGEXMATCH($C30,J$9),J$8,1))*6),FLOOR($E30*(IF(REGEXMATCH(J$10,$B30),$A30,1))/(J$11*IF(REGEXMATCH($C30,J$9),J$8,1"&amp;"))*6))"),4.0)</f>
        <v>4</v>
      </c>
      <c r="K30" s="285">
        <f>IFERROR(__xludf.DUMMYFUNCTION("IF($E30*(IF(REGEXMATCH(K$10,$B30),$A30,1))/(K$11*IF(REGEXMATCH($C30,K$9),K$8,1))*6&gt;6,CEILING($E30*(IF(REGEXMATCH(K$10,$B30),$A30,1))/(K$11*IF(REGEXMATCH($C30,K$9),K$8,1))*6),FLOOR($E30*(IF(REGEXMATCH(K$10,$B30),$A30,1))/(K$11*IF(REGEXMATCH($C30,K$9),K$8,1"&amp;"))*6))"),4.0)</f>
        <v>4</v>
      </c>
      <c r="L30" s="285">
        <f>IFERROR(__xludf.DUMMYFUNCTION("IF($E30*(IF(REGEXMATCH(L$10,$B30),$A30,1))/(L$11*IF(REGEXMATCH($C30,L$9),L$8,1))*6&gt;6,CEILING($E30*(IF(REGEXMATCH(L$10,$B30),$A30,1))/(L$11*IF(REGEXMATCH($C30,L$9),L$8,1))*6),FLOOR($E30*(IF(REGEXMATCH(L$10,$B30),$A30,1))/(L$11*IF(REGEXMATCH($C30,L$9),L$8,1"&amp;"))*6))"),4.0)</f>
        <v>4</v>
      </c>
      <c r="M30" s="285">
        <f>IFERROR(__xludf.DUMMYFUNCTION("IF($E30*(IF(REGEXMATCH(M$10,$B30),$A30,1))/(M$11*IF(REGEXMATCH($C30,M$9),M$8,1))*6&gt;6,CEILING($E30*(IF(REGEXMATCH(M$10,$B30),$A30,1))/(M$11*IF(REGEXMATCH($C30,M$9),M$8,1))*6),FLOOR($E30*(IF(REGEXMATCH(M$10,$B30),$A30,1))/(M$11*IF(REGEXMATCH($C30,M$9),M$8,1"&amp;"))*6))"),2.0)</f>
        <v>2</v>
      </c>
      <c r="N30" s="285">
        <f>IFERROR(__xludf.DUMMYFUNCTION("IF($E30*(IF(REGEXMATCH(N$10,$B30),$A30,1))/(N$11*IF(REGEXMATCH($C30,N$9),N$8,1))*6&gt;6,CEILING($E30*(IF(REGEXMATCH(N$10,$B30),$A30,1))/(N$11*IF(REGEXMATCH($C30,N$9),N$8,1))*6),FLOOR($E30*(IF(REGEXMATCH(N$10,$B30),$A30,1))/(N$11*IF(REGEXMATCH($C30,N$9),N$8,1"&amp;"))*6))"),4.0)</f>
        <v>4</v>
      </c>
      <c r="O30" s="285">
        <f>IFERROR(__xludf.DUMMYFUNCTION("IF($E30*(IF(REGEXMATCH(O$10,$B30),$A30,1))/(O$11*IF(REGEXMATCH($C30,O$9),O$8,1))*6&gt;6,CEILING($E30*(IF(REGEXMATCH(O$10,$B30),$A30,1))/(O$11*IF(REGEXMATCH($C30,O$9),O$8,1))*6),FLOOR($E30*(IF(REGEXMATCH(O$10,$B30),$A30,1))/(O$11*IF(REGEXMATCH($C30,O$9),O$8,1"&amp;"))*6))"),4.0)</f>
        <v>4</v>
      </c>
      <c r="P30" s="285">
        <f>IFERROR(__xludf.DUMMYFUNCTION("IF($E30*(IF(REGEXMATCH(P$10,$B30),$A30,1))/(P$11*IF(REGEXMATCH($C30,P$9),P$8,1))*6&gt;6,CEILING($E30*(IF(REGEXMATCH(P$10,$B30),$A30,1))/(P$11*IF(REGEXMATCH($C30,P$9),P$8,1))*6),FLOOR($E30*(IF(REGEXMATCH(P$10,$B30),$A30,1))/(P$11*IF(REGEXMATCH($C30,P$9),P$8,1"&amp;"))*6))"),4.0)</f>
        <v>4</v>
      </c>
      <c r="Q30" s="285">
        <f>IFERROR(__xludf.DUMMYFUNCTION("IF($E30*(IF(REGEXMATCH(Q$10,$B30),$A30,1))/(Q$11*IF(REGEXMATCH($C30,Q$9),Q$8,1))*6&gt;6,CEILING($E30*(IF(REGEXMATCH(Q$10,$B30),$A30,1))/(Q$11*IF(REGEXMATCH($C30,Q$9),Q$8,1))*6),FLOOR($E30*(IF(REGEXMATCH(Q$10,$B30),$A30,1))/(Q$11*IF(REGEXMATCH($C30,Q$9),Q$8,1"&amp;"))*6))"),4.0)</f>
        <v>4</v>
      </c>
      <c r="R30" s="285">
        <f>IFERROR(__xludf.DUMMYFUNCTION("IF($E30*(IF(REGEXMATCH(R$10,$B30),$A30,1))/(R$11*IF(REGEXMATCH($C30,R$9),R$8,1))*6&gt;6,CEILING($E30*(IF(REGEXMATCH(R$10,$B30),$A30,1))/(R$11*IF(REGEXMATCH($C30,R$9),R$8,1))*6),FLOOR($E30*(IF(REGEXMATCH(R$10,$B30),$A30,1))/(R$11*IF(REGEXMATCH($C30,R$9),R$8,1"&amp;"))*6))"),3.0)</f>
        <v>3</v>
      </c>
      <c r="S30" s="285">
        <f>IFERROR(__xludf.DUMMYFUNCTION("IF($E30*(IF(REGEXMATCH(S$10,$B30),$A30,1))/(S$11*IF(REGEXMATCH($C30,S$9),S$8,1))*6&gt;6,CEILING($E30*(IF(REGEXMATCH(S$10,$B30),$A30,1))/(S$11*IF(REGEXMATCH($C30,S$9),S$8,1))*6),FLOOR($E30*(IF(REGEXMATCH(S$10,$B30),$A30,1))/(S$11*IF(REGEXMATCH($C30,S$9),S$8,1"&amp;"))*6))"),4.0)</f>
        <v>4</v>
      </c>
      <c r="T30" s="285">
        <f>IFERROR(__xludf.DUMMYFUNCTION("IF($E30*(IF(REGEXMATCH(T$10,$B30),$A30,1))/(T$11*IF(REGEXMATCH($C30,T$9),T$8,1))*6&gt;6,CEILING($E30*(IF(REGEXMATCH(T$10,$B30),$A30,1))/(T$11*IF(REGEXMATCH($C30,T$9),T$8,1))*6),FLOOR($E30*(IF(REGEXMATCH(T$10,$B30),$A30,1))/(T$11*IF(REGEXMATCH($C30,T$9),T$8,1"&amp;"))*6))"),3.0)</f>
        <v>3</v>
      </c>
      <c r="U30" s="285">
        <f>IFERROR(__xludf.DUMMYFUNCTION("IF($E30*(IF(REGEXMATCH(U$10,$B30),$A30,1))/(U$11*IF(REGEXMATCH($C30,U$9),U$8,1))*6&gt;6,CEILING($E30*(IF(REGEXMATCH(U$10,$B30),$A30,1))/(U$11*IF(REGEXMATCH($C30,U$9),U$8,1))*6),FLOOR($E30*(IF(REGEXMATCH(U$10,$B30),$A30,1))/(U$11*IF(REGEXMATCH($C30,U$9),U$8,1"&amp;"))*6))"),4.0)</f>
        <v>4</v>
      </c>
      <c r="V30" s="285">
        <f>IFERROR(__xludf.DUMMYFUNCTION("IF($E30*(IF(REGEXMATCH(V$10,$B30),$A30,1))/(V$11*IF(REGEXMATCH($C30,V$9),V$8,1))*6&gt;6,CEILING($E30*(IF(REGEXMATCH(V$10,$B30),$A30,1))/(V$11*IF(REGEXMATCH($C30,V$9),V$8,1))*6),FLOOR($E30*(IF(REGEXMATCH(V$10,$B30),$A30,1))/(V$11*IF(REGEXMATCH($C30,V$9),V$8,1"&amp;"))*6))"),4.0)</f>
        <v>4</v>
      </c>
      <c r="W30" s="285">
        <f>IFERROR(__xludf.DUMMYFUNCTION("IF($E30*(IF(REGEXMATCH(W$10,$B30),$A30,1))/(W$11*IF(REGEXMATCH($C30,W$9),W$8,1))*6&gt;6,CEILING($E30*(IF(REGEXMATCH(W$10,$B30),$A30,1))/(W$11*IF(REGEXMATCH($C30,W$9),W$8,1))*6),FLOOR($E30*(IF(REGEXMATCH(W$10,$B30),$A30,1))/(W$11*IF(REGEXMATCH($C30,W$9),W$8,1"&amp;"))*6))"),6.0)</f>
        <v>6</v>
      </c>
      <c r="X30" s="285">
        <f>IFERROR(__xludf.DUMMYFUNCTION("IF($E30*(IF(REGEXMATCH(X$10,$B30),$A30,1))/(X$11*IF(REGEXMATCH($C30,X$9),X$8,1))*6&gt;6,CEILING($E30*(IF(REGEXMATCH(X$10,$B30),$A30,1))/(X$11*IF(REGEXMATCH($C30,X$9),X$8,1))*6),FLOOR($E30*(IF(REGEXMATCH(X$10,$B30),$A30,1))/(X$11*IF(REGEXMATCH($C30,X$9),X$8,1"&amp;"))*6))"),6.0)</f>
        <v>6</v>
      </c>
      <c r="Y30" s="285">
        <f>IFERROR(__xludf.DUMMYFUNCTION("IF($E30*(IF(REGEXMATCH(Y$10,$B30),$A30,1))/(Y$11*IF(REGEXMATCH($C30,Y$9),Y$8,1))*6&gt;6,CEILING($E30*(IF(REGEXMATCH(Y$10,$B30),$A30,1))/(Y$11*IF(REGEXMATCH($C30,Y$9),Y$8,1))*6),FLOOR($E30*(IF(REGEXMATCH(Y$10,$B30),$A30,1))/(Y$11*IF(REGEXMATCH($C30,Y$9),Y$8,1"&amp;"))*6))"),4.0)</f>
        <v>4</v>
      </c>
      <c r="Z30" s="285">
        <f>IFERROR(__xludf.DUMMYFUNCTION("IF($E30*(IF(REGEXMATCH(Z$10,$B30),$A30,1))/(Z$11*IF(REGEXMATCH($C30,Z$9),Z$8,1))*6&gt;6,CEILING($E30*(IF(REGEXMATCH(Z$10,$B30),$A30,1))/(Z$11*IF(REGEXMATCH($C30,Z$9),Z$8,1))*6),FLOOR($E30*(IF(REGEXMATCH(Z$10,$B30),$A30,1))/(Z$11*IF(REGEXMATCH($C30,Z$9),Z$8,1"&amp;"))*6))"),6.0)</f>
        <v>6</v>
      </c>
      <c r="AA30" s="285">
        <f>IFERROR(__xludf.DUMMYFUNCTION("IF($E30*(IF(REGEXMATCH(AA$10,$B30),$A30,1))/(AA$11*IF(REGEXMATCH($C30,AA$9),AA$8,1))*6&gt;6,CEILING($E30*(IF(REGEXMATCH(AA$10,$B30),$A30,1))/(AA$11*IF(REGEXMATCH($C30,AA$9),AA$8,1))*6),FLOOR($E30*(IF(REGEXMATCH(AA$10,$B30),$A30,1))/(AA$11*IF(REGEXMATCH($C30,"&amp;"AA$9),AA$8,1))*6))"),6.0)</f>
        <v>6</v>
      </c>
      <c r="AB30" s="285">
        <f>IFERROR(__xludf.DUMMYFUNCTION("IF($E30*(IF(REGEXMATCH(AB$10,$B30),$A30,1))/(AB$11*IF(REGEXMATCH($C30,AB$9),AB$8,1))*6&gt;6,CEILING($E30*(IF(REGEXMATCH(AB$10,$B30),$A30,1))/(AB$11*IF(REGEXMATCH($C30,AB$9),AB$8,1))*6),FLOOR($E30*(IF(REGEXMATCH(AB$10,$B30),$A30,1))/(AB$11*IF(REGEXMATCH($C30,"&amp;"AB$9),AB$8,1))*6))"),6.0)</f>
        <v>6</v>
      </c>
      <c r="AC30" s="285">
        <f>IFERROR(__xludf.DUMMYFUNCTION("IF($E30*(IF(REGEXMATCH(AC$10,$B30),$A30,1))/(AC$11*IF(REGEXMATCH($C30,AC$9),AC$8,1))*6&gt;6,CEILING($E30*(IF(REGEXMATCH(AC$10,$B30),$A30,1))/(AC$11*IF(REGEXMATCH($C30,AC$9),AC$8,1))*6),FLOOR($E30*(IF(REGEXMATCH(AC$10,$B30),$A30,1))/(AC$11*IF(REGEXMATCH($C30,"&amp;"AC$9),AC$8,1))*6))"),6.0)</f>
        <v>6</v>
      </c>
      <c r="AD30" s="285">
        <f>IFERROR(__xludf.DUMMYFUNCTION("IF($E30*(IF(REGEXMATCH(AD$10,$B30),$A30,1))/(AD$11*IF(REGEXMATCH($C30,AD$9),AD$8,1))*6&gt;6,CEILING($E30*(IF(REGEXMATCH(AD$10,$B30),$A30,1))/(AD$11*IF(REGEXMATCH($C30,AD$9),AD$8,1))*6),FLOOR($E30*(IF(REGEXMATCH(AD$10,$B30),$A30,1))/(AD$11*IF(REGEXMATCH($C30,"&amp;"AD$9),AD$8,1))*6))"),6.0)</f>
        <v>6</v>
      </c>
      <c r="AE30" s="285">
        <f>IFERROR(__xludf.DUMMYFUNCTION("IF($E30*(IF(REGEXMATCH(AE$10,$B30),$A30,1))/(AE$11*IF(REGEXMATCH($C30,AE$9),AE$8,1))*6&gt;6,CEILING($E30*(IF(REGEXMATCH(AE$10,$B30),$A30,1))/(AE$11*IF(REGEXMATCH($C30,AE$9),AE$8,1))*6),FLOOR($E30*(IF(REGEXMATCH(AE$10,$B30),$A30,1))/(AE$11*IF(REGEXMATCH($C30,"&amp;"AE$9),AE$8,1))*6))"),6.0)</f>
        <v>6</v>
      </c>
      <c r="AF30" s="285">
        <f>IFERROR(__xludf.DUMMYFUNCTION("IF($E30*(IF(REGEXMATCH(AF$10,$B30),$A30,1))/(AF$11*IF(REGEXMATCH($C30,AF$9),AF$8,1))*6&gt;6,CEILING($E30*(IF(REGEXMATCH(AF$10,$B30),$A30,1))/(AF$11*IF(REGEXMATCH($C30,AF$9),AF$8,1))*6),FLOOR($E30*(IF(REGEXMATCH(AF$10,$B30),$A30,1))/(AF$11*IF(REGEXMATCH($C30,"&amp;"AF$9),AF$8,1))*6))"),6.0)</f>
        <v>6</v>
      </c>
      <c r="AG30" s="285">
        <f>IFERROR(__xludf.DUMMYFUNCTION("IF($E30*(IF(REGEXMATCH(AG$10,$B30),$A30,1))/(AG$11*IF(REGEXMATCH($C30,AG$9),AG$8,1))*6&gt;6,CEILING($E30*(IF(REGEXMATCH(AG$10,$B30),$A30,1))/(AG$11*IF(REGEXMATCH($C30,AG$9),AG$8,1))*6),FLOOR($E30*(IF(REGEXMATCH(AG$10,$B30),$A30,1))/(AG$11*IF(REGEXMATCH($C30,"&amp;"AG$9),AG$8,1))*6))"),4.0)</f>
        <v>4</v>
      </c>
      <c r="AH30" s="285">
        <f>IFERROR(__xludf.DUMMYFUNCTION("IF($E30*(IF(REGEXMATCH(AH$10,$B30),$A30,1))/(AH$11*IF(REGEXMATCH($C30,AH$9),AH$8,1))*6&gt;6,CEILING($E30*(IF(REGEXMATCH(AH$10,$B30),$A30,1))/(AH$11*IF(REGEXMATCH($C30,AH$9),AH$8,1))*6),FLOOR($E30*(IF(REGEXMATCH(AH$10,$B30),$A30,1))/(AH$11*IF(REGEXMATCH($C30,"&amp;"AH$9),AH$8,1))*6))"),6.0)</f>
        <v>6</v>
      </c>
      <c r="AI30" s="285">
        <f>IFERROR(__xludf.DUMMYFUNCTION("IF($E30*(IF(REGEXMATCH(AI$10,$B30),$A30,1))/(AI$11*IF(REGEXMATCH($C30,AI$9),AI$8,1))*6&gt;6,CEILING($E30*(IF(REGEXMATCH(AI$10,$B30),$A30,1))/(AI$11*IF(REGEXMATCH($C30,AI$9),AI$8,1))*6),FLOOR($E30*(IF(REGEXMATCH(AI$10,$B30),$A30,1))/(AI$11*IF(REGEXMATCH($C30,"&amp;"AI$9),AI$8,1))*6))"),4.0)</f>
        <v>4</v>
      </c>
      <c r="AJ30" s="285">
        <f>IFERROR(__xludf.DUMMYFUNCTION("IF($E30*(IF(REGEXMATCH(AJ$10,$B30),$A30,1))/(AJ$11*IF(REGEXMATCH($C30,AJ$9),AJ$8,1))*6&gt;6,CEILING($E30*(IF(REGEXMATCH(AJ$10,$B30),$A30,1))/(AJ$11*IF(REGEXMATCH($C30,AJ$9),AJ$8,1))*6),FLOOR($E30*(IF(REGEXMATCH(AJ$10,$B30),$A30,1))/(AJ$11*IF(REGEXMATCH($C30,"&amp;"AJ$9),AJ$8,1))*6))"),6.0)</f>
        <v>6</v>
      </c>
      <c r="AK30" s="285">
        <f>IFERROR(__xludf.DUMMYFUNCTION("IF($E30*(IF(REGEXMATCH(AK$10,$B30),$A30,1))/(AK$11*IF(REGEXMATCH($C30,AK$9),AK$8,1))*6&gt;6,CEILING($E30*(IF(REGEXMATCH(AK$10,$B30),$A30,1))/(AK$11*IF(REGEXMATCH($C30,AK$9),AK$8,1))*6),FLOOR($E30*(IF(REGEXMATCH(AK$10,$B30),$A30,1))/(AK$11*IF(REGEXMATCH($C30,"&amp;"AK$9),AK$8,1))*6))"),6.0)</f>
        <v>6</v>
      </c>
      <c r="AL30" s="285">
        <f>IFERROR(__xludf.DUMMYFUNCTION("IF($E30*(IF(REGEXMATCH(AL$10,$B30),$A30,1))/(AL$11*IF(REGEXMATCH($C30,AL$9),AL$8,1))*6&gt;6,CEILING($E30*(IF(REGEXMATCH(AL$10,$B30),$A30,1))/(AL$11*IF(REGEXMATCH($C30,AL$9),AL$8,1))*6),FLOOR($E30*(IF(REGEXMATCH(AL$10,$B30),$A30,1))/(AL$11*IF(REGEXMATCH($C30,"&amp;"AL$9),AL$8,1))*6))"),8.0)</f>
        <v>8</v>
      </c>
      <c r="AM30" s="285">
        <f>IFERROR(__xludf.DUMMYFUNCTION("IF($E30*(IF(REGEXMATCH(AM$10,$B30),$A30,1))/(AM$11*IF(REGEXMATCH($C30,AM$9),AM$8,1))*6&gt;6,CEILING($E30*(IF(REGEXMATCH(AM$10,$B30),$A30,1))/(AM$11*IF(REGEXMATCH($C30,AM$9),AM$8,1))*6),FLOOR($E30*(IF(REGEXMATCH(AM$10,$B30),$A30,1))/(AM$11*IF(REGEXMATCH($C30,"&amp;"AM$9),AM$8,1))*6))"),8.0)</f>
        <v>8</v>
      </c>
      <c r="AN30" s="285">
        <f>IFERROR(__xludf.DUMMYFUNCTION("IF($E30*(IF(REGEXMATCH(AN$10,$B30),$A30,1))/(AN$11*IF(REGEXMATCH($C30,AN$9),AN$8,1))*6&gt;6,CEILING($E30*(IF(REGEXMATCH(AN$10,$B30),$A30,1))/(AN$11*IF(REGEXMATCH($C30,AN$9),AN$8,1))*6),FLOOR($E30*(IF(REGEXMATCH(AN$10,$B30),$A30,1))/(AN$11*IF(REGEXMATCH($C30,"&amp;"AN$9),AN$8,1))*6))"),4.0)</f>
        <v>4</v>
      </c>
      <c r="AO30" s="285">
        <f>IFERROR(__xludf.DUMMYFUNCTION("IF($E30*(IF(REGEXMATCH(AO$10,$B30),$A30,1))/(AO$11*IF(REGEXMATCH($C30,AO$9),AO$8,1))*6&gt;6,CEILING($E30*(IF(REGEXMATCH(AO$10,$B30),$A30,1))/(AO$11*IF(REGEXMATCH($C30,AO$9),AO$8,1))*6),FLOOR($E30*(IF(REGEXMATCH(AO$10,$B30),$A30,1))/(AO$11*IF(REGEXMATCH($C30,"&amp;"AO$9),AO$8,1))*6))"),8.0)</f>
        <v>8</v>
      </c>
      <c r="AP30" s="285">
        <f>IFERROR(__xludf.DUMMYFUNCTION("IF($E30*(IF(REGEXMATCH(AP$10,$B30),$A30,1))/(AP$11*IF(REGEXMATCH($C30,AP$9),AP$8,1))*6&gt;6,CEILING($E30*(IF(REGEXMATCH(AP$10,$B30),$A30,1))/(AP$11*IF(REGEXMATCH($C30,AP$9),AP$8,1))*6),FLOOR($E30*(IF(REGEXMATCH(AP$10,$B30),$A30,1))/(AP$11*IF(REGEXMATCH($C30,"&amp;"AP$9),AP$8,1))*6))"),8.0)</f>
        <v>8</v>
      </c>
      <c r="AQ30" s="285">
        <f>IFERROR(__xludf.DUMMYFUNCTION("IF($E30*(IF(REGEXMATCH(AQ$10,$B30),$A30,1))/(AQ$11*IF(REGEXMATCH($C30,AQ$9),AQ$8,1))*6&gt;6,CEILING($E30*(IF(REGEXMATCH(AQ$10,$B30),$A30,1))/(AQ$11*IF(REGEXMATCH($C30,AQ$9),AQ$8,1))*6),FLOOR($E30*(IF(REGEXMATCH(AQ$10,$B30),$A30,1))/(AQ$11*IF(REGEXMATCH($C30,"&amp;"AQ$9),AQ$8,1))*6))"),5.0)</f>
        <v>5</v>
      </c>
      <c r="AR30" s="285">
        <f>IFERROR(__xludf.DUMMYFUNCTION("IF($E30*(IF(REGEXMATCH(AR$10,$B30),$A30,1))/(AR$11*IF(REGEXMATCH($C30,AR$9),AR$8,1))*6&gt;6,CEILING($E30*(IF(REGEXMATCH(AR$10,$B30),$A30,1))/(AR$11*IF(REGEXMATCH($C30,AR$9),AR$8,1))*6),FLOOR($E30*(IF(REGEXMATCH(AR$10,$B30),$A30,1))/(AR$11*IF(REGEXMATCH($C30,"&amp;"AR$9),AR$8,1))*6))"),9.0)</f>
        <v>9</v>
      </c>
      <c r="AS30" s="285">
        <f>IFERROR(__xludf.DUMMYFUNCTION("IF($E30*(IF(REGEXMATCH(AS$10,$B30),$A30,1))/(AS$11*IF(REGEXMATCH($C30,AS$9),AS$8,1))*6&gt;6,CEILING($E30*(IF(REGEXMATCH(AS$10,$B30),$A30,1))/(AS$11*IF(REGEXMATCH($C30,AS$9),AS$8,1))*6),FLOOR($E30*(IF(REGEXMATCH(AS$10,$B30),$A30,1))/(AS$11*IF(REGEXMATCH($C30,"&amp;"AS$9),AS$8,1))*6))"),9.0)</f>
        <v>9</v>
      </c>
      <c r="AT30" s="285">
        <f>IFERROR(__xludf.DUMMYFUNCTION("IF($E30*(IF(REGEXMATCH(AT$10,$B30),$A30,1))/(AT$11*IF(REGEXMATCH($C30,AT$9),AT$8,1))*6&gt;6,CEILING($E30*(IF(REGEXMATCH(AT$10,$B30),$A30,1))/(AT$11*IF(REGEXMATCH($C30,AT$9),AT$8,1))*6),FLOOR($E30*(IF(REGEXMATCH(AT$10,$B30),$A30,1))/(AT$11*IF(REGEXMATCH($C30,"&amp;"AT$9),AT$8,1))*6))"),12.0)</f>
        <v>12</v>
      </c>
    </row>
    <row r="31">
      <c r="A31" s="8">
        <v>1.25</v>
      </c>
      <c r="B31" s="8" t="s">
        <v>2432</v>
      </c>
      <c r="C31" s="812" t="s">
        <v>2585</v>
      </c>
      <c r="D31" s="8"/>
      <c r="E31" s="8">
        <v>6.0</v>
      </c>
      <c r="F31" s="285" t="s">
        <v>2227</v>
      </c>
      <c r="G31" s="285">
        <f>IFERROR(__xludf.DUMMYFUNCTION("IF($E31*(IF(REGEXMATCH(G$10,$B31),$A31,1))/(G$11*IF(REGEXMATCH($C31,G$9),G$8,1))*6&gt;6,CEILING($E31*(IF(REGEXMATCH(G$10,$B31),$A31,1))/(G$11*IF(REGEXMATCH($C31,G$9),G$8,1))*6),FLOOR($E31*(IF(REGEXMATCH(G$10,$B31),$A31,1))/(G$11*IF(REGEXMATCH($C31,G$9),G$8,1"&amp;"))*6))"),3.0)</f>
        <v>3</v>
      </c>
      <c r="H31" s="285">
        <f>IFERROR(__xludf.DUMMYFUNCTION("IF($E31*(IF(REGEXMATCH(H$10,$B31),$A31,1))/(H$11*IF(REGEXMATCH($C31,H$9),H$8,1))*6&gt;6,CEILING($E31*(IF(REGEXMATCH(H$10,$B31),$A31,1))/(H$11*IF(REGEXMATCH($C31,H$9),H$8,1))*6),FLOOR($E31*(IF(REGEXMATCH(H$10,$B31),$A31,1))/(H$11*IF(REGEXMATCH($C31,H$9),H$8,1"&amp;"))*6))"),3.0)</f>
        <v>3</v>
      </c>
      <c r="I31" s="285">
        <f>IFERROR(__xludf.DUMMYFUNCTION("IF($E31*(IF(REGEXMATCH(I$10,$B31),$A31,1))/(I$11*IF(REGEXMATCH($C31,I$9),I$8,1))*6&gt;6,CEILING($E31*(IF(REGEXMATCH(I$10,$B31),$A31,1))/(I$11*IF(REGEXMATCH($C31,I$9),I$8,1))*6),FLOOR($E31*(IF(REGEXMATCH(I$10,$B31),$A31,1))/(I$11*IF(REGEXMATCH($C31,I$9),I$8,1"&amp;"))*6))"),3.0)</f>
        <v>3</v>
      </c>
      <c r="J31" s="285">
        <f>IFERROR(__xludf.DUMMYFUNCTION("IF($E31*(IF(REGEXMATCH(J$10,$B31),$A31,1))/(J$11*IF(REGEXMATCH($C31,J$9),J$8,1))*6&gt;6,CEILING($E31*(IF(REGEXMATCH(J$10,$B31),$A31,1))/(J$11*IF(REGEXMATCH($C31,J$9),J$8,1))*6),FLOOR($E31*(IF(REGEXMATCH(J$10,$B31),$A31,1))/(J$11*IF(REGEXMATCH($C31,J$9),J$8,1"&amp;"))*6))"),3.0)</f>
        <v>3</v>
      </c>
      <c r="K31" s="285">
        <f>IFERROR(__xludf.DUMMYFUNCTION("IF($E31*(IF(REGEXMATCH(K$10,$B31),$A31,1))/(K$11*IF(REGEXMATCH($C31,K$9),K$8,1))*6&gt;6,CEILING($E31*(IF(REGEXMATCH(K$10,$B31),$A31,1))/(K$11*IF(REGEXMATCH($C31,K$9),K$8,1))*6),FLOOR($E31*(IF(REGEXMATCH(K$10,$B31),$A31,1))/(K$11*IF(REGEXMATCH($C31,K$9),K$8,1"&amp;"))*6))"),5.0)</f>
        <v>5</v>
      </c>
      <c r="L31" s="285">
        <f>IFERROR(__xludf.DUMMYFUNCTION("IF($E31*(IF(REGEXMATCH(L$10,$B31),$A31,1))/(L$11*IF(REGEXMATCH($C31,L$9),L$8,1))*6&gt;6,CEILING($E31*(IF(REGEXMATCH(L$10,$B31),$A31,1))/(L$11*IF(REGEXMATCH($C31,L$9),L$8,1))*6),FLOOR($E31*(IF(REGEXMATCH(L$10,$B31),$A31,1))/(L$11*IF(REGEXMATCH($C31,L$9),L$8,1"&amp;"))*6))"),4.0)</f>
        <v>4</v>
      </c>
      <c r="M31" s="285">
        <f>IFERROR(__xludf.DUMMYFUNCTION("IF($E31*(IF(REGEXMATCH(M$10,$B31),$A31,1))/(M$11*IF(REGEXMATCH($C31,M$9),M$8,1))*6&gt;6,CEILING($E31*(IF(REGEXMATCH(M$10,$B31),$A31,1))/(M$11*IF(REGEXMATCH($C31,M$9),M$8,1))*6),FLOOR($E31*(IF(REGEXMATCH(M$10,$B31),$A31,1))/(M$11*IF(REGEXMATCH($C31,M$9),M$8,1"&amp;"))*6))"),5.0)</f>
        <v>5</v>
      </c>
      <c r="N31" s="285">
        <f>IFERROR(__xludf.DUMMYFUNCTION("IF($E31*(IF(REGEXMATCH(N$10,$B31),$A31,1))/(N$11*IF(REGEXMATCH($C31,N$9),N$8,1))*6&gt;6,CEILING($E31*(IF(REGEXMATCH(N$10,$B31),$A31,1))/(N$11*IF(REGEXMATCH($C31,N$9),N$8,1))*6),FLOOR($E31*(IF(REGEXMATCH(N$10,$B31),$A31,1))/(N$11*IF(REGEXMATCH($C31,N$9),N$8,1"&amp;"))*6))"),4.0)</f>
        <v>4</v>
      </c>
      <c r="O31" s="285">
        <f>IFERROR(__xludf.DUMMYFUNCTION("IF($E31*(IF(REGEXMATCH(O$10,$B31),$A31,1))/(O$11*IF(REGEXMATCH($C31,O$9),O$8,1))*6&gt;6,CEILING($E31*(IF(REGEXMATCH(O$10,$B31),$A31,1))/(O$11*IF(REGEXMATCH($C31,O$9),O$8,1))*6),FLOOR($E31*(IF(REGEXMATCH(O$10,$B31),$A31,1))/(O$11*IF(REGEXMATCH($C31,O$9),O$8,1"&amp;"))*6))"),5.0)</f>
        <v>5</v>
      </c>
      <c r="P31" s="285">
        <f>IFERROR(__xludf.DUMMYFUNCTION("IF($E31*(IF(REGEXMATCH(P$10,$B31),$A31,1))/(P$11*IF(REGEXMATCH($C31,P$9),P$8,1))*6&gt;6,CEILING($E31*(IF(REGEXMATCH(P$10,$B31),$A31,1))/(P$11*IF(REGEXMATCH($C31,P$9),P$8,1))*6),FLOOR($E31*(IF(REGEXMATCH(P$10,$B31),$A31,1))/(P$11*IF(REGEXMATCH($C31,P$9),P$8,1"&amp;"))*6))"),4.0)</f>
        <v>4</v>
      </c>
      <c r="Q31" s="285">
        <f>IFERROR(__xludf.DUMMYFUNCTION("IF($E31*(IF(REGEXMATCH(Q$10,$B31),$A31,1))/(Q$11*IF(REGEXMATCH($C31,Q$9),Q$8,1))*6&gt;6,CEILING($E31*(IF(REGEXMATCH(Q$10,$B31),$A31,1))/(Q$11*IF(REGEXMATCH($C31,Q$9),Q$8,1))*6),FLOOR($E31*(IF(REGEXMATCH(Q$10,$B31),$A31,1))/(Q$11*IF(REGEXMATCH($C31,Q$9),Q$8,1"&amp;"))*6))"),4.0)</f>
        <v>4</v>
      </c>
      <c r="R31" s="285">
        <f>IFERROR(__xludf.DUMMYFUNCTION("IF($E31*(IF(REGEXMATCH(R$10,$B31),$A31,1))/(R$11*IF(REGEXMATCH($C31,R$9),R$8,1))*6&gt;6,CEILING($E31*(IF(REGEXMATCH(R$10,$B31),$A31,1))/(R$11*IF(REGEXMATCH($C31,R$9),R$8,1))*6),FLOOR($E31*(IF(REGEXMATCH(R$10,$B31),$A31,1))/(R$11*IF(REGEXMATCH($C31,R$9),R$8,1"&amp;"))*6))"),5.0)</f>
        <v>5</v>
      </c>
      <c r="S31" s="285">
        <f>IFERROR(__xludf.DUMMYFUNCTION("IF($E31*(IF(REGEXMATCH(S$10,$B31),$A31,1))/(S$11*IF(REGEXMATCH($C31,S$9),S$8,1))*6&gt;6,CEILING($E31*(IF(REGEXMATCH(S$10,$B31),$A31,1))/(S$11*IF(REGEXMATCH($C31,S$9),S$8,1))*6),FLOOR($E31*(IF(REGEXMATCH(S$10,$B31),$A31,1))/(S$11*IF(REGEXMATCH($C31,S$9),S$8,1"&amp;"))*6))"),4.0)</f>
        <v>4</v>
      </c>
      <c r="T31" s="285">
        <f>IFERROR(__xludf.DUMMYFUNCTION("IF($E31*(IF(REGEXMATCH(T$10,$B31),$A31,1))/(T$11*IF(REGEXMATCH($C31,T$9),T$8,1))*6&gt;6,CEILING($E31*(IF(REGEXMATCH(T$10,$B31),$A31,1))/(T$11*IF(REGEXMATCH($C31,T$9),T$8,1))*6),FLOOR($E31*(IF(REGEXMATCH(T$10,$B31),$A31,1))/(T$11*IF(REGEXMATCH($C31,T$9),T$8,1"&amp;"))*6))"),4.0)</f>
        <v>4</v>
      </c>
      <c r="U31" s="285">
        <f>IFERROR(__xludf.DUMMYFUNCTION("IF($E31*(IF(REGEXMATCH(U$10,$B31),$A31,1))/(U$11*IF(REGEXMATCH($C31,U$9),U$8,1))*6&gt;6,CEILING($E31*(IF(REGEXMATCH(U$10,$B31),$A31,1))/(U$11*IF(REGEXMATCH($C31,U$9),U$8,1))*6),FLOOR($E31*(IF(REGEXMATCH(U$10,$B31),$A31,1))/(U$11*IF(REGEXMATCH($C31,U$9),U$8,1"&amp;"))*6))"),4.0)</f>
        <v>4</v>
      </c>
      <c r="V31" s="285">
        <f>IFERROR(__xludf.DUMMYFUNCTION("IF($E31*(IF(REGEXMATCH(V$10,$B31),$A31,1))/(V$11*IF(REGEXMATCH($C31,V$9),V$8,1))*6&gt;6,CEILING($E31*(IF(REGEXMATCH(V$10,$B31),$A31,1))/(V$11*IF(REGEXMATCH($C31,V$9),V$8,1))*6),FLOOR($E31*(IF(REGEXMATCH(V$10,$B31),$A31,1))/(V$11*IF(REGEXMATCH($C31,V$9),V$8,1"&amp;"))*6))"),5.0)</f>
        <v>5</v>
      </c>
      <c r="W31" s="285">
        <f>IFERROR(__xludf.DUMMYFUNCTION("IF($E31*(IF(REGEXMATCH(W$10,$B31),$A31,1))/(W$11*IF(REGEXMATCH($C31,W$9),W$8,1))*6&gt;6,CEILING($E31*(IF(REGEXMATCH(W$10,$B31),$A31,1))/(W$11*IF(REGEXMATCH($C31,W$9),W$8,1))*6),FLOOR($E31*(IF(REGEXMATCH(W$10,$B31),$A31,1))/(W$11*IF(REGEXMATCH($C31,W$9),W$8,1"&amp;"))*6))"),6.0)</f>
        <v>6</v>
      </c>
      <c r="X31" s="285">
        <f>IFERROR(__xludf.DUMMYFUNCTION("IF($E31*(IF(REGEXMATCH(X$10,$B31),$A31,1))/(X$11*IF(REGEXMATCH($C31,X$9),X$8,1))*6&gt;6,CEILING($E31*(IF(REGEXMATCH(X$10,$B31),$A31,1))/(X$11*IF(REGEXMATCH($C31,X$9),X$8,1))*6),FLOOR($E31*(IF(REGEXMATCH(X$10,$B31),$A31,1))/(X$11*IF(REGEXMATCH($C31,X$9),X$8,1"&amp;"))*6))"),6.0)</f>
        <v>6</v>
      </c>
      <c r="Y31" s="285">
        <f>IFERROR(__xludf.DUMMYFUNCTION("IF($E31*(IF(REGEXMATCH(Y$10,$B31),$A31,1))/(Y$11*IF(REGEXMATCH($C31,Y$9),Y$8,1))*6&gt;6,CEILING($E31*(IF(REGEXMATCH(Y$10,$B31),$A31,1))/(Y$11*IF(REGEXMATCH($C31,Y$9),Y$8,1))*6),FLOOR($E31*(IF(REGEXMATCH(Y$10,$B31),$A31,1))/(Y$11*IF(REGEXMATCH($C31,Y$9),Y$8,1"&amp;"))*6))"),6.0)</f>
        <v>6</v>
      </c>
      <c r="Z31" s="285">
        <f>IFERROR(__xludf.DUMMYFUNCTION("IF($E31*(IF(REGEXMATCH(Z$10,$B31),$A31,1))/(Z$11*IF(REGEXMATCH($C31,Z$9),Z$8,1))*6&gt;6,CEILING($E31*(IF(REGEXMATCH(Z$10,$B31),$A31,1))/(Z$11*IF(REGEXMATCH($C31,Z$9),Z$8,1))*6),FLOOR($E31*(IF(REGEXMATCH(Z$10,$B31),$A31,1))/(Z$11*IF(REGEXMATCH($C31,Z$9),Z$8,1"&amp;"))*6))"),6.0)</f>
        <v>6</v>
      </c>
      <c r="AA31" s="285">
        <f>IFERROR(__xludf.DUMMYFUNCTION("IF($E31*(IF(REGEXMATCH(AA$10,$B31),$A31,1))/(AA$11*IF(REGEXMATCH($C31,AA$9),AA$8,1))*6&gt;6,CEILING($E31*(IF(REGEXMATCH(AA$10,$B31),$A31,1))/(AA$11*IF(REGEXMATCH($C31,AA$9),AA$8,1))*6),FLOOR($E31*(IF(REGEXMATCH(AA$10,$B31),$A31,1))/(AA$11*IF(REGEXMATCH($C31,"&amp;"AA$9),AA$8,1))*6))"),6.0)</f>
        <v>6</v>
      </c>
      <c r="AB31" s="285">
        <f>IFERROR(__xludf.DUMMYFUNCTION("IF($E31*(IF(REGEXMATCH(AB$10,$B31),$A31,1))/(AB$11*IF(REGEXMATCH($C31,AB$9),AB$8,1))*6&gt;6,CEILING($E31*(IF(REGEXMATCH(AB$10,$B31),$A31,1))/(AB$11*IF(REGEXMATCH($C31,AB$9),AB$8,1))*6),FLOOR($E31*(IF(REGEXMATCH(AB$10,$B31),$A31,1))/(AB$11*IF(REGEXMATCH($C31,"&amp;"AB$9),AB$8,1))*6))"),6.0)</f>
        <v>6</v>
      </c>
      <c r="AC31" s="285">
        <f>IFERROR(__xludf.DUMMYFUNCTION("IF($E31*(IF(REGEXMATCH(AC$10,$B31),$A31,1))/(AC$11*IF(REGEXMATCH($C31,AC$9),AC$8,1))*6&gt;6,CEILING($E31*(IF(REGEXMATCH(AC$10,$B31),$A31,1))/(AC$11*IF(REGEXMATCH($C31,AC$9),AC$8,1))*6),FLOOR($E31*(IF(REGEXMATCH(AC$10,$B31),$A31,1))/(AC$11*IF(REGEXMATCH($C31,"&amp;"AC$9),AC$8,1))*6))"),6.0)</f>
        <v>6</v>
      </c>
      <c r="AD31" s="285">
        <f>IFERROR(__xludf.DUMMYFUNCTION("IF($E31*(IF(REGEXMATCH(AD$10,$B31),$A31,1))/(AD$11*IF(REGEXMATCH($C31,AD$9),AD$8,1))*6&gt;6,CEILING($E31*(IF(REGEXMATCH(AD$10,$B31),$A31,1))/(AD$11*IF(REGEXMATCH($C31,AD$9),AD$8,1))*6),FLOOR($E31*(IF(REGEXMATCH(AD$10,$B31),$A31,1))/(AD$11*IF(REGEXMATCH($C31,"&amp;"AD$9),AD$8,1))*6))"),8.0)</f>
        <v>8</v>
      </c>
      <c r="AE31" s="285">
        <f>IFERROR(__xludf.DUMMYFUNCTION("IF($E31*(IF(REGEXMATCH(AE$10,$B31),$A31,1))/(AE$11*IF(REGEXMATCH($C31,AE$9),AE$8,1))*6&gt;6,CEILING($E31*(IF(REGEXMATCH(AE$10,$B31),$A31,1))/(AE$11*IF(REGEXMATCH($C31,AE$9),AE$8,1))*6),FLOOR($E31*(IF(REGEXMATCH(AE$10,$B31),$A31,1))/(AE$11*IF(REGEXMATCH($C31,"&amp;"AE$9),AE$8,1))*6))"),6.0)</f>
        <v>6</v>
      </c>
      <c r="AF31" s="285">
        <f>IFERROR(__xludf.DUMMYFUNCTION("IF($E31*(IF(REGEXMATCH(AF$10,$B31),$A31,1))/(AF$11*IF(REGEXMATCH($C31,AF$9),AF$8,1))*6&gt;6,CEILING($E31*(IF(REGEXMATCH(AF$10,$B31),$A31,1))/(AF$11*IF(REGEXMATCH($C31,AF$9),AF$8,1))*6),FLOOR($E31*(IF(REGEXMATCH(AF$10,$B31),$A31,1))/(AF$11*IF(REGEXMATCH($C31,"&amp;"AF$9),AF$8,1))*6))"),6.0)</f>
        <v>6</v>
      </c>
      <c r="AG31" s="285">
        <f>IFERROR(__xludf.DUMMYFUNCTION("IF($E31*(IF(REGEXMATCH(AG$10,$B31),$A31,1))/(AG$11*IF(REGEXMATCH($C31,AG$9),AG$8,1))*6&gt;6,CEILING($E31*(IF(REGEXMATCH(AG$10,$B31),$A31,1))/(AG$11*IF(REGEXMATCH($C31,AG$9),AG$8,1))*6),FLOOR($E31*(IF(REGEXMATCH(AG$10,$B31),$A31,1))/(AG$11*IF(REGEXMATCH($C31,"&amp;"AG$9),AG$8,1))*6))"),8.0)</f>
        <v>8</v>
      </c>
      <c r="AH31" s="285">
        <f>IFERROR(__xludf.DUMMYFUNCTION("IF($E31*(IF(REGEXMATCH(AH$10,$B31),$A31,1))/(AH$11*IF(REGEXMATCH($C31,AH$9),AH$8,1))*6&gt;6,CEILING($E31*(IF(REGEXMATCH(AH$10,$B31),$A31,1))/(AH$11*IF(REGEXMATCH($C31,AH$9),AH$8,1))*6),FLOOR($E31*(IF(REGEXMATCH(AH$10,$B31),$A31,1))/(AH$11*IF(REGEXMATCH($C31,"&amp;"AH$9),AH$8,1))*6))"),6.0)</f>
        <v>6</v>
      </c>
      <c r="AI31" s="285">
        <f>IFERROR(__xludf.DUMMYFUNCTION("IF($E31*(IF(REGEXMATCH(AI$10,$B31),$A31,1))/(AI$11*IF(REGEXMATCH($C31,AI$9),AI$8,1))*6&gt;6,CEILING($E31*(IF(REGEXMATCH(AI$10,$B31),$A31,1))/(AI$11*IF(REGEXMATCH($C31,AI$9),AI$8,1))*6),FLOOR($E31*(IF(REGEXMATCH(AI$10,$B31),$A31,1))/(AI$11*IF(REGEXMATCH($C31,"&amp;"AI$9),AI$8,1))*6))"),6.0)</f>
        <v>6</v>
      </c>
      <c r="AJ31" s="285">
        <f>IFERROR(__xludf.DUMMYFUNCTION("IF($E31*(IF(REGEXMATCH(AJ$10,$B31),$A31,1))/(AJ$11*IF(REGEXMATCH($C31,AJ$9),AJ$8,1))*6&gt;6,CEILING($E31*(IF(REGEXMATCH(AJ$10,$B31),$A31,1))/(AJ$11*IF(REGEXMATCH($C31,AJ$9),AJ$8,1))*6),FLOOR($E31*(IF(REGEXMATCH(AJ$10,$B31),$A31,1))/(AJ$11*IF(REGEXMATCH($C31,"&amp;"AJ$9),AJ$8,1))*6))"),6.0)</f>
        <v>6</v>
      </c>
      <c r="AK31" s="285">
        <f>IFERROR(__xludf.DUMMYFUNCTION("IF($E31*(IF(REGEXMATCH(AK$10,$B31),$A31,1))/(AK$11*IF(REGEXMATCH($C31,AK$9),AK$8,1))*6&gt;6,CEILING($E31*(IF(REGEXMATCH(AK$10,$B31),$A31,1))/(AK$11*IF(REGEXMATCH($C31,AK$9),AK$8,1))*6),FLOOR($E31*(IF(REGEXMATCH(AK$10,$B31),$A31,1))/(AK$11*IF(REGEXMATCH($C31,"&amp;"AK$9),AK$8,1))*6))"),8.0)</f>
        <v>8</v>
      </c>
      <c r="AL31" s="285">
        <f>IFERROR(__xludf.DUMMYFUNCTION("IF($E31*(IF(REGEXMATCH(AL$10,$B31),$A31,1))/(AL$11*IF(REGEXMATCH($C31,AL$9),AL$8,1))*6&gt;6,CEILING($E31*(IF(REGEXMATCH(AL$10,$B31),$A31,1))/(AL$11*IF(REGEXMATCH($C31,AL$9),AL$8,1))*6),FLOOR($E31*(IF(REGEXMATCH(AL$10,$B31),$A31,1))/(AL$11*IF(REGEXMATCH($C31,"&amp;"AL$9),AL$8,1))*6))"),8.0)</f>
        <v>8</v>
      </c>
      <c r="AM31" s="285">
        <f>IFERROR(__xludf.DUMMYFUNCTION("IF($E31*(IF(REGEXMATCH(AM$10,$B31),$A31,1))/(AM$11*IF(REGEXMATCH($C31,AM$9),AM$8,1))*6&gt;6,CEILING($E31*(IF(REGEXMATCH(AM$10,$B31),$A31,1))/(AM$11*IF(REGEXMATCH($C31,AM$9),AM$8,1))*6),FLOOR($E31*(IF(REGEXMATCH(AM$10,$B31),$A31,1))/(AM$11*IF(REGEXMATCH($C31,"&amp;"AM$9),AM$8,1))*6))"),9.0)</f>
        <v>9</v>
      </c>
      <c r="AN31" s="285">
        <f>IFERROR(__xludf.DUMMYFUNCTION("IF($E31*(IF(REGEXMATCH(AN$10,$B31),$A31,1))/(AN$11*IF(REGEXMATCH($C31,AN$9),AN$8,1))*6&gt;6,CEILING($E31*(IF(REGEXMATCH(AN$10,$B31),$A31,1))/(AN$11*IF(REGEXMATCH($C31,AN$9),AN$8,1))*6),FLOOR($E31*(IF(REGEXMATCH(AN$10,$B31),$A31,1))/(AN$11*IF(REGEXMATCH($C31,"&amp;"AN$9),AN$8,1))*6))"),9.0)</f>
        <v>9</v>
      </c>
      <c r="AO31" s="285">
        <f>IFERROR(__xludf.DUMMYFUNCTION("IF($E31*(IF(REGEXMATCH(AO$10,$B31),$A31,1))/(AO$11*IF(REGEXMATCH($C31,AO$9),AO$8,1))*6&gt;6,CEILING($E31*(IF(REGEXMATCH(AO$10,$B31),$A31,1))/(AO$11*IF(REGEXMATCH($C31,AO$9),AO$8,1))*6),FLOOR($E31*(IF(REGEXMATCH(AO$10,$B31),$A31,1))/(AO$11*IF(REGEXMATCH($C31,"&amp;"AO$9),AO$8,1))*6))"),9.0)</f>
        <v>9</v>
      </c>
      <c r="AP31" s="285">
        <f>IFERROR(__xludf.DUMMYFUNCTION("IF($E31*(IF(REGEXMATCH(AP$10,$B31),$A31,1))/(AP$11*IF(REGEXMATCH($C31,AP$9),AP$8,1))*6&gt;6,CEILING($E31*(IF(REGEXMATCH(AP$10,$B31),$A31,1))/(AP$11*IF(REGEXMATCH($C31,AP$9),AP$8,1))*6),FLOOR($E31*(IF(REGEXMATCH(AP$10,$B31),$A31,1))/(AP$11*IF(REGEXMATCH($C31,"&amp;"AP$9),AP$8,1))*6))"),8.0)</f>
        <v>8</v>
      </c>
      <c r="AQ31" s="285">
        <f>IFERROR(__xludf.DUMMYFUNCTION("IF($E31*(IF(REGEXMATCH(AQ$10,$B31),$A31,1))/(AQ$11*IF(REGEXMATCH($C31,AQ$9),AQ$8,1))*6&gt;6,CEILING($E31*(IF(REGEXMATCH(AQ$10,$B31),$A31,1))/(AQ$11*IF(REGEXMATCH($C31,AQ$9),AQ$8,1))*6),FLOOR($E31*(IF(REGEXMATCH(AQ$10,$B31),$A31,1))/(AQ$11*IF(REGEXMATCH($C31,"&amp;"AQ$9),AQ$8,1))*6))"),9.0)</f>
        <v>9</v>
      </c>
      <c r="AR31" s="285">
        <f>IFERROR(__xludf.DUMMYFUNCTION("IF($E31*(IF(REGEXMATCH(AR$10,$B31),$A31,1))/(AR$11*IF(REGEXMATCH($C31,AR$9),AR$8,1))*6&gt;6,CEILING($E31*(IF(REGEXMATCH(AR$10,$B31),$A31,1))/(AR$11*IF(REGEXMATCH($C31,AR$9),AR$8,1))*6),FLOOR($E31*(IF(REGEXMATCH(AR$10,$B31),$A31,1))/(AR$11*IF(REGEXMATCH($C31,"&amp;"AR$9),AR$8,1))*6))"),12.0)</f>
        <v>12</v>
      </c>
      <c r="AS31" s="285">
        <f>IFERROR(__xludf.DUMMYFUNCTION("IF($E31*(IF(REGEXMATCH(AS$10,$B31),$A31,1))/(AS$11*IF(REGEXMATCH($C31,AS$9),AS$8,1))*6&gt;6,CEILING($E31*(IF(REGEXMATCH(AS$10,$B31),$A31,1))/(AS$11*IF(REGEXMATCH($C31,AS$9),AS$8,1))*6),FLOOR($E31*(IF(REGEXMATCH(AS$10,$B31),$A31,1))/(AS$11*IF(REGEXMATCH($C31,"&amp;"AS$9),AS$8,1))*6))"),12.0)</f>
        <v>12</v>
      </c>
      <c r="AT31" s="285">
        <f>IFERROR(__xludf.DUMMYFUNCTION("IF($E31*(IF(REGEXMATCH(AT$10,$B31),$A31,1))/(AT$11*IF(REGEXMATCH($C31,AT$9),AT$8,1))*6&gt;6,CEILING($E31*(IF(REGEXMATCH(AT$10,$B31),$A31,1))/(AT$11*IF(REGEXMATCH($C31,AT$9),AT$8,1))*6),FLOOR($E31*(IF(REGEXMATCH(AT$10,$B31),$A31,1))/(AT$11*IF(REGEXMATCH($C31,"&amp;"AT$9),AT$8,1))*6))"),15.0)</f>
        <v>15</v>
      </c>
    </row>
    <row r="32">
      <c r="A32" s="8">
        <v>1.5</v>
      </c>
      <c r="B32" s="8" t="s">
        <v>2435</v>
      </c>
      <c r="C32" s="812" t="s">
        <v>2583</v>
      </c>
      <c r="D32" s="8"/>
      <c r="E32" s="8">
        <v>6.0</v>
      </c>
      <c r="F32" s="285" t="s">
        <v>2197</v>
      </c>
      <c r="G32" s="285">
        <f>IFERROR(__xludf.DUMMYFUNCTION("IF($E32*(IF(REGEXMATCH(G$10,$B32),$A32,1))/(G$11*IF(REGEXMATCH($C32,G$9),G$8,1))*6&gt;6,CEILING($E32*(IF(REGEXMATCH(G$10,$B32),$A32,1))/(G$11*IF(REGEXMATCH($C32,G$9),G$8,1))*6),FLOOR($E32*(IF(REGEXMATCH(G$10,$B32),$A32,1))/(G$11*IF(REGEXMATCH($C32,G$9),G$8,1"&amp;"))*6))"),5.0)</f>
        <v>5</v>
      </c>
      <c r="H32" s="285">
        <f>IFERROR(__xludf.DUMMYFUNCTION("IF($E32*(IF(REGEXMATCH(H$10,$B32),$A32,1))/(H$11*IF(REGEXMATCH($C32,H$9),H$8,1))*6&gt;6,CEILING($E32*(IF(REGEXMATCH(H$10,$B32),$A32,1))/(H$11*IF(REGEXMATCH($C32,H$9),H$8,1))*6),FLOOR($E32*(IF(REGEXMATCH(H$10,$B32),$A32,1))/(H$11*IF(REGEXMATCH($C32,H$9),H$8,1"&amp;"))*6))"),3.0)</f>
        <v>3</v>
      </c>
      <c r="I32" s="285">
        <f>IFERROR(__xludf.DUMMYFUNCTION("IF($E32*(IF(REGEXMATCH(I$10,$B32),$A32,1))/(I$11*IF(REGEXMATCH($C32,I$9),I$8,1))*6&gt;6,CEILING($E32*(IF(REGEXMATCH(I$10,$B32),$A32,1))/(I$11*IF(REGEXMATCH($C32,I$9),I$8,1))*6),FLOOR($E32*(IF(REGEXMATCH(I$10,$B32),$A32,1))/(I$11*IF(REGEXMATCH($C32,I$9),I$8,1"&amp;"))*6))"),3.0)</f>
        <v>3</v>
      </c>
      <c r="J32" s="285">
        <f>IFERROR(__xludf.DUMMYFUNCTION("IF($E32*(IF(REGEXMATCH(J$10,$B32),$A32,1))/(J$11*IF(REGEXMATCH($C32,J$9),J$8,1))*6&gt;6,CEILING($E32*(IF(REGEXMATCH(J$10,$B32),$A32,1))/(J$11*IF(REGEXMATCH($C32,J$9),J$8,1))*6),FLOOR($E32*(IF(REGEXMATCH(J$10,$B32),$A32,1))/(J$11*IF(REGEXMATCH($C32,J$9),J$8,1"&amp;"))*6))"),4.0)</f>
        <v>4</v>
      </c>
      <c r="K32" s="285">
        <f>IFERROR(__xludf.DUMMYFUNCTION("IF($E32*(IF(REGEXMATCH(K$10,$B32),$A32,1))/(K$11*IF(REGEXMATCH($C32,K$9),K$8,1))*6&gt;6,CEILING($E32*(IF(REGEXMATCH(K$10,$B32),$A32,1))/(K$11*IF(REGEXMATCH($C32,K$9),K$8,1))*6),FLOOR($E32*(IF(REGEXMATCH(K$10,$B32),$A32,1))/(K$11*IF(REGEXMATCH($C32,K$9),K$8,1"&amp;"))*6))"),4.0)</f>
        <v>4</v>
      </c>
      <c r="L32" s="285">
        <f>IFERROR(__xludf.DUMMYFUNCTION("IF($E32*(IF(REGEXMATCH(L$10,$B32),$A32,1))/(L$11*IF(REGEXMATCH($C32,L$9),L$8,1))*6&gt;6,CEILING($E32*(IF(REGEXMATCH(L$10,$B32),$A32,1))/(L$11*IF(REGEXMATCH($C32,L$9),L$8,1))*6),FLOOR($E32*(IF(REGEXMATCH(L$10,$B32),$A32,1))/(L$11*IF(REGEXMATCH($C32,L$9),L$8,1"&amp;"))*6))"),7.0)</f>
        <v>7</v>
      </c>
      <c r="M32" s="285">
        <f>IFERROR(__xludf.DUMMYFUNCTION("IF($E32*(IF(REGEXMATCH(M$10,$B32),$A32,1))/(M$11*IF(REGEXMATCH($C32,M$9),M$8,1))*6&gt;6,CEILING($E32*(IF(REGEXMATCH(M$10,$B32),$A32,1))/(M$11*IF(REGEXMATCH($C32,M$9),M$8,1))*6),FLOOR($E32*(IF(REGEXMATCH(M$10,$B32),$A32,1))/(M$11*IF(REGEXMATCH($C32,M$9),M$8,1"&amp;"))*6))"),2.0)</f>
        <v>2</v>
      </c>
      <c r="N32" s="285">
        <f>IFERROR(__xludf.DUMMYFUNCTION("IF($E32*(IF(REGEXMATCH(N$10,$B32),$A32,1))/(N$11*IF(REGEXMATCH($C32,N$9),N$8,1))*6&gt;6,CEILING($E32*(IF(REGEXMATCH(N$10,$B32),$A32,1))/(N$11*IF(REGEXMATCH($C32,N$9),N$8,1))*6),FLOOR($E32*(IF(REGEXMATCH(N$10,$B32),$A32,1))/(N$11*IF(REGEXMATCH($C32,N$9),N$8,1"&amp;"))*6))"),7.0)</f>
        <v>7</v>
      </c>
      <c r="O32" s="285">
        <f>IFERROR(__xludf.DUMMYFUNCTION("IF($E32*(IF(REGEXMATCH(O$10,$B32),$A32,1))/(O$11*IF(REGEXMATCH($C32,O$9),O$8,1))*6&gt;6,CEILING($E32*(IF(REGEXMATCH(O$10,$B32),$A32,1))/(O$11*IF(REGEXMATCH($C32,O$9),O$8,1))*6),FLOOR($E32*(IF(REGEXMATCH(O$10,$B32),$A32,1))/(O$11*IF(REGEXMATCH($C32,O$9),O$8,1"&amp;"))*6))"),4.0)</f>
        <v>4</v>
      </c>
      <c r="P32" s="285">
        <f>IFERROR(__xludf.DUMMYFUNCTION("IF($E32*(IF(REGEXMATCH(P$10,$B32),$A32,1))/(P$11*IF(REGEXMATCH($C32,P$9),P$8,1))*6&gt;6,CEILING($E32*(IF(REGEXMATCH(P$10,$B32),$A32,1))/(P$11*IF(REGEXMATCH($C32,P$9),P$8,1))*6),FLOOR($E32*(IF(REGEXMATCH(P$10,$B32),$A32,1))/(P$11*IF(REGEXMATCH($C32,P$9),P$8,1"&amp;"))*6))"),4.0)</f>
        <v>4</v>
      </c>
      <c r="Q32" s="285">
        <f>IFERROR(__xludf.DUMMYFUNCTION("IF($E32*(IF(REGEXMATCH(Q$10,$B32),$A32,1))/(Q$11*IF(REGEXMATCH($C32,Q$9),Q$8,1))*6&gt;6,CEILING($E32*(IF(REGEXMATCH(Q$10,$B32),$A32,1))/(Q$11*IF(REGEXMATCH($C32,Q$9),Q$8,1))*6),FLOOR($E32*(IF(REGEXMATCH(Q$10,$B32),$A32,1))/(Q$11*IF(REGEXMATCH($C32,Q$9),Q$8,1"&amp;"))*6))"),4.0)</f>
        <v>4</v>
      </c>
      <c r="R32" s="285">
        <f>IFERROR(__xludf.DUMMYFUNCTION("IF($E32*(IF(REGEXMATCH(R$10,$B32),$A32,1))/(R$11*IF(REGEXMATCH($C32,R$9),R$8,1))*6&gt;6,CEILING($E32*(IF(REGEXMATCH(R$10,$B32),$A32,1))/(R$11*IF(REGEXMATCH($C32,R$9),R$8,1))*6),FLOOR($E32*(IF(REGEXMATCH(R$10,$B32),$A32,1))/(R$11*IF(REGEXMATCH($C32,R$9),R$8,1"&amp;"))*6))"),3.0)</f>
        <v>3</v>
      </c>
      <c r="S32" s="285">
        <f>IFERROR(__xludf.DUMMYFUNCTION("IF($E32*(IF(REGEXMATCH(S$10,$B32),$A32,1))/(S$11*IF(REGEXMATCH($C32,S$9),S$8,1))*6&gt;6,CEILING($E32*(IF(REGEXMATCH(S$10,$B32),$A32,1))/(S$11*IF(REGEXMATCH($C32,S$9),S$8,1))*6),FLOOR($E32*(IF(REGEXMATCH(S$10,$B32),$A32,1))/(S$11*IF(REGEXMATCH($C32,S$9),S$8,1"&amp;"))*6))"),4.0)</f>
        <v>4</v>
      </c>
      <c r="T32" s="285">
        <f>IFERROR(__xludf.DUMMYFUNCTION("IF($E32*(IF(REGEXMATCH(T$10,$B32),$A32,1))/(T$11*IF(REGEXMATCH($C32,T$9),T$8,1))*6&gt;6,CEILING($E32*(IF(REGEXMATCH(T$10,$B32),$A32,1))/(T$11*IF(REGEXMATCH($C32,T$9),T$8,1))*6),FLOOR($E32*(IF(REGEXMATCH(T$10,$B32),$A32,1))/(T$11*IF(REGEXMATCH($C32,T$9),T$8,1"&amp;"))*6))"),3.0)</f>
        <v>3</v>
      </c>
      <c r="U32" s="285">
        <f>IFERROR(__xludf.DUMMYFUNCTION("IF($E32*(IF(REGEXMATCH(U$10,$B32),$A32,1))/(U$11*IF(REGEXMATCH($C32,U$9),U$8,1))*6&gt;6,CEILING($E32*(IF(REGEXMATCH(U$10,$B32),$A32,1))/(U$11*IF(REGEXMATCH($C32,U$9),U$8,1))*6),FLOOR($E32*(IF(REGEXMATCH(U$10,$B32),$A32,1))/(U$11*IF(REGEXMATCH($C32,U$9),U$8,1"&amp;"))*6))"),4.0)</f>
        <v>4</v>
      </c>
      <c r="V32" s="285">
        <f>IFERROR(__xludf.DUMMYFUNCTION("IF($E32*(IF(REGEXMATCH(V$10,$B32),$A32,1))/(V$11*IF(REGEXMATCH($C32,V$9),V$8,1))*6&gt;6,CEILING($E32*(IF(REGEXMATCH(V$10,$B32),$A32,1))/(V$11*IF(REGEXMATCH($C32,V$9),V$8,1))*6),FLOOR($E32*(IF(REGEXMATCH(V$10,$B32),$A32,1))/(V$11*IF(REGEXMATCH($C32,V$9),V$8,1"&amp;"))*6))"),4.0)</f>
        <v>4</v>
      </c>
      <c r="W32" s="285">
        <f>IFERROR(__xludf.DUMMYFUNCTION("IF($E32*(IF(REGEXMATCH(W$10,$B32),$A32,1))/(W$11*IF(REGEXMATCH($C32,W$9),W$8,1))*6&gt;6,CEILING($E32*(IF(REGEXMATCH(W$10,$B32),$A32,1))/(W$11*IF(REGEXMATCH($C32,W$9),W$8,1))*6),FLOOR($E32*(IF(REGEXMATCH(W$10,$B32),$A32,1))/(W$11*IF(REGEXMATCH($C32,W$9),W$8,1"&amp;"))*6))"),9.0)</f>
        <v>9</v>
      </c>
      <c r="X32" s="285">
        <f>IFERROR(__xludf.DUMMYFUNCTION("IF($E32*(IF(REGEXMATCH(X$10,$B32),$A32,1))/(X$11*IF(REGEXMATCH($C32,X$9),X$8,1))*6&gt;6,CEILING($E32*(IF(REGEXMATCH(X$10,$B32),$A32,1))/(X$11*IF(REGEXMATCH($C32,X$9),X$8,1))*6),FLOOR($E32*(IF(REGEXMATCH(X$10,$B32),$A32,1))/(X$11*IF(REGEXMATCH($C32,X$9),X$8,1"&amp;"))*6))"),6.0)</f>
        <v>6</v>
      </c>
      <c r="Y32" s="285">
        <f>IFERROR(__xludf.DUMMYFUNCTION("IF($E32*(IF(REGEXMATCH(Y$10,$B32),$A32,1))/(Y$11*IF(REGEXMATCH($C32,Y$9),Y$8,1))*6&gt;6,CEILING($E32*(IF(REGEXMATCH(Y$10,$B32),$A32,1))/(Y$11*IF(REGEXMATCH($C32,Y$9),Y$8,1))*6),FLOOR($E32*(IF(REGEXMATCH(Y$10,$B32),$A32,1))/(Y$11*IF(REGEXMATCH($C32,Y$9),Y$8,1"&amp;"))*6))"),4.0)</f>
        <v>4</v>
      </c>
      <c r="Z32" s="285">
        <f>IFERROR(__xludf.DUMMYFUNCTION("IF($E32*(IF(REGEXMATCH(Z$10,$B32),$A32,1))/(Z$11*IF(REGEXMATCH($C32,Z$9),Z$8,1))*6&gt;6,CEILING($E32*(IF(REGEXMATCH(Z$10,$B32),$A32,1))/(Z$11*IF(REGEXMATCH($C32,Z$9),Z$8,1))*6),FLOOR($E32*(IF(REGEXMATCH(Z$10,$B32),$A32,1))/(Z$11*IF(REGEXMATCH($C32,Z$9),Z$8,1"&amp;"))*6))"),6.0)</f>
        <v>6</v>
      </c>
      <c r="AA32" s="285">
        <f>IFERROR(__xludf.DUMMYFUNCTION("IF($E32*(IF(REGEXMATCH(AA$10,$B32),$A32,1))/(AA$11*IF(REGEXMATCH($C32,AA$9),AA$8,1))*6&gt;6,CEILING($E32*(IF(REGEXMATCH(AA$10,$B32),$A32,1))/(AA$11*IF(REGEXMATCH($C32,AA$9),AA$8,1))*6),FLOOR($E32*(IF(REGEXMATCH(AA$10,$B32),$A32,1))/(AA$11*IF(REGEXMATCH($C32,"&amp;"AA$9),AA$8,1))*6))"),6.0)</f>
        <v>6</v>
      </c>
      <c r="AB32" s="285">
        <f>IFERROR(__xludf.DUMMYFUNCTION("IF($E32*(IF(REGEXMATCH(AB$10,$B32),$A32,1))/(AB$11*IF(REGEXMATCH($C32,AB$9),AB$8,1))*6&gt;6,CEILING($E32*(IF(REGEXMATCH(AB$10,$B32),$A32,1))/(AB$11*IF(REGEXMATCH($C32,AB$9),AB$8,1))*6),FLOOR($E32*(IF(REGEXMATCH(AB$10,$B32),$A32,1))/(AB$11*IF(REGEXMATCH($C32,"&amp;"AB$9),AB$8,1))*6))"),9.0)</f>
        <v>9</v>
      </c>
      <c r="AC32" s="285">
        <f>IFERROR(__xludf.DUMMYFUNCTION("IF($E32*(IF(REGEXMATCH(AC$10,$B32),$A32,1))/(AC$11*IF(REGEXMATCH($C32,AC$9),AC$8,1))*6&gt;6,CEILING($E32*(IF(REGEXMATCH(AC$10,$B32),$A32,1))/(AC$11*IF(REGEXMATCH($C32,AC$9),AC$8,1))*6),FLOOR($E32*(IF(REGEXMATCH(AC$10,$B32),$A32,1))/(AC$11*IF(REGEXMATCH($C32,"&amp;"AC$9),AC$8,1))*6))"),9.0)</f>
        <v>9</v>
      </c>
      <c r="AD32" s="285">
        <f>IFERROR(__xludf.DUMMYFUNCTION("IF($E32*(IF(REGEXMATCH(AD$10,$B32),$A32,1))/(AD$11*IF(REGEXMATCH($C32,AD$9),AD$8,1))*6&gt;6,CEILING($E32*(IF(REGEXMATCH(AD$10,$B32),$A32,1))/(AD$11*IF(REGEXMATCH($C32,AD$9),AD$8,1))*6),FLOOR($E32*(IF(REGEXMATCH(AD$10,$B32),$A32,1))/(AD$11*IF(REGEXMATCH($C32,"&amp;"AD$9),AD$8,1))*6))"),6.0)</f>
        <v>6</v>
      </c>
      <c r="AE32" s="285">
        <f>IFERROR(__xludf.DUMMYFUNCTION("IF($E32*(IF(REGEXMATCH(AE$10,$B32),$A32,1))/(AE$11*IF(REGEXMATCH($C32,AE$9),AE$8,1))*6&gt;6,CEILING($E32*(IF(REGEXMATCH(AE$10,$B32),$A32,1))/(AE$11*IF(REGEXMATCH($C32,AE$9),AE$8,1))*6),FLOOR($E32*(IF(REGEXMATCH(AE$10,$B32),$A32,1))/(AE$11*IF(REGEXMATCH($C32,"&amp;"AE$9),AE$8,1))*6))"),6.0)</f>
        <v>6</v>
      </c>
      <c r="AF32" s="285">
        <f>IFERROR(__xludf.DUMMYFUNCTION("IF($E32*(IF(REGEXMATCH(AF$10,$B32),$A32,1))/(AF$11*IF(REGEXMATCH($C32,AF$9),AF$8,1))*6&gt;6,CEILING($E32*(IF(REGEXMATCH(AF$10,$B32),$A32,1))/(AF$11*IF(REGEXMATCH($C32,AF$9),AF$8,1))*6),FLOOR($E32*(IF(REGEXMATCH(AF$10,$B32),$A32,1))/(AF$11*IF(REGEXMATCH($C32,"&amp;"AF$9),AF$8,1))*6))"),6.0)</f>
        <v>6</v>
      </c>
      <c r="AG32" s="285">
        <f>IFERROR(__xludf.DUMMYFUNCTION("IF($E32*(IF(REGEXMATCH(AG$10,$B32),$A32,1))/(AG$11*IF(REGEXMATCH($C32,AG$9),AG$8,1))*6&gt;6,CEILING($E32*(IF(REGEXMATCH(AG$10,$B32),$A32,1))/(AG$11*IF(REGEXMATCH($C32,AG$9),AG$8,1))*6),FLOOR($E32*(IF(REGEXMATCH(AG$10,$B32),$A32,1))/(AG$11*IF(REGEXMATCH($C32,"&amp;"AG$9),AG$8,1))*6))"),4.0)</f>
        <v>4</v>
      </c>
      <c r="AH32" s="285">
        <f>IFERROR(__xludf.DUMMYFUNCTION("IF($E32*(IF(REGEXMATCH(AH$10,$B32),$A32,1))/(AH$11*IF(REGEXMATCH($C32,AH$9),AH$8,1))*6&gt;6,CEILING($E32*(IF(REGEXMATCH(AH$10,$B32),$A32,1))/(AH$11*IF(REGEXMATCH($C32,AH$9),AH$8,1))*6),FLOOR($E32*(IF(REGEXMATCH(AH$10,$B32),$A32,1))/(AH$11*IF(REGEXMATCH($C32,"&amp;"AH$9),AH$8,1))*6))"),6.0)</f>
        <v>6</v>
      </c>
      <c r="AI32" s="285">
        <f>IFERROR(__xludf.DUMMYFUNCTION("IF($E32*(IF(REGEXMATCH(AI$10,$B32),$A32,1))/(AI$11*IF(REGEXMATCH($C32,AI$9),AI$8,1))*6&gt;6,CEILING($E32*(IF(REGEXMATCH(AI$10,$B32),$A32,1))/(AI$11*IF(REGEXMATCH($C32,AI$9),AI$8,1))*6),FLOOR($E32*(IF(REGEXMATCH(AI$10,$B32),$A32,1))/(AI$11*IF(REGEXMATCH($C32,"&amp;"AI$9),AI$8,1))*6))"),4.0)</f>
        <v>4</v>
      </c>
      <c r="AJ32" s="285">
        <f>IFERROR(__xludf.DUMMYFUNCTION("IF($E32*(IF(REGEXMATCH(AJ$10,$B32),$A32,1))/(AJ$11*IF(REGEXMATCH($C32,AJ$9),AJ$8,1))*6&gt;6,CEILING($E32*(IF(REGEXMATCH(AJ$10,$B32),$A32,1))/(AJ$11*IF(REGEXMATCH($C32,AJ$9),AJ$8,1))*6),FLOOR($E32*(IF(REGEXMATCH(AJ$10,$B32),$A32,1))/(AJ$11*IF(REGEXMATCH($C32,"&amp;"AJ$9),AJ$8,1))*6))"),6.0)</f>
        <v>6</v>
      </c>
      <c r="AK32" s="285">
        <f>IFERROR(__xludf.DUMMYFUNCTION("IF($E32*(IF(REGEXMATCH(AK$10,$B32),$A32,1))/(AK$11*IF(REGEXMATCH($C32,AK$9),AK$8,1))*6&gt;6,CEILING($E32*(IF(REGEXMATCH(AK$10,$B32),$A32,1))/(AK$11*IF(REGEXMATCH($C32,AK$9),AK$8,1))*6),FLOOR($E32*(IF(REGEXMATCH(AK$10,$B32),$A32,1))/(AK$11*IF(REGEXMATCH($C32,"&amp;"AK$9),AK$8,1))*6))"),6.0)</f>
        <v>6</v>
      </c>
      <c r="AL32" s="285">
        <f>IFERROR(__xludf.DUMMYFUNCTION("IF($E32*(IF(REGEXMATCH(AL$10,$B32),$A32,1))/(AL$11*IF(REGEXMATCH($C32,AL$9),AL$8,1))*6&gt;6,CEILING($E32*(IF(REGEXMATCH(AL$10,$B32),$A32,1))/(AL$11*IF(REGEXMATCH($C32,AL$9),AL$8,1))*6),FLOOR($E32*(IF(REGEXMATCH(AL$10,$B32),$A32,1))/(AL$11*IF(REGEXMATCH($C32,"&amp;"AL$9),AL$8,1))*6))"),8.0)</f>
        <v>8</v>
      </c>
      <c r="AM32" s="285">
        <f>IFERROR(__xludf.DUMMYFUNCTION("IF($E32*(IF(REGEXMATCH(AM$10,$B32),$A32,1))/(AM$11*IF(REGEXMATCH($C32,AM$9),AM$8,1))*6&gt;6,CEILING($E32*(IF(REGEXMATCH(AM$10,$B32),$A32,1))/(AM$11*IF(REGEXMATCH($C32,AM$9),AM$8,1))*6),FLOOR($E32*(IF(REGEXMATCH(AM$10,$B32),$A32,1))/(AM$11*IF(REGEXMATCH($C32,"&amp;"AM$9),AM$8,1))*6))"),8.0)</f>
        <v>8</v>
      </c>
      <c r="AN32" s="285">
        <f>IFERROR(__xludf.DUMMYFUNCTION("IF($E32*(IF(REGEXMATCH(AN$10,$B32),$A32,1))/(AN$11*IF(REGEXMATCH($C32,AN$9),AN$8,1))*6&gt;6,CEILING($E32*(IF(REGEXMATCH(AN$10,$B32),$A32,1))/(AN$11*IF(REGEXMATCH($C32,AN$9),AN$8,1))*6),FLOOR($E32*(IF(REGEXMATCH(AN$10,$B32),$A32,1))/(AN$11*IF(REGEXMATCH($C32,"&amp;"AN$9),AN$8,1))*6))"),4.0)</f>
        <v>4</v>
      </c>
      <c r="AO32" s="285">
        <f>IFERROR(__xludf.DUMMYFUNCTION("IF($E32*(IF(REGEXMATCH(AO$10,$B32),$A32,1))/(AO$11*IF(REGEXMATCH($C32,AO$9),AO$8,1))*6&gt;6,CEILING($E32*(IF(REGEXMATCH(AO$10,$B32),$A32,1))/(AO$11*IF(REGEXMATCH($C32,AO$9),AO$8,1))*6),FLOOR($E32*(IF(REGEXMATCH(AO$10,$B32),$A32,1))/(AO$11*IF(REGEXMATCH($C32,"&amp;"AO$9),AO$8,1))*6))"),8.0)</f>
        <v>8</v>
      </c>
      <c r="AP32" s="285">
        <f>IFERROR(__xludf.DUMMYFUNCTION("IF($E32*(IF(REGEXMATCH(AP$10,$B32),$A32,1))/(AP$11*IF(REGEXMATCH($C32,AP$9),AP$8,1))*6&gt;6,CEILING($E32*(IF(REGEXMATCH(AP$10,$B32),$A32,1))/(AP$11*IF(REGEXMATCH($C32,AP$9),AP$8,1))*6),FLOOR($E32*(IF(REGEXMATCH(AP$10,$B32),$A32,1))/(AP$11*IF(REGEXMATCH($C32,"&amp;"AP$9),AP$8,1))*6))"),4.0)</f>
        <v>4</v>
      </c>
      <c r="AQ32" s="285">
        <f>IFERROR(__xludf.DUMMYFUNCTION("IF($E32*(IF(REGEXMATCH(AQ$10,$B32),$A32,1))/(AQ$11*IF(REGEXMATCH($C32,AQ$9),AQ$8,1))*6&gt;6,CEILING($E32*(IF(REGEXMATCH(AQ$10,$B32),$A32,1))/(AQ$11*IF(REGEXMATCH($C32,AQ$9),AQ$8,1))*6),FLOOR($E32*(IF(REGEXMATCH(AQ$10,$B32),$A32,1))/(AQ$11*IF(REGEXMATCH($C32,"&amp;"AQ$9),AQ$8,1))*6))"),5.0)</f>
        <v>5</v>
      </c>
      <c r="AR32" s="285">
        <f>IFERROR(__xludf.DUMMYFUNCTION("IF($E32*(IF(REGEXMATCH(AR$10,$B32),$A32,1))/(AR$11*IF(REGEXMATCH($C32,AR$9),AR$8,1))*6&gt;6,CEILING($E32*(IF(REGEXMATCH(AR$10,$B32),$A32,1))/(AR$11*IF(REGEXMATCH($C32,AR$9),AR$8,1))*6),FLOOR($E32*(IF(REGEXMATCH(AR$10,$B32),$A32,1))/(AR$11*IF(REGEXMATCH($C32,"&amp;"AR$9),AR$8,1))*6))"),9.0)</f>
        <v>9</v>
      </c>
      <c r="AS32" s="285">
        <f>IFERROR(__xludf.DUMMYFUNCTION("IF($E32*(IF(REGEXMATCH(AS$10,$B32),$A32,1))/(AS$11*IF(REGEXMATCH($C32,AS$9),AS$8,1))*6&gt;6,CEILING($E32*(IF(REGEXMATCH(AS$10,$B32),$A32,1))/(AS$11*IF(REGEXMATCH($C32,AS$9),AS$8,1))*6),FLOOR($E32*(IF(REGEXMATCH(AS$10,$B32),$A32,1))/(AS$11*IF(REGEXMATCH($C32,"&amp;"AS$9),AS$8,1))*6))"),9.0)</f>
        <v>9</v>
      </c>
      <c r="AT32" s="285">
        <f>IFERROR(__xludf.DUMMYFUNCTION("IF($E32*(IF(REGEXMATCH(AT$10,$B32),$A32,1))/(AT$11*IF(REGEXMATCH($C32,AT$9),AT$8,1))*6&gt;6,CEILING($E32*(IF(REGEXMATCH(AT$10,$B32),$A32,1))/(AT$11*IF(REGEXMATCH($C32,AT$9),AT$8,1))*6),FLOOR($E32*(IF(REGEXMATCH(AT$10,$B32),$A32,1))/(AT$11*IF(REGEXMATCH($C32,"&amp;"AT$9),AT$8,1))*6))"),12.0)</f>
        <v>12</v>
      </c>
    </row>
    <row r="33">
      <c r="A33" s="8">
        <v>1.0</v>
      </c>
      <c r="B33" s="8" t="s">
        <v>2577</v>
      </c>
      <c r="C33" s="812" t="s">
        <v>2589</v>
      </c>
      <c r="D33" s="8"/>
      <c r="E33" s="8">
        <v>6.0</v>
      </c>
      <c r="F33" s="285" t="s">
        <v>2545</v>
      </c>
      <c r="G33" s="285">
        <f>IFERROR(__xludf.DUMMYFUNCTION("IF($E33*(IF(REGEXMATCH(G$10,$B33),$A33,1))/(G$11*IF(REGEXMATCH($C33,G$9),G$8,1))*6&gt;6,CEILING($E33*(IF(REGEXMATCH(G$10,$B33),$A33,1))/(G$11*IF(REGEXMATCH($C33,G$9),G$8,1))*6),FLOOR($E33*(IF(REGEXMATCH(G$10,$B33),$A33,1))/(G$11*IF(REGEXMATCH($C33,G$9),G$8,1"&amp;"))*6))"),3.0)</f>
        <v>3</v>
      </c>
      <c r="H33" s="285">
        <f>IFERROR(__xludf.DUMMYFUNCTION("IF($E33*(IF(REGEXMATCH(H$10,$B33),$A33,1))/(H$11*IF(REGEXMATCH($C33,H$9),H$8,1))*6&gt;6,CEILING($E33*(IF(REGEXMATCH(H$10,$B33),$A33,1))/(H$11*IF(REGEXMATCH($C33,H$9),H$8,1))*6),FLOOR($E33*(IF(REGEXMATCH(H$10,$B33),$A33,1))/(H$11*IF(REGEXMATCH($C33,H$9),H$8,1"&amp;"))*6))"),3.0)</f>
        <v>3</v>
      </c>
      <c r="I33" s="285">
        <f>IFERROR(__xludf.DUMMYFUNCTION("IF($E33*(IF(REGEXMATCH(I$10,$B33),$A33,1))/(I$11*IF(REGEXMATCH($C33,I$9),I$8,1))*6&gt;6,CEILING($E33*(IF(REGEXMATCH(I$10,$B33),$A33,1))/(I$11*IF(REGEXMATCH($C33,I$9),I$8,1))*6),FLOOR($E33*(IF(REGEXMATCH(I$10,$B33),$A33,1))/(I$11*IF(REGEXMATCH($C33,I$9),I$8,1"&amp;"))*6))"),4.0)</f>
        <v>4</v>
      </c>
      <c r="J33" s="285">
        <f>IFERROR(__xludf.DUMMYFUNCTION("IF($E33*(IF(REGEXMATCH(J$10,$B33),$A33,1))/(J$11*IF(REGEXMATCH($C33,J$9),J$8,1))*6&gt;6,CEILING($E33*(IF(REGEXMATCH(J$10,$B33),$A33,1))/(J$11*IF(REGEXMATCH($C33,J$9),J$8,1))*6),FLOOR($E33*(IF(REGEXMATCH(J$10,$B33),$A33,1))/(J$11*IF(REGEXMATCH($C33,J$9),J$8,1"&amp;"))*6))"),4.0)</f>
        <v>4</v>
      </c>
      <c r="K33" s="285">
        <f>IFERROR(__xludf.DUMMYFUNCTION("IF($E33*(IF(REGEXMATCH(K$10,$B33),$A33,1))/(K$11*IF(REGEXMATCH($C33,K$9),K$8,1))*6&gt;6,CEILING($E33*(IF(REGEXMATCH(K$10,$B33),$A33,1))/(K$11*IF(REGEXMATCH($C33,K$9),K$8,1))*6),FLOOR($E33*(IF(REGEXMATCH(K$10,$B33),$A33,1))/(K$11*IF(REGEXMATCH($C33,K$9),K$8,1"&amp;"))*6))"),4.0)</f>
        <v>4</v>
      </c>
      <c r="L33" s="285">
        <f>IFERROR(__xludf.DUMMYFUNCTION("IF($E33*(IF(REGEXMATCH(L$10,$B33),$A33,1))/(L$11*IF(REGEXMATCH($C33,L$9),L$8,1))*6&gt;6,CEILING($E33*(IF(REGEXMATCH(L$10,$B33),$A33,1))/(L$11*IF(REGEXMATCH($C33,L$9),L$8,1))*6),FLOOR($E33*(IF(REGEXMATCH(L$10,$B33),$A33,1))/(L$11*IF(REGEXMATCH($C33,L$9),L$8,1"&amp;"))*6))"),4.0)</f>
        <v>4</v>
      </c>
      <c r="M33" s="285">
        <f>IFERROR(__xludf.DUMMYFUNCTION("IF($E33*(IF(REGEXMATCH(M$10,$B33),$A33,1))/(M$11*IF(REGEXMATCH($C33,M$9),M$8,1))*6&gt;6,CEILING($E33*(IF(REGEXMATCH(M$10,$B33),$A33,1))/(M$11*IF(REGEXMATCH($C33,M$9),M$8,1))*6),FLOOR($E33*(IF(REGEXMATCH(M$10,$B33),$A33,1))/(M$11*IF(REGEXMATCH($C33,M$9),M$8,1"&amp;"))*6))"),2.0)</f>
        <v>2</v>
      </c>
      <c r="N33" s="285">
        <f>IFERROR(__xludf.DUMMYFUNCTION("IF($E33*(IF(REGEXMATCH(N$10,$B33),$A33,1))/(N$11*IF(REGEXMATCH($C33,N$9),N$8,1))*6&gt;6,CEILING($E33*(IF(REGEXMATCH(N$10,$B33),$A33,1))/(N$11*IF(REGEXMATCH($C33,N$9),N$8,1))*6),FLOOR($E33*(IF(REGEXMATCH(N$10,$B33),$A33,1))/(N$11*IF(REGEXMATCH($C33,N$9),N$8,1"&amp;"))*6))"),4.0)</f>
        <v>4</v>
      </c>
      <c r="O33" s="285">
        <f>IFERROR(__xludf.DUMMYFUNCTION("IF($E33*(IF(REGEXMATCH(O$10,$B33),$A33,1))/(O$11*IF(REGEXMATCH($C33,O$9),O$8,1))*6&gt;6,CEILING($E33*(IF(REGEXMATCH(O$10,$B33),$A33,1))/(O$11*IF(REGEXMATCH($C33,O$9),O$8,1))*6),FLOOR($E33*(IF(REGEXMATCH(O$10,$B33),$A33,1))/(O$11*IF(REGEXMATCH($C33,O$9),O$8,1"&amp;"))*6))"),4.0)</f>
        <v>4</v>
      </c>
      <c r="P33" s="285">
        <f>IFERROR(__xludf.DUMMYFUNCTION("IF($E33*(IF(REGEXMATCH(P$10,$B33),$A33,1))/(P$11*IF(REGEXMATCH($C33,P$9),P$8,1))*6&gt;6,CEILING($E33*(IF(REGEXMATCH(P$10,$B33),$A33,1))/(P$11*IF(REGEXMATCH($C33,P$9),P$8,1))*6),FLOOR($E33*(IF(REGEXMATCH(P$10,$B33),$A33,1))/(P$11*IF(REGEXMATCH($C33,P$9),P$8,1"&amp;"))*6))"),4.0)</f>
        <v>4</v>
      </c>
      <c r="Q33" s="285">
        <f>IFERROR(__xludf.DUMMYFUNCTION("IF($E33*(IF(REGEXMATCH(Q$10,$B33),$A33,1))/(Q$11*IF(REGEXMATCH($C33,Q$9),Q$8,1))*6&gt;6,CEILING($E33*(IF(REGEXMATCH(Q$10,$B33),$A33,1))/(Q$11*IF(REGEXMATCH($C33,Q$9),Q$8,1))*6),FLOOR($E33*(IF(REGEXMATCH(Q$10,$B33),$A33,1))/(Q$11*IF(REGEXMATCH($C33,Q$9),Q$8,1"&amp;"))*6))"),4.0)</f>
        <v>4</v>
      </c>
      <c r="R33" s="285">
        <f>IFERROR(__xludf.DUMMYFUNCTION("IF($E33*(IF(REGEXMATCH(R$10,$B33),$A33,1))/(R$11*IF(REGEXMATCH($C33,R$9),R$8,1))*6&gt;6,CEILING($E33*(IF(REGEXMATCH(R$10,$B33),$A33,1))/(R$11*IF(REGEXMATCH($C33,R$9),R$8,1))*6),FLOOR($E33*(IF(REGEXMATCH(R$10,$B33),$A33,1))/(R$11*IF(REGEXMATCH($C33,R$9),R$8,1"&amp;"))*6))"),3.0)</f>
        <v>3</v>
      </c>
      <c r="S33" s="285">
        <f>IFERROR(__xludf.DUMMYFUNCTION("IF($E33*(IF(REGEXMATCH(S$10,$B33),$A33,1))/(S$11*IF(REGEXMATCH($C33,S$9),S$8,1))*6&gt;6,CEILING($E33*(IF(REGEXMATCH(S$10,$B33),$A33,1))/(S$11*IF(REGEXMATCH($C33,S$9),S$8,1))*6),FLOOR($E33*(IF(REGEXMATCH(S$10,$B33),$A33,1))/(S$11*IF(REGEXMATCH($C33,S$9),S$8,1"&amp;"))*6))"),4.0)</f>
        <v>4</v>
      </c>
      <c r="T33" s="285">
        <f>IFERROR(__xludf.DUMMYFUNCTION("IF($E33*(IF(REGEXMATCH(T$10,$B33),$A33,1))/(T$11*IF(REGEXMATCH($C33,T$9),T$8,1))*6&gt;6,CEILING($E33*(IF(REGEXMATCH(T$10,$B33),$A33,1))/(T$11*IF(REGEXMATCH($C33,T$9),T$8,1))*6),FLOOR($E33*(IF(REGEXMATCH(T$10,$B33),$A33,1))/(T$11*IF(REGEXMATCH($C33,T$9),T$8,1"&amp;"))*6))"),4.0)</f>
        <v>4</v>
      </c>
      <c r="U33" s="285">
        <f>IFERROR(__xludf.DUMMYFUNCTION("IF($E33*(IF(REGEXMATCH(U$10,$B33),$A33,1))/(U$11*IF(REGEXMATCH($C33,U$9),U$8,1))*6&gt;6,CEILING($E33*(IF(REGEXMATCH(U$10,$B33),$A33,1))/(U$11*IF(REGEXMATCH($C33,U$9),U$8,1))*6),FLOOR($E33*(IF(REGEXMATCH(U$10,$B33),$A33,1))/(U$11*IF(REGEXMATCH($C33,U$9),U$8,1"&amp;"))*6))"),4.0)</f>
        <v>4</v>
      </c>
      <c r="V33" s="285">
        <f>IFERROR(__xludf.DUMMYFUNCTION("IF($E33*(IF(REGEXMATCH(V$10,$B33),$A33,1))/(V$11*IF(REGEXMATCH($C33,V$9),V$8,1))*6&gt;6,CEILING($E33*(IF(REGEXMATCH(V$10,$B33),$A33,1))/(V$11*IF(REGEXMATCH($C33,V$9),V$8,1))*6),FLOOR($E33*(IF(REGEXMATCH(V$10,$B33),$A33,1))/(V$11*IF(REGEXMATCH($C33,V$9),V$8,1"&amp;"))*6))"),4.0)</f>
        <v>4</v>
      </c>
      <c r="W33" s="285">
        <f>IFERROR(__xludf.DUMMYFUNCTION("IF($E33*(IF(REGEXMATCH(W$10,$B33),$A33,1))/(W$11*IF(REGEXMATCH($C33,W$9),W$8,1))*6&gt;6,CEILING($E33*(IF(REGEXMATCH(W$10,$B33),$A33,1))/(W$11*IF(REGEXMATCH($C33,W$9),W$8,1))*6),FLOOR($E33*(IF(REGEXMATCH(W$10,$B33),$A33,1))/(W$11*IF(REGEXMATCH($C33,W$9),W$8,1"&amp;"))*6))"),6.0)</f>
        <v>6</v>
      </c>
      <c r="X33" s="285">
        <f>IFERROR(__xludf.DUMMYFUNCTION("IF($E33*(IF(REGEXMATCH(X$10,$B33),$A33,1))/(X$11*IF(REGEXMATCH($C33,X$9),X$8,1))*6&gt;6,CEILING($E33*(IF(REGEXMATCH(X$10,$B33),$A33,1))/(X$11*IF(REGEXMATCH($C33,X$9),X$8,1))*6),FLOOR($E33*(IF(REGEXMATCH(X$10,$B33),$A33,1))/(X$11*IF(REGEXMATCH($C33,X$9),X$8,1"&amp;"))*6))"),6.0)</f>
        <v>6</v>
      </c>
      <c r="Y33" s="285">
        <f>IFERROR(__xludf.DUMMYFUNCTION("IF($E33*(IF(REGEXMATCH(Y$10,$B33),$A33,1))/(Y$11*IF(REGEXMATCH($C33,Y$9),Y$8,1))*6&gt;6,CEILING($E33*(IF(REGEXMATCH(Y$10,$B33),$A33,1))/(Y$11*IF(REGEXMATCH($C33,Y$9),Y$8,1))*6),FLOOR($E33*(IF(REGEXMATCH(Y$10,$B33),$A33,1))/(Y$11*IF(REGEXMATCH($C33,Y$9),Y$8,1"&amp;"))*6))"),6.0)</f>
        <v>6</v>
      </c>
      <c r="Z33" s="285">
        <f>IFERROR(__xludf.DUMMYFUNCTION("IF($E33*(IF(REGEXMATCH(Z$10,$B33),$A33,1))/(Z$11*IF(REGEXMATCH($C33,Z$9),Z$8,1))*6&gt;6,CEILING($E33*(IF(REGEXMATCH(Z$10,$B33),$A33,1))/(Z$11*IF(REGEXMATCH($C33,Z$9),Z$8,1))*6),FLOOR($E33*(IF(REGEXMATCH(Z$10,$B33),$A33,1))/(Z$11*IF(REGEXMATCH($C33,Z$9),Z$8,1"&amp;"))*6))"),6.0)</f>
        <v>6</v>
      </c>
      <c r="AA33" s="285">
        <f>IFERROR(__xludf.DUMMYFUNCTION("IF($E33*(IF(REGEXMATCH(AA$10,$B33),$A33,1))/(AA$11*IF(REGEXMATCH($C33,AA$9),AA$8,1))*6&gt;6,CEILING($E33*(IF(REGEXMATCH(AA$10,$B33),$A33,1))/(AA$11*IF(REGEXMATCH($C33,AA$9),AA$8,1))*6),FLOOR($E33*(IF(REGEXMATCH(AA$10,$B33),$A33,1))/(AA$11*IF(REGEXMATCH($C33,"&amp;"AA$9),AA$8,1))*6))"),6.0)</f>
        <v>6</v>
      </c>
      <c r="AB33" s="285">
        <f>IFERROR(__xludf.DUMMYFUNCTION("IF($E33*(IF(REGEXMATCH(AB$10,$B33),$A33,1))/(AB$11*IF(REGEXMATCH($C33,AB$9),AB$8,1))*6&gt;6,CEILING($E33*(IF(REGEXMATCH(AB$10,$B33),$A33,1))/(AB$11*IF(REGEXMATCH($C33,AB$9),AB$8,1))*6),FLOOR($E33*(IF(REGEXMATCH(AB$10,$B33),$A33,1))/(AB$11*IF(REGEXMATCH($C33,"&amp;"AB$9),AB$8,1))*6))"),6.0)</f>
        <v>6</v>
      </c>
      <c r="AC33" s="285">
        <f>IFERROR(__xludf.DUMMYFUNCTION("IF($E33*(IF(REGEXMATCH(AC$10,$B33),$A33,1))/(AC$11*IF(REGEXMATCH($C33,AC$9),AC$8,1))*6&gt;6,CEILING($E33*(IF(REGEXMATCH(AC$10,$B33),$A33,1))/(AC$11*IF(REGEXMATCH($C33,AC$9),AC$8,1))*6),FLOOR($E33*(IF(REGEXMATCH(AC$10,$B33),$A33,1))/(AC$11*IF(REGEXMATCH($C33,"&amp;"AC$9),AC$8,1))*6))"),6.0)</f>
        <v>6</v>
      </c>
      <c r="AD33" s="285">
        <f>IFERROR(__xludf.DUMMYFUNCTION("IF($E33*(IF(REGEXMATCH(AD$10,$B33),$A33,1))/(AD$11*IF(REGEXMATCH($C33,AD$9),AD$8,1))*6&gt;6,CEILING($E33*(IF(REGEXMATCH(AD$10,$B33),$A33,1))/(AD$11*IF(REGEXMATCH($C33,AD$9),AD$8,1))*6),FLOOR($E33*(IF(REGEXMATCH(AD$10,$B33),$A33,1))/(AD$11*IF(REGEXMATCH($C33,"&amp;"AD$9),AD$8,1))*6))"),6.0)</f>
        <v>6</v>
      </c>
      <c r="AE33" s="285">
        <f>IFERROR(__xludf.DUMMYFUNCTION("IF($E33*(IF(REGEXMATCH(AE$10,$B33),$A33,1))/(AE$11*IF(REGEXMATCH($C33,AE$9),AE$8,1))*6&gt;6,CEILING($E33*(IF(REGEXMATCH(AE$10,$B33),$A33,1))/(AE$11*IF(REGEXMATCH($C33,AE$9),AE$8,1))*6),FLOOR($E33*(IF(REGEXMATCH(AE$10,$B33),$A33,1))/(AE$11*IF(REGEXMATCH($C33,"&amp;"AE$9),AE$8,1))*6))"),6.0)</f>
        <v>6</v>
      </c>
      <c r="AF33" s="285">
        <f>IFERROR(__xludf.DUMMYFUNCTION("IF($E33*(IF(REGEXMATCH(AF$10,$B33),$A33,1))/(AF$11*IF(REGEXMATCH($C33,AF$9),AF$8,1))*6&gt;6,CEILING($E33*(IF(REGEXMATCH(AF$10,$B33),$A33,1))/(AF$11*IF(REGEXMATCH($C33,AF$9),AF$8,1))*6),FLOOR($E33*(IF(REGEXMATCH(AF$10,$B33),$A33,1))/(AF$11*IF(REGEXMATCH($C33,"&amp;"AF$9),AF$8,1))*6))"),6.0)</f>
        <v>6</v>
      </c>
      <c r="AG33" s="285">
        <f>IFERROR(__xludf.DUMMYFUNCTION("IF($E33*(IF(REGEXMATCH(AG$10,$B33),$A33,1))/(AG$11*IF(REGEXMATCH($C33,AG$9),AG$8,1))*6&gt;6,CEILING($E33*(IF(REGEXMATCH(AG$10,$B33),$A33,1))/(AG$11*IF(REGEXMATCH($C33,AG$9),AG$8,1))*6),FLOOR($E33*(IF(REGEXMATCH(AG$10,$B33),$A33,1))/(AG$11*IF(REGEXMATCH($C33,"&amp;"AG$9),AG$8,1))*6))"),4.0)</f>
        <v>4</v>
      </c>
      <c r="AH33" s="285">
        <f>IFERROR(__xludf.DUMMYFUNCTION("IF($E33*(IF(REGEXMATCH(AH$10,$B33),$A33,1))/(AH$11*IF(REGEXMATCH($C33,AH$9),AH$8,1))*6&gt;6,CEILING($E33*(IF(REGEXMATCH(AH$10,$B33),$A33,1))/(AH$11*IF(REGEXMATCH($C33,AH$9),AH$8,1))*6),FLOOR($E33*(IF(REGEXMATCH(AH$10,$B33),$A33,1))/(AH$11*IF(REGEXMATCH($C33,"&amp;"AH$9),AH$8,1))*6))"),6.0)</f>
        <v>6</v>
      </c>
      <c r="AI33" s="285">
        <f>IFERROR(__xludf.DUMMYFUNCTION("IF($E33*(IF(REGEXMATCH(AI$10,$B33),$A33,1))/(AI$11*IF(REGEXMATCH($C33,AI$9),AI$8,1))*6&gt;6,CEILING($E33*(IF(REGEXMATCH(AI$10,$B33),$A33,1))/(AI$11*IF(REGEXMATCH($C33,AI$9),AI$8,1))*6),FLOOR($E33*(IF(REGEXMATCH(AI$10,$B33),$A33,1))/(AI$11*IF(REGEXMATCH($C33,"&amp;"AI$9),AI$8,1))*6))"),6.0)</f>
        <v>6</v>
      </c>
      <c r="AJ33" s="285">
        <f>IFERROR(__xludf.DUMMYFUNCTION("IF($E33*(IF(REGEXMATCH(AJ$10,$B33),$A33,1))/(AJ$11*IF(REGEXMATCH($C33,AJ$9),AJ$8,1))*6&gt;6,CEILING($E33*(IF(REGEXMATCH(AJ$10,$B33),$A33,1))/(AJ$11*IF(REGEXMATCH($C33,AJ$9),AJ$8,1))*6),FLOOR($E33*(IF(REGEXMATCH(AJ$10,$B33),$A33,1))/(AJ$11*IF(REGEXMATCH($C33,"&amp;"AJ$9),AJ$8,1))*6))"),6.0)</f>
        <v>6</v>
      </c>
      <c r="AK33" s="285">
        <f>IFERROR(__xludf.DUMMYFUNCTION("IF($E33*(IF(REGEXMATCH(AK$10,$B33),$A33,1))/(AK$11*IF(REGEXMATCH($C33,AK$9),AK$8,1))*6&gt;6,CEILING($E33*(IF(REGEXMATCH(AK$10,$B33),$A33,1))/(AK$11*IF(REGEXMATCH($C33,AK$9),AK$8,1))*6),FLOOR($E33*(IF(REGEXMATCH(AK$10,$B33),$A33,1))/(AK$11*IF(REGEXMATCH($C33,"&amp;"AK$9),AK$8,1))*6))"),6.0)</f>
        <v>6</v>
      </c>
      <c r="AL33" s="285">
        <f>IFERROR(__xludf.DUMMYFUNCTION("IF($E33*(IF(REGEXMATCH(AL$10,$B33),$A33,1))/(AL$11*IF(REGEXMATCH($C33,AL$9),AL$8,1))*6&gt;6,CEILING($E33*(IF(REGEXMATCH(AL$10,$B33),$A33,1))/(AL$11*IF(REGEXMATCH($C33,AL$9),AL$8,1))*6),FLOOR($E33*(IF(REGEXMATCH(AL$10,$B33),$A33,1))/(AL$11*IF(REGEXMATCH($C33,"&amp;"AL$9),AL$8,1))*6))"),8.0)</f>
        <v>8</v>
      </c>
      <c r="AM33" s="285">
        <f>IFERROR(__xludf.DUMMYFUNCTION("IF($E33*(IF(REGEXMATCH(AM$10,$B33),$A33,1))/(AM$11*IF(REGEXMATCH($C33,AM$9),AM$8,1))*6&gt;6,CEILING($E33*(IF(REGEXMATCH(AM$10,$B33),$A33,1))/(AM$11*IF(REGEXMATCH($C33,AM$9),AM$8,1))*6),FLOOR($E33*(IF(REGEXMATCH(AM$10,$B33),$A33,1))/(AM$11*IF(REGEXMATCH($C33,"&amp;"AM$9),AM$8,1))*6))"),8.0)</f>
        <v>8</v>
      </c>
      <c r="AN33" s="285">
        <f>IFERROR(__xludf.DUMMYFUNCTION("IF($E33*(IF(REGEXMATCH(AN$10,$B33),$A33,1))/(AN$11*IF(REGEXMATCH($C33,AN$9),AN$8,1))*6&gt;6,CEILING($E33*(IF(REGEXMATCH(AN$10,$B33),$A33,1))/(AN$11*IF(REGEXMATCH($C33,AN$9),AN$8,1))*6),FLOOR($E33*(IF(REGEXMATCH(AN$10,$B33),$A33,1))/(AN$11*IF(REGEXMATCH($C33,"&amp;"AN$9),AN$8,1))*6))"),4.0)</f>
        <v>4</v>
      </c>
      <c r="AO33" s="285">
        <f>IFERROR(__xludf.DUMMYFUNCTION("IF($E33*(IF(REGEXMATCH(AO$10,$B33),$A33,1))/(AO$11*IF(REGEXMATCH($C33,AO$9),AO$8,1))*6&gt;6,CEILING($E33*(IF(REGEXMATCH(AO$10,$B33),$A33,1))/(AO$11*IF(REGEXMATCH($C33,AO$9),AO$8,1))*6),FLOOR($E33*(IF(REGEXMATCH(AO$10,$B33),$A33,1))/(AO$11*IF(REGEXMATCH($C33,"&amp;"AO$9),AO$8,1))*6))"),8.0)</f>
        <v>8</v>
      </c>
      <c r="AP33" s="285">
        <f>IFERROR(__xludf.DUMMYFUNCTION("IF($E33*(IF(REGEXMATCH(AP$10,$B33),$A33,1))/(AP$11*IF(REGEXMATCH($C33,AP$9),AP$8,1))*6&gt;6,CEILING($E33*(IF(REGEXMATCH(AP$10,$B33),$A33,1))/(AP$11*IF(REGEXMATCH($C33,AP$9),AP$8,1))*6),FLOOR($E33*(IF(REGEXMATCH(AP$10,$B33),$A33,1))/(AP$11*IF(REGEXMATCH($C33,"&amp;"AP$9),AP$8,1))*6))"),4.0)</f>
        <v>4</v>
      </c>
      <c r="AQ33" s="285">
        <f>IFERROR(__xludf.DUMMYFUNCTION("IF($E33*(IF(REGEXMATCH(AQ$10,$B33),$A33,1))/(AQ$11*IF(REGEXMATCH($C33,AQ$9),AQ$8,1))*6&gt;6,CEILING($E33*(IF(REGEXMATCH(AQ$10,$B33),$A33,1))/(AQ$11*IF(REGEXMATCH($C33,AQ$9),AQ$8,1))*6),FLOOR($E33*(IF(REGEXMATCH(AQ$10,$B33),$A33,1))/(AQ$11*IF(REGEXMATCH($C33,"&amp;"AQ$9),AQ$8,1))*6))"),5.0)</f>
        <v>5</v>
      </c>
      <c r="AR33" s="285">
        <f>IFERROR(__xludf.DUMMYFUNCTION("IF($E33*(IF(REGEXMATCH(AR$10,$B33),$A33,1))/(AR$11*IF(REGEXMATCH($C33,AR$9),AR$8,1))*6&gt;6,CEILING($E33*(IF(REGEXMATCH(AR$10,$B33),$A33,1))/(AR$11*IF(REGEXMATCH($C33,AR$9),AR$8,1))*6),FLOOR($E33*(IF(REGEXMATCH(AR$10,$B33),$A33,1))/(AR$11*IF(REGEXMATCH($C33,"&amp;"AR$9),AR$8,1))*6))"),9.0)</f>
        <v>9</v>
      </c>
      <c r="AS33" s="285">
        <f>IFERROR(__xludf.DUMMYFUNCTION("IF($E33*(IF(REGEXMATCH(AS$10,$B33),$A33,1))/(AS$11*IF(REGEXMATCH($C33,AS$9),AS$8,1))*6&gt;6,CEILING($E33*(IF(REGEXMATCH(AS$10,$B33),$A33,1))/(AS$11*IF(REGEXMATCH($C33,AS$9),AS$8,1))*6),FLOOR($E33*(IF(REGEXMATCH(AS$10,$B33),$A33,1))/(AS$11*IF(REGEXMATCH($C33,"&amp;"AS$9),AS$8,1))*6))"),9.0)</f>
        <v>9</v>
      </c>
      <c r="AT33" s="285">
        <f>IFERROR(__xludf.DUMMYFUNCTION("IF($E33*(IF(REGEXMATCH(AT$10,$B33),$A33,1))/(AT$11*IF(REGEXMATCH($C33,AT$9),AT$8,1))*6&gt;6,CEILING($E33*(IF(REGEXMATCH(AT$10,$B33),$A33,1))/(AT$11*IF(REGEXMATCH($C33,AT$9),AT$8,1))*6),FLOOR($E33*(IF(REGEXMATCH(AT$10,$B33),$A33,1))/(AT$11*IF(REGEXMATCH($C33,"&amp;"AT$9),AT$8,1))*6))"),12.0)</f>
        <v>12</v>
      </c>
    </row>
    <row r="34">
      <c r="A34" s="8">
        <v>1.0</v>
      </c>
      <c r="B34" s="8" t="s">
        <v>2577</v>
      </c>
      <c r="C34" s="812" t="s">
        <v>2582</v>
      </c>
      <c r="D34" s="8"/>
      <c r="E34" s="8">
        <v>6.0</v>
      </c>
      <c r="F34" s="285" t="s">
        <v>2181</v>
      </c>
      <c r="G34" s="285">
        <f>IFERROR(__xludf.DUMMYFUNCTION("IF($E34*(IF(REGEXMATCH(G$10,$B34),$A34,1))/(G$11*IF(REGEXMATCH($C34,G$9),G$8,1))*6&gt;6,CEILING($E34*(IF(REGEXMATCH(G$10,$B34),$A34,1))/(G$11*IF(REGEXMATCH($C34,G$9),G$8,1))*6),FLOOR($E34*(IF(REGEXMATCH(G$10,$B34),$A34,1))/(G$11*IF(REGEXMATCH($C34,G$9),G$8,1"&amp;"))*6))"),3.0)</f>
        <v>3</v>
      </c>
      <c r="H34" s="285">
        <f>IFERROR(__xludf.DUMMYFUNCTION("IF($E34*(IF(REGEXMATCH(H$10,$B34),$A34,1))/(H$11*IF(REGEXMATCH($C34,H$9),H$8,1))*6&gt;6,CEILING($E34*(IF(REGEXMATCH(H$10,$B34),$A34,1))/(H$11*IF(REGEXMATCH($C34,H$9),H$8,1))*6),FLOOR($E34*(IF(REGEXMATCH(H$10,$B34),$A34,1))/(H$11*IF(REGEXMATCH($C34,H$9),H$8,1"&amp;"))*6))"),3.0)</f>
        <v>3</v>
      </c>
      <c r="I34" s="285">
        <f>IFERROR(__xludf.DUMMYFUNCTION("IF($E34*(IF(REGEXMATCH(I$10,$B34),$A34,1))/(I$11*IF(REGEXMATCH($C34,I$9),I$8,1))*6&gt;6,CEILING($E34*(IF(REGEXMATCH(I$10,$B34),$A34,1))/(I$11*IF(REGEXMATCH($C34,I$9),I$8,1))*6),FLOOR($E34*(IF(REGEXMATCH(I$10,$B34),$A34,1))/(I$11*IF(REGEXMATCH($C34,I$9),I$8,1"&amp;"))*6))"),4.0)</f>
        <v>4</v>
      </c>
      <c r="J34" s="285">
        <f>IFERROR(__xludf.DUMMYFUNCTION("IF($E34*(IF(REGEXMATCH(J$10,$B34),$A34,1))/(J$11*IF(REGEXMATCH($C34,J$9),J$8,1))*6&gt;6,CEILING($E34*(IF(REGEXMATCH(J$10,$B34),$A34,1))/(J$11*IF(REGEXMATCH($C34,J$9),J$8,1))*6),FLOOR($E34*(IF(REGEXMATCH(J$10,$B34),$A34,1))/(J$11*IF(REGEXMATCH($C34,J$9),J$8,1"&amp;"))*6))"),4.0)</f>
        <v>4</v>
      </c>
      <c r="K34" s="285">
        <f>IFERROR(__xludf.DUMMYFUNCTION("IF($E34*(IF(REGEXMATCH(K$10,$B34),$A34,1))/(K$11*IF(REGEXMATCH($C34,K$9),K$8,1))*6&gt;6,CEILING($E34*(IF(REGEXMATCH(K$10,$B34),$A34,1))/(K$11*IF(REGEXMATCH($C34,K$9),K$8,1))*6),FLOOR($E34*(IF(REGEXMATCH(K$10,$B34),$A34,1))/(K$11*IF(REGEXMATCH($C34,K$9),K$8,1"&amp;"))*6))"),4.0)</f>
        <v>4</v>
      </c>
      <c r="L34" s="285">
        <f>IFERROR(__xludf.DUMMYFUNCTION("IF($E34*(IF(REGEXMATCH(L$10,$B34),$A34,1))/(L$11*IF(REGEXMATCH($C34,L$9),L$8,1))*6&gt;6,CEILING($E34*(IF(REGEXMATCH(L$10,$B34),$A34,1))/(L$11*IF(REGEXMATCH($C34,L$9),L$8,1))*6),FLOOR($E34*(IF(REGEXMATCH(L$10,$B34),$A34,1))/(L$11*IF(REGEXMATCH($C34,L$9),L$8,1"&amp;"))*6))"),4.0)</f>
        <v>4</v>
      </c>
      <c r="M34" s="285">
        <f>IFERROR(__xludf.DUMMYFUNCTION("IF($E34*(IF(REGEXMATCH(M$10,$B34),$A34,1))/(M$11*IF(REGEXMATCH($C34,M$9),M$8,1))*6&gt;6,CEILING($E34*(IF(REGEXMATCH(M$10,$B34),$A34,1))/(M$11*IF(REGEXMATCH($C34,M$9),M$8,1))*6),FLOOR($E34*(IF(REGEXMATCH(M$10,$B34),$A34,1))/(M$11*IF(REGEXMATCH($C34,M$9),M$8,1"&amp;"))*6))"),4.0)</f>
        <v>4</v>
      </c>
      <c r="N34" s="285">
        <f>IFERROR(__xludf.DUMMYFUNCTION("IF($E34*(IF(REGEXMATCH(N$10,$B34),$A34,1))/(N$11*IF(REGEXMATCH($C34,N$9),N$8,1))*6&gt;6,CEILING($E34*(IF(REGEXMATCH(N$10,$B34),$A34,1))/(N$11*IF(REGEXMATCH($C34,N$9),N$8,1))*6),FLOOR($E34*(IF(REGEXMATCH(N$10,$B34),$A34,1))/(N$11*IF(REGEXMATCH($C34,N$9),N$8,1"&amp;"))*6))"),4.0)</f>
        <v>4</v>
      </c>
      <c r="O34" s="285">
        <f>IFERROR(__xludf.DUMMYFUNCTION("IF($E34*(IF(REGEXMATCH(O$10,$B34),$A34,1))/(O$11*IF(REGEXMATCH($C34,O$9),O$8,1))*6&gt;6,CEILING($E34*(IF(REGEXMATCH(O$10,$B34),$A34,1))/(O$11*IF(REGEXMATCH($C34,O$9),O$8,1))*6),FLOOR($E34*(IF(REGEXMATCH(O$10,$B34),$A34,1))/(O$11*IF(REGEXMATCH($C34,O$9),O$8,1"&amp;"))*6))"),4.0)</f>
        <v>4</v>
      </c>
      <c r="P34" s="285">
        <f>IFERROR(__xludf.DUMMYFUNCTION("IF($E34*(IF(REGEXMATCH(P$10,$B34),$A34,1))/(P$11*IF(REGEXMATCH($C34,P$9),P$8,1))*6&gt;6,CEILING($E34*(IF(REGEXMATCH(P$10,$B34),$A34,1))/(P$11*IF(REGEXMATCH($C34,P$9),P$8,1))*6),FLOOR($E34*(IF(REGEXMATCH(P$10,$B34),$A34,1))/(P$11*IF(REGEXMATCH($C34,P$9),P$8,1"&amp;"))*6))"),4.0)</f>
        <v>4</v>
      </c>
      <c r="Q34" s="285">
        <f>IFERROR(__xludf.DUMMYFUNCTION("IF($E34*(IF(REGEXMATCH(Q$10,$B34),$A34,1))/(Q$11*IF(REGEXMATCH($C34,Q$9),Q$8,1))*6&gt;6,CEILING($E34*(IF(REGEXMATCH(Q$10,$B34),$A34,1))/(Q$11*IF(REGEXMATCH($C34,Q$9),Q$8,1))*6),FLOOR($E34*(IF(REGEXMATCH(Q$10,$B34),$A34,1))/(Q$11*IF(REGEXMATCH($C34,Q$9),Q$8,1"&amp;"))*6))"),4.0)</f>
        <v>4</v>
      </c>
      <c r="R34" s="285">
        <f>IFERROR(__xludf.DUMMYFUNCTION("IF($E34*(IF(REGEXMATCH(R$10,$B34),$A34,1))/(R$11*IF(REGEXMATCH($C34,R$9),R$8,1))*6&gt;6,CEILING($E34*(IF(REGEXMATCH(R$10,$B34),$A34,1))/(R$11*IF(REGEXMATCH($C34,R$9),R$8,1))*6),FLOOR($E34*(IF(REGEXMATCH(R$10,$B34),$A34,1))/(R$11*IF(REGEXMATCH($C34,R$9),R$8,1"&amp;"))*6))"),4.0)</f>
        <v>4</v>
      </c>
      <c r="S34" s="285">
        <f>IFERROR(__xludf.DUMMYFUNCTION("IF($E34*(IF(REGEXMATCH(S$10,$B34),$A34,1))/(S$11*IF(REGEXMATCH($C34,S$9),S$8,1))*6&gt;6,CEILING($E34*(IF(REGEXMATCH(S$10,$B34),$A34,1))/(S$11*IF(REGEXMATCH($C34,S$9),S$8,1))*6),FLOOR($E34*(IF(REGEXMATCH(S$10,$B34),$A34,1))/(S$11*IF(REGEXMATCH($C34,S$9),S$8,1"&amp;"))*6))"),4.0)</f>
        <v>4</v>
      </c>
      <c r="T34" s="285">
        <f>IFERROR(__xludf.DUMMYFUNCTION("IF($E34*(IF(REGEXMATCH(T$10,$B34),$A34,1))/(T$11*IF(REGEXMATCH($C34,T$9),T$8,1))*6&gt;6,CEILING($E34*(IF(REGEXMATCH(T$10,$B34),$A34,1))/(T$11*IF(REGEXMATCH($C34,T$9),T$8,1))*6),FLOOR($E34*(IF(REGEXMATCH(T$10,$B34),$A34,1))/(T$11*IF(REGEXMATCH($C34,T$9),T$8,1"&amp;"))*6))"),4.0)</f>
        <v>4</v>
      </c>
      <c r="U34" s="285">
        <f>IFERROR(__xludf.DUMMYFUNCTION("IF($E34*(IF(REGEXMATCH(U$10,$B34),$A34,1))/(U$11*IF(REGEXMATCH($C34,U$9),U$8,1))*6&gt;6,CEILING($E34*(IF(REGEXMATCH(U$10,$B34),$A34,1))/(U$11*IF(REGEXMATCH($C34,U$9),U$8,1))*6),FLOOR($E34*(IF(REGEXMATCH(U$10,$B34),$A34,1))/(U$11*IF(REGEXMATCH($C34,U$9),U$8,1"&amp;"))*6))"),4.0)</f>
        <v>4</v>
      </c>
      <c r="V34" s="285">
        <f>IFERROR(__xludf.DUMMYFUNCTION("IF($E34*(IF(REGEXMATCH(V$10,$B34),$A34,1))/(V$11*IF(REGEXMATCH($C34,V$9),V$8,1))*6&gt;6,CEILING($E34*(IF(REGEXMATCH(V$10,$B34),$A34,1))/(V$11*IF(REGEXMATCH($C34,V$9),V$8,1))*6),FLOOR($E34*(IF(REGEXMATCH(V$10,$B34),$A34,1))/(V$11*IF(REGEXMATCH($C34,V$9),V$8,1"&amp;"))*6))"),4.0)</f>
        <v>4</v>
      </c>
      <c r="W34" s="285">
        <f>IFERROR(__xludf.DUMMYFUNCTION("IF($E34*(IF(REGEXMATCH(W$10,$B34),$A34,1))/(W$11*IF(REGEXMATCH($C34,W$9),W$8,1))*6&gt;6,CEILING($E34*(IF(REGEXMATCH(W$10,$B34),$A34,1))/(W$11*IF(REGEXMATCH($C34,W$9),W$8,1))*6),FLOOR($E34*(IF(REGEXMATCH(W$10,$B34),$A34,1))/(W$11*IF(REGEXMATCH($C34,W$9),W$8,1"&amp;"))*6))"),6.0)</f>
        <v>6</v>
      </c>
      <c r="X34" s="285">
        <f>IFERROR(__xludf.DUMMYFUNCTION("IF($E34*(IF(REGEXMATCH(X$10,$B34),$A34,1))/(X$11*IF(REGEXMATCH($C34,X$9),X$8,1))*6&gt;6,CEILING($E34*(IF(REGEXMATCH(X$10,$B34),$A34,1))/(X$11*IF(REGEXMATCH($C34,X$9),X$8,1))*6),FLOOR($E34*(IF(REGEXMATCH(X$10,$B34),$A34,1))/(X$11*IF(REGEXMATCH($C34,X$9),X$8,1"&amp;"))*6))"),6.0)</f>
        <v>6</v>
      </c>
      <c r="Y34" s="285">
        <f>IFERROR(__xludf.DUMMYFUNCTION("IF($E34*(IF(REGEXMATCH(Y$10,$B34),$A34,1))/(Y$11*IF(REGEXMATCH($C34,Y$9),Y$8,1))*6&gt;6,CEILING($E34*(IF(REGEXMATCH(Y$10,$B34),$A34,1))/(Y$11*IF(REGEXMATCH($C34,Y$9),Y$8,1))*6),FLOOR($E34*(IF(REGEXMATCH(Y$10,$B34),$A34,1))/(Y$11*IF(REGEXMATCH($C34,Y$9),Y$8,1"&amp;"))*6))"),6.0)</f>
        <v>6</v>
      </c>
      <c r="Z34" s="285">
        <f>IFERROR(__xludf.DUMMYFUNCTION("IF($E34*(IF(REGEXMATCH(Z$10,$B34),$A34,1))/(Z$11*IF(REGEXMATCH($C34,Z$9),Z$8,1))*6&gt;6,CEILING($E34*(IF(REGEXMATCH(Z$10,$B34),$A34,1))/(Z$11*IF(REGEXMATCH($C34,Z$9),Z$8,1))*6),FLOOR($E34*(IF(REGEXMATCH(Z$10,$B34),$A34,1))/(Z$11*IF(REGEXMATCH($C34,Z$9),Z$8,1"&amp;"))*6))"),6.0)</f>
        <v>6</v>
      </c>
      <c r="AA34" s="285">
        <f>IFERROR(__xludf.DUMMYFUNCTION("IF($E34*(IF(REGEXMATCH(AA$10,$B34),$A34,1))/(AA$11*IF(REGEXMATCH($C34,AA$9),AA$8,1))*6&gt;6,CEILING($E34*(IF(REGEXMATCH(AA$10,$B34),$A34,1))/(AA$11*IF(REGEXMATCH($C34,AA$9),AA$8,1))*6),FLOOR($E34*(IF(REGEXMATCH(AA$10,$B34),$A34,1))/(AA$11*IF(REGEXMATCH($C34,"&amp;"AA$9),AA$8,1))*6))"),6.0)</f>
        <v>6</v>
      </c>
      <c r="AB34" s="285">
        <f>IFERROR(__xludf.DUMMYFUNCTION("IF($E34*(IF(REGEXMATCH(AB$10,$B34),$A34,1))/(AB$11*IF(REGEXMATCH($C34,AB$9),AB$8,1))*6&gt;6,CEILING($E34*(IF(REGEXMATCH(AB$10,$B34),$A34,1))/(AB$11*IF(REGEXMATCH($C34,AB$9),AB$8,1))*6),FLOOR($E34*(IF(REGEXMATCH(AB$10,$B34),$A34,1))/(AB$11*IF(REGEXMATCH($C34,"&amp;"AB$9),AB$8,1))*6))"),6.0)</f>
        <v>6</v>
      </c>
      <c r="AC34" s="285">
        <f>IFERROR(__xludf.DUMMYFUNCTION("IF($E34*(IF(REGEXMATCH(AC$10,$B34),$A34,1))/(AC$11*IF(REGEXMATCH($C34,AC$9),AC$8,1))*6&gt;6,CEILING($E34*(IF(REGEXMATCH(AC$10,$B34),$A34,1))/(AC$11*IF(REGEXMATCH($C34,AC$9),AC$8,1))*6),FLOOR($E34*(IF(REGEXMATCH(AC$10,$B34),$A34,1))/(AC$11*IF(REGEXMATCH($C34,"&amp;"AC$9),AC$8,1))*6))"),6.0)</f>
        <v>6</v>
      </c>
      <c r="AD34" s="285">
        <f>IFERROR(__xludf.DUMMYFUNCTION("IF($E34*(IF(REGEXMATCH(AD$10,$B34),$A34,1))/(AD$11*IF(REGEXMATCH($C34,AD$9),AD$8,1))*6&gt;6,CEILING($E34*(IF(REGEXMATCH(AD$10,$B34),$A34,1))/(AD$11*IF(REGEXMATCH($C34,AD$9),AD$8,1))*6),FLOOR($E34*(IF(REGEXMATCH(AD$10,$B34),$A34,1))/(AD$11*IF(REGEXMATCH($C34,"&amp;"AD$9),AD$8,1))*6))"),6.0)</f>
        <v>6</v>
      </c>
      <c r="AE34" s="285">
        <f>IFERROR(__xludf.DUMMYFUNCTION("IF($E34*(IF(REGEXMATCH(AE$10,$B34),$A34,1))/(AE$11*IF(REGEXMATCH($C34,AE$9),AE$8,1))*6&gt;6,CEILING($E34*(IF(REGEXMATCH(AE$10,$B34),$A34,1))/(AE$11*IF(REGEXMATCH($C34,AE$9),AE$8,1))*6),FLOOR($E34*(IF(REGEXMATCH(AE$10,$B34),$A34,1))/(AE$11*IF(REGEXMATCH($C34,"&amp;"AE$9),AE$8,1))*6))"),6.0)</f>
        <v>6</v>
      </c>
      <c r="AF34" s="285">
        <f>IFERROR(__xludf.DUMMYFUNCTION("IF($E34*(IF(REGEXMATCH(AF$10,$B34),$A34,1))/(AF$11*IF(REGEXMATCH($C34,AF$9),AF$8,1))*6&gt;6,CEILING($E34*(IF(REGEXMATCH(AF$10,$B34),$A34,1))/(AF$11*IF(REGEXMATCH($C34,AF$9),AF$8,1))*6),FLOOR($E34*(IF(REGEXMATCH(AF$10,$B34),$A34,1))/(AF$11*IF(REGEXMATCH($C34,"&amp;"AF$9),AF$8,1))*6))"),6.0)</f>
        <v>6</v>
      </c>
      <c r="AG34" s="285">
        <f>IFERROR(__xludf.DUMMYFUNCTION("IF($E34*(IF(REGEXMATCH(AG$10,$B34),$A34,1))/(AG$11*IF(REGEXMATCH($C34,AG$9),AG$8,1))*6&gt;6,CEILING($E34*(IF(REGEXMATCH(AG$10,$B34),$A34,1))/(AG$11*IF(REGEXMATCH($C34,AG$9),AG$8,1))*6),FLOOR($E34*(IF(REGEXMATCH(AG$10,$B34),$A34,1))/(AG$11*IF(REGEXMATCH($C34,"&amp;"AG$9),AG$8,1))*6))"),6.0)</f>
        <v>6</v>
      </c>
      <c r="AH34" s="285">
        <f>IFERROR(__xludf.DUMMYFUNCTION("IF($E34*(IF(REGEXMATCH(AH$10,$B34),$A34,1))/(AH$11*IF(REGEXMATCH($C34,AH$9),AH$8,1))*6&gt;6,CEILING($E34*(IF(REGEXMATCH(AH$10,$B34),$A34,1))/(AH$11*IF(REGEXMATCH($C34,AH$9),AH$8,1))*6),FLOOR($E34*(IF(REGEXMATCH(AH$10,$B34),$A34,1))/(AH$11*IF(REGEXMATCH($C34,"&amp;"AH$9),AH$8,1))*6))"),6.0)</f>
        <v>6</v>
      </c>
      <c r="AI34" s="285">
        <f>IFERROR(__xludf.DUMMYFUNCTION("IF($E34*(IF(REGEXMATCH(AI$10,$B34),$A34,1))/(AI$11*IF(REGEXMATCH($C34,AI$9),AI$8,1))*6&gt;6,CEILING($E34*(IF(REGEXMATCH(AI$10,$B34),$A34,1))/(AI$11*IF(REGEXMATCH($C34,AI$9),AI$8,1))*6),FLOOR($E34*(IF(REGEXMATCH(AI$10,$B34),$A34,1))/(AI$11*IF(REGEXMATCH($C34,"&amp;"AI$9),AI$8,1))*6))"),6.0)</f>
        <v>6</v>
      </c>
      <c r="AJ34" s="285">
        <f>IFERROR(__xludf.DUMMYFUNCTION("IF($E34*(IF(REGEXMATCH(AJ$10,$B34),$A34,1))/(AJ$11*IF(REGEXMATCH($C34,AJ$9),AJ$8,1))*6&gt;6,CEILING($E34*(IF(REGEXMATCH(AJ$10,$B34),$A34,1))/(AJ$11*IF(REGEXMATCH($C34,AJ$9),AJ$8,1))*6),FLOOR($E34*(IF(REGEXMATCH(AJ$10,$B34),$A34,1))/(AJ$11*IF(REGEXMATCH($C34,"&amp;"AJ$9),AJ$8,1))*6))"),6.0)</f>
        <v>6</v>
      </c>
      <c r="AK34" s="285">
        <f>IFERROR(__xludf.DUMMYFUNCTION("IF($E34*(IF(REGEXMATCH(AK$10,$B34),$A34,1))/(AK$11*IF(REGEXMATCH($C34,AK$9),AK$8,1))*6&gt;6,CEILING($E34*(IF(REGEXMATCH(AK$10,$B34),$A34,1))/(AK$11*IF(REGEXMATCH($C34,AK$9),AK$8,1))*6),FLOOR($E34*(IF(REGEXMATCH(AK$10,$B34),$A34,1))/(AK$11*IF(REGEXMATCH($C34,"&amp;"AK$9),AK$8,1))*6))"),6.0)</f>
        <v>6</v>
      </c>
      <c r="AL34" s="285">
        <f>IFERROR(__xludf.DUMMYFUNCTION("IF($E34*(IF(REGEXMATCH(AL$10,$B34),$A34,1))/(AL$11*IF(REGEXMATCH($C34,AL$9),AL$8,1))*6&gt;6,CEILING($E34*(IF(REGEXMATCH(AL$10,$B34),$A34,1))/(AL$11*IF(REGEXMATCH($C34,AL$9),AL$8,1))*6),FLOOR($E34*(IF(REGEXMATCH(AL$10,$B34),$A34,1))/(AL$11*IF(REGEXMATCH($C34,"&amp;"AL$9),AL$8,1))*6))"),8.0)</f>
        <v>8</v>
      </c>
      <c r="AM34" s="285">
        <f>IFERROR(__xludf.DUMMYFUNCTION("IF($E34*(IF(REGEXMATCH(AM$10,$B34),$A34,1))/(AM$11*IF(REGEXMATCH($C34,AM$9),AM$8,1))*6&gt;6,CEILING($E34*(IF(REGEXMATCH(AM$10,$B34),$A34,1))/(AM$11*IF(REGEXMATCH($C34,AM$9),AM$8,1))*6),FLOOR($E34*(IF(REGEXMATCH(AM$10,$B34),$A34,1))/(AM$11*IF(REGEXMATCH($C34,"&amp;"AM$9),AM$8,1))*6))"),8.0)</f>
        <v>8</v>
      </c>
      <c r="AN34" s="285">
        <f>IFERROR(__xludf.DUMMYFUNCTION("IF($E34*(IF(REGEXMATCH(AN$10,$B34),$A34,1))/(AN$11*IF(REGEXMATCH($C34,AN$9),AN$8,1))*6&gt;6,CEILING($E34*(IF(REGEXMATCH(AN$10,$B34),$A34,1))/(AN$11*IF(REGEXMATCH($C34,AN$9),AN$8,1))*6),FLOOR($E34*(IF(REGEXMATCH(AN$10,$B34),$A34,1))/(AN$11*IF(REGEXMATCH($C34,"&amp;"AN$9),AN$8,1))*6))"),8.0)</f>
        <v>8</v>
      </c>
      <c r="AO34" s="285">
        <f>IFERROR(__xludf.DUMMYFUNCTION("IF($E34*(IF(REGEXMATCH(AO$10,$B34),$A34,1))/(AO$11*IF(REGEXMATCH($C34,AO$9),AO$8,1))*6&gt;6,CEILING($E34*(IF(REGEXMATCH(AO$10,$B34),$A34,1))/(AO$11*IF(REGEXMATCH($C34,AO$9),AO$8,1))*6),FLOOR($E34*(IF(REGEXMATCH(AO$10,$B34),$A34,1))/(AO$11*IF(REGEXMATCH($C34,"&amp;"AO$9),AO$8,1))*6))"),8.0)</f>
        <v>8</v>
      </c>
      <c r="AP34" s="285">
        <f>IFERROR(__xludf.DUMMYFUNCTION("IF($E34*(IF(REGEXMATCH(AP$10,$B34),$A34,1))/(AP$11*IF(REGEXMATCH($C34,AP$9),AP$8,1))*6&gt;6,CEILING($E34*(IF(REGEXMATCH(AP$10,$B34),$A34,1))/(AP$11*IF(REGEXMATCH($C34,AP$9),AP$8,1))*6),FLOOR($E34*(IF(REGEXMATCH(AP$10,$B34),$A34,1))/(AP$11*IF(REGEXMATCH($C34,"&amp;"AP$9),AP$8,1))*6))"),8.0)</f>
        <v>8</v>
      </c>
      <c r="AQ34" s="285">
        <f>IFERROR(__xludf.DUMMYFUNCTION("IF($E34*(IF(REGEXMATCH(AQ$10,$B34),$A34,1))/(AQ$11*IF(REGEXMATCH($C34,AQ$9),AQ$8,1))*6&gt;6,CEILING($E34*(IF(REGEXMATCH(AQ$10,$B34),$A34,1))/(AQ$11*IF(REGEXMATCH($C34,AQ$9),AQ$8,1))*6),FLOOR($E34*(IF(REGEXMATCH(AQ$10,$B34),$A34,1))/(AQ$11*IF(REGEXMATCH($C34,"&amp;"AQ$9),AQ$8,1))*6))"),8.0)</f>
        <v>8</v>
      </c>
      <c r="AR34" s="285">
        <f>IFERROR(__xludf.DUMMYFUNCTION("IF($E34*(IF(REGEXMATCH(AR$10,$B34),$A34,1))/(AR$11*IF(REGEXMATCH($C34,AR$9),AR$8,1))*6&gt;6,CEILING($E34*(IF(REGEXMATCH(AR$10,$B34),$A34,1))/(AR$11*IF(REGEXMATCH($C34,AR$9),AR$8,1))*6),FLOOR($E34*(IF(REGEXMATCH(AR$10,$B34),$A34,1))/(AR$11*IF(REGEXMATCH($C34,"&amp;"AR$9),AR$8,1))*6))"),9.0)</f>
        <v>9</v>
      </c>
      <c r="AS34" s="285">
        <f>IFERROR(__xludf.DUMMYFUNCTION("IF($E34*(IF(REGEXMATCH(AS$10,$B34),$A34,1))/(AS$11*IF(REGEXMATCH($C34,AS$9),AS$8,1))*6&gt;6,CEILING($E34*(IF(REGEXMATCH(AS$10,$B34),$A34,1))/(AS$11*IF(REGEXMATCH($C34,AS$9),AS$8,1))*6),FLOOR($E34*(IF(REGEXMATCH(AS$10,$B34),$A34,1))/(AS$11*IF(REGEXMATCH($C34,"&amp;"AS$9),AS$8,1))*6))"),9.0)</f>
        <v>9</v>
      </c>
      <c r="AT34" s="285">
        <f>IFERROR(__xludf.DUMMYFUNCTION("IF($E34*(IF(REGEXMATCH(AT$10,$B34),$A34,1))/(AT$11*IF(REGEXMATCH($C34,AT$9),AT$8,1))*6&gt;6,CEILING($E34*(IF(REGEXMATCH(AT$10,$B34),$A34,1))/(AT$11*IF(REGEXMATCH($C34,AT$9),AT$8,1))*6),FLOOR($E34*(IF(REGEXMATCH(AT$10,$B34),$A34,1))/(AT$11*IF(REGEXMATCH($C34,"&amp;"AT$9),AT$8,1))*6))"),12.0)</f>
        <v>12</v>
      </c>
    </row>
    <row r="35">
      <c r="A35" s="8">
        <v>1.0</v>
      </c>
      <c r="B35" s="8" t="s">
        <v>2577</v>
      </c>
      <c r="C35" s="813" t="s">
        <v>2587</v>
      </c>
      <c r="D35" s="813"/>
      <c r="E35" s="813">
        <v>6.0</v>
      </c>
      <c r="F35" s="98" t="s">
        <v>2546</v>
      </c>
      <c r="G35" s="285">
        <f>IFERROR(__xludf.DUMMYFUNCTION("IF($E35*(IF(REGEXMATCH(G$10,$B35),$A35,1))/(G$11*IF(REGEXMATCH($C35,G$9),G$8,1))*6&gt;6,CEILING($E35*(IF(REGEXMATCH(G$10,$B35),$A35,1))/(G$11*IF(REGEXMATCH($C35,G$9),G$8,1))*6),FLOOR($E35*(IF(REGEXMATCH(G$10,$B35),$A35,1))/(G$11*IF(REGEXMATCH($C35,G$9),G$8,1"&amp;"))*6))"),3.0)</f>
        <v>3</v>
      </c>
      <c r="H35" s="285">
        <f>IFERROR(__xludf.DUMMYFUNCTION("IF($E35*(IF(REGEXMATCH(H$10,$B35),$A35,1))/(H$11*IF(REGEXMATCH($C35,H$9),H$8,1))*6&gt;6,CEILING($E35*(IF(REGEXMATCH(H$10,$B35),$A35,1))/(H$11*IF(REGEXMATCH($C35,H$9),H$8,1))*6),FLOOR($E35*(IF(REGEXMATCH(H$10,$B35),$A35,1))/(H$11*IF(REGEXMATCH($C35,H$9),H$8,1"&amp;"))*6))"),3.0)</f>
        <v>3</v>
      </c>
      <c r="I35" s="285">
        <f>IFERROR(__xludf.DUMMYFUNCTION("IF($E35*(IF(REGEXMATCH(I$10,$B35),$A35,1))/(I$11*IF(REGEXMATCH($C35,I$9),I$8,1))*6&gt;6,CEILING($E35*(IF(REGEXMATCH(I$10,$B35),$A35,1))/(I$11*IF(REGEXMATCH($C35,I$9),I$8,1))*6),FLOOR($E35*(IF(REGEXMATCH(I$10,$B35),$A35,1))/(I$11*IF(REGEXMATCH($C35,I$9),I$8,1"&amp;"))*6))"),3.0)</f>
        <v>3</v>
      </c>
      <c r="J35" s="285">
        <f>IFERROR(__xludf.DUMMYFUNCTION("IF($E35*(IF(REGEXMATCH(J$10,$B35),$A35,1))/(J$11*IF(REGEXMATCH($C35,J$9),J$8,1))*6&gt;6,CEILING($E35*(IF(REGEXMATCH(J$10,$B35),$A35,1))/(J$11*IF(REGEXMATCH($C35,J$9),J$8,1))*6),FLOOR($E35*(IF(REGEXMATCH(J$10,$B35),$A35,1))/(J$11*IF(REGEXMATCH($C35,J$9),J$8,1"&amp;"))*6))"),4.0)</f>
        <v>4</v>
      </c>
      <c r="K35" s="285">
        <f>IFERROR(__xludf.DUMMYFUNCTION("IF($E35*(IF(REGEXMATCH(K$10,$B35),$A35,1))/(K$11*IF(REGEXMATCH($C35,K$9),K$8,1))*6&gt;6,CEILING($E35*(IF(REGEXMATCH(K$10,$B35),$A35,1))/(K$11*IF(REGEXMATCH($C35,K$9),K$8,1))*6),FLOOR($E35*(IF(REGEXMATCH(K$10,$B35),$A35,1))/(K$11*IF(REGEXMATCH($C35,K$9),K$8,1"&amp;"))*6))"),4.0)</f>
        <v>4</v>
      </c>
      <c r="L35" s="285">
        <f>IFERROR(__xludf.DUMMYFUNCTION("IF($E35*(IF(REGEXMATCH(L$10,$B35),$A35,1))/(L$11*IF(REGEXMATCH($C35,L$9),L$8,1))*6&gt;6,CEILING($E35*(IF(REGEXMATCH(L$10,$B35),$A35,1))/(L$11*IF(REGEXMATCH($C35,L$9),L$8,1))*6),FLOOR($E35*(IF(REGEXMATCH(L$10,$B35),$A35,1))/(L$11*IF(REGEXMATCH($C35,L$9),L$8,1"&amp;"))*6))"),4.0)</f>
        <v>4</v>
      </c>
      <c r="M35" s="285">
        <f>IFERROR(__xludf.DUMMYFUNCTION("IF($E35*(IF(REGEXMATCH(M$10,$B35),$A35,1))/(M$11*IF(REGEXMATCH($C35,M$9),M$8,1))*6&gt;6,CEILING($E35*(IF(REGEXMATCH(M$10,$B35),$A35,1))/(M$11*IF(REGEXMATCH($C35,M$9),M$8,1))*6),FLOOR($E35*(IF(REGEXMATCH(M$10,$B35),$A35,1))/(M$11*IF(REGEXMATCH($C35,M$9),M$8,1"&amp;"))*6))"),4.0)</f>
        <v>4</v>
      </c>
      <c r="N35" s="285">
        <f>IFERROR(__xludf.DUMMYFUNCTION("IF($E35*(IF(REGEXMATCH(N$10,$B35),$A35,1))/(N$11*IF(REGEXMATCH($C35,N$9),N$8,1))*6&gt;6,CEILING($E35*(IF(REGEXMATCH(N$10,$B35),$A35,1))/(N$11*IF(REGEXMATCH($C35,N$9),N$8,1))*6),FLOOR($E35*(IF(REGEXMATCH(N$10,$B35),$A35,1))/(N$11*IF(REGEXMATCH($C35,N$9),N$8,1"&amp;"))*6))"),4.0)</f>
        <v>4</v>
      </c>
      <c r="O35" s="285">
        <f>IFERROR(__xludf.DUMMYFUNCTION("IF($E35*(IF(REGEXMATCH(O$10,$B35),$A35,1))/(O$11*IF(REGEXMATCH($C35,O$9),O$8,1))*6&gt;6,CEILING($E35*(IF(REGEXMATCH(O$10,$B35),$A35,1))/(O$11*IF(REGEXMATCH($C35,O$9),O$8,1))*6),FLOOR($E35*(IF(REGEXMATCH(O$10,$B35),$A35,1))/(O$11*IF(REGEXMATCH($C35,O$9),O$8,1"&amp;"))*6))"),4.0)</f>
        <v>4</v>
      </c>
      <c r="P35" s="285">
        <f>IFERROR(__xludf.DUMMYFUNCTION("IF($E35*(IF(REGEXMATCH(P$10,$B35),$A35,1))/(P$11*IF(REGEXMATCH($C35,P$9),P$8,1))*6&gt;6,CEILING($E35*(IF(REGEXMATCH(P$10,$B35),$A35,1))/(P$11*IF(REGEXMATCH($C35,P$9),P$8,1))*6),FLOOR($E35*(IF(REGEXMATCH(P$10,$B35),$A35,1))/(P$11*IF(REGEXMATCH($C35,P$9),P$8,1"&amp;"))*6))"),4.0)</f>
        <v>4</v>
      </c>
      <c r="Q35" s="285">
        <f>IFERROR(__xludf.DUMMYFUNCTION("IF($E35*(IF(REGEXMATCH(Q$10,$B35),$A35,1))/(Q$11*IF(REGEXMATCH($C35,Q$9),Q$8,1))*6&gt;6,CEILING($E35*(IF(REGEXMATCH(Q$10,$B35),$A35,1))/(Q$11*IF(REGEXMATCH($C35,Q$9),Q$8,1))*6),FLOOR($E35*(IF(REGEXMATCH(Q$10,$B35),$A35,1))/(Q$11*IF(REGEXMATCH($C35,Q$9),Q$8,1"&amp;"))*6))"),4.0)</f>
        <v>4</v>
      </c>
      <c r="R35" s="285">
        <f>IFERROR(__xludf.DUMMYFUNCTION("IF($E35*(IF(REGEXMATCH(R$10,$B35),$A35,1))/(R$11*IF(REGEXMATCH($C35,R$9),R$8,1))*6&gt;6,CEILING($E35*(IF(REGEXMATCH(R$10,$B35),$A35,1))/(R$11*IF(REGEXMATCH($C35,R$9),R$8,1))*6),FLOOR($E35*(IF(REGEXMATCH(R$10,$B35),$A35,1))/(R$11*IF(REGEXMATCH($C35,R$9),R$8,1"&amp;"))*6))"),4.0)</f>
        <v>4</v>
      </c>
      <c r="S35" s="285">
        <f>IFERROR(__xludf.DUMMYFUNCTION("IF($E35*(IF(REGEXMATCH(S$10,$B35),$A35,1))/(S$11*IF(REGEXMATCH($C35,S$9),S$8,1))*6&gt;6,CEILING($E35*(IF(REGEXMATCH(S$10,$B35),$A35,1))/(S$11*IF(REGEXMATCH($C35,S$9),S$8,1))*6),FLOOR($E35*(IF(REGEXMATCH(S$10,$B35),$A35,1))/(S$11*IF(REGEXMATCH($C35,S$9),S$8,1"&amp;"))*6))"),4.0)</f>
        <v>4</v>
      </c>
      <c r="T35" s="285">
        <f>IFERROR(__xludf.DUMMYFUNCTION("IF($E35*(IF(REGEXMATCH(T$10,$B35),$A35,1))/(T$11*IF(REGEXMATCH($C35,T$9),T$8,1))*6&gt;6,CEILING($E35*(IF(REGEXMATCH(T$10,$B35),$A35,1))/(T$11*IF(REGEXMATCH($C35,T$9),T$8,1))*6),FLOOR($E35*(IF(REGEXMATCH(T$10,$B35),$A35,1))/(T$11*IF(REGEXMATCH($C35,T$9),T$8,1"&amp;"))*6))"),3.0)</f>
        <v>3</v>
      </c>
      <c r="U35" s="285">
        <f>IFERROR(__xludf.DUMMYFUNCTION("IF($E35*(IF(REGEXMATCH(U$10,$B35),$A35,1))/(U$11*IF(REGEXMATCH($C35,U$9),U$8,1))*6&gt;6,CEILING($E35*(IF(REGEXMATCH(U$10,$B35),$A35,1))/(U$11*IF(REGEXMATCH($C35,U$9),U$8,1))*6),FLOOR($E35*(IF(REGEXMATCH(U$10,$B35),$A35,1))/(U$11*IF(REGEXMATCH($C35,U$9),U$8,1"&amp;"))*6))"),4.0)</f>
        <v>4</v>
      </c>
      <c r="V35" s="285">
        <f>IFERROR(__xludf.DUMMYFUNCTION("IF($E35*(IF(REGEXMATCH(V$10,$B35),$A35,1))/(V$11*IF(REGEXMATCH($C35,V$9),V$8,1))*6&gt;6,CEILING($E35*(IF(REGEXMATCH(V$10,$B35),$A35,1))/(V$11*IF(REGEXMATCH($C35,V$9),V$8,1))*6),FLOOR($E35*(IF(REGEXMATCH(V$10,$B35),$A35,1))/(V$11*IF(REGEXMATCH($C35,V$9),V$8,1"&amp;"))*6))"),4.0)</f>
        <v>4</v>
      </c>
      <c r="W35" s="285">
        <f>IFERROR(__xludf.DUMMYFUNCTION("IF($E35*(IF(REGEXMATCH(W$10,$B35),$A35,1))/(W$11*IF(REGEXMATCH($C35,W$9),W$8,1))*6&gt;6,CEILING($E35*(IF(REGEXMATCH(W$10,$B35),$A35,1))/(W$11*IF(REGEXMATCH($C35,W$9),W$8,1))*6),FLOOR($E35*(IF(REGEXMATCH(W$10,$B35),$A35,1))/(W$11*IF(REGEXMATCH($C35,W$9),W$8,1"&amp;"))*6))"),6.0)</f>
        <v>6</v>
      </c>
      <c r="X35" s="285">
        <f>IFERROR(__xludf.DUMMYFUNCTION("IF($E35*(IF(REGEXMATCH(X$10,$B35),$A35,1))/(X$11*IF(REGEXMATCH($C35,X$9),X$8,1))*6&gt;6,CEILING($E35*(IF(REGEXMATCH(X$10,$B35),$A35,1))/(X$11*IF(REGEXMATCH($C35,X$9),X$8,1))*6),FLOOR($E35*(IF(REGEXMATCH(X$10,$B35),$A35,1))/(X$11*IF(REGEXMATCH($C35,X$9),X$8,1"&amp;"))*6))"),6.0)</f>
        <v>6</v>
      </c>
      <c r="Y35" s="285">
        <f>IFERROR(__xludf.DUMMYFUNCTION("IF($E35*(IF(REGEXMATCH(Y$10,$B35),$A35,1))/(Y$11*IF(REGEXMATCH($C35,Y$9),Y$8,1))*6&gt;6,CEILING($E35*(IF(REGEXMATCH(Y$10,$B35),$A35,1))/(Y$11*IF(REGEXMATCH($C35,Y$9),Y$8,1))*6),FLOOR($E35*(IF(REGEXMATCH(Y$10,$B35),$A35,1))/(Y$11*IF(REGEXMATCH($C35,Y$9),Y$8,1"&amp;"))*6))"),4.0)</f>
        <v>4</v>
      </c>
      <c r="Z35" s="285">
        <f>IFERROR(__xludf.DUMMYFUNCTION("IF($E35*(IF(REGEXMATCH(Z$10,$B35),$A35,1))/(Z$11*IF(REGEXMATCH($C35,Z$9),Z$8,1))*6&gt;6,CEILING($E35*(IF(REGEXMATCH(Z$10,$B35),$A35,1))/(Z$11*IF(REGEXMATCH($C35,Z$9),Z$8,1))*6),FLOOR($E35*(IF(REGEXMATCH(Z$10,$B35),$A35,1))/(Z$11*IF(REGEXMATCH($C35,Z$9),Z$8,1"&amp;"))*6))"),6.0)</f>
        <v>6</v>
      </c>
      <c r="AA35" s="285">
        <f>IFERROR(__xludf.DUMMYFUNCTION("IF($E35*(IF(REGEXMATCH(AA$10,$B35),$A35,1))/(AA$11*IF(REGEXMATCH($C35,AA$9),AA$8,1))*6&gt;6,CEILING($E35*(IF(REGEXMATCH(AA$10,$B35),$A35,1))/(AA$11*IF(REGEXMATCH($C35,AA$9),AA$8,1))*6),FLOOR($E35*(IF(REGEXMATCH(AA$10,$B35),$A35,1))/(AA$11*IF(REGEXMATCH($C35,"&amp;"AA$9),AA$8,1))*6))"),6.0)</f>
        <v>6</v>
      </c>
      <c r="AB35" s="285">
        <f>IFERROR(__xludf.DUMMYFUNCTION("IF($E35*(IF(REGEXMATCH(AB$10,$B35),$A35,1))/(AB$11*IF(REGEXMATCH($C35,AB$9),AB$8,1))*6&gt;6,CEILING($E35*(IF(REGEXMATCH(AB$10,$B35),$A35,1))/(AB$11*IF(REGEXMATCH($C35,AB$9),AB$8,1))*6),FLOOR($E35*(IF(REGEXMATCH(AB$10,$B35),$A35,1))/(AB$11*IF(REGEXMATCH($C35,"&amp;"AB$9),AB$8,1))*6))"),6.0)</f>
        <v>6</v>
      </c>
      <c r="AC35" s="285">
        <f>IFERROR(__xludf.DUMMYFUNCTION("IF($E35*(IF(REGEXMATCH(AC$10,$B35),$A35,1))/(AC$11*IF(REGEXMATCH($C35,AC$9),AC$8,1))*6&gt;6,CEILING($E35*(IF(REGEXMATCH(AC$10,$B35),$A35,1))/(AC$11*IF(REGEXMATCH($C35,AC$9),AC$8,1))*6),FLOOR($E35*(IF(REGEXMATCH(AC$10,$B35),$A35,1))/(AC$11*IF(REGEXMATCH($C35,"&amp;"AC$9),AC$8,1))*6))"),6.0)</f>
        <v>6</v>
      </c>
      <c r="AD35" s="285">
        <f>IFERROR(__xludf.DUMMYFUNCTION("IF($E35*(IF(REGEXMATCH(AD$10,$B35),$A35,1))/(AD$11*IF(REGEXMATCH($C35,AD$9),AD$8,1))*6&gt;6,CEILING($E35*(IF(REGEXMATCH(AD$10,$B35),$A35,1))/(AD$11*IF(REGEXMATCH($C35,AD$9),AD$8,1))*6),FLOOR($E35*(IF(REGEXMATCH(AD$10,$B35),$A35,1))/(AD$11*IF(REGEXMATCH($C35,"&amp;"AD$9),AD$8,1))*6))"),6.0)</f>
        <v>6</v>
      </c>
      <c r="AE35" s="285">
        <f>IFERROR(__xludf.DUMMYFUNCTION("IF($E35*(IF(REGEXMATCH(AE$10,$B35),$A35,1))/(AE$11*IF(REGEXMATCH($C35,AE$9),AE$8,1))*6&gt;6,CEILING($E35*(IF(REGEXMATCH(AE$10,$B35),$A35,1))/(AE$11*IF(REGEXMATCH($C35,AE$9),AE$8,1))*6),FLOOR($E35*(IF(REGEXMATCH(AE$10,$B35),$A35,1))/(AE$11*IF(REGEXMATCH($C35,"&amp;"AE$9),AE$8,1))*6))"),6.0)</f>
        <v>6</v>
      </c>
      <c r="AF35" s="285">
        <f>IFERROR(__xludf.DUMMYFUNCTION("IF($E35*(IF(REGEXMATCH(AF$10,$B35),$A35,1))/(AF$11*IF(REGEXMATCH($C35,AF$9),AF$8,1))*6&gt;6,CEILING($E35*(IF(REGEXMATCH(AF$10,$B35),$A35,1))/(AF$11*IF(REGEXMATCH($C35,AF$9),AF$8,1))*6),FLOOR($E35*(IF(REGEXMATCH(AF$10,$B35),$A35,1))/(AF$11*IF(REGEXMATCH($C35,"&amp;"AF$9),AF$8,1))*6))"),6.0)</f>
        <v>6</v>
      </c>
      <c r="AG35" s="285">
        <f>IFERROR(__xludf.DUMMYFUNCTION("IF($E35*(IF(REGEXMATCH(AG$10,$B35),$A35,1))/(AG$11*IF(REGEXMATCH($C35,AG$9),AG$8,1))*6&gt;6,CEILING($E35*(IF(REGEXMATCH(AG$10,$B35),$A35,1))/(AG$11*IF(REGEXMATCH($C35,AG$9),AG$8,1))*6),FLOOR($E35*(IF(REGEXMATCH(AG$10,$B35),$A35,1))/(AG$11*IF(REGEXMATCH($C35,"&amp;"AG$9),AG$8,1))*6))"),6.0)</f>
        <v>6</v>
      </c>
      <c r="AH35" s="285">
        <f>IFERROR(__xludf.DUMMYFUNCTION("IF($E35*(IF(REGEXMATCH(AH$10,$B35),$A35,1))/(AH$11*IF(REGEXMATCH($C35,AH$9),AH$8,1))*6&gt;6,CEILING($E35*(IF(REGEXMATCH(AH$10,$B35),$A35,1))/(AH$11*IF(REGEXMATCH($C35,AH$9),AH$8,1))*6),FLOOR($E35*(IF(REGEXMATCH(AH$10,$B35),$A35,1))/(AH$11*IF(REGEXMATCH($C35,"&amp;"AH$9),AH$8,1))*6))"),6.0)</f>
        <v>6</v>
      </c>
      <c r="AI35" s="285">
        <f>IFERROR(__xludf.DUMMYFUNCTION("IF($E35*(IF(REGEXMATCH(AI$10,$B35),$A35,1))/(AI$11*IF(REGEXMATCH($C35,AI$9),AI$8,1))*6&gt;6,CEILING($E35*(IF(REGEXMATCH(AI$10,$B35),$A35,1))/(AI$11*IF(REGEXMATCH($C35,AI$9),AI$8,1))*6),FLOOR($E35*(IF(REGEXMATCH(AI$10,$B35),$A35,1))/(AI$11*IF(REGEXMATCH($C35,"&amp;"AI$9),AI$8,1))*6))"),4.0)</f>
        <v>4</v>
      </c>
      <c r="AJ35" s="285">
        <f>IFERROR(__xludf.DUMMYFUNCTION("IF($E35*(IF(REGEXMATCH(AJ$10,$B35),$A35,1))/(AJ$11*IF(REGEXMATCH($C35,AJ$9),AJ$8,1))*6&gt;6,CEILING($E35*(IF(REGEXMATCH(AJ$10,$B35),$A35,1))/(AJ$11*IF(REGEXMATCH($C35,AJ$9),AJ$8,1))*6),FLOOR($E35*(IF(REGEXMATCH(AJ$10,$B35),$A35,1))/(AJ$11*IF(REGEXMATCH($C35,"&amp;"AJ$9),AJ$8,1))*6))"),6.0)</f>
        <v>6</v>
      </c>
      <c r="AK35" s="285">
        <f>IFERROR(__xludf.DUMMYFUNCTION("IF($E35*(IF(REGEXMATCH(AK$10,$B35),$A35,1))/(AK$11*IF(REGEXMATCH($C35,AK$9),AK$8,1))*6&gt;6,CEILING($E35*(IF(REGEXMATCH(AK$10,$B35),$A35,1))/(AK$11*IF(REGEXMATCH($C35,AK$9),AK$8,1))*6),FLOOR($E35*(IF(REGEXMATCH(AK$10,$B35),$A35,1))/(AK$11*IF(REGEXMATCH($C35,"&amp;"AK$9),AK$8,1))*6))"),6.0)</f>
        <v>6</v>
      </c>
      <c r="AL35" s="285">
        <f>IFERROR(__xludf.DUMMYFUNCTION("IF($E35*(IF(REGEXMATCH(AL$10,$B35),$A35,1))/(AL$11*IF(REGEXMATCH($C35,AL$9),AL$8,1))*6&gt;6,CEILING($E35*(IF(REGEXMATCH(AL$10,$B35),$A35,1))/(AL$11*IF(REGEXMATCH($C35,AL$9),AL$8,1))*6),FLOOR($E35*(IF(REGEXMATCH(AL$10,$B35),$A35,1))/(AL$11*IF(REGEXMATCH($C35,"&amp;"AL$9),AL$8,1))*6))"),8.0)</f>
        <v>8</v>
      </c>
      <c r="AM35" s="285">
        <f>IFERROR(__xludf.DUMMYFUNCTION("IF($E35*(IF(REGEXMATCH(AM$10,$B35),$A35,1))/(AM$11*IF(REGEXMATCH($C35,AM$9),AM$8,1))*6&gt;6,CEILING($E35*(IF(REGEXMATCH(AM$10,$B35),$A35,1))/(AM$11*IF(REGEXMATCH($C35,AM$9),AM$8,1))*6),FLOOR($E35*(IF(REGEXMATCH(AM$10,$B35),$A35,1))/(AM$11*IF(REGEXMATCH($C35,"&amp;"AM$9),AM$8,1))*6))"),8.0)</f>
        <v>8</v>
      </c>
      <c r="AN35" s="285">
        <f>IFERROR(__xludf.DUMMYFUNCTION("IF($E35*(IF(REGEXMATCH(AN$10,$B35),$A35,1))/(AN$11*IF(REGEXMATCH($C35,AN$9),AN$8,1))*6&gt;6,CEILING($E35*(IF(REGEXMATCH(AN$10,$B35),$A35,1))/(AN$11*IF(REGEXMATCH($C35,AN$9),AN$8,1))*6),FLOOR($E35*(IF(REGEXMATCH(AN$10,$B35),$A35,1))/(AN$11*IF(REGEXMATCH($C35,"&amp;"AN$9),AN$8,1))*6))"),8.0)</f>
        <v>8</v>
      </c>
      <c r="AO35" s="285">
        <f>IFERROR(__xludf.DUMMYFUNCTION("IF($E35*(IF(REGEXMATCH(AO$10,$B35),$A35,1))/(AO$11*IF(REGEXMATCH($C35,AO$9),AO$8,1))*6&gt;6,CEILING($E35*(IF(REGEXMATCH(AO$10,$B35),$A35,1))/(AO$11*IF(REGEXMATCH($C35,AO$9),AO$8,1))*6),FLOOR($E35*(IF(REGEXMATCH(AO$10,$B35),$A35,1))/(AO$11*IF(REGEXMATCH($C35,"&amp;"AO$9),AO$8,1))*6))"),8.0)</f>
        <v>8</v>
      </c>
      <c r="AP35" s="285">
        <f>IFERROR(__xludf.DUMMYFUNCTION("IF($E35*(IF(REGEXMATCH(AP$10,$B35),$A35,1))/(AP$11*IF(REGEXMATCH($C35,AP$9),AP$8,1))*6&gt;6,CEILING($E35*(IF(REGEXMATCH(AP$10,$B35),$A35,1))/(AP$11*IF(REGEXMATCH($C35,AP$9),AP$8,1))*6),FLOOR($E35*(IF(REGEXMATCH(AP$10,$B35),$A35,1))/(AP$11*IF(REGEXMATCH($C35,"&amp;"AP$9),AP$8,1))*6))"),8.0)</f>
        <v>8</v>
      </c>
      <c r="AQ35" s="285">
        <f>IFERROR(__xludf.DUMMYFUNCTION("IF($E35*(IF(REGEXMATCH(AQ$10,$B35),$A35,1))/(AQ$11*IF(REGEXMATCH($C35,AQ$9),AQ$8,1))*6&gt;6,CEILING($E35*(IF(REGEXMATCH(AQ$10,$B35),$A35,1))/(AQ$11*IF(REGEXMATCH($C35,AQ$9),AQ$8,1))*6),FLOOR($E35*(IF(REGEXMATCH(AQ$10,$B35),$A35,1))/(AQ$11*IF(REGEXMATCH($C35,"&amp;"AQ$9),AQ$8,1))*6))"),8.0)</f>
        <v>8</v>
      </c>
      <c r="AR35" s="285">
        <f>IFERROR(__xludf.DUMMYFUNCTION("IF($E35*(IF(REGEXMATCH(AR$10,$B35),$A35,1))/(AR$11*IF(REGEXMATCH($C35,AR$9),AR$8,1))*6&gt;6,CEILING($E35*(IF(REGEXMATCH(AR$10,$B35),$A35,1))/(AR$11*IF(REGEXMATCH($C35,AR$9),AR$8,1))*6),FLOOR($E35*(IF(REGEXMATCH(AR$10,$B35),$A35,1))/(AR$11*IF(REGEXMATCH($C35,"&amp;"AR$9),AR$8,1))*6))"),9.0)</f>
        <v>9</v>
      </c>
      <c r="AS35" s="285">
        <f>IFERROR(__xludf.DUMMYFUNCTION("IF($E35*(IF(REGEXMATCH(AS$10,$B35),$A35,1))/(AS$11*IF(REGEXMATCH($C35,AS$9),AS$8,1))*6&gt;6,CEILING($E35*(IF(REGEXMATCH(AS$10,$B35),$A35,1))/(AS$11*IF(REGEXMATCH($C35,AS$9),AS$8,1))*6),FLOOR($E35*(IF(REGEXMATCH(AS$10,$B35),$A35,1))/(AS$11*IF(REGEXMATCH($C35,"&amp;"AS$9),AS$8,1))*6))"),9.0)</f>
        <v>9</v>
      </c>
      <c r="AT35" s="285">
        <f>IFERROR(__xludf.DUMMYFUNCTION("IF($E35*(IF(REGEXMATCH(AT$10,$B35),$A35,1))/(AT$11*IF(REGEXMATCH($C35,AT$9),AT$8,1))*6&gt;6,CEILING($E35*(IF(REGEXMATCH(AT$10,$B35),$A35,1))/(AT$11*IF(REGEXMATCH($C35,AT$9),AT$8,1))*6),FLOOR($E35*(IF(REGEXMATCH(AT$10,$B35),$A35,1))/(AT$11*IF(REGEXMATCH($C35,"&amp;"AT$9),AT$8,1))*6))"),12.0)</f>
        <v>12</v>
      </c>
    </row>
    <row r="36">
      <c r="A36" s="8">
        <v>1.0</v>
      </c>
      <c r="B36" s="8" t="s">
        <v>2577</v>
      </c>
      <c r="C36" s="813" t="s">
        <v>2584</v>
      </c>
      <c r="D36" s="813"/>
      <c r="E36" s="813">
        <v>6.0</v>
      </c>
      <c r="F36" s="99" t="s">
        <v>2547</v>
      </c>
      <c r="G36" s="285">
        <f>IFERROR(__xludf.DUMMYFUNCTION("IF($E36*(IF(REGEXMATCH(G$10,$B36),$A36,1))/(G$11*IF(REGEXMATCH($C36,G$9),G$8,1))*6&gt;6,CEILING($E36*(IF(REGEXMATCH(G$10,$B36),$A36,1))/(G$11*IF(REGEXMATCH($C36,G$9),G$8,1))*6),FLOOR($E36*(IF(REGEXMATCH(G$10,$B36),$A36,1))/(G$11*IF(REGEXMATCH($C36,G$9),G$8,1"&amp;"))*6))"),3.0)</f>
        <v>3</v>
      </c>
      <c r="H36" s="285">
        <f>IFERROR(__xludf.DUMMYFUNCTION("IF($E36*(IF(REGEXMATCH(H$10,$B36),$A36,1))/(H$11*IF(REGEXMATCH($C36,H$9),H$8,1))*6&gt;6,CEILING($E36*(IF(REGEXMATCH(H$10,$B36),$A36,1))/(H$11*IF(REGEXMATCH($C36,H$9),H$8,1))*6),FLOOR($E36*(IF(REGEXMATCH(H$10,$B36),$A36,1))/(H$11*IF(REGEXMATCH($C36,H$9),H$8,1"&amp;"))*6))"),3.0)</f>
        <v>3</v>
      </c>
      <c r="I36" s="285">
        <f>IFERROR(__xludf.DUMMYFUNCTION("IF($E36*(IF(REGEXMATCH(I$10,$B36),$A36,1))/(I$11*IF(REGEXMATCH($C36,I$9),I$8,1))*6&gt;6,CEILING($E36*(IF(REGEXMATCH(I$10,$B36),$A36,1))/(I$11*IF(REGEXMATCH($C36,I$9),I$8,1))*6),FLOOR($E36*(IF(REGEXMATCH(I$10,$B36),$A36,1))/(I$11*IF(REGEXMATCH($C36,I$9),I$8,1"&amp;"))*6))"),4.0)</f>
        <v>4</v>
      </c>
      <c r="J36" s="285">
        <f>IFERROR(__xludf.DUMMYFUNCTION("IF($E36*(IF(REGEXMATCH(J$10,$B36),$A36,1))/(J$11*IF(REGEXMATCH($C36,J$9),J$8,1))*6&gt;6,CEILING($E36*(IF(REGEXMATCH(J$10,$B36),$A36,1))/(J$11*IF(REGEXMATCH($C36,J$9),J$8,1))*6),FLOOR($E36*(IF(REGEXMATCH(J$10,$B36),$A36,1))/(J$11*IF(REGEXMATCH($C36,J$9),J$8,1"&amp;"))*6))"),3.0)</f>
        <v>3</v>
      </c>
      <c r="K36" s="285">
        <f>IFERROR(__xludf.DUMMYFUNCTION("IF($E36*(IF(REGEXMATCH(K$10,$B36),$A36,1))/(K$11*IF(REGEXMATCH($C36,K$9),K$8,1))*6&gt;6,CEILING($E36*(IF(REGEXMATCH(K$10,$B36),$A36,1))/(K$11*IF(REGEXMATCH($C36,K$9),K$8,1))*6),FLOOR($E36*(IF(REGEXMATCH(K$10,$B36),$A36,1))/(K$11*IF(REGEXMATCH($C36,K$9),K$8,1"&amp;"))*6))"),4.0)</f>
        <v>4</v>
      </c>
      <c r="L36" s="285">
        <f>IFERROR(__xludf.DUMMYFUNCTION("IF($E36*(IF(REGEXMATCH(L$10,$B36),$A36,1))/(L$11*IF(REGEXMATCH($C36,L$9),L$8,1))*6&gt;6,CEILING($E36*(IF(REGEXMATCH(L$10,$B36),$A36,1))/(L$11*IF(REGEXMATCH($C36,L$9),L$8,1))*6),FLOOR($E36*(IF(REGEXMATCH(L$10,$B36),$A36,1))/(L$11*IF(REGEXMATCH($C36,L$9),L$8,1"&amp;"))*6))"),4.0)</f>
        <v>4</v>
      </c>
      <c r="M36" s="285">
        <f>IFERROR(__xludf.DUMMYFUNCTION("IF($E36*(IF(REGEXMATCH(M$10,$B36),$A36,1))/(M$11*IF(REGEXMATCH($C36,M$9),M$8,1))*6&gt;6,CEILING($E36*(IF(REGEXMATCH(M$10,$B36),$A36,1))/(M$11*IF(REGEXMATCH($C36,M$9),M$8,1))*6),FLOOR($E36*(IF(REGEXMATCH(M$10,$B36),$A36,1))/(M$11*IF(REGEXMATCH($C36,M$9),M$8,1"&amp;"))*6))"),4.0)</f>
        <v>4</v>
      </c>
      <c r="N36" s="285">
        <f>IFERROR(__xludf.DUMMYFUNCTION("IF($E36*(IF(REGEXMATCH(N$10,$B36),$A36,1))/(N$11*IF(REGEXMATCH($C36,N$9),N$8,1))*6&gt;6,CEILING($E36*(IF(REGEXMATCH(N$10,$B36),$A36,1))/(N$11*IF(REGEXMATCH($C36,N$9),N$8,1))*6),FLOOR($E36*(IF(REGEXMATCH(N$10,$B36),$A36,1))/(N$11*IF(REGEXMATCH($C36,N$9),N$8,1"&amp;"))*6))"),4.0)</f>
        <v>4</v>
      </c>
      <c r="O36" s="285">
        <f>IFERROR(__xludf.DUMMYFUNCTION("IF($E36*(IF(REGEXMATCH(O$10,$B36),$A36,1))/(O$11*IF(REGEXMATCH($C36,O$9),O$8,1))*6&gt;6,CEILING($E36*(IF(REGEXMATCH(O$10,$B36),$A36,1))/(O$11*IF(REGEXMATCH($C36,O$9),O$8,1))*6),FLOOR($E36*(IF(REGEXMATCH(O$10,$B36),$A36,1))/(O$11*IF(REGEXMATCH($C36,O$9),O$8,1"&amp;"))*6))"),4.0)</f>
        <v>4</v>
      </c>
      <c r="P36" s="285">
        <f>IFERROR(__xludf.DUMMYFUNCTION("IF($E36*(IF(REGEXMATCH(P$10,$B36),$A36,1))/(P$11*IF(REGEXMATCH($C36,P$9),P$8,1))*6&gt;6,CEILING($E36*(IF(REGEXMATCH(P$10,$B36),$A36,1))/(P$11*IF(REGEXMATCH($C36,P$9),P$8,1))*6),FLOOR($E36*(IF(REGEXMATCH(P$10,$B36),$A36,1))/(P$11*IF(REGEXMATCH($C36,P$9),P$8,1"&amp;"))*6))"),4.0)</f>
        <v>4</v>
      </c>
      <c r="Q36" s="285">
        <f>IFERROR(__xludf.DUMMYFUNCTION("IF($E36*(IF(REGEXMATCH(Q$10,$B36),$A36,1))/(Q$11*IF(REGEXMATCH($C36,Q$9),Q$8,1))*6&gt;6,CEILING($E36*(IF(REGEXMATCH(Q$10,$B36),$A36,1))/(Q$11*IF(REGEXMATCH($C36,Q$9),Q$8,1))*6),FLOOR($E36*(IF(REGEXMATCH(Q$10,$B36),$A36,1))/(Q$11*IF(REGEXMATCH($C36,Q$9),Q$8,1"&amp;"))*6))"),4.0)</f>
        <v>4</v>
      </c>
      <c r="R36" s="285">
        <f>IFERROR(__xludf.DUMMYFUNCTION("IF($E36*(IF(REGEXMATCH(R$10,$B36),$A36,1))/(R$11*IF(REGEXMATCH($C36,R$9),R$8,1))*6&gt;6,CEILING($E36*(IF(REGEXMATCH(R$10,$B36),$A36,1))/(R$11*IF(REGEXMATCH($C36,R$9),R$8,1))*6),FLOOR($E36*(IF(REGEXMATCH(R$10,$B36),$A36,1))/(R$11*IF(REGEXMATCH($C36,R$9),R$8,1"&amp;"))*6))"),4.0)</f>
        <v>4</v>
      </c>
      <c r="S36" s="285">
        <f>IFERROR(__xludf.DUMMYFUNCTION("IF($E36*(IF(REGEXMATCH(S$10,$B36),$A36,1))/(S$11*IF(REGEXMATCH($C36,S$9),S$8,1))*6&gt;6,CEILING($E36*(IF(REGEXMATCH(S$10,$B36),$A36,1))/(S$11*IF(REGEXMATCH($C36,S$9),S$8,1))*6),FLOOR($E36*(IF(REGEXMATCH(S$10,$B36),$A36,1))/(S$11*IF(REGEXMATCH($C36,S$9),S$8,1"&amp;"))*6))"),4.0)</f>
        <v>4</v>
      </c>
      <c r="T36" s="285">
        <f>IFERROR(__xludf.DUMMYFUNCTION("IF($E36*(IF(REGEXMATCH(T$10,$B36),$A36,1))/(T$11*IF(REGEXMATCH($C36,T$9),T$8,1))*6&gt;6,CEILING($E36*(IF(REGEXMATCH(T$10,$B36),$A36,1))/(T$11*IF(REGEXMATCH($C36,T$9),T$8,1))*6),FLOOR($E36*(IF(REGEXMATCH(T$10,$B36),$A36,1))/(T$11*IF(REGEXMATCH($C36,T$9),T$8,1"&amp;"))*6))"),4.0)</f>
        <v>4</v>
      </c>
      <c r="U36" s="285">
        <f>IFERROR(__xludf.DUMMYFUNCTION("IF($E36*(IF(REGEXMATCH(U$10,$B36),$A36,1))/(U$11*IF(REGEXMATCH($C36,U$9),U$8,1))*6&gt;6,CEILING($E36*(IF(REGEXMATCH(U$10,$B36),$A36,1))/(U$11*IF(REGEXMATCH($C36,U$9),U$8,1))*6),FLOOR($E36*(IF(REGEXMATCH(U$10,$B36),$A36,1))/(U$11*IF(REGEXMATCH($C36,U$9),U$8,1"&amp;"))*6))"),4.0)</f>
        <v>4</v>
      </c>
      <c r="V36" s="285">
        <f>IFERROR(__xludf.DUMMYFUNCTION("IF($E36*(IF(REGEXMATCH(V$10,$B36),$A36,1))/(V$11*IF(REGEXMATCH($C36,V$9),V$8,1))*6&gt;6,CEILING($E36*(IF(REGEXMATCH(V$10,$B36),$A36,1))/(V$11*IF(REGEXMATCH($C36,V$9),V$8,1))*6),FLOOR($E36*(IF(REGEXMATCH(V$10,$B36),$A36,1))/(V$11*IF(REGEXMATCH($C36,V$9),V$8,1"&amp;"))*6))"),4.0)</f>
        <v>4</v>
      </c>
      <c r="W36" s="285">
        <f>IFERROR(__xludf.DUMMYFUNCTION("IF($E36*(IF(REGEXMATCH(W$10,$B36),$A36,1))/(W$11*IF(REGEXMATCH($C36,W$9),W$8,1))*6&gt;6,CEILING($E36*(IF(REGEXMATCH(W$10,$B36),$A36,1))/(W$11*IF(REGEXMATCH($C36,W$9),W$8,1))*6),FLOOR($E36*(IF(REGEXMATCH(W$10,$B36),$A36,1))/(W$11*IF(REGEXMATCH($C36,W$9),W$8,1"&amp;"))*6))"),6.0)</f>
        <v>6</v>
      </c>
      <c r="X36" s="285">
        <f>IFERROR(__xludf.DUMMYFUNCTION("IF($E36*(IF(REGEXMATCH(X$10,$B36),$A36,1))/(X$11*IF(REGEXMATCH($C36,X$9),X$8,1))*6&gt;6,CEILING($E36*(IF(REGEXMATCH(X$10,$B36),$A36,1))/(X$11*IF(REGEXMATCH($C36,X$9),X$8,1))*6),FLOOR($E36*(IF(REGEXMATCH(X$10,$B36),$A36,1))/(X$11*IF(REGEXMATCH($C36,X$9),X$8,1"&amp;"))*6))"),6.0)</f>
        <v>6</v>
      </c>
      <c r="Y36" s="285">
        <f>IFERROR(__xludf.DUMMYFUNCTION("IF($E36*(IF(REGEXMATCH(Y$10,$B36),$A36,1))/(Y$11*IF(REGEXMATCH($C36,Y$9),Y$8,1))*6&gt;6,CEILING($E36*(IF(REGEXMATCH(Y$10,$B36),$A36,1))/(Y$11*IF(REGEXMATCH($C36,Y$9),Y$8,1))*6),FLOOR($E36*(IF(REGEXMATCH(Y$10,$B36),$A36,1))/(Y$11*IF(REGEXMATCH($C36,Y$9),Y$8,1"&amp;"))*6))"),6.0)</f>
        <v>6</v>
      </c>
      <c r="Z36" s="285">
        <f>IFERROR(__xludf.DUMMYFUNCTION("IF($E36*(IF(REGEXMATCH(Z$10,$B36),$A36,1))/(Z$11*IF(REGEXMATCH($C36,Z$9),Z$8,1))*6&gt;6,CEILING($E36*(IF(REGEXMATCH(Z$10,$B36),$A36,1))/(Z$11*IF(REGEXMATCH($C36,Z$9),Z$8,1))*6),FLOOR($E36*(IF(REGEXMATCH(Z$10,$B36),$A36,1))/(Z$11*IF(REGEXMATCH($C36,Z$9),Z$8,1"&amp;"))*6))"),6.0)</f>
        <v>6</v>
      </c>
      <c r="AA36" s="285">
        <f>IFERROR(__xludf.DUMMYFUNCTION("IF($E36*(IF(REGEXMATCH(AA$10,$B36),$A36,1))/(AA$11*IF(REGEXMATCH($C36,AA$9),AA$8,1))*6&gt;6,CEILING($E36*(IF(REGEXMATCH(AA$10,$B36),$A36,1))/(AA$11*IF(REGEXMATCH($C36,AA$9),AA$8,1))*6),FLOOR($E36*(IF(REGEXMATCH(AA$10,$B36),$A36,1))/(AA$11*IF(REGEXMATCH($C36,"&amp;"AA$9),AA$8,1))*6))"),6.0)</f>
        <v>6</v>
      </c>
      <c r="AB36" s="285">
        <f>IFERROR(__xludf.DUMMYFUNCTION("IF($E36*(IF(REGEXMATCH(AB$10,$B36),$A36,1))/(AB$11*IF(REGEXMATCH($C36,AB$9),AB$8,1))*6&gt;6,CEILING($E36*(IF(REGEXMATCH(AB$10,$B36),$A36,1))/(AB$11*IF(REGEXMATCH($C36,AB$9),AB$8,1))*6),FLOOR($E36*(IF(REGEXMATCH(AB$10,$B36),$A36,1))/(AB$11*IF(REGEXMATCH($C36,"&amp;"AB$9),AB$8,1))*6))"),6.0)</f>
        <v>6</v>
      </c>
      <c r="AC36" s="285">
        <f>IFERROR(__xludf.DUMMYFUNCTION("IF($E36*(IF(REGEXMATCH(AC$10,$B36),$A36,1))/(AC$11*IF(REGEXMATCH($C36,AC$9),AC$8,1))*6&gt;6,CEILING($E36*(IF(REGEXMATCH(AC$10,$B36),$A36,1))/(AC$11*IF(REGEXMATCH($C36,AC$9),AC$8,1))*6),FLOOR($E36*(IF(REGEXMATCH(AC$10,$B36),$A36,1))/(AC$11*IF(REGEXMATCH($C36,"&amp;"AC$9),AC$8,1))*6))"),6.0)</f>
        <v>6</v>
      </c>
      <c r="AD36" s="285">
        <f>IFERROR(__xludf.DUMMYFUNCTION("IF($E36*(IF(REGEXMATCH(AD$10,$B36),$A36,1))/(AD$11*IF(REGEXMATCH($C36,AD$9),AD$8,1))*6&gt;6,CEILING($E36*(IF(REGEXMATCH(AD$10,$B36),$A36,1))/(AD$11*IF(REGEXMATCH($C36,AD$9),AD$8,1))*6),FLOOR($E36*(IF(REGEXMATCH(AD$10,$B36),$A36,1))/(AD$11*IF(REGEXMATCH($C36,"&amp;"AD$9),AD$8,1))*6))"),6.0)</f>
        <v>6</v>
      </c>
      <c r="AE36" s="285">
        <f>IFERROR(__xludf.DUMMYFUNCTION("IF($E36*(IF(REGEXMATCH(AE$10,$B36),$A36,1))/(AE$11*IF(REGEXMATCH($C36,AE$9),AE$8,1))*6&gt;6,CEILING($E36*(IF(REGEXMATCH(AE$10,$B36),$A36,1))/(AE$11*IF(REGEXMATCH($C36,AE$9),AE$8,1))*6),FLOOR($E36*(IF(REGEXMATCH(AE$10,$B36),$A36,1))/(AE$11*IF(REGEXMATCH($C36,"&amp;"AE$9),AE$8,1))*6))"),6.0)</f>
        <v>6</v>
      </c>
      <c r="AF36" s="285">
        <f>IFERROR(__xludf.DUMMYFUNCTION("IF($E36*(IF(REGEXMATCH(AF$10,$B36),$A36,1))/(AF$11*IF(REGEXMATCH($C36,AF$9),AF$8,1))*6&gt;6,CEILING($E36*(IF(REGEXMATCH(AF$10,$B36),$A36,1))/(AF$11*IF(REGEXMATCH($C36,AF$9),AF$8,1))*6),FLOOR($E36*(IF(REGEXMATCH(AF$10,$B36),$A36,1))/(AF$11*IF(REGEXMATCH($C36,"&amp;"AF$9),AF$8,1))*6))"),6.0)</f>
        <v>6</v>
      </c>
      <c r="AG36" s="285">
        <f>IFERROR(__xludf.DUMMYFUNCTION("IF($E36*(IF(REGEXMATCH(AG$10,$B36),$A36,1))/(AG$11*IF(REGEXMATCH($C36,AG$9),AG$8,1))*6&gt;6,CEILING($E36*(IF(REGEXMATCH(AG$10,$B36),$A36,1))/(AG$11*IF(REGEXMATCH($C36,AG$9),AG$8,1))*6),FLOOR($E36*(IF(REGEXMATCH(AG$10,$B36),$A36,1))/(AG$11*IF(REGEXMATCH($C36,"&amp;"AG$9),AG$8,1))*6))"),6.0)</f>
        <v>6</v>
      </c>
      <c r="AH36" s="285">
        <f>IFERROR(__xludf.DUMMYFUNCTION("IF($E36*(IF(REGEXMATCH(AH$10,$B36),$A36,1))/(AH$11*IF(REGEXMATCH($C36,AH$9),AH$8,1))*6&gt;6,CEILING($E36*(IF(REGEXMATCH(AH$10,$B36),$A36,1))/(AH$11*IF(REGEXMATCH($C36,AH$9),AH$8,1))*6),FLOOR($E36*(IF(REGEXMATCH(AH$10,$B36),$A36,1))/(AH$11*IF(REGEXMATCH($C36,"&amp;"AH$9),AH$8,1))*6))"),6.0)</f>
        <v>6</v>
      </c>
      <c r="AI36" s="285">
        <f>IFERROR(__xludf.DUMMYFUNCTION("IF($E36*(IF(REGEXMATCH(AI$10,$B36),$A36,1))/(AI$11*IF(REGEXMATCH($C36,AI$9),AI$8,1))*6&gt;6,CEILING($E36*(IF(REGEXMATCH(AI$10,$B36),$A36,1))/(AI$11*IF(REGEXMATCH($C36,AI$9),AI$8,1))*6),FLOOR($E36*(IF(REGEXMATCH(AI$10,$B36),$A36,1))/(AI$11*IF(REGEXMATCH($C36,"&amp;"AI$9),AI$8,1))*6))"),6.0)</f>
        <v>6</v>
      </c>
      <c r="AJ36" s="285">
        <f>IFERROR(__xludf.DUMMYFUNCTION("IF($E36*(IF(REGEXMATCH(AJ$10,$B36),$A36,1))/(AJ$11*IF(REGEXMATCH($C36,AJ$9),AJ$8,1))*6&gt;6,CEILING($E36*(IF(REGEXMATCH(AJ$10,$B36),$A36,1))/(AJ$11*IF(REGEXMATCH($C36,AJ$9),AJ$8,1))*6),FLOOR($E36*(IF(REGEXMATCH(AJ$10,$B36),$A36,1))/(AJ$11*IF(REGEXMATCH($C36,"&amp;"AJ$9),AJ$8,1))*6))"),6.0)</f>
        <v>6</v>
      </c>
      <c r="AK36" s="285">
        <f>IFERROR(__xludf.DUMMYFUNCTION("IF($E36*(IF(REGEXMATCH(AK$10,$B36),$A36,1))/(AK$11*IF(REGEXMATCH($C36,AK$9),AK$8,1))*6&gt;6,CEILING($E36*(IF(REGEXMATCH(AK$10,$B36),$A36,1))/(AK$11*IF(REGEXMATCH($C36,AK$9),AK$8,1))*6),FLOOR($E36*(IF(REGEXMATCH(AK$10,$B36),$A36,1))/(AK$11*IF(REGEXMATCH($C36,"&amp;"AK$9),AK$8,1))*6))"),6.0)</f>
        <v>6</v>
      </c>
      <c r="AL36" s="285">
        <f>IFERROR(__xludf.DUMMYFUNCTION("IF($E36*(IF(REGEXMATCH(AL$10,$B36),$A36,1))/(AL$11*IF(REGEXMATCH($C36,AL$9),AL$8,1))*6&gt;6,CEILING($E36*(IF(REGEXMATCH(AL$10,$B36),$A36,1))/(AL$11*IF(REGEXMATCH($C36,AL$9),AL$8,1))*6),FLOOR($E36*(IF(REGEXMATCH(AL$10,$B36),$A36,1))/(AL$11*IF(REGEXMATCH($C36,"&amp;"AL$9),AL$8,1))*6))"),8.0)</f>
        <v>8</v>
      </c>
      <c r="AM36" s="285">
        <f>IFERROR(__xludf.DUMMYFUNCTION("IF($E36*(IF(REGEXMATCH(AM$10,$B36),$A36,1))/(AM$11*IF(REGEXMATCH($C36,AM$9),AM$8,1))*6&gt;6,CEILING($E36*(IF(REGEXMATCH(AM$10,$B36),$A36,1))/(AM$11*IF(REGEXMATCH($C36,AM$9),AM$8,1))*6),FLOOR($E36*(IF(REGEXMATCH(AM$10,$B36),$A36,1))/(AM$11*IF(REGEXMATCH($C36,"&amp;"AM$9),AM$8,1))*6))"),8.0)</f>
        <v>8</v>
      </c>
      <c r="AN36" s="285">
        <f>IFERROR(__xludf.DUMMYFUNCTION("IF($E36*(IF(REGEXMATCH(AN$10,$B36),$A36,1))/(AN$11*IF(REGEXMATCH($C36,AN$9),AN$8,1))*6&gt;6,CEILING($E36*(IF(REGEXMATCH(AN$10,$B36),$A36,1))/(AN$11*IF(REGEXMATCH($C36,AN$9),AN$8,1))*6),FLOOR($E36*(IF(REGEXMATCH(AN$10,$B36),$A36,1))/(AN$11*IF(REGEXMATCH($C36,"&amp;"AN$9),AN$8,1))*6))"),8.0)</f>
        <v>8</v>
      </c>
      <c r="AO36" s="285">
        <f>IFERROR(__xludf.DUMMYFUNCTION("IF($E36*(IF(REGEXMATCH(AO$10,$B36),$A36,1))/(AO$11*IF(REGEXMATCH($C36,AO$9),AO$8,1))*6&gt;6,CEILING($E36*(IF(REGEXMATCH(AO$10,$B36),$A36,1))/(AO$11*IF(REGEXMATCH($C36,AO$9),AO$8,1))*6),FLOOR($E36*(IF(REGEXMATCH(AO$10,$B36),$A36,1))/(AO$11*IF(REGEXMATCH($C36,"&amp;"AO$9),AO$8,1))*6))"),8.0)</f>
        <v>8</v>
      </c>
      <c r="AP36" s="285">
        <f>IFERROR(__xludf.DUMMYFUNCTION("IF($E36*(IF(REGEXMATCH(AP$10,$B36),$A36,1))/(AP$11*IF(REGEXMATCH($C36,AP$9),AP$8,1))*6&gt;6,CEILING($E36*(IF(REGEXMATCH(AP$10,$B36),$A36,1))/(AP$11*IF(REGEXMATCH($C36,AP$9),AP$8,1))*6),FLOOR($E36*(IF(REGEXMATCH(AP$10,$B36),$A36,1))/(AP$11*IF(REGEXMATCH($C36,"&amp;"AP$9),AP$8,1))*6))"),8.0)</f>
        <v>8</v>
      </c>
      <c r="AQ36" s="285">
        <f>IFERROR(__xludf.DUMMYFUNCTION("IF($E36*(IF(REGEXMATCH(AQ$10,$B36),$A36,1))/(AQ$11*IF(REGEXMATCH($C36,AQ$9),AQ$8,1))*6&gt;6,CEILING($E36*(IF(REGEXMATCH(AQ$10,$B36),$A36,1))/(AQ$11*IF(REGEXMATCH($C36,AQ$9),AQ$8,1))*6),FLOOR($E36*(IF(REGEXMATCH(AQ$10,$B36),$A36,1))/(AQ$11*IF(REGEXMATCH($C36,"&amp;"AQ$9),AQ$8,1))*6))"),8.0)</f>
        <v>8</v>
      </c>
      <c r="AR36" s="285">
        <f>IFERROR(__xludf.DUMMYFUNCTION("IF($E36*(IF(REGEXMATCH(AR$10,$B36),$A36,1))/(AR$11*IF(REGEXMATCH($C36,AR$9),AR$8,1))*6&gt;6,CEILING($E36*(IF(REGEXMATCH(AR$10,$B36),$A36,1))/(AR$11*IF(REGEXMATCH($C36,AR$9),AR$8,1))*6),FLOOR($E36*(IF(REGEXMATCH(AR$10,$B36),$A36,1))/(AR$11*IF(REGEXMATCH($C36,"&amp;"AR$9),AR$8,1))*6))"),9.0)</f>
        <v>9</v>
      </c>
      <c r="AS36" s="285">
        <f>IFERROR(__xludf.DUMMYFUNCTION("IF($E36*(IF(REGEXMATCH(AS$10,$B36),$A36,1))/(AS$11*IF(REGEXMATCH($C36,AS$9),AS$8,1))*6&gt;6,CEILING($E36*(IF(REGEXMATCH(AS$10,$B36),$A36,1))/(AS$11*IF(REGEXMATCH($C36,AS$9),AS$8,1))*6),FLOOR($E36*(IF(REGEXMATCH(AS$10,$B36),$A36,1))/(AS$11*IF(REGEXMATCH($C36,"&amp;"AS$9),AS$8,1))*6))"),9.0)</f>
        <v>9</v>
      </c>
      <c r="AT36" s="285">
        <f>IFERROR(__xludf.DUMMYFUNCTION("IF($E36*(IF(REGEXMATCH(AT$10,$B36),$A36,1))/(AT$11*IF(REGEXMATCH($C36,AT$9),AT$8,1))*6&gt;6,CEILING($E36*(IF(REGEXMATCH(AT$10,$B36),$A36,1))/(AT$11*IF(REGEXMATCH($C36,AT$9),AT$8,1))*6),FLOOR($E36*(IF(REGEXMATCH(AT$10,$B36),$A36,1))/(AT$11*IF(REGEXMATCH($C36,"&amp;"AT$9),AT$8,1))*6))"),12.0)</f>
        <v>12</v>
      </c>
    </row>
    <row r="37">
      <c r="A37" s="8">
        <v>1.0</v>
      </c>
      <c r="B37" s="8" t="s">
        <v>2577</v>
      </c>
      <c r="C37" s="813" t="s">
        <v>2588</v>
      </c>
      <c r="D37" s="813"/>
      <c r="E37" s="813">
        <v>6.0</v>
      </c>
      <c r="F37" s="806" t="s">
        <v>2549</v>
      </c>
      <c r="G37" s="285">
        <f>IFERROR(__xludf.DUMMYFUNCTION("IF($E37*(IF(REGEXMATCH(G$10,$B37),$A37,1))/(G$11*IF(REGEXMATCH($C37,G$9),G$8,1))*6&gt;6,CEILING($E37*(IF(REGEXMATCH(G$10,$B37),$A37,1))/(G$11*IF(REGEXMATCH($C37,G$9),G$8,1))*6),FLOOR($E37*(IF(REGEXMATCH(G$10,$B37),$A37,1))/(G$11*IF(REGEXMATCH($C37,G$9),G$8,1"&amp;"))*6))"),3.0)</f>
        <v>3</v>
      </c>
      <c r="H37" s="285">
        <f>IFERROR(__xludf.DUMMYFUNCTION("IF($E37*(IF(REGEXMATCH(H$10,$B37),$A37,1))/(H$11*IF(REGEXMATCH($C37,H$9),H$8,1))*6&gt;6,CEILING($E37*(IF(REGEXMATCH(H$10,$B37),$A37,1))/(H$11*IF(REGEXMATCH($C37,H$9),H$8,1))*6),FLOOR($E37*(IF(REGEXMATCH(H$10,$B37),$A37,1))/(H$11*IF(REGEXMATCH($C37,H$9),H$8,1"&amp;"))*6))"),3.0)</f>
        <v>3</v>
      </c>
      <c r="I37" s="285">
        <f>IFERROR(__xludf.DUMMYFUNCTION("IF($E37*(IF(REGEXMATCH(I$10,$B37),$A37,1))/(I$11*IF(REGEXMATCH($C37,I$9),I$8,1))*6&gt;6,CEILING($E37*(IF(REGEXMATCH(I$10,$B37),$A37,1))/(I$11*IF(REGEXMATCH($C37,I$9),I$8,1))*6),FLOOR($E37*(IF(REGEXMATCH(I$10,$B37),$A37,1))/(I$11*IF(REGEXMATCH($C37,I$9),I$8,1"&amp;"))*6))"),3.0)</f>
        <v>3</v>
      </c>
      <c r="J37" s="285">
        <f>IFERROR(__xludf.DUMMYFUNCTION("IF($E37*(IF(REGEXMATCH(J$10,$B37),$A37,1))/(J$11*IF(REGEXMATCH($C37,J$9),J$8,1))*6&gt;6,CEILING($E37*(IF(REGEXMATCH(J$10,$B37),$A37,1))/(J$11*IF(REGEXMATCH($C37,J$9),J$8,1))*6),FLOOR($E37*(IF(REGEXMATCH(J$10,$B37),$A37,1))/(J$11*IF(REGEXMATCH($C37,J$9),J$8,1"&amp;"))*6))"),4.0)</f>
        <v>4</v>
      </c>
      <c r="K37" s="285">
        <f>IFERROR(__xludf.DUMMYFUNCTION("IF($E37*(IF(REGEXMATCH(K$10,$B37),$A37,1))/(K$11*IF(REGEXMATCH($C37,K$9),K$8,1))*6&gt;6,CEILING($E37*(IF(REGEXMATCH(K$10,$B37),$A37,1))/(K$11*IF(REGEXMATCH($C37,K$9),K$8,1))*6),FLOOR($E37*(IF(REGEXMATCH(K$10,$B37),$A37,1))/(K$11*IF(REGEXMATCH($C37,K$9),K$8,1"&amp;"))*6))"),4.0)</f>
        <v>4</v>
      </c>
      <c r="L37" s="285">
        <f>IFERROR(__xludf.DUMMYFUNCTION("IF($E37*(IF(REGEXMATCH(L$10,$B37),$A37,1))/(L$11*IF(REGEXMATCH($C37,L$9),L$8,1))*6&gt;6,CEILING($E37*(IF(REGEXMATCH(L$10,$B37),$A37,1))/(L$11*IF(REGEXMATCH($C37,L$9),L$8,1))*6),FLOOR($E37*(IF(REGEXMATCH(L$10,$B37),$A37,1))/(L$11*IF(REGEXMATCH($C37,L$9),L$8,1"&amp;"))*6))"),4.0)</f>
        <v>4</v>
      </c>
      <c r="M37" s="285">
        <f>IFERROR(__xludf.DUMMYFUNCTION("IF($E37*(IF(REGEXMATCH(M$10,$B37),$A37,1))/(M$11*IF(REGEXMATCH($C37,M$9),M$8,1))*6&gt;6,CEILING($E37*(IF(REGEXMATCH(M$10,$B37),$A37,1))/(M$11*IF(REGEXMATCH($C37,M$9),M$8,1))*6),FLOOR($E37*(IF(REGEXMATCH(M$10,$B37),$A37,1))/(M$11*IF(REGEXMATCH($C37,M$9),M$8,1"&amp;"))*6))"),2.0)</f>
        <v>2</v>
      </c>
      <c r="N37" s="285">
        <f>IFERROR(__xludf.DUMMYFUNCTION("IF($E37*(IF(REGEXMATCH(N$10,$B37),$A37,1))/(N$11*IF(REGEXMATCH($C37,N$9),N$8,1))*6&gt;6,CEILING($E37*(IF(REGEXMATCH(N$10,$B37),$A37,1))/(N$11*IF(REGEXMATCH($C37,N$9),N$8,1))*6),FLOOR($E37*(IF(REGEXMATCH(N$10,$B37),$A37,1))/(N$11*IF(REGEXMATCH($C37,N$9),N$8,1"&amp;"))*6))"),4.0)</f>
        <v>4</v>
      </c>
      <c r="O37" s="285">
        <f>IFERROR(__xludf.DUMMYFUNCTION("IF($E37*(IF(REGEXMATCH(O$10,$B37),$A37,1))/(O$11*IF(REGEXMATCH($C37,O$9),O$8,1))*6&gt;6,CEILING($E37*(IF(REGEXMATCH(O$10,$B37),$A37,1))/(O$11*IF(REGEXMATCH($C37,O$9),O$8,1))*6),FLOOR($E37*(IF(REGEXMATCH(O$10,$B37),$A37,1))/(O$11*IF(REGEXMATCH($C37,O$9),O$8,1"&amp;"))*6))"),4.0)</f>
        <v>4</v>
      </c>
      <c r="P37" s="285">
        <f>IFERROR(__xludf.DUMMYFUNCTION("IF($E37*(IF(REGEXMATCH(P$10,$B37),$A37,1))/(P$11*IF(REGEXMATCH($C37,P$9),P$8,1))*6&gt;6,CEILING($E37*(IF(REGEXMATCH(P$10,$B37),$A37,1))/(P$11*IF(REGEXMATCH($C37,P$9),P$8,1))*6),FLOOR($E37*(IF(REGEXMATCH(P$10,$B37),$A37,1))/(P$11*IF(REGEXMATCH($C37,P$9),P$8,1"&amp;"))*6))"),4.0)</f>
        <v>4</v>
      </c>
      <c r="Q37" s="285">
        <f>IFERROR(__xludf.DUMMYFUNCTION("IF($E37*(IF(REGEXMATCH(Q$10,$B37),$A37,1))/(Q$11*IF(REGEXMATCH($C37,Q$9),Q$8,1))*6&gt;6,CEILING($E37*(IF(REGEXMATCH(Q$10,$B37),$A37,1))/(Q$11*IF(REGEXMATCH($C37,Q$9),Q$8,1))*6),FLOOR($E37*(IF(REGEXMATCH(Q$10,$B37),$A37,1))/(Q$11*IF(REGEXMATCH($C37,Q$9),Q$8,1"&amp;"))*6))"),4.0)</f>
        <v>4</v>
      </c>
      <c r="R37" s="285">
        <f>IFERROR(__xludf.DUMMYFUNCTION("IF($E37*(IF(REGEXMATCH(R$10,$B37),$A37,1))/(R$11*IF(REGEXMATCH($C37,R$9),R$8,1))*6&gt;6,CEILING($E37*(IF(REGEXMATCH(R$10,$B37),$A37,1))/(R$11*IF(REGEXMATCH($C37,R$9),R$8,1))*6),FLOOR($E37*(IF(REGEXMATCH(R$10,$B37),$A37,1))/(R$11*IF(REGEXMATCH($C37,R$9),R$8,1"&amp;"))*6))"),3.0)</f>
        <v>3</v>
      </c>
      <c r="S37" s="285">
        <f>IFERROR(__xludf.DUMMYFUNCTION("IF($E37*(IF(REGEXMATCH(S$10,$B37),$A37,1))/(S$11*IF(REGEXMATCH($C37,S$9),S$8,1))*6&gt;6,CEILING($E37*(IF(REGEXMATCH(S$10,$B37),$A37,1))/(S$11*IF(REGEXMATCH($C37,S$9),S$8,1))*6),FLOOR($E37*(IF(REGEXMATCH(S$10,$B37),$A37,1))/(S$11*IF(REGEXMATCH($C37,S$9),S$8,1"&amp;"))*6))"),4.0)</f>
        <v>4</v>
      </c>
      <c r="T37" s="285">
        <f>IFERROR(__xludf.DUMMYFUNCTION("IF($E37*(IF(REGEXMATCH(T$10,$B37),$A37,1))/(T$11*IF(REGEXMATCH($C37,T$9),T$8,1))*6&gt;6,CEILING($E37*(IF(REGEXMATCH(T$10,$B37),$A37,1))/(T$11*IF(REGEXMATCH($C37,T$9),T$8,1))*6),FLOOR($E37*(IF(REGEXMATCH(T$10,$B37),$A37,1))/(T$11*IF(REGEXMATCH($C37,T$9),T$8,1"&amp;"))*6))"),3.0)</f>
        <v>3</v>
      </c>
      <c r="U37" s="285">
        <f>IFERROR(__xludf.DUMMYFUNCTION("IF($E37*(IF(REGEXMATCH(U$10,$B37),$A37,1))/(U$11*IF(REGEXMATCH($C37,U$9),U$8,1))*6&gt;6,CEILING($E37*(IF(REGEXMATCH(U$10,$B37),$A37,1))/(U$11*IF(REGEXMATCH($C37,U$9),U$8,1))*6),FLOOR($E37*(IF(REGEXMATCH(U$10,$B37),$A37,1))/(U$11*IF(REGEXMATCH($C37,U$9),U$8,1"&amp;"))*6))"),4.0)</f>
        <v>4</v>
      </c>
      <c r="V37" s="285">
        <f>IFERROR(__xludf.DUMMYFUNCTION("IF($E37*(IF(REGEXMATCH(V$10,$B37),$A37,1))/(V$11*IF(REGEXMATCH($C37,V$9),V$8,1))*6&gt;6,CEILING($E37*(IF(REGEXMATCH(V$10,$B37),$A37,1))/(V$11*IF(REGEXMATCH($C37,V$9),V$8,1))*6),FLOOR($E37*(IF(REGEXMATCH(V$10,$B37),$A37,1))/(V$11*IF(REGEXMATCH($C37,V$9),V$8,1"&amp;"))*6))"),4.0)</f>
        <v>4</v>
      </c>
      <c r="W37" s="285">
        <f>IFERROR(__xludf.DUMMYFUNCTION("IF($E37*(IF(REGEXMATCH(W$10,$B37),$A37,1))/(W$11*IF(REGEXMATCH($C37,W$9),W$8,1))*6&gt;6,CEILING($E37*(IF(REGEXMATCH(W$10,$B37),$A37,1))/(W$11*IF(REGEXMATCH($C37,W$9),W$8,1))*6),FLOOR($E37*(IF(REGEXMATCH(W$10,$B37),$A37,1))/(W$11*IF(REGEXMATCH($C37,W$9),W$8,1"&amp;"))*6))"),6.0)</f>
        <v>6</v>
      </c>
      <c r="X37" s="285">
        <f>IFERROR(__xludf.DUMMYFUNCTION("IF($E37*(IF(REGEXMATCH(X$10,$B37),$A37,1))/(X$11*IF(REGEXMATCH($C37,X$9),X$8,1))*6&gt;6,CEILING($E37*(IF(REGEXMATCH(X$10,$B37),$A37,1))/(X$11*IF(REGEXMATCH($C37,X$9),X$8,1))*6),FLOOR($E37*(IF(REGEXMATCH(X$10,$B37),$A37,1))/(X$11*IF(REGEXMATCH($C37,X$9),X$8,1"&amp;"))*6))"),6.0)</f>
        <v>6</v>
      </c>
      <c r="Y37" s="285">
        <f>IFERROR(__xludf.DUMMYFUNCTION("IF($E37*(IF(REGEXMATCH(Y$10,$B37),$A37,1))/(Y$11*IF(REGEXMATCH($C37,Y$9),Y$8,1))*6&gt;6,CEILING($E37*(IF(REGEXMATCH(Y$10,$B37),$A37,1))/(Y$11*IF(REGEXMATCH($C37,Y$9),Y$8,1))*6),FLOOR($E37*(IF(REGEXMATCH(Y$10,$B37),$A37,1))/(Y$11*IF(REGEXMATCH($C37,Y$9),Y$8,1"&amp;"))*6))"),4.0)</f>
        <v>4</v>
      </c>
      <c r="Z37" s="285">
        <f>IFERROR(__xludf.DUMMYFUNCTION("IF($E37*(IF(REGEXMATCH(Z$10,$B37),$A37,1))/(Z$11*IF(REGEXMATCH($C37,Z$9),Z$8,1))*6&gt;6,CEILING($E37*(IF(REGEXMATCH(Z$10,$B37),$A37,1))/(Z$11*IF(REGEXMATCH($C37,Z$9),Z$8,1))*6),FLOOR($E37*(IF(REGEXMATCH(Z$10,$B37),$A37,1))/(Z$11*IF(REGEXMATCH($C37,Z$9),Z$8,1"&amp;"))*6))"),6.0)</f>
        <v>6</v>
      </c>
      <c r="AA37" s="285">
        <f>IFERROR(__xludf.DUMMYFUNCTION("IF($E37*(IF(REGEXMATCH(AA$10,$B37),$A37,1))/(AA$11*IF(REGEXMATCH($C37,AA$9),AA$8,1))*6&gt;6,CEILING($E37*(IF(REGEXMATCH(AA$10,$B37),$A37,1))/(AA$11*IF(REGEXMATCH($C37,AA$9),AA$8,1))*6),FLOOR($E37*(IF(REGEXMATCH(AA$10,$B37),$A37,1))/(AA$11*IF(REGEXMATCH($C37,"&amp;"AA$9),AA$8,1))*6))"),6.0)</f>
        <v>6</v>
      </c>
      <c r="AB37" s="285">
        <f>IFERROR(__xludf.DUMMYFUNCTION("IF($E37*(IF(REGEXMATCH(AB$10,$B37),$A37,1))/(AB$11*IF(REGEXMATCH($C37,AB$9),AB$8,1))*6&gt;6,CEILING($E37*(IF(REGEXMATCH(AB$10,$B37),$A37,1))/(AB$11*IF(REGEXMATCH($C37,AB$9),AB$8,1))*6),FLOOR($E37*(IF(REGEXMATCH(AB$10,$B37),$A37,1))/(AB$11*IF(REGEXMATCH($C37,"&amp;"AB$9),AB$8,1))*6))"),6.0)</f>
        <v>6</v>
      </c>
      <c r="AC37" s="285">
        <f>IFERROR(__xludf.DUMMYFUNCTION("IF($E37*(IF(REGEXMATCH(AC$10,$B37),$A37,1))/(AC$11*IF(REGEXMATCH($C37,AC$9),AC$8,1))*6&gt;6,CEILING($E37*(IF(REGEXMATCH(AC$10,$B37),$A37,1))/(AC$11*IF(REGEXMATCH($C37,AC$9),AC$8,1))*6),FLOOR($E37*(IF(REGEXMATCH(AC$10,$B37),$A37,1))/(AC$11*IF(REGEXMATCH($C37,"&amp;"AC$9),AC$8,1))*6))"),6.0)</f>
        <v>6</v>
      </c>
      <c r="AD37" s="285">
        <f>IFERROR(__xludf.DUMMYFUNCTION("IF($E37*(IF(REGEXMATCH(AD$10,$B37),$A37,1))/(AD$11*IF(REGEXMATCH($C37,AD$9),AD$8,1))*6&gt;6,CEILING($E37*(IF(REGEXMATCH(AD$10,$B37),$A37,1))/(AD$11*IF(REGEXMATCH($C37,AD$9),AD$8,1))*6),FLOOR($E37*(IF(REGEXMATCH(AD$10,$B37),$A37,1))/(AD$11*IF(REGEXMATCH($C37,"&amp;"AD$9),AD$8,1))*6))"),6.0)</f>
        <v>6</v>
      </c>
      <c r="AE37" s="285">
        <f>IFERROR(__xludf.DUMMYFUNCTION("IF($E37*(IF(REGEXMATCH(AE$10,$B37),$A37,1))/(AE$11*IF(REGEXMATCH($C37,AE$9),AE$8,1))*6&gt;6,CEILING($E37*(IF(REGEXMATCH(AE$10,$B37),$A37,1))/(AE$11*IF(REGEXMATCH($C37,AE$9),AE$8,1))*6),FLOOR($E37*(IF(REGEXMATCH(AE$10,$B37),$A37,1))/(AE$11*IF(REGEXMATCH($C37,"&amp;"AE$9),AE$8,1))*6))"),6.0)</f>
        <v>6</v>
      </c>
      <c r="AF37" s="285">
        <f>IFERROR(__xludf.DUMMYFUNCTION("IF($E37*(IF(REGEXMATCH(AF$10,$B37),$A37,1))/(AF$11*IF(REGEXMATCH($C37,AF$9),AF$8,1))*6&gt;6,CEILING($E37*(IF(REGEXMATCH(AF$10,$B37),$A37,1))/(AF$11*IF(REGEXMATCH($C37,AF$9),AF$8,1))*6),FLOOR($E37*(IF(REGEXMATCH(AF$10,$B37),$A37,1))/(AF$11*IF(REGEXMATCH($C37,"&amp;"AF$9),AF$8,1))*6))"),6.0)</f>
        <v>6</v>
      </c>
      <c r="AG37" s="285">
        <f>IFERROR(__xludf.DUMMYFUNCTION("IF($E37*(IF(REGEXMATCH(AG$10,$B37),$A37,1))/(AG$11*IF(REGEXMATCH($C37,AG$9),AG$8,1))*6&gt;6,CEILING($E37*(IF(REGEXMATCH(AG$10,$B37),$A37,1))/(AG$11*IF(REGEXMATCH($C37,AG$9),AG$8,1))*6),FLOOR($E37*(IF(REGEXMATCH(AG$10,$B37),$A37,1))/(AG$11*IF(REGEXMATCH($C37,"&amp;"AG$9),AG$8,1))*6))"),4.0)</f>
        <v>4</v>
      </c>
      <c r="AH37" s="285">
        <f>IFERROR(__xludf.DUMMYFUNCTION("IF($E37*(IF(REGEXMATCH(AH$10,$B37),$A37,1))/(AH$11*IF(REGEXMATCH($C37,AH$9),AH$8,1))*6&gt;6,CEILING($E37*(IF(REGEXMATCH(AH$10,$B37),$A37,1))/(AH$11*IF(REGEXMATCH($C37,AH$9),AH$8,1))*6),FLOOR($E37*(IF(REGEXMATCH(AH$10,$B37),$A37,1))/(AH$11*IF(REGEXMATCH($C37,"&amp;"AH$9),AH$8,1))*6))"),6.0)</f>
        <v>6</v>
      </c>
      <c r="AI37" s="285">
        <f>IFERROR(__xludf.DUMMYFUNCTION("IF($E37*(IF(REGEXMATCH(AI$10,$B37),$A37,1))/(AI$11*IF(REGEXMATCH($C37,AI$9),AI$8,1))*6&gt;6,CEILING($E37*(IF(REGEXMATCH(AI$10,$B37),$A37,1))/(AI$11*IF(REGEXMATCH($C37,AI$9),AI$8,1))*6),FLOOR($E37*(IF(REGEXMATCH(AI$10,$B37),$A37,1))/(AI$11*IF(REGEXMATCH($C37,"&amp;"AI$9),AI$8,1))*6))"),4.0)</f>
        <v>4</v>
      </c>
      <c r="AJ37" s="285">
        <f>IFERROR(__xludf.DUMMYFUNCTION("IF($E37*(IF(REGEXMATCH(AJ$10,$B37),$A37,1))/(AJ$11*IF(REGEXMATCH($C37,AJ$9),AJ$8,1))*6&gt;6,CEILING($E37*(IF(REGEXMATCH(AJ$10,$B37),$A37,1))/(AJ$11*IF(REGEXMATCH($C37,AJ$9),AJ$8,1))*6),FLOOR($E37*(IF(REGEXMATCH(AJ$10,$B37),$A37,1))/(AJ$11*IF(REGEXMATCH($C37,"&amp;"AJ$9),AJ$8,1))*6))"),6.0)</f>
        <v>6</v>
      </c>
      <c r="AK37" s="285">
        <f>IFERROR(__xludf.DUMMYFUNCTION("IF($E37*(IF(REGEXMATCH(AK$10,$B37),$A37,1))/(AK$11*IF(REGEXMATCH($C37,AK$9),AK$8,1))*6&gt;6,CEILING($E37*(IF(REGEXMATCH(AK$10,$B37),$A37,1))/(AK$11*IF(REGEXMATCH($C37,AK$9),AK$8,1))*6),FLOOR($E37*(IF(REGEXMATCH(AK$10,$B37),$A37,1))/(AK$11*IF(REGEXMATCH($C37,"&amp;"AK$9),AK$8,1))*6))"),6.0)</f>
        <v>6</v>
      </c>
      <c r="AL37" s="285">
        <f>IFERROR(__xludf.DUMMYFUNCTION("IF($E37*(IF(REGEXMATCH(AL$10,$B37),$A37,1))/(AL$11*IF(REGEXMATCH($C37,AL$9),AL$8,1))*6&gt;6,CEILING($E37*(IF(REGEXMATCH(AL$10,$B37),$A37,1))/(AL$11*IF(REGEXMATCH($C37,AL$9),AL$8,1))*6),FLOOR($E37*(IF(REGEXMATCH(AL$10,$B37),$A37,1))/(AL$11*IF(REGEXMATCH($C37,"&amp;"AL$9),AL$8,1))*6))"),8.0)</f>
        <v>8</v>
      </c>
      <c r="AM37" s="285">
        <f>IFERROR(__xludf.DUMMYFUNCTION("IF($E37*(IF(REGEXMATCH(AM$10,$B37),$A37,1))/(AM$11*IF(REGEXMATCH($C37,AM$9),AM$8,1))*6&gt;6,CEILING($E37*(IF(REGEXMATCH(AM$10,$B37),$A37,1))/(AM$11*IF(REGEXMATCH($C37,AM$9),AM$8,1))*6),FLOOR($E37*(IF(REGEXMATCH(AM$10,$B37),$A37,1))/(AM$11*IF(REGEXMATCH($C37,"&amp;"AM$9),AM$8,1))*6))"),8.0)</f>
        <v>8</v>
      </c>
      <c r="AN37" s="285">
        <f>IFERROR(__xludf.DUMMYFUNCTION("IF($E37*(IF(REGEXMATCH(AN$10,$B37),$A37,1))/(AN$11*IF(REGEXMATCH($C37,AN$9),AN$8,1))*6&gt;6,CEILING($E37*(IF(REGEXMATCH(AN$10,$B37),$A37,1))/(AN$11*IF(REGEXMATCH($C37,AN$9),AN$8,1))*6),FLOOR($E37*(IF(REGEXMATCH(AN$10,$B37),$A37,1))/(AN$11*IF(REGEXMATCH($C37,"&amp;"AN$9),AN$8,1))*6))"),4.0)</f>
        <v>4</v>
      </c>
      <c r="AO37" s="285">
        <f>IFERROR(__xludf.DUMMYFUNCTION("IF($E37*(IF(REGEXMATCH(AO$10,$B37),$A37,1))/(AO$11*IF(REGEXMATCH($C37,AO$9),AO$8,1))*6&gt;6,CEILING($E37*(IF(REGEXMATCH(AO$10,$B37),$A37,1))/(AO$11*IF(REGEXMATCH($C37,AO$9),AO$8,1))*6),FLOOR($E37*(IF(REGEXMATCH(AO$10,$B37),$A37,1))/(AO$11*IF(REGEXMATCH($C37,"&amp;"AO$9),AO$8,1))*6))"),8.0)</f>
        <v>8</v>
      </c>
      <c r="AP37" s="285">
        <f>IFERROR(__xludf.DUMMYFUNCTION("IF($E37*(IF(REGEXMATCH(AP$10,$B37),$A37,1))/(AP$11*IF(REGEXMATCH($C37,AP$9),AP$8,1))*6&gt;6,CEILING($E37*(IF(REGEXMATCH(AP$10,$B37),$A37,1))/(AP$11*IF(REGEXMATCH($C37,AP$9),AP$8,1))*6),FLOOR($E37*(IF(REGEXMATCH(AP$10,$B37),$A37,1))/(AP$11*IF(REGEXMATCH($C37,"&amp;"AP$9),AP$8,1))*6))"),8.0)</f>
        <v>8</v>
      </c>
      <c r="AQ37" s="285">
        <f>IFERROR(__xludf.DUMMYFUNCTION("IF($E37*(IF(REGEXMATCH(AQ$10,$B37),$A37,1))/(AQ$11*IF(REGEXMATCH($C37,AQ$9),AQ$8,1))*6&gt;6,CEILING($E37*(IF(REGEXMATCH(AQ$10,$B37),$A37,1))/(AQ$11*IF(REGEXMATCH($C37,AQ$9),AQ$8,1))*6),FLOOR($E37*(IF(REGEXMATCH(AQ$10,$B37),$A37,1))/(AQ$11*IF(REGEXMATCH($C37,"&amp;"AQ$9),AQ$8,1))*6))"),5.0)</f>
        <v>5</v>
      </c>
      <c r="AR37" s="285">
        <f>IFERROR(__xludf.DUMMYFUNCTION("IF($E37*(IF(REGEXMATCH(AR$10,$B37),$A37,1))/(AR$11*IF(REGEXMATCH($C37,AR$9),AR$8,1))*6&gt;6,CEILING($E37*(IF(REGEXMATCH(AR$10,$B37),$A37,1))/(AR$11*IF(REGEXMATCH($C37,AR$9),AR$8,1))*6),FLOOR($E37*(IF(REGEXMATCH(AR$10,$B37),$A37,1))/(AR$11*IF(REGEXMATCH($C37,"&amp;"AR$9),AR$8,1))*6))"),9.0)</f>
        <v>9</v>
      </c>
      <c r="AS37" s="285">
        <f>IFERROR(__xludf.DUMMYFUNCTION("IF($E37*(IF(REGEXMATCH(AS$10,$B37),$A37,1))/(AS$11*IF(REGEXMATCH($C37,AS$9),AS$8,1))*6&gt;6,CEILING($E37*(IF(REGEXMATCH(AS$10,$B37),$A37,1))/(AS$11*IF(REGEXMATCH($C37,AS$9),AS$8,1))*6),FLOOR($E37*(IF(REGEXMATCH(AS$10,$B37),$A37,1))/(AS$11*IF(REGEXMATCH($C37,"&amp;"AS$9),AS$8,1))*6))"),9.0)</f>
        <v>9</v>
      </c>
      <c r="AT37" s="285">
        <f>IFERROR(__xludf.DUMMYFUNCTION("IF($E37*(IF(REGEXMATCH(AT$10,$B37),$A37,1))/(AT$11*IF(REGEXMATCH($C37,AT$9),AT$8,1))*6&gt;6,CEILING($E37*(IF(REGEXMATCH(AT$10,$B37),$A37,1))/(AT$11*IF(REGEXMATCH($C37,AT$9),AT$8,1))*6),FLOOR($E37*(IF(REGEXMATCH(AT$10,$B37),$A37,1))/(AT$11*IF(REGEXMATCH($C37,"&amp;"AT$9),AT$8,1))*6))"),12.0)</f>
        <v>12</v>
      </c>
    </row>
    <row r="38">
      <c r="A38" s="8">
        <v>1.0</v>
      </c>
      <c r="B38" s="8" t="s">
        <v>2577</v>
      </c>
      <c r="C38" s="813" t="s">
        <v>2589</v>
      </c>
      <c r="D38" s="813"/>
      <c r="E38" s="813">
        <v>6.0</v>
      </c>
      <c r="F38" s="79" t="s">
        <v>2550</v>
      </c>
      <c r="G38" s="285">
        <f>IFERROR(__xludf.DUMMYFUNCTION("IF($E38*(IF(REGEXMATCH(G$10,$B38),$A38,1))/(G$11*IF(REGEXMATCH($C38,G$9),G$8,1))*6&gt;6,CEILING($E38*(IF(REGEXMATCH(G$10,$B38),$A38,1))/(G$11*IF(REGEXMATCH($C38,G$9),G$8,1))*6),FLOOR($E38*(IF(REGEXMATCH(G$10,$B38),$A38,1))/(G$11*IF(REGEXMATCH($C38,G$9),G$8,1"&amp;"))*6))"),3.0)</f>
        <v>3</v>
      </c>
      <c r="H38" s="285">
        <f>IFERROR(__xludf.DUMMYFUNCTION("IF($E38*(IF(REGEXMATCH(H$10,$B38),$A38,1))/(H$11*IF(REGEXMATCH($C38,H$9),H$8,1))*6&gt;6,CEILING($E38*(IF(REGEXMATCH(H$10,$B38),$A38,1))/(H$11*IF(REGEXMATCH($C38,H$9),H$8,1))*6),FLOOR($E38*(IF(REGEXMATCH(H$10,$B38),$A38,1))/(H$11*IF(REGEXMATCH($C38,H$9),H$8,1"&amp;"))*6))"),3.0)</f>
        <v>3</v>
      </c>
      <c r="I38" s="285">
        <f>IFERROR(__xludf.DUMMYFUNCTION("IF($E38*(IF(REGEXMATCH(I$10,$B38),$A38,1))/(I$11*IF(REGEXMATCH($C38,I$9),I$8,1))*6&gt;6,CEILING($E38*(IF(REGEXMATCH(I$10,$B38),$A38,1))/(I$11*IF(REGEXMATCH($C38,I$9),I$8,1))*6),FLOOR($E38*(IF(REGEXMATCH(I$10,$B38),$A38,1))/(I$11*IF(REGEXMATCH($C38,I$9),I$8,1"&amp;"))*6))"),4.0)</f>
        <v>4</v>
      </c>
      <c r="J38" s="285">
        <f>IFERROR(__xludf.DUMMYFUNCTION("IF($E38*(IF(REGEXMATCH(J$10,$B38),$A38,1))/(J$11*IF(REGEXMATCH($C38,J$9),J$8,1))*6&gt;6,CEILING($E38*(IF(REGEXMATCH(J$10,$B38),$A38,1))/(J$11*IF(REGEXMATCH($C38,J$9),J$8,1))*6),FLOOR($E38*(IF(REGEXMATCH(J$10,$B38),$A38,1))/(J$11*IF(REGEXMATCH($C38,J$9),J$8,1"&amp;"))*6))"),4.0)</f>
        <v>4</v>
      </c>
      <c r="K38" s="285">
        <f>IFERROR(__xludf.DUMMYFUNCTION("IF($E38*(IF(REGEXMATCH(K$10,$B38),$A38,1))/(K$11*IF(REGEXMATCH($C38,K$9),K$8,1))*6&gt;6,CEILING($E38*(IF(REGEXMATCH(K$10,$B38),$A38,1))/(K$11*IF(REGEXMATCH($C38,K$9),K$8,1))*6),FLOOR($E38*(IF(REGEXMATCH(K$10,$B38),$A38,1))/(K$11*IF(REGEXMATCH($C38,K$9),K$8,1"&amp;"))*6))"),4.0)</f>
        <v>4</v>
      </c>
      <c r="L38" s="285">
        <f>IFERROR(__xludf.DUMMYFUNCTION("IF($E38*(IF(REGEXMATCH(L$10,$B38),$A38,1))/(L$11*IF(REGEXMATCH($C38,L$9),L$8,1))*6&gt;6,CEILING($E38*(IF(REGEXMATCH(L$10,$B38),$A38,1))/(L$11*IF(REGEXMATCH($C38,L$9),L$8,1))*6),FLOOR($E38*(IF(REGEXMATCH(L$10,$B38),$A38,1))/(L$11*IF(REGEXMATCH($C38,L$9),L$8,1"&amp;"))*6))"),4.0)</f>
        <v>4</v>
      </c>
      <c r="M38" s="285">
        <f>IFERROR(__xludf.DUMMYFUNCTION("IF($E38*(IF(REGEXMATCH(M$10,$B38),$A38,1))/(M$11*IF(REGEXMATCH($C38,M$9),M$8,1))*6&gt;6,CEILING($E38*(IF(REGEXMATCH(M$10,$B38),$A38,1))/(M$11*IF(REGEXMATCH($C38,M$9),M$8,1))*6),FLOOR($E38*(IF(REGEXMATCH(M$10,$B38),$A38,1))/(M$11*IF(REGEXMATCH($C38,M$9),M$8,1"&amp;"))*6))"),2.0)</f>
        <v>2</v>
      </c>
      <c r="N38" s="285">
        <f>IFERROR(__xludf.DUMMYFUNCTION("IF($E38*(IF(REGEXMATCH(N$10,$B38),$A38,1))/(N$11*IF(REGEXMATCH($C38,N$9),N$8,1))*6&gt;6,CEILING($E38*(IF(REGEXMATCH(N$10,$B38),$A38,1))/(N$11*IF(REGEXMATCH($C38,N$9),N$8,1))*6),FLOOR($E38*(IF(REGEXMATCH(N$10,$B38),$A38,1))/(N$11*IF(REGEXMATCH($C38,N$9),N$8,1"&amp;"))*6))"),4.0)</f>
        <v>4</v>
      </c>
      <c r="O38" s="285">
        <f>IFERROR(__xludf.DUMMYFUNCTION("IF($E38*(IF(REGEXMATCH(O$10,$B38),$A38,1))/(O$11*IF(REGEXMATCH($C38,O$9),O$8,1))*6&gt;6,CEILING($E38*(IF(REGEXMATCH(O$10,$B38),$A38,1))/(O$11*IF(REGEXMATCH($C38,O$9),O$8,1))*6),FLOOR($E38*(IF(REGEXMATCH(O$10,$B38),$A38,1))/(O$11*IF(REGEXMATCH($C38,O$9),O$8,1"&amp;"))*6))"),4.0)</f>
        <v>4</v>
      </c>
      <c r="P38" s="285">
        <f>IFERROR(__xludf.DUMMYFUNCTION("IF($E38*(IF(REGEXMATCH(P$10,$B38),$A38,1))/(P$11*IF(REGEXMATCH($C38,P$9),P$8,1))*6&gt;6,CEILING($E38*(IF(REGEXMATCH(P$10,$B38),$A38,1))/(P$11*IF(REGEXMATCH($C38,P$9),P$8,1))*6),FLOOR($E38*(IF(REGEXMATCH(P$10,$B38),$A38,1))/(P$11*IF(REGEXMATCH($C38,P$9),P$8,1"&amp;"))*6))"),4.0)</f>
        <v>4</v>
      </c>
      <c r="Q38" s="285">
        <f>IFERROR(__xludf.DUMMYFUNCTION("IF($E38*(IF(REGEXMATCH(Q$10,$B38),$A38,1))/(Q$11*IF(REGEXMATCH($C38,Q$9),Q$8,1))*6&gt;6,CEILING($E38*(IF(REGEXMATCH(Q$10,$B38),$A38,1))/(Q$11*IF(REGEXMATCH($C38,Q$9),Q$8,1))*6),FLOOR($E38*(IF(REGEXMATCH(Q$10,$B38),$A38,1))/(Q$11*IF(REGEXMATCH($C38,Q$9),Q$8,1"&amp;"))*6))"),4.0)</f>
        <v>4</v>
      </c>
      <c r="R38" s="285">
        <f>IFERROR(__xludf.DUMMYFUNCTION("IF($E38*(IF(REGEXMATCH(R$10,$B38),$A38,1))/(R$11*IF(REGEXMATCH($C38,R$9),R$8,1))*6&gt;6,CEILING($E38*(IF(REGEXMATCH(R$10,$B38),$A38,1))/(R$11*IF(REGEXMATCH($C38,R$9),R$8,1))*6),FLOOR($E38*(IF(REGEXMATCH(R$10,$B38),$A38,1))/(R$11*IF(REGEXMATCH($C38,R$9),R$8,1"&amp;"))*6))"),3.0)</f>
        <v>3</v>
      </c>
      <c r="S38" s="285">
        <f>IFERROR(__xludf.DUMMYFUNCTION("IF($E38*(IF(REGEXMATCH(S$10,$B38),$A38,1))/(S$11*IF(REGEXMATCH($C38,S$9),S$8,1))*6&gt;6,CEILING($E38*(IF(REGEXMATCH(S$10,$B38),$A38,1))/(S$11*IF(REGEXMATCH($C38,S$9),S$8,1))*6),FLOOR($E38*(IF(REGEXMATCH(S$10,$B38),$A38,1))/(S$11*IF(REGEXMATCH($C38,S$9),S$8,1"&amp;"))*6))"),4.0)</f>
        <v>4</v>
      </c>
      <c r="T38" s="285">
        <f>IFERROR(__xludf.DUMMYFUNCTION("IF($E38*(IF(REGEXMATCH(T$10,$B38),$A38,1))/(T$11*IF(REGEXMATCH($C38,T$9),T$8,1))*6&gt;6,CEILING($E38*(IF(REGEXMATCH(T$10,$B38),$A38,1))/(T$11*IF(REGEXMATCH($C38,T$9),T$8,1))*6),FLOOR($E38*(IF(REGEXMATCH(T$10,$B38),$A38,1))/(T$11*IF(REGEXMATCH($C38,T$9),T$8,1"&amp;"))*6))"),4.0)</f>
        <v>4</v>
      </c>
      <c r="U38" s="285">
        <f>IFERROR(__xludf.DUMMYFUNCTION("IF($E38*(IF(REGEXMATCH(U$10,$B38),$A38,1))/(U$11*IF(REGEXMATCH($C38,U$9),U$8,1))*6&gt;6,CEILING($E38*(IF(REGEXMATCH(U$10,$B38),$A38,1))/(U$11*IF(REGEXMATCH($C38,U$9),U$8,1))*6),FLOOR($E38*(IF(REGEXMATCH(U$10,$B38),$A38,1))/(U$11*IF(REGEXMATCH($C38,U$9),U$8,1"&amp;"))*6))"),4.0)</f>
        <v>4</v>
      </c>
      <c r="V38" s="285">
        <f>IFERROR(__xludf.DUMMYFUNCTION("IF($E38*(IF(REGEXMATCH(V$10,$B38),$A38,1))/(V$11*IF(REGEXMATCH($C38,V$9),V$8,1))*6&gt;6,CEILING($E38*(IF(REGEXMATCH(V$10,$B38),$A38,1))/(V$11*IF(REGEXMATCH($C38,V$9),V$8,1))*6),FLOOR($E38*(IF(REGEXMATCH(V$10,$B38),$A38,1))/(V$11*IF(REGEXMATCH($C38,V$9),V$8,1"&amp;"))*6))"),4.0)</f>
        <v>4</v>
      </c>
      <c r="W38" s="285">
        <f>IFERROR(__xludf.DUMMYFUNCTION("IF($E38*(IF(REGEXMATCH(W$10,$B38),$A38,1))/(W$11*IF(REGEXMATCH($C38,W$9),W$8,1))*6&gt;6,CEILING($E38*(IF(REGEXMATCH(W$10,$B38),$A38,1))/(W$11*IF(REGEXMATCH($C38,W$9),W$8,1))*6),FLOOR($E38*(IF(REGEXMATCH(W$10,$B38),$A38,1))/(W$11*IF(REGEXMATCH($C38,W$9),W$8,1"&amp;"))*6))"),6.0)</f>
        <v>6</v>
      </c>
      <c r="X38" s="285">
        <f>IFERROR(__xludf.DUMMYFUNCTION("IF($E38*(IF(REGEXMATCH(X$10,$B38),$A38,1))/(X$11*IF(REGEXMATCH($C38,X$9),X$8,1))*6&gt;6,CEILING($E38*(IF(REGEXMATCH(X$10,$B38),$A38,1))/(X$11*IF(REGEXMATCH($C38,X$9),X$8,1))*6),FLOOR($E38*(IF(REGEXMATCH(X$10,$B38),$A38,1))/(X$11*IF(REGEXMATCH($C38,X$9),X$8,1"&amp;"))*6))"),6.0)</f>
        <v>6</v>
      </c>
      <c r="Y38" s="285">
        <f>IFERROR(__xludf.DUMMYFUNCTION("IF($E38*(IF(REGEXMATCH(Y$10,$B38),$A38,1))/(Y$11*IF(REGEXMATCH($C38,Y$9),Y$8,1))*6&gt;6,CEILING($E38*(IF(REGEXMATCH(Y$10,$B38),$A38,1))/(Y$11*IF(REGEXMATCH($C38,Y$9),Y$8,1))*6),FLOOR($E38*(IF(REGEXMATCH(Y$10,$B38),$A38,1))/(Y$11*IF(REGEXMATCH($C38,Y$9),Y$8,1"&amp;"))*6))"),6.0)</f>
        <v>6</v>
      </c>
      <c r="Z38" s="285">
        <f>IFERROR(__xludf.DUMMYFUNCTION("IF($E38*(IF(REGEXMATCH(Z$10,$B38),$A38,1))/(Z$11*IF(REGEXMATCH($C38,Z$9),Z$8,1))*6&gt;6,CEILING($E38*(IF(REGEXMATCH(Z$10,$B38),$A38,1))/(Z$11*IF(REGEXMATCH($C38,Z$9),Z$8,1))*6),FLOOR($E38*(IF(REGEXMATCH(Z$10,$B38),$A38,1))/(Z$11*IF(REGEXMATCH($C38,Z$9),Z$8,1"&amp;"))*6))"),6.0)</f>
        <v>6</v>
      </c>
      <c r="AA38" s="285">
        <f>IFERROR(__xludf.DUMMYFUNCTION("IF($E38*(IF(REGEXMATCH(AA$10,$B38),$A38,1))/(AA$11*IF(REGEXMATCH($C38,AA$9),AA$8,1))*6&gt;6,CEILING($E38*(IF(REGEXMATCH(AA$10,$B38),$A38,1))/(AA$11*IF(REGEXMATCH($C38,AA$9),AA$8,1))*6),FLOOR($E38*(IF(REGEXMATCH(AA$10,$B38),$A38,1))/(AA$11*IF(REGEXMATCH($C38,"&amp;"AA$9),AA$8,1))*6))"),6.0)</f>
        <v>6</v>
      </c>
      <c r="AB38" s="285">
        <f>IFERROR(__xludf.DUMMYFUNCTION("IF($E38*(IF(REGEXMATCH(AB$10,$B38),$A38,1))/(AB$11*IF(REGEXMATCH($C38,AB$9),AB$8,1))*6&gt;6,CEILING($E38*(IF(REGEXMATCH(AB$10,$B38),$A38,1))/(AB$11*IF(REGEXMATCH($C38,AB$9),AB$8,1))*6),FLOOR($E38*(IF(REGEXMATCH(AB$10,$B38),$A38,1))/(AB$11*IF(REGEXMATCH($C38,"&amp;"AB$9),AB$8,1))*6))"),6.0)</f>
        <v>6</v>
      </c>
      <c r="AC38" s="285">
        <f>IFERROR(__xludf.DUMMYFUNCTION("IF($E38*(IF(REGEXMATCH(AC$10,$B38),$A38,1))/(AC$11*IF(REGEXMATCH($C38,AC$9),AC$8,1))*6&gt;6,CEILING($E38*(IF(REGEXMATCH(AC$10,$B38),$A38,1))/(AC$11*IF(REGEXMATCH($C38,AC$9),AC$8,1))*6),FLOOR($E38*(IF(REGEXMATCH(AC$10,$B38),$A38,1))/(AC$11*IF(REGEXMATCH($C38,"&amp;"AC$9),AC$8,1))*6))"),6.0)</f>
        <v>6</v>
      </c>
      <c r="AD38" s="285">
        <f>IFERROR(__xludf.DUMMYFUNCTION("IF($E38*(IF(REGEXMATCH(AD$10,$B38),$A38,1))/(AD$11*IF(REGEXMATCH($C38,AD$9),AD$8,1))*6&gt;6,CEILING($E38*(IF(REGEXMATCH(AD$10,$B38),$A38,1))/(AD$11*IF(REGEXMATCH($C38,AD$9),AD$8,1))*6),FLOOR($E38*(IF(REGEXMATCH(AD$10,$B38),$A38,1))/(AD$11*IF(REGEXMATCH($C38,"&amp;"AD$9),AD$8,1))*6))"),6.0)</f>
        <v>6</v>
      </c>
      <c r="AE38" s="285">
        <f>IFERROR(__xludf.DUMMYFUNCTION("IF($E38*(IF(REGEXMATCH(AE$10,$B38),$A38,1))/(AE$11*IF(REGEXMATCH($C38,AE$9),AE$8,1))*6&gt;6,CEILING($E38*(IF(REGEXMATCH(AE$10,$B38),$A38,1))/(AE$11*IF(REGEXMATCH($C38,AE$9),AE$8,1))*6),FLOOR($E38*(IF(REGEXMATCH(AE$10,$B38),$A38,1))/(AE$11*IF(REGEXMATCH($C38,"&amp;"AE$9),AE$8,1))*6))"),6.0)</f>
        <v>6</v>
      </c>
      <c r="AF38" s="285">
        <f>IFERROR(__xludf.DUMMYFUNCTION("IF($E38*(IF(REGEXMATCH(AF$10,$B38),$A38,1))/(AF$11*IF(REGEXMATCH($C38,AF$9),AF$8,1))*6&gt;6,CEILING($E38*(IF(REGEXMATCH(AF$10,$B38),$A38,1))/(AF$11*IF(REGEXMATCH($C38,AF$9),AF$8,1))*6),FLOOR($E38*(IF(REGEXMATCH(AF$10,$B38),$A38,1))/(AF$11*IF(REGEXMATCH($C38,"&amp;"AF$9),AF$8,1))*6))"),6.0)</f>
        <v>6</v>
      </c>
      <c r="AG38" s="285">
        <f>IFERROR(__xludf.DUMMYFUNCTION("IF($E38*(IF(REGEXMATCH(AG$10,$B38),$A38,1))/(AG$11*IF(REGEXMATCH($C38,AG$9),AG$8,1))*6&gt;6,CEILING($E38*(IF(REGEXMATCH(AG$10,$B38),$A38,1))/(AG$11*IF(REGEXMATCH($C38,AG$9),AG$8,1))*6),FLOOR($E38*(IF(REGEXMATCH(AG$10,$B38),$A38,1))/(AG$11*IF(REGEXMATCH($C38,"&amp;"AG$9),AG$8,1))*6))"),4.0)</f>
        <v>4</v>
      </c>
      <c r="AH38" s="285">
        <f>IFERROR(__xludf.DUMMYFUNCTION("IF($E38*(IF(REGEXMATCH(AH$10,$B38),$A38,1))/(AH$11*IF(REGEXMATCH($C38,AH$9),AH$8,1))*6&gt;6,CEILING($E38*(IF(REGEXMATCH(AH$10,$B38),$A38,1))/(AH$11*IF(REGEXMATCH($C38,AH$9),AH$8,1))*6),FLOOR($E38*(IF(REGEXMATCH(AH$10,$B38),$A38,1))/(AH$11*IF(REGEXMATCH($C38,"&amp;"AH$9),AH$8,1))*6))"),6.0)</f>
        <v>6</v>
      </c>
      <c r="AI38" s="285">
        <f>IFERROR(__xludf.DUMMYFUNCTION("IF($E38*(IF(REGEXMATCH(AI$10,$B38),$A38,1))/(AI$11*IF(REGEXMATCH($C38,AI$9),AI$8,1))*6&gt;6,CEILING($E38*(IF(REGEXMATCH(AI$10,$B38),$A38,1))/(AI$11*IF(REGEXMATCH($C38,AI$9),AI$8,1))*6),FLOOR($E38*(IF(REGEXMATCH(AI$10,$B38),$A38,1))/(AI$11*IF(REGEXMATCH($C38,"&amp;"AI$9),AI$8,1))*6))"),6.0)</f>
        <v>6</v>
      </c>
      <c r="AJ38" s="285">
        <f>IFERROR(__xludf.DUMMYFUNCTION("IF($E38*(IF(REGEXMATCH(AJ$10,$B38),$A38,1))/(AJ$11*IF(REGEXMATCH($C38,AJ$9),AJ$8,1))*6&gt;6,CEILING($E38*(IF(REGEXMATCH(AJ$10,$B38),$A38,1))/(AJ$11*IF(REGEXMATCH($C38,AJ$9),AJ$8,1))*6),FLOOR($E38*(IF(REGEXMATCH(AJ$10,$B38),$A38,1))/(AJ$11*IF(REGEXMATCH($C38,"&amp;"AJ$9),AJ$8,1))*6))"),6.0)</f>
        <v>6</v>
      </c>
      <c r="AK38" s="285">
        <f>IFERROR(__xludf.DUMMYFUNCTION("IF($E38*(IF(REGEXMATCH(AK$10,$B38),$A38,1))/(AK$11*IF(REGEXMATCH($C38,AK$9),AK$8,1))*6&gt;6,CEILING($E38*(IF(REGEXMATCH(AK$10,$B38),$A38,1))/(AK$11*IF(REGEXMATCH($C38,AK$9),AK$8,1))*6),FLOOR($E38*(IF(REGEXMATCH(AK$10,$B38),$A38,1))/(AK$11*IF(REGEXMATCH($C38,"&amp;"AK$9),AK$8,1))*6))"),6.0)</f>
        <v>6</v>
      </c>
      <c r="AL38" s="285">
        <f>IFERROR(__xludf.DUMMYFUNCTION("IF($E38*(IF(REGEXMATCH(AL$10,$B38),$A38,1))/(AL$11*IF(REGEXMATCH($C38,AL$9),AL$8,1))*6&gt;6,CEILING($E38*(IF(REGEXMATCH(AL$10,$B38),$A38,1))/(AL$11*IF(REGEXMATCH($C38,AL$9),AL$8,1))*6),FLOOR($E38*(IF(REGEXMATCH(AL$10,$B38),$A38,1))/(AL$11*IF(REGEXMATCH($C38,"&amp;"AL$9),AL$8,1))*6))"),8.0)</f>
        <v>8</v>
      </c>
      <c r="AM38" s="285">
        <f>IFERROR(__xludf.DUMMYFUNCTION("IF($E38*(IF(REGEXMATCH(AM$10,$B38),$A38,1))/(AM$11*IF(REGEXMATCH($C38,AM$9),AM$8,1))*6&gt;6,CEILING($E38*(IF(REGEXMATCH(AM$10,$B38),$A38,1))/(AM$11*IF(REGEXMATCH($C38,AM$9),AM$8,1))*6),FLOOR($E38*(IF(REGEXMATCH(AM$10,$B38),$A38,1))/(AM$11*IF(REGEXMATCH($C38,"&amp;"AM$9),AM$8,1))*6))"),8.0)</f>
        <v>8</v>
      </c>
      <c r="AN38" s="285">
        <f>IFERROR(__xludf.DUMMYFUNCTION("IF($E38*(IF(REGEXMATCH(AN$10,$B38),$A38,1))/(AN$11*IF(REGEXMATCH($C38,AN$9),AN$8,1))*6&gt;6,CEILING($E38*(IF(REGEXMATCH(AN$10,$B38),$A38,1))/(AN$11*IF(REGEXMATCH($C38,AN$9),AN$8,1))*6),FLOOR($E38*(IF(REGEXMATCH(AN$10,$B38),$A38,1))/(AN$11*IF(REGEXMATCH($C38,"&amp;"AN$9),AN$8,1))*6))"),4.0)</f>
        <v>4</v>
      </c>
      <c r="AO38" s="285">
        <f>IFERROR(__xludf.DUMMYFUNCTION("IF($E38*(IF(REGEXMATCH(AO$10,$B38),$A38,1))/(AO$11*IF(REGEXMATCH($C38,AO$9),AO$8,1))*6&gt;6,CEILING($E38*(IF(REGEXMATCH(AO$10,$B38),$A38,1))/(AO$11*IF(REGEXMATCH($C38,AO$9),AO$8,1))*6),FLOOR($E38*(IF(REGEXMATCH(AO$10,$B38),$A38,1))/(AO$11*IF(REGEXMATCH($C38,"&amp;"AO$9),AO$8,1))*6))"),8.0)</f>
        <v>8</v>
      </c>
      <c r="AP38" s="285">
        <f>IFERROR(__xludf.DUMMYFUNCTION("IF($E38*(IF(REGEXMATCH(AP$10,$B38),$A38,1))/(AP$11*IF(REGEXMATCH($C38,AP$9),AP$8,1))*6&gt;6,CEILING($E38*(IF(REGEXMATCH(AP$10,$B38),$A38,1))/(AP$11*IF(REGEXMATCH($C38,AP$9),AP$8,1))*6),FLOOR($E38*(IF(REGEXMATCH(AP$10,$B38),$A38,1))/(AP$11*IF(REGEXMATCH($C38,"&amp;"AP$9),AP$8,1))*6))"),4.0)</f>
        <v>4</v>
      </c>
      <c r="AQ38" s="285">
        <f>IFERROR(__xludf.DUMMYFUNCTION("IF($E38*(IF(REGEXMATCH(AQ$10,$B38),$A38,1))/(AQ$11*IF(REGEXMATCH($C38,AQ$9),AQ$8,1))*6&gt;6,CEILING($E38*(IF(REGEXMATCH(AQ$10,$B38),$A38,1))/(AQ$11*IF(REGEXMATCH($C38,AQ$9),AQ$8,1))*6),FLOOR($E38*(IF(REGEXMATCH(AQ$10,$B38),$A38,1))/(AQ$11*IF(REGEXMATCH($C38,"&amp;"AQ$9),AQ$8,1))*6))"),5.0)</f>
        <v>5</v>
      </c>
      <c r="AR38" s="285">
        <f>IFERROR(__xludf.DUMMYFUNCTION("IF($E38*(IF(REGEXMATCH(AR$10,$B38),$A38,1))/(AR$11*IF(REGEXMATCH($C38,AR$9),AR$8,1))*6&gt;6,CEILING($E38*(IF(REGEXMATCH(AR$10,$B38),$A38,1))/(AR$11*IF(REGEXMATCH($C38,AR$9),AR$8,1))*6),FLOOR($E38*(IF(REGEXMATCH(AR$10,$B38),$A38,1))/(AR$11*IF(REGEXMATCH($C38,"&amp;"AR$9),AR$8,1))*6))"),9.0)</f>
        <v>9</v>
      </c>
      <c r="AS38" s="285">
        <f>IFERROR(__xludf.DUMMYFUNCTION("IF($E38*(IF(REGEXMATCH(AS$10,$B38),$A38,1))/(AS$11*IF(REGEXMATCH($C38,AS$9),AS$8,1))*6&gt;6,CEILING($E38*(IF(REGEXMATCH(AS$10,$B38),$A38,1))/(AS$11*IF(REGEXMATCH($C38,AS$9),AS$8,1))*6),FLOOR($E38*(IF(REGEXMATCH(AS$10,$B38),$A38,1))/(AS$11*IF(REGEXMATCH($C38,"&amp;"AS$9),AS$8,1))*6))"),9.0)</f>
        <v>9</v>
      </c>
      <c r="AT38" s="285">
        <f>IFERROR(__xludf.DUMMYFUNCTION("IF($E38*(IF(REGEXMATCH(AT$10,$B38),$A38,1))/(AT$11*IF(REGEXMATCH($C38,AT$9),AT$8,1))*6&gt;6,CEILING($E38*(IF(REGEXMATCH(AT$10,$B38),$A38,1))/(AT$11*IF(REGEXMATCH($C38,AT$9),AT$8,1))*6),FLOOR($E38*(IF(REGEXMATCH(AT$10,$B38),$A38,1))/(AT$11*IF(REGEXMATCH($C38,"&amp;"AT$9),AT$8,1))*6))"),12.0)</f>
        <v>12</v>
      </c>
    </row>
    <row r="39">
      <c r="A39" s="8">
        <v>1.5</v>
      </c>
      <c r="B39" s="8" t="s">
        <v>2578</v>
      </c>
      <c r="C39" s="8" t="s">
        <v>2586</v>
      </c>
      <c r="D39" s="813"/>
      <c r="E39" s="813">
        <v>6.0</v>
      </c>
      <c r="F39" s="808" t="s">
        <v>2551</v>
      </c>
      <c r="G39" s="285">
        <f>IFERROR(__xludf.DUMMYFUNCTION("IF($E39*(IF(REGEXMATCH(G$10,$B39),$A39,1))/(G$11*IF(REGEXMATCH($C39,G$9),G$8,1))*6&gt;6,CEILING($E39*(IF(REGEXMATCH(G$10,$B39),$A39,1))/(G$11*IF(REGEXMATCH($C39,G$9),G$8,1))*6),FLOOR($E39*(IF(REGEXMATCH(G$10,$B39),$A39,1))/(G$11*IF(REGEXMATCH($C39,G$9),G$8,1"&amp;"))*6))"),3.0)</f>
        <v>3</v>
      </c>
      <c r="H39" s="285">
        <f>IFERROR(__xludf.DUMMYFUNCTION("IF($E39*(IF(REGEXMATCH(H$10,$B39),$A39,1))/(H$11*IF(REGEXMATCH($C39,H$9),H$8,1))*6&gt;6,CEILING($E39*(IF(REGEXMATCH(H$10,$B39),$A39,1))/(H$11*IF(REGEXMATCH($C39,H$9),H$8,1))*6),FLOOR($E39*(IF(REGEXMATCH(H$10,$B39),$A39,1))/(H$11*IF(REGEXMATCH($C39,H$9),H$8,1"&amp;"))*6))"),5.0)</f>
        <v>5</v>
      </c>
      <c r="I39" s="285">
        <f>IFERROR(__xludf.DUMMYFUNCTION("IF($E39*(IF(REGEXMATCH(I$10,$B39),$A39,1))/(I$11*IF(REGEXMATCH($C39,I$9),I$8,1))*6&gt;6,CEILING($E39*(IF(REGEXMATCH(I$10,$B39),$A39,1))/(I$11*IF(REGEXMATCH($C39,I$9),I$8,1))*6),FLOOR($E39*(IF(REGEXMATCH(I$10,$B39),$A39,1))/(I$11*IF(REGEXMATCH($C39,I$9),I$8,1"&amp;"))*6))"),3.0)</f>
        <v>3</v>
      </c>
      <c r="J39" s="285">
        <f>IFERROR(__xludf.DUMMYFUNCTION("IF($E39*(IF(REGEXMATCH(J$10,$B39),$A39,1))/(J$11*IF(REGEXMATCH($C39,J$9),J$8,1))*6&gt;6,CEILING($E39*(IF(REGEXMATCH(J$10,$B39),$A39,1))/(J$11*IF(REGEXMATCH($C39,J$9),J$8,1))*6),FLOOR($E39*(IF(REGEXMATCH(J$10,$B39),$A39,1))/(J$11*IF(REGEXMATCH($C39,J$9),J$8,1"&amp;"))*6))"),3.0)</f>
        <v>3</v>
      </c>
      <c r="K39" s="285">
        <f>IFERROR(__xludf.DUMMYFUNCTION("IF($E39*(IF(REGEXMATCH(K$10,$B39),$A39,1))/(K$11*IF(REGEXMATCH($C39,K$9),K$8,1))*6&gt;6,CEILING($E39*(IF(REGEXMATCH(K$10,$B39),$A39,1))/(K$11*IF(REGEXMATCH($C39,K$9),K$8,1))*6),FLOOR($E39*(IF(REGEXMATCH(K$10,$B39),$A39,1))/(K$11*IF(REGEXMATCH($C39,K$9),K$8,1"&amp;"))*6))"),4.0)</f>
        <v>4</v>
      </c>
      <c r="L39" s="285">
        <f>IFERROR(__xludf.DUMMYFUNCTION("IF($E39*(IF(REGEXMATCH(L$10,$B39),$A39,1))/(L$11*IF(REGEXMATCH($C39,L$9),L$8,1))*6&gt;6,CEILING($E39*(IF(REGEXMATCH(L$10,$B39),$A39,1))/(L$11*IF(REGEXMATCH($C39,L$9),L$8,1))*6),FLOOR($E39*(IF(REGEXMATCH(L$10,$B39),$A39,1))/(L$11*IF(REGEXMATCH($C39,L$9),L$8,1"&amp;"))*6))"),4.0)</f>
        <v>4</v>
      </c>
      <c r="M39" s="285">
        <f>IFERROR(__xludf.DUMMYFUNCTION("IF($E39*(IF(REGEXMATCH(M$10,$B39),$A39,1))/(M$11*IF(REGEXMATCH($C39,M$9),M$8,1))*6&gt;6,CEILING($E39*(IF(REGEXMATCH(M$10,$B39),$A39,1))/(M$11*IF(REGEXMATCH($C39,M$9),M$8,1))*6),FLOOR($E39*(IF(REGEXMATCH(M$10,$B39),$A39,1))/(M$11*IF(REGEXMATCH($C39,M$9),M$8,1"&amp;"))*6))"),4.0)</f>
        <v>4</v>
      </c>
      <c r="N39" s="285">
        <f>IFERROR(__xludf.DUMMYFUNCTION("IF($E39*(IF(REGEXMATCH(N$10,$B39),$A39,1))/(N$11*IF(REGEXMATCH($C39,N$9),N$8,1))*6&gt;6,CEILING($E39*(IF(REGEXMATCH(N$10,$B39),$A39,1))/(N$11*IF(REGEXMATCH($C39,N$9),N$8,1))*6),FLOOR($E39*(IF(REGEXMATCH(N$10,$B39),$A39,1))/(N$11*IF(REGEXMATCH($C39,N$9),N$8,1"&amp;"))*6))"),4.0)</f>
        <v>4</v>
      </c>
      <c r="O39" s="285">
        <f>IFERROR(__xludf.DUMMYFUNCTION("IF($E39*(IF(REGEXMATCH(O$10,$B39),$A39,1))/(O$11*IF(REGEXMATCH($C39,O$9),O$8,1))*6&gt;6,CEILING($E39*(IF(REGEXMATCH(O$10,$B39),$A39,1))/(O$11*IF(REGEXMATCH($C39,O$9),O$8,1))*6),FLOOR($E39*(IF(REGEXMATCH(O$10,$B39),$A39,1))/(O$11*IF(REGEXMATCH($C39,O$9),O$8,1"&amp;"))*6))"),4.0)</f>
        <v>4</v>
      </c>
      <c r="P39" s="285">
        <f>IFERROR(__xludf.DUMMYFUNCTION("IF($E39*(IF(REGEXMATCH(P$10,$B39),$A39,1))/(P$11*IF(REGEXMATCH($C39,P$9),P$8,1))*6&gt;6,CEILING($E39*(IF(REGEXMATCH(P$10,$B39),$A39,1))/(P$11*IF(REGEXMATCH($C39,P$9),P$8,1))*6),FLOOR($E39*(IF(REGEXMATCH(P$10,$B39),$A39,1))/(P$11*IF(REGEXMATCH($C39,P$9),P$8,1"&amp;"))*6))"),7.0)</f>
        <v>7</v>
      </c>
      <c r="Q39" s="285">
        <f>IFERROR(__xludf.DUMMYFUNCTION("IF($E39*(IF(REGEXMATCH(Q$10,$B39),$A39,1))/(Q$11*IF(REGEXMATCH($C39,Q$9),Q$8,1))*6&gt;6,CEILING($E39*(IF(REGEXMATCH(Q$10,$B39),$A39,1))/(Q$11*IF(REGEXMATCH($C39,Q$9),Q$8,1))*6),FLOOR($E39*(IF(REGEXMATCH(Q$10,$B39),$A39,1))/(Q$11*IF(REGEXMATCH($C39,Q$9),Q$8,1"&amp;"))*6))"),7.0)</f>
        <v>7</v>
      </c>
      <c r="R39" s="285">
        <f>IFERROR(__xludf.DUMMYFUNCTION("IF($E39*(IF(REGEXMATCH(R$10,$B39),$A39,1))/(R$11*IF(REGEXMATCH($C39,R$9),R$8,1))*6&gt;6,CEILING($E39*(IF(REGEXMATCH(R$10,$B39),$A39,1))/(R$11*IF(REGEXMATCH($C39,R$9),R$8,1))*6),FLOOR($E39*(IF(REGEXMATCH(R$10,$B39),$A39,1))/(R$11*IF(REGEXMATCH($C39,R$9),R$8,1"&amp;"))*6))"),4.0)</f>
        <v>4</v>
      </c>
      <c r="S39" s="285">
        <f>IFERROR(__xludf.DUMMYFUNCTION("IF($E39*(IF(REGEXMATCH(S$10,$B39),$A39,1))/(S$11*IF(REGEXMATCH($C39,S$9),S$8,1))*6&gt;6,CEILING($E39*(IF(REGEXMATCH(S$10,$B39),$A39,1))/(S$11*IF(REGEXMATCH($C39,S$9),S$8,1))*6),FLOOR($E39*(IF(REGEXMATCH(S$10,$B39),$A39,1))/(S$11*IF(REGEXMATCH($C39,S$9),S$8,1"&amp;"))*6))"),7.0)</f>
        <v>7</v>
      </c>
      <c r="T39" s="285">
        <f>IFERROR(__xludf.DUMMYFUNCTION("IF($E39*(IF(REGEXMATCH(T$10,$B39),$A39,1))/(T$11*IF(REGEXMATCH($C39,T$9),T$8,1))*6&gt;6,CEILING($E39*(IF(REGEXMATCH(T$10,$B39),$A39,1))/(T$11*IF(REGEXMATCH($C39,T$9),T$8,1))*6),FLOOR($E39*(IF(REGEXMATCH(T$10,$B39),$A39,1))/(T$11*IF(REGEXMATCH($C39,T$9),T$8,1"&amp;"))*6))"),3.0)</f>
        <v>3</v>
      </c>
      <c r="U39" s="285">
        <f>IFERROR(__xludf.DUMMYFUNCTION("IF($E39*(IF(REGEXMATCH(U$10,$B39),$A39,1))/(U$11*IF(REGEXMATCH($C39,U$9),U$8,1))*6&gt;6,CEILING($E39*(IF(REGEXMATCH(U$10,$B39),$A39,1))/(U$11*IF(REGEXMATCH($C39,U$9),U$8,1))*6),FLOOR($E39*(IF(REGEXMATCH(U$10,$B39),$A39,1))/(U$11*IF(REGEXMATCH($C39,U$9),U$8,1"&amp;"))*6))"),7.0)</f>
        <v>7</v>
      </c>
      <c r="V39" s="285">
        <f>IFERROR(__xludf.DUMMYFUNCTION("IF($E39*(IF(REGEXMATCH(V$10,$B39),$A39,1))/(V$11*IF(REGEXMATCH($C39,V$9),V$8,1))*6&gt;6,CEILING($E39*(IF(REGEXMATCH(V$10,$B39),$A39,1))/(V$11*IF(REGEXMATCH($C39,V$9),V$8,1))*6),FLOOR($E39*(IF(REGEXMATCH(V$10,$B39),$A39,1))/(V$11*IF(REGEXMATCH($C39,V$9),V$8,1"&amp;"))*6))"),4.0)</f>
        <v>4</v>
      </c>
      <c r="W39" s="285">
        <f>IFERROR(__xludf.DUMMYFUNCTION("IF($E39*(IF(REGEXMATCH(W$10,$B39),$A39,1))/(W$11*IF(REGEXMATCH($C39,W$9),W$8,1))*6&gt;6,CEILING($E39*(IF(REGEXMATCH(W$10,$B39),$A39,1))/(W$11*IF(REGEXMATCH($C39,W$9),W$8,1))*6),FLOOR($E39*(IF(REGEXMATCH(W$10,$B39),$A39,1))/(W$11*IF(REGEXMATCH($C39,W$9),W$8,1"&amp;"))*6))"),6.0)</f>
        <v>6</v>
      </c>
      <c r="X39" s="285">
        <f>IFERROR(__xludf.DUMMYFUNCTION("IF($E39*(IF(REGEXMATCH(X$10,$B39),$A39,1))/(X$11*IF(REGEXMATCH($C39,X$9),X$8,1))*6&gt;6,CEILING($E39*(IF(REGEXMATCH(X$10,$B39),$A39,1))/(X$11*IF(REGEXMATCH($C39,X$9),X$8,1))*6),FLOOR($E39*(IF(REGEXMATCH(X$10,$B39),$A39,1))/(X$11*IF(REGEXMATCH($C39,X$9),X$8,1"&amp;"))*6))"),9.0)</f>
        <v>9</v>
      </c>
      <c r="Y39" s="285">
        <f>IFERROR(__xludf.DUMMYFUNCTION("IF($E39*(IF(REGEXMATCH(Y$10,$B39),$A39,1))/(Y$11*IF(REGEXMATCH($C39,Y$9),Y$8,1))*6&gt;6,CEILING($E39*(IF(REGEXMATCH(Y$10,$B39),$A39,1))/(Y$11*IF(REGEXMATCH($C39,Y$9),Y$8,1))*6),FLOOR($E39*(IF(REGEXMATCH(Y$10,$B39),$A39,1))/(Y$11*IF(REGEXMATCH($C39,Y$9),Y$8,1"&amp;"))*6))"),4.0)</f>
        <v>4</v>
      </c>
      <c r="Z39" s="285">
        <f>IFERROR(__xludf.DUMMYFUNCTION("IF($E39*(IF(REGEXMATCH(Z$10,$B39),$A39,1))/(Z$11*IF(REGEXMATCH($C39,Z$9),Z$8,1))*6&gt;6,CEILING($E39*(IF(REGEXMATCH(Z$10,$B39),$A39,1))/(Z$11*IF(REGEXMATCH($C39,Z$9),Z$8,1))*6),FLOOR($E39*(IF(REGEXMATCH(Z$10,$B39),$A39,1))/(Z$11*IF(REGEXMATCH($C39,Z$9),Z$8,1"&amp;"))*6))"),9.0)</f>
        <v>9</v>
      </c>
      <c r="AA39" s="285">
        <f>IFERROR(__xludf.DUMMYFUNCTION("IF($E39*(IF(REGEXMATCH(AA$10,$B39),$A39,1))/(AA$11*IF(REGEXMATCH($C39,AA$9),AA$8,1))*6&gt;6,CEILING($E39*(IF(REGEXMATCH(AA$10,$B39),$A39,1))/(AA$11*IF(REGEXMATCH($C39,AA$9),AA$8,1))*6),FLOOR($E39*(IF(REGEXMATCH(AA$10,$B39),$A39,1))/(AA$11*IF(REGEXMATCH($C39,"&amp;"AA$9),AA$8,1))*6))"),9.0)</f>
        <v>9</v>
      </c>
      <c r="AB39" s="285">
        <f>IFERROR(__xludf.DUMMYFUNCTION("IF($E39*(IF(REGEXMATCH(AB$10,$B39),$A39,1))/(AB$11*IF(REGEXMATCH($C39,AB$9),AB$8,1))*6&gt;6,CEILING($E39*(IF(REGEXMATCH(AB$10,$B39),$A39,1))/(AB$11*IF(REGEXMATCH($C39,AB$9),AB$8,1))*6),FLOOR($E39*(IF(REGEXMATCH(AB$10,$B39),$A39,1))/(AB$11*IF(REGEXMATCH($C39,"&amp;"AB$9),AB$8,1))*6))"),6.0)</f>
        <v>6</v>
      </c>
      <c r="AC39" s="285">
        <f>IFERROR(__xludf.DUMMYFUNCTION("IF($E39*(IF(REGEXMATCH(AC$10,$B39),$A39,1))/(AC$11*IF(REGEXMATCH($C39,AC$9),AC$8,1))*6&gt;6,CEILING($E39*(IF(REGEXMATCH(AC$10,$B39),$A39,1))/(AC$11*IF(REGEXMATCH($C39,AC$9),AC$8,1))*6),FLOOR($E39*(IF(REGEXMATCH(AC$10,$B39),$A39,1))/(AC$11*IF(REGEXMATCH($C39,"&amp;"AC$9),AC$8,1))*6))"),6.0)</f>
        <v>6</v>
      </c>
      <c r="AD39" s="285">
        <f>IFERROR(__xludf.DUMMYFUNCTION("IF($E39*(IF(REGEXMATCH(AD$10,$B39),$A39,1))/(AD$11*IF(REGEXMATCH($C39,AD$9),AD$8,1))*6&gt;6,CEILING($E39*(IF(REGEXMATCH(AD$10,$B39),$A39,1))/(AD$11*IF(REGEXMATCH($C39,AD$9),AD$8,1))*6),FLOOR($E39*(IF(REGEXMATCH(AD$10,$B39),$A39,1))/(AD$11*IF(REGEXMATCH($C39,"&amp;"AD$9),AD$8,1))*6))"),6.0)</f>
        <v>6</v>
      </c>
      <c r="AE39" s="285">
        <f>IFERROR(__xludf.DUMMYFUNCTION("IF($E39*(IF(REGEXMATCH(AE$10,$B39),$A39,1))/(AE$11*IF(REGEXMATCH($C39,AE$9),AE$8,1))*6&gt;6,CEILING($E39*(IF(REGEXMATCH(AE$10,$B39),$A39,1))/(AE$11*IF(REGEXMATCH($C39,AE$9),AE$8,1))*6),FLOOR($E39*(IF(REGEXMATCH(AE$10,$B39),$A39,1))/(AE$11*IF(REGEXMATCH($C39,"&amp;"AE$9),AE$8,1))*6))"),9.0)</f>
        <v>9</v>
      </c>
      <c r="AF39" s="285">
        <f>IFERROR(__xludf.DUMMYFUNCTION("IF($E39*(IF(REGEXMATCH(AF$10,$B39),$A39,1))/(AF$11*IF(REGEXMATCH($C39,AF$9),AF$8,1))*6&gt;6,CEILING($E39*(IF(REGEXMATCH(AF$10,$B39),$A39,1))/(AF$11*IF(REGEXMATCH($C39,AF$9),AF$8,1))*6),FLOOR($E39*(IF(REGEXMATCH(AF$10,$B39),$A39,1))/(AF$11*IF(REGEXMATCH($C39,"&amp;"AF$9),AF$8,1))*6))"),9.0)</f>
        <v>9</v>
      </c>
      <c r="AG39" s="285">
        <f>IFERROR(__xludf.DUMMYFUNCTION("IF($E39*(IF(REGEXMATCH(AG$10,$B39),$A39,1))/(AG$11*IF(REGEXMATCH($C39,AG$9),AG$8,1))*6&gt;6,CEILING($E39*(IF(REGEXMATCH(AG$10,$B39),$A39,1))/(AG$11*IF(REGEXMATCH($C39,AG$9),AG$8,1))*6),FLOOR($E39*(IF(REGEXMATCH(AG$10,$B39),$A39,1))/(AG$11*IF(REGEXMATCH($C39,"&amp;"AG$9),AG$8,1))*6))"),6.0)</f>
        <v>6</v>
      </c>
      <c r="AH39" s="285">
        <f>IFERROR(__xludf.DUMMYFUNCTION("IF($E39*(IF(REGEXMATCH(AH$10,$B39),$A39,1))/(AH$11*IF(REGEXMATCH($C39,AH$9),AH$8,1))*6&gt;6,CEILING($E39*(IF(REGEXMATCH(AH$10,$B39),$A39,1))/(AH$11*IF(REGEXMATCH($C39,AH$9),AH$8,1))*6),FLOOR($E39*(IF(REGEXMATCH(AH$10,$B39),$A39,1))/(AH$11*IF(REGEXMATCH($C39,"&amp;"AH$9),AH$8,1))*6))"),9.0)</f>
        <v>9</v>
      </c>
      <c r="AI39" s="285">
        <f>IFERROR(__xludf.DUMMYFUNCTION("IF($E39*(IF(REGEXMATCH(AI$10,$B39),$A39,1))/(AI$11*IF(REGEXMATCH($C39,AI$9),AI$8,1))*6&gt;6,CEILING($E39*(IF(REGEXMATCH(AI$10,$B39),$A39,1))/(AI$11*IF(REGEXMATCH($C39,AI$9),AI$8,1))*6),FLOOR($E39*(IF(REGEXMATCH(AI$10,$B39),$A39,1))/(AI$11*IF(REGEXMATCH($C39,"&amp;"AI$9),AI$8,1))*6))"),4.0)</f>
        <v>4</v>
      </c>
      <c r="AJ39" s="285">
        <f>IFERROR(__xludf.DUMMYFUNCTION("IF($E39*(IF(REGEXMATCH(AJ$10,$B39),$A39,1))/(AJ$11*IF(REGEXMATCH($C39,AJ$9),AJ$8,1))*6&gt;6,CEILING($E39*(IF(REGEXMATCH(AJ$10,$B39),$A39,1))/(AJ$11*IF(REGEXMATCH($C39,AJ$9),AJ$8,1))*6),FLOOR($E39*(IF(REGEXMATCH(AJ$10,$B39),$A39,1))/(AJ$11*IF(REGEXMATCH($C39,"&amp;"AJ$9),AJ$8,1))*6))"),9.0)</f>
        <v>9</v>
      </c>
      <c r="AK39" s="285">
        <f>IFERROR(__xludf.DUMMYFUNCTION("IF($E39*(IF(REGEXMATCH(AK$10,$B39),$A39,1))/(AK$11*IF(REGEXMATCH($C39,AK$9),AK$8,1))*6&gt;6,CEILING($E39*(IF(REGEXMATCH(AK$10,$B39),$A39,1))/(AK$11*IF(REGEXMATCH($C39,AK$9),AK$8,1))*6),FLOOR($E39*(IF(REGEXMATCH(AK$10,$B39),$A39,1))/(AK$11*IF(REGEXMATCH($C39,"&amp;"AK$9),AK$8,1))*6))"),6.0)</f>
        <v>6</v>
      </c>
      <c r="AL39" s="285">
        <f>IFERROR(__xludf.DUMMYFUNCTION("IF($E39*(IF(REGEXMATCH(AL$10,$B39),$A39,1))/(AL$11*IF(REGEXMATCH($C39,AL$9),AL$8,1))*6&gt;6,CEILING($E39*(IF(REGEXMATCH(AL$10,$B39),$A39,1))/(AL$11*IF(REGEXMATCH($C39,AL$9),AL$8,1))*6),FLOOR($E39*(IF(REGEXMATCH(AL$10,$B39),$A39,1))/(AL$11*IF(REGEXMATCH($C39,"&amp;"AL$9),AL$8,1))*6))"),11.0)</f>
        <v>11</v>
      </c>
      <c r="AM39" s="285">
        <f>IFERROR(__xludf.DUMMYFUNCTION("IF($E39*(IF(REGEXMATCH(AM$10,$B39),$A39,1))/(AM$11*IF(REGEXMATCH($C39,AM$9),AM$8,1))*6&gt;6,CEILING($E39*(IF(REGEXMATCH(AM$10,$B39),$A39,1))/(AM$11*IF(REGEXMATCH($C39,AM$9),AM$8,1))*6),FLOOR($E39*(IF(REGEXMATCH(AM$10,$B39),$A39,1))/(AM$11*IF(REGEXMATCH($C39,"&amp;"AM$9),AM$8,1))*6))"),5.0)</f>
        <v>5</v>
      </c>
      <c r="AN39" s="285">
        <f>IFERROR(__xludf.DUMMYFUNCTION("IF($E39*(IF(REGEXMATCH(AN$10,$B39),$A39,1))/(AN$11*IF(REGEXMATCH($C39,AN$9),AN$8,1))*6&gt;6,CEILING($E39*(IF(REGEXMATCH(AN$10,$B39),$A39,1))/(AN$11*IF(REGEXMATCH($C39,AN$9),AN$8,1))*6),FLOOR($E39*(IF(REGEXMATCH(AN$10,$B39),$A39,1))/(AN$11*IF(REGEXMATCH($C39,"&amp;"AN$9),AN$8,1))*6))"),8.0)</f>
        <v>8</v>
      </c>
      <c r="AO39" s="285">
        <f>IFERROR(__xludf.DUMMYFUNCTION("IF($E39*(IF(REGEXMATCH(AO$10,$B39),$A39,1))/(AO$11*IF(REGEXMATCH($C39,AO$9),AO$8,1))*6&gt;6,CEILING($E39*(IF(REGEXMATCH(AO$10,$B39),$A39,1))/(AO$11*IF(REGEXMATCH($C39,AO$9),AO$8,1))*6),FLOOR($E39*(IF(REGEXMATCH(AO$10,$B39),$A39,1))/(AO$11*IF(REGEXMATCH($C39,"&amp;"AO$9),AO$8,1))*6))"),8.0)</f>
        <v>8</v>
      </c>
      <c r="AP39" s="285">
        <f>IFERROR(__xludf.DUMMYFUNCTION("IF($E39*(IF(REGEXMATCH(AP$10,$B39),$A39,1))/(AP$11*IF(REGEXMATCH($C39,AP$9),AP$8,1))*6&gt;6,CEILING($E39*(IF(REGEXMATCH(AP$10,$B39),$A39,1))/(AP$11*IF(REGEXMATCH($C39,AP$9),AP$8,1))*6),FLOOR($E39*(IF(REGEXMATCH(AP$10,$B39),$A39,1))/(AP$11*IF(REGEXMATCH($C39,"&amp;"AP$9),AP$8,1))*6))"),11.0)</f>
        <v>11</v>
      </c>
      <c r="AQ39" s="285">
        <f>IFERROR(__xludf.DUMMYFUNCTION("IF($E39*(IF(REGEXMATCH(AQ$10,$B39),$A39,1))/(AQ$11*IF(REGEXMATCH($C39,AQ$9),AQ$8,1))*6&gt;6,CEILING($E39*(IF(REGEXMATCH(AQ$10,$B39),$A39,1))/(AQ$11*IF(REGEXMATCH($C39,AQ$9),AQ$8,1))*6),FLOOR($E39*(IF(REGEXMATCH(AQ$10,$B39),$A39,1))/(AQ$11*IF(REGEXMATCH($C39,"&amp;"AQ$9),AQ$8,1))*6))"),8.0)</f>
        <v>8</v>
      </c>
      <c r="AR39" s="285">
        <f>IFERROR(__xludf.DUMMYFUNCTION("IF($E39*(IF(REGEXMATCH(AR$10,$B39),$A39,1))/(AR$11*IF(REGEXMATCH($C39,AR$9),AR$8,1))*6&gt;6,CEILING($E39*(IF(REGEXMATCH(AR$10,$B39),$A39,1))/(AR$11*IF(REGEXMATCH($C39,AR$9),AR$8,1))*6),FLOOR($E39*(IF(REGEXMATCH(AR$10,$B39),$A39,1))/(AR$11*IF(REGEXMATCH($C39,"&amp;"AR$9),AR$8,1))*6))"),9.0)</f>
        <v>9</v>
      </c>
      <c r="AS39" s="285">
        <f>IFERROR(__xludf.DUMMYFUNCTION("IF($E39*(IF(REGEXMATCH(AS$10,$B39),$A39,1))/(AS$11*IF(REGEXMATCH($C39,AS$9),AS$8,1))*6&gt;6,CEILING($E39*(IF(REGEXMATCH(AS$10,$B39),$A39,1))/(AS$11*IF(REGEXMATCH($C39,AS$9),AS$8,1))*6),FLOOR($E39*(IF(REGEXMATCH(AS$10,$B39),$A39,1))/(AS$11*IF(REGEXMATCH($C39,"&amp;"AS$9),AS$8,1))*6))"),9.0)</f>
        <v>9</v>
      </c>
      <c r="AT39" s="285">
        <f>IFERROR(__xludf.DUMMYFUNCTION("IF($E39*(IF(REGEXMATCH(AT$10,$B39),$A39,1))/(AT$11*IF(REGEXMATCH($C39,AT$9),AT$8,1))*6&gt;6,CEILING($E39*(IF(REGEXMATCH(AT$10,$B39),$A39,1))/(AT$11*IF(REGEXMATCH($C39,AT$9),AT$8,1))*6),FLOOR($E39*(IF(REGEXMATCH(AT$10,$B39),$A39,1))/(AT$11*IF(REGEXMATCH($C39,"&amp;"AT$9),AT$8,1))*6))"),12.0)</f>
        <v>12</v>
      </c>
    </row>
    <row r="40">
      <c r="A40" s="8">
        <v>1.0</v>
      </c>
      <c r="B40" s="8" t="s">
        <v>2577</v>
      </c>
      <c r="C40" s="813" t="s">
        <v>2589</v>
      </c>
      <c r="D40" s="813"/>
      <c r="E40" s="813">
        <v>6.0</v>
      </c>
      <c r="F40" s="95" t="s">
        <v>2553</v>
      </c>
      <c r="G40" s="285">
        <f>IFERROR(__xludf.DUMMYFUNCTION("IF($E40*(IF(REGEXMATCH(G$10,$B40),$A40,1))/(G$11*IF(REGEXMATCH($C40,G$9),G$8,1))*6&gt;6,CEILING($E40*(IF(REGEXMATCH(G$10,$B40),$A40,1))/(G$11*IF(REGEXMATCH($C40,G$9),G$8,1))*6),FLOOR($E40*(IF(REGEXMATCH(G$10,$B40),$A40,1))/(G$11*IF(REGEXMATCH($C40,G$9),G$8,1"&amp;"))*6))"),3.0)</f>
        <v>3</v>
      </c>
      <c r="H40" s="285">
        <f>IFERROR(__xludf.DUMMYFUNCTION("IF($E40*(IF(REGEXMATCH(H$10,$B40),$A40,1))/(H$11*IF(REGEXMATCH($C40,H$9),H$8,1))*6&gt;6,CEILING($E40*(IF(REGEXMATCH(H$10,$B40),$A40,1))/(H$11*IF(REGEXMATCH($C40,H$9),H$8,1))*6),FLOOR($E40*(IF(REGEXMATCH(H$10,$B40),$A40,1))/(H$11*IF(REGEXMATCH($C40,H$9),H$8,1"&amp;"))*6))"),3.0)</f>
        <v>3</v>
      </c>
      <c r="I40" s="285">
        <f>IFERROR(__xludf.DUMMYFUNCTION("IF($E40*(IF(REGEXMATCH(I$10,$B40),$A40,1))/(I$11*IF(REGEXMATCH($C40,I$9),I$8,1))*6&gt;6,CEILING($E40*(IF(REGEXMATCH(I$10,$B40),$A40,1))/(I$11*IF(REGEXMATCH($C40,I$9),I$8,1))*6),FLOOR($E40*(IF(REGEXMATCH(I$10,$B40),$A40,1))/(I$11*IF(REGEXMATCH($C40,I$9),I$8,1"&amp;"))*6))"),4.0)</f>
        <v>4</v>
      </c>
      <c r="J40" s="285">
        <f>IFERROR(__xludf.DUMMYFUNCTION("IF($E40*(IF(REGEXMATCH(J$10,$B40),$A40,1))/(J$11*IF(REGEXMATCH($C40,J$9),J$8,1))*6&gt;6,CEILING($E40*(IF(REGEXMATCH(J$10,$B40),$A40,1))/(J$11*IF(REGEXMATCH($C40,J$9),J$8,1))*6),FLOOR($E40*(IF(REGEXMATCH(J$10,$B40),$A40,1))/(J$11*IF(REGEXMATCH($C40,J$9),J$8,1"&amp;"))*6))"),4.0)</f>
        <v>4</v>
      </c>
      <c r="K40" s="285">
        <f>IFERROR(__xludf.DUMMYFUNCTION("IF($E40*(IF(REGEXMATCH(K$10,$B40),$A40,1))/(K$11*IF(REGEXMATCH($C40,K$9),K$8,1))*6&gt;6,CEILING($E40*(IF(REGEXMATCH(K$10,$B40),$A40,1))/(K$11*IF(REGEXMATCH($C40,K$9),K$8,1))*6),FLOOR($E40*(IF(REGEXMATCH(K$10,$B40),$A40,1))/(K$11*IF(REGEXMATCH($C40,K$9),K$8,1"&amp;"))*6))"),4.0)</f>
        <v>4</v>
      </c>
      <c r="L40" s="285">
        <f>IFERROR(__xludf.DUMMYFUNCTION("IF($E40*(IF(REGEXMATCH(L$10,$B40),$A40,1))/(L$11*IF(REGEXMATCH($C40,L$9),L$8,1))*6&gt;6,CEILING($E40*(IF(REGEXMATCH(L$10,$B40),$A40,1))/(L$11*IF(REGEXMATCH($C40,L$9),L$8,1))*6),FLOOR($E40*(IF(REGEXMATCH(L$10,$B40),$A40,1))/(L$11*IF(REGEXMATCH($C40,L$9),L$8,1"&amp;"))*6))"),4.0)</f>
        <v>4</v>
      </c>
      <c r="M40" s="285">
        <f>IFERROR(__xludf.DUMMYFUNCTION("IF($E40*(IF(REGEXMATCH(M$10,$B40),$A40,1))/(M$11*IF(REGEXMATCH($C40,M$9),M$8,1))*6&gt;6,CEILING($E40*(IF(REGEXMATCH(M$10,$B40),$A40,1))/(M$11*IF(REGEXMATCH($C40,M$9),M$8,1))*6),FLOOR($E40*(IF(REGEXMATCH(M$10,$B40),$A40,1))/(M$11*IF(REGEXMATCH($C40,M$9),M$8,1"&amp;"))*6))"),2.0)</f>
        <v>2</v>
      </c>
      <c r="N40" s="285">
        <f>IFERROR(__xludf.DUMMYFUNCTION("IF($E40*(IF(REGEXMATCH(N$10,$B40),$A40,1))/(N$11*IF(REGEXMATCH($C40,N$9),N$8,1))*6&gt;6,CEILING($E40*(IF(REGEXMATCH(N$10,$B40),$A40,1))/(N$11*IF(REGEXMATCH($C40,N$9),N$8,1))*6),FLOOR($E40*(IF(REGEXMATCH(N$10,$B40),$A40,1))/(N$11*IF(REGEXMATCH($C40,N$9),N$8,1"&amp;"))*6))"),4.0)</f>
        <v>4</v>
      </c>
      <c r="O40" s="285">
        <f>IFERROR(__xludf.DUMMYFUNCTION("IF($E40*(IF(REGEXMATCH(O$10,$B40),$A40,1))/(O$11*IF(REGEXMATCH($C40,O$9),O$8,1))*6&gt;6,CEILING($E40*(IF(REGEXMATCH(O$10,$B40),$A40,1))/(O$11*IF(REGEXMATCH($C40,O$9),O$8,1))*6),FLOOR($E40*(IF(REGEXMATCH(O$10,$B40),$A40,1))/(O$11*IF(REGEXMATCH($C40,O$9),O$8,1"&amp;"))*6))"),4.0)</f>
        <v>4</v>
      </c>
      <c r="P40" s="285">
        <f>IFERROR(__xludf.DUMMYFUNCTION("IF($E40*(IF(REGEXMATCH(P$10,$B40),$A40,1))/(P$11*IF(REGEXMATCH($C40,P$9),P$8,1))*6&gt;6,CEILING($E40*(IF(REGEXMATCH(P$10,$B40),$A40,1))/(P$11*IF(REGEXMATCH($C40,P$9),P$8,1))*6),FLOOR($E40*(IF(REGEXMATCH(P$10,$B40),$A40,1))/(P$11*IF(REGEXMATCH($C40,P$9),P$8,1"&amp;"))*6))"),4.0)</f>
        <v>4</v>
      </c>
      <c r="Q40" s="285">
        <f>IFERROR(__xludf.DUMMYFUNCTION("IF($E40*(IF(REGEXMATCH(Q$10,$B40),$A40,1))/(Q$11*IF(REGEXMATCH($C40,Q$9),Q$8,1))*6&gt;6,CEILING($E40*(IF(REGEXMATCH(Q$10,$B40),$A40,1))/(Q$11*IF(REGEXMATCH($C40,Q$9),Q$8,1))*6),FLOOR($E40*(IF(REGEXMATCH(Q$10,$B40),$A40,1))/(Q$11*IF(REGEXMATCH($C40,Q$9),Q$8,1"&amp;"))*6))"),4.0)</f>
        <v>4</v>
      </c>
      <c r="R40" s="285">
        <f>IFERROR(__xludf.DUMMYFUNCTION("IF($E40*(IF(REGEXMATCH(R$10,$B40),$A40,1))/(R$11*IF(REGEXMATCH($C40,R$9),R$8,1))*6&gt;6,CEILING($E40*(IF(REGEXMATCH(R$10,$B40),$A40,1))/(R$11*IF(REGEXMATCH($C40,R$9),R$8,1))*6),FLOOR($E40*(IF(REGEXMATCH(R$10,$B40),$A40,1))/(R$11*IF(REGEXMATCH($C40,R$9),R$8,1"&amp;"))*6))"),3.0)</f>
        <v>3</v>
      </c>
      <c r="S40" s="285">
        <f>IFERROR(__xludf.DUMMYFUNCTION("IF($E40*(IF(REGEXMATCH(S$10,$B40),$A40,1))/(S$11*IF(REGEXMATCH($C40,S$9),S$8,1))*6&gt;6,CEILING($E40*(IF(REGEXMATCH(S$10,$B40),$A40,1))/(S$11*IF(REGEXMATCH($C40,S$9),S$8,1))*6),FLOOR($E40*(IF(REGEXMATCH(S$10,$B40),$A40,1))/(S$11*IF(REGEXMATCH($C40,S$9),S$8,1"&amp;"))*6))"),4.0)</f>
        <v>4</v>
      </c>
      <c r="T40" s="285">
        <f>IFERROR(__xludf.DUMMYFUNCTION("IF($E40*(IF(REGEXMATCH(T$10,$B40),$A40,1))/(T$11*IF(REGEXMATCH($C40,T$9),T$8,1))*6&gt;6,CEILING($E40*(IF(REGEXMATCH(T$10,$B40),$A40,1))/(T$11*IF(REGEXMATCH($C40,T$9),T$8,1))*6),FLOOR($E40*(IF(REGEXMATCH(T$10,$B40),$A40,1))/(T$11*IF(REGEXMATCH($C40,T$9),T$8,1"&amp;"))*6))"),4.0)</f>
        <v>4</v>
      </c>
      <c r="U40" s="285">
        <f>IFERROR(__xludf.DUMMYFUNCTION("IF($E40*(IF(REGEXMATCH(U$10,$B40),$A40,1))/(U$11*IF(REGEXMATCH($C40,U$9),U$8,1))*6&gt;6,CEILING($E40*(IF(REGEXMATCH(U$10,$B40),$A40,1))/(U$11*IF(REGEXMATCH($C40,U$9),U$8,1))*6),FLOOR($E40*(IF(REGEXMATCH(U$10,$B40),$A40,1))/(U$11*IF(REGEXMATCH($C40,U$9),U$8,1"&amp;"))*6))"),4.0)</f>
        <v>4</v>
      </c>
      <c r="V40" s="285">
        <f>IFERROR(__xludf.DUMMYFUNCTION("IF($E40*(IF(REGEXMATCH(V$10,$B40),$A40,1))/(V$11*IF(REGEXMATCH($C40,V$9),V$8,1))*6&gt;6,CEILING($E40*(IF(REGEXMATCH(V$10,$B40),$A40,1))/(V$11*IF(REGEXMATCH($C40,V$9),V$8,1))*6),FLOOR($E40*(IF(REGEXMATCH(V$10,$B40),$A40,1))/(V$11*IF(REGEXMATCH($C40,V$9),V$8,1"&amp;"))*6))"),4.0)</f>
        <v>4</v>
      </c>
      <c r="W40" s="285">
        <f>IFERROR(__xludf.DUMMYFUNCTION("IF($E40*(IF(REGEXMATCH(W$10,$B40),$A40,1))/(W$11*IF(REGEXMATCH($C40,W$9),W$8,1))*6&gt;6,CEILING($E40*(IF(REGEXMATCH(W$10,$B40),$A40,1))/(W$11*IF(REGEXMATCH($C40,W$9),W$8,1))*6),FLOOR($E40*(IF(REGEXMATCH(W$10,$B40),$A40,1))/(W$11*IF(REGEXMATCH($C40,W$9),W$8,1"&amp;"))*6))"),6.0)</f>
        <v>6</v>
      </c>
      <c r="X40" s="285">
        <f>IFERROR(__xludf.DUMMYFUNCTION("IF($E40*(IF(REGEXMATCH(X$10,$B40),$A40,1))/(X$11*IF(REGEXMATCH($C40,X$9),X$8,1))*6&gt;6,CEILING($E40*(IF(REGEXMATCH(X$10,$B40),$A40,1))/(X$11*IF(REGEXMATCH($C40,X$9),X$8,1))*6),FLOOR($E40*(IF(REGEXMATCH(X$10,$B40),$A40,1))/(X$11*IF(REGEXMATCH($C40,X$9),X$8,1"&amp;"))*6))"),6.0)</f>
        <v>6</v>
      </c>
      <c r="Y40" s="285">
        <f>IFERROR(__xludf.DUMMYFUNCTION("IF($E40*(IF(REGEXMATCH(Y$10,$B40),$A40,1))/(Y$11*IF(REGEXMATCH($C40,Y$9),Y$8,1))*6&gt;6,CEILING($E40*(IF(REGEXMATCH(Y$10,$B40),$A40,1))/(Y$11*IF(REGEXMATCH($C40,Y$9),Y$8,1))*6),FLOOR($E40*(IF(REGEXMATCH(Y$10,$B40),$A40,1))/(Y$11*IF(REGEXMATCH($C40,Y$9),Y$8,1"&amp;"))*6))"),6.0)</f>
        <v>6</v>
      </c>
      <c r="Z40" s="285">
        <f>IFERROR(__xludf.DUMMYFUNCTION("IF($E40*(IF(REGEXMATCH(Z$10,$B40),$A40,1))/(Z$11*IF(REGEXMATCH($C40,Z$9),Z$8,1))*6&gt;6,CEILING($E40*(IF(REGEXMATCH(Z$10,$B40),$A40,1))/(Z$11*IF(REGEXMATCH($C40,Z$9),Z$8,1))*6),FLOOR($E40*(IF(REGEXMATCH(Z$10,$B40),$A40,1))/(Z$11*IF(REGEXMATCH($C40,Z$9),Z$8,1"&amp;"))*6))"),6.0)</f>
        <v>6</v>
      </c>
      <c r="AA40" s="285">
        <f>IFERROR(__xludf.DUMMYFUNCTION("IF($E40*(IF(REGEXMATCH(AA$10,$B40),$A40,1))/(AA$11*IF(REGEXMATCH($C40,AA$9),AA$8,1))*6&gt;6,CEILING($E40*(IF(REGEXMATCH(AA$10,$B40),$A40,1))/(AA$11*IF(REGEXMATCH($C40,AA$9),AA$8,1))*6),FLOOR($E40*(IF(REGEXMATCH(AA$10,$B40),$A40,1))/(AA$11*IF(REGEXMATCH($C40,"&amp;"AA$9),AA$8,1))*6))"),6.0)</f>
        <v>6</v>
      </c>
      <c r="AB40" s="285">
        <f>IFERROR(__xludf.DUMMYFUNCTION("IF($E40*(IF(REGEXMATCH(AB$10,$B40),$A40,1))/(AB$11*IF(REGEXMATCH($C40,AB$9),AB$8,1))*6&gt;6,CEILING($E40*(IF(REGEXMATCH(AB$10,$B40),$A40,1))/(AB$11*IF(REGEXMATCH($C40,AB$9),AB$8,1))*6),FLOOR($E40*(IF(REGEXMATCH(AB$10,$B40),$A40,1))/(AB$11*IF(REGEXMATCH($C40,"&amp;"AB$9),AB$8,1))*6))"),6.0)</f>
        <v>6</v>
      </c>
      <c r="AC40" s="285">
        <f>IFERROR(__xludf.DUMMYFUNCTION("IF($E40*(IF(REGEXMATCH(AC$10,$B40),$A40,1))/(AC$11*IF(REGEXMATCH($C40,AC$9),AC$8,1))*6&gt;6,CEILING($E40*(IF(REGEXMATCH(AC$10,$B40),$A40,1))/(AC$11*IF(REGEXMATCH($C40,AC$9),AC$8,1))*6),FLOOR($E40*(IF(REGEXMATCH(AC$10,$B40),$A40,1))/(AC$11*IF(REGEXMATCH($C40,"&amp;"AC$9),AC$8,1))*6))"),6.0)</f>
        <v>6</v>
      </c>
      <c r="AD40" s="285">
        <f>IFERROR(__xludf.DUMMYFUNCTION("IF($E40*(IF(REGEXMATCH(AD$10,$B40),$A40,1))/(AD$11*IF(REGEXMATCH($C40,AD$9),AD$8,1))*6&gt;6,CEILING($E40*(IF(REGEXMATCH(AD$10,$B40),$A40,1))/(AD$11*IF(REGEXMATCH($C40,AD$9),AD$8,1))*6),FLOOR($E40*(IF(REGEXMATCH(AD$10,$B40),$A40,1))/(AD$11*IF(REGEXMATCH($C40,"&amp;"AD$9),AD$8,1))*6))"),6.0)</f>
        <v>6</v>
      </c>
      <c r="AE40" s="285">
        <f>IFERROR(__xludf.DUMMYFUNCTION("IF($E40*(IF(REGEXMATCH(AE$10,$B40),$A40,1))/(AE$11*IF(REGEXMATCH($C40,AE$9),AE$8,1))*6&gt;6,CEILING($E40*(IF(REGEXMATCH(AE$10,$B40),$A40,1))/(AE$11*IF(REGEXMATCH($C40,AE$9),AE$8,1))*6),FLOOR($E40*(IF(REGEXMATCH(AE$10,$B40),$A40,1))/(AE$11*IF(REGEXMATCH($C40,"&amp;"AE$9),AE$8,1))*6))"),6.0)</f>
        <v>6</v>
      </c>
      <c r="AF40" s="285">
        <f>IFERROR(__xludf.DUMMYFUNCTION("IF($E40*(IF(REGEXMATCH(AF$10,$B40),$A40,1))/(AF$11*IF(REGEXMATCH($C40,AF$9),AF$8,1))*6&gt;6,CEILING($E40*(IF(REGEXMATCH(AF$10,$B40),$A40,1))/(AF$11*IF(REGEXMATCH($C40,AF$9),AF$8,1))*6),FLOOR($E40*(IF(REGEXMATCH(AF$10,$B40),$A40,1))/(AF$11*IF(REGEXMATCH($C40,"&amp;"AF$9),AF$8,1))*6))"),6.0)</f>
        <v>6</v>
      </c>
      <c r="AG40" s="285">
        <f>IFERROR(__xludf.DUMMYFUNCTION("IF($E40*(IF(REGEXMATCH(AG$10,$B40),$A40,1))/(AG$11*IF(REGEXMATCH($C40,AG$9),AG$8,1))*6&gt;6,CEILING($E40*(IF(REGEXMATCH(AG$10,$B40),$A40,1))/(AG$11*IF(REGEXMATCH($C40,AG$9),AG$8,1))*6),FLOOR($E40*(IF(REGEXMATCH(AG$10,$B40),$A40,1))/(AG$11*IF(REGEXMATCH($C40,"&amp;"AG$9),AG$8,1))*6))"),4.0)</f>
        <v>4</v>
      </c>
      <c r="AH40" s="285">
        <f>IFERROR(__xludf.DUMMYFUNCTION("IF($E40*(IF(REGEXMATCH(AH$10,$B40),$A40,1))/(AH$11*IF(REGEXMATCH($C40,AH$9),AH$8,1))*6&gt;6,CEILING($E40*(IF(REGEXMATCH(AH$10,$B40),$A40,1))/(AH$11*IF(REGEXMATCH($C40,AH$9),AH$8,1))*6),FLOOR($E40*(IF(REGEXMATCH(AH$10,$B40),$A40,1))/(AH$11*IF(REGEXMATCH($C40,"&amp;"AH$9),AH$8,1))*6))"),6.0)</f>
        <v>6</v>
      </c>
      <c r="AI40" s="285">
        <f>IFERROR(__xludf.DUMMYFUNCTION("IF($E40*(IF(REGEXMATCH(AI$10,$B40),$A40,1))/(AI$11*IF(REGEXMATCH($C40,AI$9),AI$8,1))*6&gt;6,CEILING($E40*(IF(REGEXMATCH(AI$10,$B40),$A40,1))/(AI$11*IF(REGEXMATCH($C40,AI$9),AI$8,1))*6),FLOOR($E40*(IF(REGEXMATCH(AI$10,$B40),$A40,1))/(AI$11*IF(REGEXMATCH($C40,"&amp;"AI$9),AI$8,1))*6))"),6.0)</f>
        <v>6</v>
      </c>
      <c r="AJ40" s="285">
        <f>IFERROR(__xludf.DUMMYFUNCTION("IF($E40*(IF(REGEXMATCH(AJ$10,$B40),$A40,1))/(AJ$11*IF(REGEXMATCH($C40,AJ$9),AJ$8,1))*6&gt;6,CEILING($E40*(IF(REGEXMATCH(AJ$10,$B40),$A40,1))/(AJ$11*IF(REGEXMATCH($C40,AJ$9),AJ$8,1))*6),FLOOR($E40*(IF(REGEXMATCH(AJ$10,$B40),$A40,1))/(AJ$11*IF(REGEXMATCH($C40,"&amp;"AJ$9),AJ$8,1))*6))"),6.0)</f>
        <v>6</v>
      </c>
      <c r="AK40" s="285">
        <f>IFERROR(__xludf.DUMMYFUNCTION("IF($E40*(IF(REGEXMATCH(AK$10,$B40),$A40,1))/(AK$11*IF(REGEXMATCH($C40,AK$9),AK$8,1))*6&gt;6,CEILING($E40*(IF(REGEXMATCH(AK$10,$B40),$A40,1))/(AK$11*IF(REGEXMATCH($C40,AK$9),AK$8,1))*6),FLOOR($E40*(IF(REGEXMATCH(AK$10,$B40),$A40,1))/(AK$11*IF(REGEXMATCH($C40,"&amp;"AK$9),AK$8,1))*6))"),6.0)</f>
        <v>6</v>
      </c>
      <c r="AL40" s="285">
        <f>IFERROR(__xludf.DUMMYFUNCTION("IF($E40*(IF(REGEXMATCH(AL$10,$B40),$A40,1))/(AL$11*IF(REGEXMATCH($C40,AL$9),AL$8,1))*6&gt;6,CEILING($E40*(IF(REGEXMATCH(AL$10,$B40),$A40,1))/(AL$11*IF(REGEXMATCH($C40,AL$9),AL$8,1))*6),FLOOR($E40*(IF(REGEXMATCH(AL$10,$B40),$A40,1))/(AL$11*IF(REGEXMATCH($C40,"&amp;"AL$9),AL$8,1))*6))"),8.0)</f>
        <v>8</v>
      </c>
      <c r="AM40" s="285">
        <f>IFERROR(__xludf.DUMMYFUNCTION("IF($E40*(IF(REGEXMATCH(AM$10,$B40),$A40,1))/(AM$11*IF(REGEXMATCH($C40,AM$9),AM$8,1))*6&gt;6,CEILING($E40*(IF(REGEXMATCH(AM$10,$B40),$A40,1))/(AM$11*IF(REGEXMATCH($C40,AM$9),AM$8,1))*6),FLOOR($E40*(IF(REGEXMATCH(AM$10,$B40),$A40,1))/(AM$11*IF(REGEXMATCH($C40,"&amp;"AM$9),AM$8,1))*6))"),8.0)</f>
        <v>8</v>
      </c>
      <c r="AN40" s="285">
        <f>IFERROR(__xludf.DUMMYFUNCTION("IF($E40*(IF(REGEXMATCH(AN$10,$B40),$A40,1))/(AN$11*IF(REGEXMATCH($C40,AN$9),AN$8,1))*6&gt;6,CEILING($E40*(IF(REGEXMATCH(AN$10,$B40),$A40,1))/(AN$11*IF(REGEXMATCH($C40,AN$9),AN$8,1))*6),FLOOR($E40*(IF(REGEXMATCH(AN$10,$B40),$A40,1))/(AN$11*IF(REGEXMATCH($C40,"&amp;"AN$9),AN$8,1))*6))"),4.0)</f>
        <v>4</v>
      </c>
      <c r="AO40" s="285">
        <f>IFERROR(__xludf.DUMMYFUNCTION("IF($E40*(IF(REGEXMATCH(AO$10,$B40),$A40,1))/(AO$11*IF(REGEXMATCH($C40,AO$9),AO$8,1))*6&gt;6,CEILING($E40*(IF(REGEXMATCH(AO$10,$B40),$A40,1))/(AO$11*IF(REGEXMATCH($C40,AO$9),AO$8,1))*6),FLOOR($E40*(IF(REGEXMATCH(AO$10,$B40),$A40,1))/(AO$11*IF(REGEXMATCH($C40,"&amp;"AO$9),AO$8,1))*6))"),8.0)</f>
        <v>8</v>
      </c>
      <c r="AP40" s="285">
        <f>IFERROR(__xludf.DUMMYFUNCTION("IF($E40*(IF(REGEXMATCH(AP$10,$B40),$A40,1))/(AP$11*IF(REGEXMATCH($C40,AP$9),AP$8,1))*6&gt;6,CEILING($E40*(IF(REGEXMATCH(AP$10,$B40),$A40,1))/(AP$11*IF(REGEXMATCH($C40,AP$9),AP$8,1))*6),FLOOR($E40*(IF(REGEXMATCH(AP$10,$B40),$A40,1))/(AP$11*IF(REGEXMATCH($C40,"&amp;"AP$9),AP$8,1))*6))"),4.0)</f>
        <v>4</v>
      </c>
      <c r="AQ40" s="285">
        <f>IFERROR(__xludf.DUMMYFUNCTION("IF($E40*(IF(REGEXMATCH(AQ$10,$B40),$A40,1))/(AQ$11*IF(REGEXMATCH($C40,AQ$9),AQ$8,1))*6&gt;6,CEILING($E40*(IF(REGEXMATCH(AQ$10,$B40),$A40,1))/(AQ$11*IF(REGEXMATCH($C40,AQ$9),AQ$8,1))*6),FLOOR($E40*(IF(REGEXMATCH(AQ$10,$B40),$A40,1))/(AQ$11*IF(REGEXMATCH($C40,"&amp;"AQ$9),AQ$8,1))*6))"),5.0)</f>
        <v>5</v>
      </c>
      <c r="AR40" s="285">
        <f>IFERROR(__xludf.DUMMYFUNCTION("IF($E40*(IF(REGEXMATCH(AR$10,$B40),$A40,1))/(AR$11*IF(REGEXMATCH($C40,AR$9),AR$8,1))*6&gt;6,CEILING($E40*(IF(REGEXMATCH(AR$10,$B40),$A40,1))/(AR$11*IF(REGEXMATCH($C40,AR$9),AR$8,1))*6),FLOOR($E40*(IF(REGEXMATCH(AR$10,$B40),$A40,1))/(AR$11*IF(REGEXMATCH($C40,"&amp;"AR$9),AR$8,1))*6))"),9.0)</f>
        <v>9</v>
      </c>
      <c r="AS40" s="285">
        <f>IFERROR(__xludf.DUMMYFUNCTION("IF($E40*(IF(REGEXMATCH(AS$10,$B40),$A40,1))/(AS$11*IF(REGEXMATCH($C40,AS$9),AS$8,1))*6&gt;6,CEILING($E40*(IF(REGEXMATCH(AS$10,$B40),$A40,1))/(AS$11*IF(REGEXMATCH($C40,AS$9),AS$8,1))*6),FLOOR($E40*(IF(REGEXMATCH(AS$10,$B40),$A40,1))/(AS$11*IF(REGEXMATCH($C40,"&amp;"AS$9),AS$8,1))*6))"),9.0)</f>
        <v>9</v>
      </c>
      <c r="AT40" s="285">
        <f>IFERROR(__xludf.DUMMYFUNCTION("IF($E40*(IF(REGEXMATCH(AT$10,$B40),$A40,1))/(AT$11*IF(REGEXMATCH($C40,AT$9),AT$8,1))*6&gt;6,CEILING($E40*(IF(REGEXMATCH(AT$10,$B40),$A40,1))/(AT$11*IF(REGEXMATCH($C40,AT$9),AT$8,1))*6),FLOOR($E40*(IF(REGEXMATCH(AT$10,$B40),$A40,1))/(AT$11*IF(REGEXMATCH($C40,"&amp;"AT$9),AT$8,1))*6))"),12.0)</f>
        <v>12</v>
      </c>
    </row>
    <row r="41">
      <c r="A41" s="8">
        <v>1.25</v>
      </c>
      <c r="B41" s="8" t="s">
        <v>2433</v>
      </c>
      <c r="C41" s="813" t="s">
        <v>2585</v>
      </c>
      <c r="D41" s="813"/>
      <c r="E41" s="813">
        <v>6.0</v>
      </c>
      <c r="F41" s="809" t="s">
        <v>2554</v>
      </c>
      <c r="G41" s="285">
        <f>IFERROR(__xludf.DUMMYFUNCTION("IF($E41*(IF(REGEXMATCH(G$10,$B41),$A41,1))/(G$11*IF(REGEXMATCH($C41,G$9),G$8,1))*6&gt;6,CEILING($E41*(IF(REGEXMATCH(G$10,$B41),$A41,1))/(G$11*IF(REGEXMATCH($C41,G$9),G$8,1))*6),FLOOR($E41*(IF(REGEXMATCH(G$10,$B41),$A41,1))/(G$11*IF(REGEXMATCH($C41,G$9),G$8,1"&amp;"))*6))"),3.0)</f>
        <v>3</v>
      </c>
      <c r="H41" s="285">
        <f>IFERROR(__xludf.DUMMYFUNCTION("IF($E41*(IF(REGEXMATCH(H$10,$B41),$A41,1))/(H$11*IF(REGEXMATCH($C41,H$9),H$8,1))*6&gt;6,CEILING($E41*(IF(REGEXMATCH(H$10,$B41),$A41,1))/(H$11*IF(REGEXMATCH($C41,H$9),H$8,1))*6),FLOOR($E41*(IF(REGEXMATCH(H$10,$B41),$A41,1))/(H$11*IF(REGEXMATCH($C41,H$9),H$8,1"&amp;"))*6))"),4.0)</f>
        <v>4</v>
      </c>
      <c r="I41" s="285">
        <f>IFERROR(__xludf.DUMMYFUNCTION("IF($E41*(IF(REGEXMATCH(I$10,$B41),$A41,1))/(I$11*IF(REGEXMATCH($C41,I$9),I$8,1))*6&gt;6,CEILING($E41*(IF(REGEXMATCH(I$10,$B41),$A41,1))/(I$11*IF(REGEXMATCH($C41,I$9),I$8,1))*6),FLOOR($E41*(IF(REGEXMATCH(I$10,$B41),$A41,1))/(I$11*IF(REGEXMATCH($C41,I$9),I$8,1"&amp;"))*6))"),3.0)</f>
        <v>3</v>
      </c>
      <c r="J41" s="285">
        <f>IFERROR(__xludf.DUMMYFUNCTION("IF($E41*(IF(REGEXMATCH(J$10,$B41),$A41,1))/(J$11*IF(REGEXMATCH($C41,J$9),J$8,1))*6&gt;6,CEILING($E41*(IF(REGEXMATCH(J$10,$B41),$A41,1))/(J$11*IF(REGEXMATCH($C41,J$9),J$8,1))*6),FLOOR($E41*(IF(REGEXMATCH(J$10,$B41),$A41,1))/(J$11*IF(REGEXMATCH($C41,J$9),J$8,1"&amp;"))*6))"),3.0)</f>
        <v>3</v>
      </c>
      <c r="K41" s="285">
        <f>IFERROR(__xludf.DUMMYFUNCTION("IF($E41*(IF(REGEXMATCH(K$10,$B41),$A41,1))/(K$11*IF(REGEXMATCH($C41,K$9),K$8,1))*6&gt;6,CEILING($E41*(IF(REGEXMATCH(K$10,$B41),$A41,1))/(K$11*IF(REGEXMATCH($C41,K$9),K$8,1))*6),FLOOR($E41*(IF(REGEXMATCH(K$10,$B41),$A41,1))/(K$11*IF(REGEXMATCH($C41,K$9),K$8,1"&amp;"))*6))"),4.0)</f>
        <v>4</v>
      </c>
      <c r="L41" s="285">
        <f>IFERROR(__xludf.DUMMYFUNCTION("IF($E41*(IF(REGEXMATCH(L$10,$B41),$A41,1))/(L$11*IF(REGEXMATCH($C41,L$9),L$8,1))*6&gt;6,CEILING($E41*(IF(REGEXMATCH(L$10,$B41),$A41,1))/(L$11*IF(REGEXMATCH($C41,L$9),L$8,1))*6),FLOOR($E41*(IF(REGEXMATCH(L$10,$B41),$A41,1))/(L$11*IF(REGEXMATCH($C41,L$9),L$8,1"&amp;"))*6))"),4.0)</f>
        <v>4</v>
      </c>
      <c r="M41" s="285">
        <f>IFERROR(__xludf.DUMMYFUNCTION("IF($E41*(IF(REGEXMATCH(M$10,$B41),$A41,1))/(M$11*IF(REGEXMATCH($C41,M$9),M$8,1))*6&gt;6,CEILING($E41*(IF(REGEXMATCH(M$10,$B41),$A41,1))/(M$11*IF(REGEXMATCH($C41,M$9),M$8,1))*6),FLOOR($E41*(IF(REGEXMATCH(M$10,$B41),$A41,1))/(M$11*IF(REGEXMATCH($C41,M$9),M$8,1"&amp;"))*6))"),5.0)</f>
        <v>5</v>
      </c>
      <c r="N41" s="285">
        <f>IFERROR(__xludf.DUMMYFUNCTION("IF($E41*(IF(REGEXMATCH(N$10,$B41),$A41,1))/(N$11*IF(REGEXMATCH($C41,N$9),N$8,1))*6&gt;6,CEILING($E41*(IF(REGEXMATCH(N$10,$B41),$A41,1))/(N$11*IF(REGEXMATCH($C41,N$9),N$8,1))*6),FLOOR($E41*(IF(REGEXMATCH(N$10,$B41),$A41,1))/(N$11*IF(REGEXMATCH($C41,N$9),N$8,1"&amp;"))*6))"),5.0)</f>
        <v>5</v>
      </c>
      <c r="O41" s="285">
        <f>IFERROR(__xludf.DUMMYFUNCTION("IF($E41*(IF(REGEXMATCH(O$10,$B41),$A41,1))/(O$11*IF(REGEXMATCH($C41,O$9),O$8,1))*6&gt;6,CEILING($E41*(IF(REGEXMATCH(O$10,$B41),$A41,1))/(O$11*IF(REGEXMATCH($C41,O$9),O$8,1))*6),FLOOR($E41*(IF(REGEXMATCH(O$10,$B41),$A41,1))/(O$11*IF(REGEXMATCH($C41,O$9),O$8,1"&amp;"))*6))"),4.0)</f>
        <v>4</v>
      </c>
      <c r="P41" s="285">
        <f>IFERROR(__xludf.DUMMYFUNCTION("IF($E41*(IF(REGEXMATCH(P$10,$B41),$A41,1))/(P$11*IF(REGEXMATCH($C41,P$9),P$8,1))*6&gt;6,CEILING($E41*(IF(REGEXMATCH(P$10,$B41),$A41,1))/(P$11*IF(REGEXMATCH($C41,P$9),P$8,1))*6),FLOOR($E41*(IF(REGEXMATCH(P$10,$B41),$A41,1))/(P$11*IF(REGEXMATCH($C41,P$9),P$8,1"&amp;"))*6))"),5.0)</f>
        <v>5</v>
      </c>
      <c r="Q41" s="285">
        <f>IFERROR(__xludf.DUMMYFUNCTION("IF($E41*(IF(REGEXMATCH(Q$10,$B41),$A41,1))/(Q$11*IF(REGEXMATCH($C41,Q$9),Q$8,1))*6&gt;6,CEILING($E41*(IF(REGEXMATCH(Q$10,$B41),$A41,1))/(Q$11*IF(REGEXMATCH($C41,Q$9),Q$8,1))*6),FLOOR($E41*(IF(REGEXMATCH(Q$10,$B41),$A41,1))/(Q$11*IF(REGEXMATCH($C41,Q$9),Q$8,1"&amp;"))*6))"),4.0)</f>
        <v>4</v>
      </c>
      <c r="R41" s="285">
        <f>IFERROR(__xludf.DUMMYFUNCTION("IF($E41*(IF(REGEXMATCH(R$10,$B41),$A41,1))/(R$11*IF(REGEXMATCH($C41,R$9),R$8,1))*6&gt;6,CEILING($E41*(IF(REGEXMATCH(R$10,$B41),$A41,1))/(R$11*IF(REGEXMATCH($C41,R$9),R$8,1))*6),FLOOR($E41*(IF(REGEXMATCH(R$10,$B41),$A41,1))/(R$11*IF(REGEXMATCH($C41,R$9),R$8,1"&amp;"))*6))"),5.0)</f>
        <v>5</v>
      </c>
      <c r="S41" s="285">
        <f>IFERROR(__xludf.DUMMYFUNCTION("IF($E41*(IF(REGEXMATCH(S$10,$B41),$A41,1))/(S$11*IF(REGEXMATCH($C41,S$9),S$8,1))*6&gt;6,CEILING($E41*(IF(REGEXMATCH(S$10,$B41),$A41,1))/(S$11*IF(REGEXMATCH($C41,S$9),S$8,1))*6),FLOOR($E41*(IF(REGEXMATCH(S$10,$B41),$A41,1))/(S$11*IF(REGEXMATCH($C41,S$9),S$8,1"&amp;"))*6))"),4.0)</f>
        <v>4</v>
      </c>
      <c r="T41" s="285">
        <f>IFERROR(__xludf.DUMMYFUNCTION("IF($E41*(IF(REGEXMATCH(T$10,$B41),$A41,1))/(T$11*IF(REGEXMATCH($C41,T$9),T$8,1))*6&gt;6,CEILING($E41*(IF(REGEXMATCH(T$10,$B41),$A41,1))/(T$11*IF(REGEXMATCH($C41,T$9),T$8,1))*6),FLOOR($E41*(IF(REGEXMATCH(T$10,$B41),$A41,1))/(T$11*IF(REGEXMATCH($C41,T$9),T$8,1"&amp;"))*6))"),4.0)</f>
        <v>4</v>
      </c>
      <c r="U41" s="285">
        <f>IFERROR(__xludf.DUMMYFUNCTION("IF($E41*(IF(REGEXMATCH(U$10,$B41),$A41,1))/(U$11*IF(REGEXMATCH($C41,U$9),U$8,1))*6&gt;6,CEILING($E41*(IF(REGEXMATCH(U$10,$B41),$A41,1))/(U$11*IF(REGEXMATCH($C41,U$9),U$8,1))*6),FLOOR($E41*(IF(REGEXMATCH(U$10,$B41),$A41,1))/(U$11*IF(REGEXMATCH($C41,U$9),U$8,1"&amp;"))*6))"),5.0)</f>
        <v>5</v>
      </c>
      <c r="V41" s="285">
        <f>IFERROR(__xludf.DUMMYFUNCTION("IF($E41*(IF(REGEXMATCH(V$10,$B41),$A41,1))/(V$11*IF(REGEXMATCH($C41,V$9),V$8,1))*6&gt;6,CEILING($E41*(IF(REGEXMATCH(V$10,$B41),$A41,1))/(V$11*IF(REGEXMATCH($C41,V$9),V$8,1))*6),FLOOR($E41*(IF(REGEXMATCH(V$10,$B41),$A41,1))/(V$11*IF(REGEXMATCH($C41,V$9),V$8,1"&amp;"))*6))"),4.0)</f>
        <v>4</v>
      </c>
      <c r="W41" s="285">
        <f>IFERROR(__xludf.DUMMYFUNCTION("IF($E41*(IF(REGEXMATCH(W$10,$B41),$A41,1))/(W$11*IF(REGEXMATCH($C41,W$9),W$8,1))*6&gt;6,CEILING($E41*(IF(REGEXMATCH(W$10,$B41),$A41,1))/(W$11*IF(REGEXMATCH($C41,W$9),W$8,1))*6),FLOOR($E41*(IF(REGEXMATCH(W$10,$B41),$A41,1))/(W$11*IF(REGEXMATCH($C41,W$9),W$8,1"&amp;"))*6))"),6.0)</f>
        <v>6</v>
      </c>
      <c r="X41" s="285">
        <f>IFERROR(__xludf.DUMMYFUNCTION("IF($E41*(IF(REGEXMATCH(X$10,$B41),$A41,1))/(X$11*IF(REGEXMATCH($C41,X$9),X$8,1))*6&gt;6,CEILING($E41*(IF(REGEXMATCH(X$10,$B41),$A41,1))/(X$11*IF(REGEXMATCH($C41,X$9),X$8,1))*6),FLOOR($E41*(IF(REGEXMATCH(X$10,$B41),$A41,1))/(X$11*IF(REGEXMATCH($C41,X$9),X$8,1"&amp;"))*6))"),8.0)</f>
        <v>8</v>
      </c>
      <c r="Y41" s="285">
        <f>IFERROR(__xludf.DUMMYFUNCTION("IF($E41*(IF(REGEXMATCH(Y$10,$B41),$A41,1))/(Y$11*IF(REGEXMATCH($C41,Y$9),Y$8,1))*6&gt;6,CEILING($E41*(IF(REGEXMATCH(Y$10,$B41),$A41,1))/(Y$11*IF(REGEXMATCH($C41,Y$9),Y$8,1))*6),FLOOR($E41*(IF(REGEXMATCH(Y$10,$B41),$A41,1))/(Y$11*IF(REGEXMATCH($C41,Y$9),Y$8,1"&amp;"))*6))"),6.0)</f>
        <v>6</v>
      </c>
      <c r="Z41" s="285">
        <f>IFERROR(__xludf.DUMMYFUNCTION("IF($E41*(IF(REGEXMATCH(Z$10,$B41),$A41,1))/(Z$11*IF(REGEXMATCH($C41,Z$9),Z$8,1))*6&gt;6,CEILING($E41*(IF(REGEXMATCH(Z$10,$B41),$A41,1))/(Z$11*IF(REGEXMATCH($C41,Z$9),Z$8,1))*6),FLOOR($E41*(IF(REGEXMATCH(Z$10,$B41),$A41,1))/(Z$11*IF(REGEXMATCH($C41,Z$9),Z$8,1"&amp;"))*6))"),8.0)</f>
        <v>8</v>
      </c>
      <c r="AA41" s="285">
        <f>IFERROR(__xludf.DUMMYFUNCTION("IF($E41*(IF(REGEXMATCH(AA$10,$B41),$A41,1))/(AA$11*IF(REGEXMATCH($C41,AA$9),AA$8,1))*6&gt;6,CEILING($E41*(IF(REGEXMATCH(AA$10,$B41),$A41,1))/(AA$11*IF(REGEXMATCH($C41,AA$9),AA$8,1))*6),FLOOR($E41*(IF(REGEXMATCH(AA$10,$B41),$A41,1))/(AA$11*IF(REGEXMATCH($C41,"&amp;"AA$9),AA$8,1))*6))"),6.0)</f>
        <v>6</v>
      </c>
      <c r="AB41" s="285">
        <f>IFERROR(__xludf.DUMMYFUNCTION("IF($E41*(IF(REGEXMATCH(AB$10,$B41),$A41,1))/(AB$11*IF(REGEXMATCH($C41,AB$9),AB$8,1))*6&gt;6,CEILING($E41*(IF(REGEXMATCH(AB$10,$B41),$A41,1))/(AB$11*IF(REGEXMATCH($C41,AB$9),AB$8,1))*6),FLOOR($E41*(IF(REGEXMATCH(AB$10,$B41),$A41,1))/(AB$11*IF(REGEXMATCH($C41,"&amp;"AB$9),AB$8,1))*6))"),6.0)</f>
        <v>6</v>
      </c>
      <c r="AC41" s="285">
        <f>IFERROR(__xludf.DUMMYFUNCTION("IF($E41*(IF(REGEXMATCH(AC$10,$B41),$A41,1))/(AC$11*IF(REGEXMATCH($C41,AC$9),AC$8,1))*6&gt;6,CEILING($E41*(IF(REGEXMATCH(AC$10,$B41),$A41,1))/(AC$11*IF(REGEXMATCH($C41,AC$9),AC$8,1))*6),FLOOR($E41*(IF(REGEXMATCH(AC$10,$B41),$A41,1))/(AC$11*IF(REGEXMATCH($C41,"&amp;"AC$9),AC$8,1))*6))"),8.0)</f>
        <v>8</v>
      </c>
      <c r="AD41" s="285">
        <f>IFERROR(__xludf.DUMMYFUNCTION("IF($E41*(IF(REGEXMATCH(AD$10,$B41),$A41,1))/(AD$11*IF(REGEXMATCH($C41,AD$9),AD$8,1))*6&gt;6,CEILING($E41*(IF(REGEXMATCH(AD$10,$B41),$A41,1))/(AD$11*IF(REGEXMATCH($C41,AD$9),AD$8,1))*6),FLOOR($E41*(IF(REGEXMATCH(AD$10,$B41),$A41,1))/(AD$11*IF(REGEXMATCH($C41,"&amp;"AD$9),AD$8,1))*6))"),6.0)</f>
        <v>6</v>
      </c>
      <c r="AE41" s="285">
        <f>IFERROR(__xludf.DUMMYFUNCTION("IF($E41*(IF(REGEXMATCH(AE$10,$B41),$A41,1))/(AE$11*IF(REGEXMATCH($C41,AE$9),AE$8,1))*6&gt;6,CEILING($E41*(IF(REGEXMATCH(AE$10,$B41),$A41,1))/(AE$11*IF(REGEXMATCH($C41,AE$9),AE$8,1))*6),FLOOR($E41*(IF(REGEXMATCH(AE$10,$B41),$A41,1))/(AE$11*IF(REGEXMATCH($C41,"&amp;"AE$9),AE$8,1))*6))"),8.0)</f>
        <v>8</v>
      </c>
      <c r="AF41" s="285">
        <f>IFERROR(__xludf.DUMMYFUNCTION("IF($E41*(IF(REGEXMATCH(AF$10,$B41),$A41,1))/(AF$11*IF(REGEXMATCH($C41,AF$9),AF$8,1))*6&gt;6,CEILING($E41*(IF(REGEXMATCH(AF$10,$B41),$A41,1))/(AF$11*IF(REGEXMATCH($C41,AF$9),AF$8,1))*6),FLOOR($E41*(IF(REGEXMATCH(AF$10,$B41),$A41,1))/(AF$11*IF(REGEXMATCH($C41,"&amp;"AF$9),AF$8,1))*6))"),6.0)</f>
        <v>6</v>
      </c>
      <c r="AG41" s="285">
        <f>IFERROR(__xludf.DUMMYFUNCTION("IF($E41*(IF(REGEXMATCH(AG$10,$B41),$A41,1))/(AG$11*IF(REGEXMATCH($C41,AG$9),AG$8,1))*6&gt;6,CEILING($E41*(IF(REGEXMATCH(AG$10,$B41),$A41,1))/(AG$11*IF(REGEXMATCH($C41,AG$9),AG$8,1))*6),FLOOR($E41*(IF(REGEXMATCH(AG$10,$B41),$A41,1))/(AG$11*IF(REGEXMATCH($C41,"&amp;"AG$9),AG$8,1))*6))"),8.0)</f>
        <v>8</v>
      </c>
      <c r="AH41" s="285">
        <f>IFERROR(__xludf.DUMMYFUNCTION("IF($E41*(IF(REGEXMATCH(AH$10,$B41),$A41,1))/(AH$11*IF(REGEXMATCH($C41,AH$9),AH$8,1))*6&gt;6,CEILING($E41*(IF(REGEXMATCH(AH$10,$B41),$A41,1))/(AH$11*IF(REGEXMATCH($C41,AH$9),AH$8,1))*6),FLOOR($E41*(IF(REGEXMATCH(AH$10,$B41),$A41,1))/(AH$11*IF(REGEXMATCH($C41,"&amp;"AH$9),AH$8,1))*6))"),6.0)</f>
        <v>6</v>
      </c>
      <c r="AI41" s="285">
        <f>IFERROR(__xludf.DUMMYFUNCTION("IF($E41*(IF(REGEXMATCH(AI$10,$B41),$A41,1))/(AI$11*IF(REGEXMATCH($C41,AI$9),AI$8,1))*6&gt;6,CEILING($E41*(IF(REGEXMATCH(AI$10,$B41),$A41,1))/(AI$11*IF(REGEXMATCH($C41,AI$9),AI$8,1))*6),FLOOR($E41*(IF(REGEXMATCH(AI$10,$B41),$A41,1))/(AI$11*IF(REGEXMATCH($C41,"&amp;"AI$9),AI$8,1))*6))"),6.0)</f>
        <v>6</v>
      </c>
      <c r="AJ41" s="285">
        <f>IFERROR(__xludf.DUMMYFUNCTION("IF($E41*(IF(REGEXMATCH(AJ$10,$B41),$A41,1))/(AJ$11*IF(REGEXMATCH($C41,AJ$9),AJ$8,1))*6&gt;6,CEILING($E41*(IF(REGEXMATCH(AJ$10,$B41),$A41,1))/(AJ$11*IF(REGEXMATCH($C41,AJ$9),AJ$8,1))*6),FLOOR($E41*(IF(REGEXMATCH(AJ$10,$B41),$A41,1))/(AJ$11*IF(REGEXMATCH($C41,"&amp;"AJ$9),AJ$8,1))*6))"),8.0)</f>
        <v>8</v>
      </c>
      <c r="AK41" s="285">
        <f>IFERROR(__xludf.DUMMYFUNCTION("IF($E41*(IF(REGEXMATCH(AK$10,$B41),$A41,1))/(AK$11*IF(REGEXMATCH($C41,AK$9),AK$8,1))*6&gt;6,CEILING($E41*(IF(REGEXMATCH(AK$10,$B41),$A41,1))/(AK$11*IF(REGEXMATCH($C41,AK$9),AK$8,1))*6),FLOOR($E41*(IF(REGEXMATCH(AK$10,$B41),$A41,1))/(AK$11*IF(REGEXMATCH($C41,"&amp;"AK$9),AK$8,1))*6))"),6.0)</f>
        <v>6</v>
      </c>
      <c r="AL41" s="285">
        <f>IFERROR(__xludf.DUMMYFUNCTION("IF($E41*(IF(REGEXMATCH(AL$10,$B41),$A41,1))/(AL$11*IF(REGEXMATCH($C41,AL$9),AL$8,1))*6&gt;6,CEILING($E41*(IF(REGEXMATCH(AL$10,$B41),$A41,1))/(AL$11*IF(REGEXMATCH($C41,AL$9),AL$8,1))*6),FLOOR($E41*(IF(REGEXMATCH(AL$10,$B41),$A41,1))/(AL$11*IF(REGEXMATCH($C41,"&amp;"AL$9),AL$8,1))*6))"),9.0)</f>
        <v>9</v>
      </c>
      <c r="AM41" s="285">
        <f>IFERROR(__xludf.DUMMYFUNCTION("IF($E41*(IF(REGEXMATCH(AM$10,$B41),$A41,1))/(AM$11*IF(REGEXMATCH($C41,AM$9),AM$8,1))*6&gt;6,CEILING($E41*(IF(REGEXMATCH(AM$10,$B41),$A41,1))/(AM$11*IF(REGEXMATCH($C41,AM$9),AM$8,1))*6),FLOOR($E41*(IF(REGEXMATCH(AM$10,$B41),$A41,1))/(AM$11*IF(REGEXMATCH($C41,"&amp;"AM$9),AM$8,1))*6))"),9.0)</f>
        <v>9</v>
      </c>
      <c r="AN41" s="285">
        <f>IFERROR(__xludf.DUMMYFUNCTION("IF($E41*(IF(REGEXMATCH(AN$10,$B41),$A41,1))/(AN$11*IF(REGEXMATCH($C41,AN$9),AN$8,1))*6&gt;6,CEILING($E41*(IF(REGEXMATCH(AN$10,$B41),$A41,1))/(AN$11*IF(REGEXMATCH($C41,AN$9),AN$8,1))*6),FLOOR($E41*(IF(REGEXMATCH(AN$10,$B41),$A41,1))/(AN$11*IF(REGEXMATCH($C41,"&amp;"AN$9),AN$8,1))*6))"),9.0)</f>
        <v>9</v>
      </c>
      <c r="AO41" s="285">
        <f>IFERROR(__xludf.DUMMYFUNCTION("IF($E41*(IF(REGEXMATCH(AO$10,$B41),$A41,1))/(AO$11*IF(REGEXMATCH($C41,AO$9),AO$8,1))*6&gt;6,CEILING($E41*(IF(REGEXMATCH(AO$10,$B41),$A41,1))/(AO$11*IF(REGEXMATCH($C41,AO$9),AO$8,1))*6),FLOOR($E41*(IF(REGEXMATCH(AO$10,$B41),$A41,1))/(AO$11*IF(REGEXMATCH($C41,"&amp;"AO$9),AO$8,1))*6))"),8.0)</f>
        <v>8</v>
      </c>
      <c r="AP41" s="285">
        <f>IFERROR(__xludf.DUMMYFUNCTION("IF($E41*(IF(REGEXMATCH(AP$10,$B41),$A41,1))/(AP$11*IF(REGEXMATCH($C41,AP$9),AP$8,1))*6&gt;6,CEILING($E41*(IF(REGEXMATCH(AP$10,$B41),$A41,1))/(AP$11*IF(REGEXMATCH($C41,AP$9),AP$8,1))*6),FLOOR($E41*(IF(REGEXMATCH(AP$10,$B41),$A41,1))/(AP$11*IF(REGEXMATCH($C41,"&amp;"AP$9),AP$8,1))*6))"),8.0)</f>
        <v>8</v>
      </c>
      <c r="AQ41" s="285">
        <f>IFERROR(__xludf.DUMMYFUNCTION("IF($E41*(IF(REGEXMATCH(AQ$10,$B41),$A41,1))/(AQ$11*IF(REGEXMATCH($C41,AQ$9),AQ$8,1))*6&gt;6,CEILING($E41*(IF(REGEXMATCH(AQ$10,$B41),$A41,1))/(AQ$11*IF(REGEXMATCH($C41,AQ$9),AQ$8,1))*6),FLOOR($E41*(IF(REGEXMATCH(AQ$10,$B41),$A41,1))/(AQ$11*IF(REGEXMATCH($C41,"&amp;"AQ$9),AQ$8,1))*6))"),9.0)</f>
        <v>9</v>
      </c>
      <c r="AR41" s="285">
        <f>IFERROR(__xludf.DUMMYFUNCTION("IF($E41*(IF(REGEXMATCH(AR$10,$B41),$A41,1))/(AR$11*IF(REGEXMATCH($C41,AR$9),AR$8,1))*6&gt;6,CEILING($E41*(IF(REGEXMATCH(AR$10,$B41),$A41,1))/(AR$11*IF(REGEXMATCH($C41,AR$9),AR$8,1))*6),FLOOR($E41*(IF(REGEXMATCH(AR$10,$B41),$A41,1))/(AR$11*IF(REGEXMATCH($C41,"&amp;"AR$9),AR$8,1))*6))"),12.0)</f>
        <v>12</v>
      </c>
      <c r="AS41" s="285">
        <f>IFERROR(__xludf.DUMMYFUNCTION("IF($E41*(IF(REGEXMATCH(AS$10,$B41),$A41,1))/(AS$11*IF(REGEXMATCH($C41,AS$9),AS$8,1))*6&gt;6,CEILING($E41*(IF(REGEXMATCH(AS$10,$B41),$A41,1))/(AS$11*IF(REGEXMATCH($C41,AS$9),AS$8,1))*6),FLOOR($E41*(IF(REGEXMATCH(AS$10,$B41),$A41,1))/(AS$11*IF(REGEXMATCH($C41,"&amp;"AS$9),AS$8,1))*6))"),9.0)</f>
        <v>9</v>
      </c>
      <c r="AT41" s="285">
        <f>IFERROR(__xludf.DUMMYFUNCTION("IF($E41*(IF(REGEXMATCH(AT$10,$B41),$A41,1))/(AT$11*IF(REGEXMATCH($C41,AT$9),AT$8,1))*6&gt;6,CEILING($E41*(IF(REGEXMATCH(AT$10,$B41),$A41,1))/(AT$11*IF(REGEXMATCH($C41,AT$9),AT$8,1))*6),FLOOR($E41*(IF(REGEXMATCH(AT$10,$B41),$A41,1))/(AT$11*IF(REGEXMATCH($C41,"&amp;"AT$9),AT$8,1))*6))"),15.0)</f>
        <v>15</v>
      </c>
    </row>
    <row r="42">
      <c r="A42" s="8">
        <v>1.5</v>
      </c>
      <c r="B42" s="8" t="s">
        <v>2435</v>
      </c>
      <c r="C42" s="812" t="s">
        <v>2583</v>
      </c>
      <c r="D42" s="8"/>
      <c r="E42" s="8">
        <v>6.0</v>
      </c>
      <c r="F42" s="175" t="s">
        <v>2555</v>
      </c>
      <c r="G42" s="285">
        <f>IFERROR(__xludf.DUMMYFUNCTION("IF($E42*(IF(REGEXMATCH(G$10,$B42),$A42,1))/(G$11*IF(REGEXMATCH($C42,G$9),G$8,1))*6&gt;6,CEILING($E42*(IF(REGEXMATCH(G$10,$B42),$A42,1))/(G$11*IF(REGEXMATCH($C42,G$9),G$8,1))*6),FLOOR($E42*(IF(REGEXMATCH(G$10,$B42),$A42,1))/(G$11*IF(REGEXMATCH($C42,G$9),G$8,1"&amp;"))*6))"),5.0)</f>
        <v>5</v>
      </c>
      <c r="H42" s="285">
        <f>IFERROR(__xludf.DUMMYFUNCTION("IF($E42*(IF(REGEXMATCH(H$10,$B42),$A42,1))/(H$11*IF(REGEXMATCH($C42,H$9),H$8,1))*6&gt;6,CEILING($E42*(IF(REGEXMATCH(H$10,$B42),$A42,1))/(H$11*IF(REGEXMATCH($C42,H$9),H$8,1))*6),FLOOR($E42*(IF(REGEXMATCH(H$10,$B42),$A42,1))/(H$11*IF(REGEXMATCH($C42,H$9),H$8,1"&amp;"))*6))"),3.0)</f>
        <v>3</v>
      </c>
      <c r="I42" s="285">
        <f>IFERROR(__xludf.DUMMYFUNCTION("IF($E42*(IF(REGEXMATCH(I$10,$B42),$A42,1))/(I$11*IF(REGEXMATCH($C42,I$9),I$8,1))*6&gt;6,CEILING($E42*(IF(REGEXMATCH(I$10,$B42),$A42,1))/(I$11*IF(REGEXMATCH($C42,I$9),I$8,1))*6),FLOOR($E42*(IF(REGEXMATCH(I$10,$B42),$A42,1))/(I$11*IF(REGEXMATCH($C42,I$9),I$8,1"&amp;"))*6))"),3.0)</f>
        <v>3</v>
      </c>
      <c r="J42" s="285">
        <f>IFERROR(__xludf.DUMMYFUNCTION("IF($E42*(IF(REGEXMATCH(J$10,$B42),$A42,1))/(J$11*IF(REGEXMATCH($C42,J$9),J$8,1))*6&gt;6,CEILING($E42*(IF(REGEXMATCH(J$10,$B42),$A42,1))/(J$11*IF(REGEXMATCH($C42,J$9),J$8,1))*6),FLOOR($E42*(IF(REGEXMATCH(J$10,$B42),$A42,1))/(J$11*IF(REGEXMATCH($C42,J$9),J$8,1"&amp;"))*6))"),4.0)</f>
        <v>4</v>
      </c>
      <c r="K42" s="285">
        <f>IFERROR(__xludf.DUMMYFUNCTION("IF($E42*(IF(REGEXMATCH(K$10,$B42),$A42,1))/(K$11*IF(REGEXMATCH($C42,K$9),K$8,1))*6&gt;6,CEILING($E42*(IF(REGEXMATCH(K$10,$B42),$A42,1))/(K$11*IF(REGEXMATCH($C42,K$9),K$8,1))*6),FLOOR($E42*(IF(REGEXMATCH(K$10,$B42),$A42,1))/(K$11*IF(REGEXMATCH($C42,K$9),K$8,1"&amp;"))*6))"),4.0)</f>
        <v>4</v>
      </c>
      <c r="L42" s="285">
        <f>IFERROR(__xludf.DUMMYFUNCTION("IF($E42*(IF(REGEXMATCH(L$10,$B42),$A42,1))/(L$11*IF(REGEXMATCH($C42,L$9),L$8,1))*6&gt;6,CEILING($E42*(IF(REGEXMATCH(L$10,$B42),$A42,1))/(L$11*IF(REGEXMATCH($C42,L$9),L$8,1))*6),FLOOR($E42*(IF(REGEXMATCH(L$10,$B42),$A42,1))/(L$11*IF(REGEXMATCH($C42,L$9),L$8,1"&amp;"))*6))"),7.0)</f>
        <v>7</v>
      </c>
      <c r="M42" s="285">
        <f>IFERROR(__xludf.DUMMYFUNCTION("IF($E42*(IF(REGEXMATCH(M$10,$B42),$A42,1))/(M$11*IF(REGEXMATCH($C42,M$9),M$8,1))*6&gt;6,CEILING($E42*(IF(REGEXMATCH(M$10,$B42),$A42,1))/(M$11*IF(REGEXMATCH($C42,M$9),M$8,1))*6),FLOOR($E42*(IF(REGEXMATCH(M$10,$B42),$A42,1))/(M$11*IF(REGEXMATCH($C42,M$9),M$8,1"&amp;"))*6))"),2.0)</f>
        <v>2</v>
      </c>
      <c r="N42" s="285">
        <f>IFERROR(__xludf.DUMMYFUNCTION("IF($E42*(IF(REGEXMATCH(N$10,$B42),$A42,1))/(N$11*IF(REGEXMATCH($C42,N$9),N$8,1))*6&gt;6,CEILING($E42*(IF(REGEXMATCH(N$10,$B42),$A42,1))/(N$11*IF(REGEXMATCH($C42,N$9),N$8,1))*6),FLOOR($E42*(IF(REGEXMATCH(N$10,$B42),$A42,1))/(N$11*IF(REGEXMATCH($C42,N$9),N$8,1"&amp;"))*6))"),7.0)</f>
        <v>7</v>
      </c>
      <c r="O42" s="285">
        <f>IFERROR(__xludf.DUMMYFUNCTION("IF($E42*(IF(REGEXMATCH(O$10,$B42),$A42,1))/(O$11*IF(REGEXMATCH($C42,O$9),O$8,1))*6&gt;6,CEILING($E42*(IF(REGEXMATCH(O$10,$B42),$A42,1))/(O$11*IF(REGEXMATCH($C42,O$9),O$8,1))*6),FLOOR($E42*(IF(REGEXMATCH(O$10,$B42),$A42,1))/(O$11*IF(REGEXMATCH($C42,O$9),O$8,1"&amp;"))*6))"),4.0)</f>
        <v>4</v>
      </c>
      <c r="P42" s="285">
        <f>IFERROR(__xludf.DUMMYFUNCTION("IF($E42*(IF(REGEXMATCH(P$10,$B42),$A42,1))/(P$11*IF(REGEXMATCH($C42,P$9),P$8,1))*6&gt;6,CEILING($E42*(IF(REGEXMATCH(P$10,$B42),$A42,1))/(P$11*IF(REGEXMATCH($C42,P$9),P$8,1))*6),FLOOR($E42*(IF(REGEXMATCH(P$10,$B42),$A42,1))/(P$11*IF(REGEXMATCH($C42,P$9),P$8,1"&amp;"))*6))"),4.0)</f>
        <v>4</v>
      </c>
      <c r="Q42" s="285">
        <f>IFERROR(__xludf.DUMMYFUNCTION("IF($E42*(IF(REGEXMATCH(Q$10,$B42),$A42,1))/(Q$11*IF(REGEXMATCH($C42,Q$9),Q$8,1))*6&gt;6,CEILING($E42*(IF(REGEXMATCH(Q$10,$B42),$A42,1))/(Q$11*IF(REGEXMATCH($C42,Q$9),Q$8,1))*6),FLOOR($E42*(IF(REGEXMATCH(Q$10,$B42),$A42,1))/(Q$11*IF(REGEXMATCH($C42,Q$9),Q$8,1"&amp;"))*6))"),4.0)</f>
        <v>4</v>
      </c>
      <c r="R42" s="285">
        <f>IFERROR(__xludf.DUMMYFUNCTION("IF($E42*(IF(REGEXMATCH(R$10,$B42),$A42,1))/(R$11*IF(REGEXMATCH($C42,R$9),R$8,1))*6&gt;6,CEILING($E42*(IF(REGEXMATCH(R$10,$B42),$A42,1))/(R$11*IF(REGEXMATCH($C42,R$9),R$8,1))*6),FLOOR($E42*(IF(REGEXMATCH(R$10,$B42),$A42,1))/(R$11*IF(REGEXMATCH($C42,R$9),R$8,1"&amp;"))*6))"),3.0)</f>
        <v>3</v>
      </c>
      <c r="S42" s="285">
        <f>IFERROR(__xludf.DUMMYFUNCTION("IF($E42*(IF(REGEXMATCH(S$10,$B42),$A42,1))/(S$11*IF(REGEXMATCH($C42,S$9),S$8,1))*6&gt;6,CEILING($E42*(IF(REGEXMATCH(S$10,$B42),$A42,1))/(S$11*IF(REGEXMATCH($C42,S$9),S$8,1))*6),FLOOR($E42*(IF(REGEXMATCH(S$10,$B42),$A42,1))/(S$11*IF(REGEXMATCH($C42,S$9),S$8,1"&amp;"))*6))"),4.0)</f>
        <v>4</v>
      </c>
      <c r="T42" s="285">
        <f>IFERROR(__xludf.DUMMYFUNCTION("IF($E42*(IF(REGEXMATCH(T$10,$B42),$A42,1))/(T$11*IF(REGEXMATCH($C42,T$9),T$8,1))*6&gt;6,CEILING($E42*(IF(REGEXMATCH(T$10,$B42),$A42,1))/(T$11*IF(REGEXMATCH($C42,T$9),T$8,1))*6),FLOOR($E42*(IF(REGEXMATCH(T$10,$B42),$A42,1))/(T$11*IF(REGEXMATCH($C42,T$9),T$8,1"&amp;"))*6))"),3.0)</f>
        <v>3</v>
      </c>
      <c r="U42" s="285">
        <f>IFERROR(__xludf.DUMMYFUNCTION("IF($E42*(IF(REGEXMATCH(U$10,$B42),$A42,1))/(U$11*IF(REGEXMATCH($C42,U$9),U$8,1))*6&gt;6,CEILING($E42*(IF(REGEXMATCH(U$10,$B42),$A42,1))/(U$11*IF(REGEXMATCH($C42,U$9),U$8,1))*6),FLOOR($E42*(IF(REGEXMATCH(U$10,$B42),$A42,1))/(U$11*IF(REGEXMATCH($C42,U$9),U$8,1"&amp;"))*6))"),4.0)</f>
        <v>4</v>
      </c>
      <c r="V42" s="285">
        <f>IFERROR(__xludf.DUMMYFUNCTION("IF($E42*(IF(REGEXMATCH(V$10,$B42),$A42,1))/(V$11*IF(REGEXMATCH($C42,V$9),V$8,1))*6&gt;6,CEILING($E42*(IF(REGEXMATCH(V$10,$B42),$A42,1))/(V$11*IF(REGEXMATCH($C42,V$9),V$8,1))*6),FLOOR($E42*(IF(REGEXMATCH(V$10,$B42),$A42,1))/(V$11*IF(REGEXMATCH($C42,V$9),V$8,1"&amp;"))*6))"),4.0)</f>
        <v>4</v>
      </c>
      <c r="W42" s="285">
        <f>IFERROR(__xludf.DUMMYFUNCTION("IF($E42*(IF(REGEXMATCH(W$10,$B42),$A42,1))/(W$11*IF(REGEXMATCH($C42,W$9),W$8,1))*6&gt;6,CEILING($E42*(IF(REGEXMATCH(W$10,$B42),$A42,1))/(W$11*IF(REGEXMATCH($C42,W$9),W$8,1))*6),FLOOR($E42*(IF(REGEXMATCH(W$10,$B42),$A42,1))/(W$11*IF(REGEXMATCH($C42,W$9),W$8,1"&amp;"))*6))"),9.0)</f>
        <v>9</v>
      </c>
      <c r="X42" s="285">
        <f>IFERROR(__xludf.DUMMYFUNCTION("IF($E42*(IF(REGEXMATCH(X$10,$B42),$A42,1))/(X$11*IF(REGEXMATCH($C42,X$9),X$8,1))*6&gt;6,CEILING($E42*(IF(REGEXMATCH(X$10,$B42),$A42,1))/(X$11*IF(REGEXMATCH($C42,X$9),X$8,1))*6),FLOOR($E42*(IF(REGEXMATCH(X$10,$B42),$A42,1))/(X$11*IF(REGEXMATCH($C42,X$9),X$8,1"&amp;"))*6))"),6.0)</f>
        <v>6</v>
      </c>
      <c r="Y42" s="285">
        <f>IFERROR(__xludf.DUMMYFUNCTION("IF($E42*(IF(REGEXMATCH(Y$10,$B42),$A42,1))/(Y$11*IF(REGEXMATCH($C42,Y$9),Y$8,1))*6&gt;6,CEILING($E42*(IF(REGEXMATCH(Y$10,$B42),$A42,1))/(Y$11*IF(REGEXMATCH($C42,Y$9),Y$8,1))*6),FLOOR($E42*(IF(REGEXMATCH(Y$10,$B42),$A42,1))/(Y$11*IF(REGEXMATCH($C42,Y$9),Y$8,1"&amp;"))*6))"),4.0)</f>
        <v>4</v>
      </c>
      <c r="Z42" s="285">
        <f>IFERROR(__xludf.DUMMYFUNCTION("IF($E42*(IF(REGEXMATCH(Z$10,$B42),$A42,1))/(Z$11*IF(REGEXMATCH($C42,Z$9),Z$8,1))*6&gt;6,CEILING($E42*(IF(REGEXMATCH(Z$10,$B42),$A42,1))/(Z$11*IF(REGEXMATCH($C42,Z$9),Z$8,1))*6),FLOOR($E42*(IF(REGEXMATCH(Z$10,$B42),$A42,1))/(Z$11*IF(REGEXMATCH($C42,Z$9),Z$8,1"&amp;"))*6))"),6.0)</f>
        <v>6</v>
      </c>
      <c r="AA42" s="285">
        <f>IFERROR(__xludf.DUMMYFUNCTION("IF($E42*(IF(REGEXMATCH(AA$10,$B42),$A42,1))/(AA$11*IF(REGEXMATCH($C42,AA$9),AA$8,1))*6&gt;6,CEILING($E42*(IF(REGEXMATCH(AA$10,$B42),$A42,1))/(AA$11*IF(REGEXMATCH($C42,AA$9),AA$8,1))*6),FLOOR($E42*(IF(REGEXMATCH(AA$10,$B42),$A42,1))/(AA$11*IF(REGEXMATCH($C42,"&amp;"AA$9),AA$8,1))*6))"),6.0)</f>
        <v>6</v>
      </c>
      <c r="AB42" s="285">
        <f>IFERROR(__xludf.DUMMYFUNCTION("IF($E42*(IF(REGEXMATCH(AB$10,$B42),$A42,1))/(AB$11*IF(REGEXMATCH($C42,AB$9),AB$8,1))*6&gt;6,CEILING($E42*(IF(REGEXMATCH(AB$10,$B42),$A42,1))/(AB$11*IF(REGEXMATCH($C42,AB$9),AB$8,1))*6),FLOOR($E42*(IF(REGEXMATCH(AB$10,$B42),$A42,1))/(AB$11*IF(REGEXMATCH($C42,"&amp;"AB$9),AB$8,1))*6))"),9.0)</f>
        <v>9</v>
      </c>
      <c r="AC42" s="285">
        <f>IFERROR(__xludf.DUMMYFUNCTION("IF($E42*(IF(REGEXMATCH(AC$10,$B42),$A42,1))/(AC$11*IF(REGEXMATCH($C42,AC$9),AC$8,1))*6&gt;6,CEILING($E42*(IF(REGEXMATCH(AC$10,$B42),$A42,1))/(AC$11*IF(REGEXMATCH($C42,AC$9),AC$8,1))*6),FLOOR($E42*(IF(REGEXMATCH(AC$10,$B42),$A42,1))/(AC$11*IF(REGEXMATCH($C42,"&amp;"AC$9),AC$8,1))*6))"),9.0)</f>
        <v>9</v>
      </c>
      <c r="AD42" s="285">
        <f>IFERROR(__xludf.DUMMYFUNCTION("IF($E42*(IF(REGEXMATCH(AD$10,$B42),$A42,1))/(AD$11*IF(REGEXMATCH($C42,AD$9),AD$8,1))*6&gt;6,CEILING($E42*(IF(REGEXMATCH(AD$10,$B42),$A42,1))/(AD$11*IF(REGEXMATCH($C42,AD$9),AD$8,1))*6),FLOOR($E42*(IF(REGEXMATCH(AD$10,$B42),$A42,1))/(AD$11*IF(REGEXMATCH($C42,"&amp;"AD$9),AD$8,1))*6))"),6.0)</f>
        <v>6</v>
      </c>
      <c r="AE42" s="285">
        <f>IFERROR(__xludf.DUMMYFUNCTION("IF($E42*(IF(REGEXMATCH(AE$10,$B42),$A42,1))/(AE$11*IF(REGEXMATCH($C42,AE$9),AE$8,1))*6&gt;6,CEILING($E42*(IF(REGEXMATCH(AE$10,$B42),$A42,1))/(AE$11*IF(REGEXMATCH($C42,AE$9),AE$8,1))*6),FLOOR($E42*(IF(REGEXMATCH(AE$10,$B42),$A42,1))/(AE$11*IF(REGEXMATCH($C42,"&amp;"AE$9),AE$8,1))*6))"),6.0)</f>
        <v>6</v>
      </c>
      <c r="AF42" s="285">
        <f>IFERROR(__xludf.DUMMYFUNCTION("IF($E42*(IF(REGEXMATCH(AF$10,$B42),$A42,1))/(AF$11*IF(REGEXMATCH($C42,AF$9),AF$8,1))*6&gt;6,CEILING($E42*(IF(REGEXMATCH(AF$10,$B42),$A42,1))/(AF$11*IF(REGEXMATCH($C42,AF$9),AF$8,1))*6),FLOOR($E42*(IF(REGEXMATCH(AF$10,$B42),$A42,1))/(AF$11*IF(REGEXMATCH($C42,"&amp;"AF$9),AF$8,1))*6))"),6.0)</f>
        <v>6</v>
      </c>
      <c r="AG42" s="285">
        <f>IFERROR(__xludf.DUMMYFUNCTION("IF($E42*(IF(REGEXMATCH(AG$10,$B42),$A42,1))/(AG$11*IF(REGEXMATCH($C42,AG$9),AG$8,1))*6&gt;6,CEILING($E42*(IF(REGEXMATCH(AG$10,$B42),$A42,1))/(AG$11*IF(REGEXMATCH($C42,AG$9),AG$8,1))*6),FLOOR($E42*(IF(REGEXMATCH(AG$10,$B42),$A42,1))/(AG$11*IF(REGEXMATCH($C42,"&amp;"AG$9),AG$8,1))*6))"),4.0)</f>
        <v>4</v>
      </c>
      <c r="AH42" s="285">
        <f>IFERROR(__xludf.DUMMYFUNCTION("IF($E42*(IF(REGEXMATCH(AH$10,$B42),$A42,1))/(AH$11*IF(REGEXMATCH($C42,AH$9),AH$8,1))*6&gt;6,CEILING($E42*(IF(REGEXMATCH(AH$10,$B42),$A42,1))/(AH$11*IF(REGEXMATCH($C42,AH$9),AH$8,1))*6),FLOOR($E42*(IF(REGEXMATCH(AH$10,$B42),$A42,1))/(AH$11*IF(REGEXMATCH($C42,"&amp;"AH$9),AH$8,1))*6))"),6.0)</f>
        <v>6</v>
      </c>
      <c r="AI42" s="285">
        <f>IFERROR(__xludf.DUMMYFUNCTION("IF($E42*(IF(REGEXMATCH(AI$10,$B42),$A42,1))/(AI$11*IF(REGEXMATCH($C42,AI$9),AI$8,1))*6&gt;6,CEILING($E42*(IF(REGEXMATCH(AI$10,$B42),$A42,1))/(AI$11*IF(REGEXMATCH($C42,AI$9),AI$8,1))*6),FLOOR($E42*(IF(REGEXMATCH(AI$10,$B42),$A42,1))/(AI$11*IF(REGEXMATCH($C42,"&amp;"AI$9),AI$8,1))*6))"),4.0)</f>
        <v>4</v>
      </c>
      <c r="AJ42" s="285">
        <f>IFERROR(__xludf.DUMMYFUNCTION("IF($E42*(IF(REGEXMATCH(AJ$10,$B42),$A42,1))/(AJ$11*IF(REGEXMATCH($C42,AJ$9),AJ$8,1))*6&gt;6,CEILING($E42*(IF(REGEXMATCH(AJ$10,$B42),$A42,1))/(AJ$11*IF(REGEXMATCH($C42,AJ$9),AJ$8,1))*6),FLOOR($E42*(IF(REGEXMATCH(AJ$10,$B42),$A42,1))/(AJ$11*IF(REGEXMATCH($C42,"&amp;"AJ$9),AJ$8,1))*6))"),6.0)</f>
        <v>6</v>
      </c>
      <c r="AK42" s="285">
        <f>IFERROR(__xludf.DUMMYFUNCTION("IF($E42*(IF(REGEXMATCH(AK$10,$B42),$A42,1))/(AK$11*IF(REGEXMATCH($C42,AK$9),AK$8,1))*6&gt;6,CEILING($E42*(IF(REGEXMATCH(AK$10,$B42),$A42,1))/(AK$11*IF(REGEXMATCH($C42,AK$9),AK$8,1))*6),FLOOR($E42*(IF(REGEXMATCH(AK$10,$B42),$A42,1))/(AK$11*IF(REGEXMATCH($C42,"&amp;"AK$9),AK$8,1))*6))"),6.0)</f>
        <v>6</v>
      </c>
      <c r="AL42" s="285">
        <f>IFERROR(__xludf.DUMMYFUNCTION("IF($E42*(IF(REGEXMATCH(AL$10,$B42),$A42,1))/(AL$11*IF(REGEXMATCH($C42,AL$9),AL$8,1))*6&gt;6,CEILING($E42*(IF(REGEXMATCH(AL$10,$B42),$A42,1))/(AL$11*IF(REGEXMATCH($C42,AL$9),AL$8,1))*6),FLOOR($E42*(IF(REGEXMATCH(AL$10,$B42),$A42,1))/(AL$11*IF(REGEXMATCH($C42,"&amp;"AL$9),AL$8,1))*6))"),8.0)</f>
        <v>8</v>
      </c>
      <c r="AM42" s="285">
        <f>IFERROR(__xludf.DUMMYFUNCTION("IF($E42*(IF(REGEXMATCH(AM$10,$B42),$A42,1))/(AM$11*IF(REGEXMATCH($C42,AM$9),AM$8,1))*6&gt;6,CEILING($E42*(IF(REGEXMATCH(AM$10,$B42),$A42,1))/(AM$11*IF(REGEXMATCH($C42,AM$9),AM$8,1))*6),FLOOR($E42*(IF(REGEXMATCH(AM$10,$B42),$A42,1))/(AM$11*IF(REGEXMATCH($C42,"&amp;"AM$9),AM$8,1))*6))"),8.0)</f>
        <v>8</v>
      </c>
      <c r="AN42" s="285">
        <f>IFERROR(__xludf.DUMMYFUNCTION("IF($E42*(IF(REGEXMATCH(AN$10,$B42),$A42,1))/(AN$11*IF(REGEXMATCH($C42,AN$9),AN$8,1))*6&gt;6,CEILING($E42*(IF(REGEXMATCH(AN$10,$B42),$A42,1))/(AN$11*IF(REGEXMATCH($C42,AN$9),AN$8,1))*6),FLOOR($E42*(IF(REGEXMATCH(AN$10,$B42),$A42,1))/(AN$11*IF(REGEXMATCH($C42,"&amp;"AN$9),AN$8,1))*6))"),4.0)</f>
        <v>4</v>
      </c>
      <c r="AO42" s="285">
        <f>IFERROR(__xludf.DUMMYFUNCTION("IF($E42*(IF(REGEXMATCH(AO$10,$B42),$A42,1))/(AO$11*IF(REGEXMATCH($C42,AO$9),AO$8,1))*6&gt;6,CEILING($E42*(IF(REGEXMATCH(AO$10,$B42),$A42,1))/(AO$11*IF(REGEXMATCH($C42,AO$9),AO$8,1))*6),FLOOR($E42*(IF(REGEXMATCH(AO$10,$B42),$A42,1))/(AO$11*IF(REGEXMATCH($C42,"&amp;"AO$9),AO$8,1))*6))"),8.0)</f>
        <v>8</v>
      </c>
      <c r="AP42" s="285">
        <f>IFERROR(__xludf.DUMMYFUNCTION("IF($E42*(IF(REGEXMATCH(AP$10,$B42),$A42,1))/(AP$11*IF(REGEXMATCH($C42,AP$9),AP$8,1))*6&gt;6,CEILING($E42*(IF(REGEXMATCH(AP$10,$B42),$A42,1))/(AP$11*IF(REGEXMATCH($C42,AP$9),AP$8,1))*6),FLOOR($E42*(IF(REGEXMATCH(AP$10,$B42),$A42,1))/(AP$11*IF(REGEXMATCH($C42,"&amp;"AP$9),AP$8,1))*6))"),4.0)</f>
        <v>4</v>
      </c>
      <c r="AQ42" s="285">
        <f>IFERROR(__xludf.DUMMYFUNCTION("IF($E42*(IF(REGEXMATCH(AQ$10,$B42),$A42,1))/(AQ$11*IF(REGEXMATCH($C42,AQ$9),AQ$8,1))*6&gt;6,CEILING($E42*(IF(REGEXMATCH(AQ$10,$B42),$A42,1))/(AQ$11*IF(REGEXMATCH($C42,AQ$9),AQ$8,1))*6),FLOOR($E42*(IF(REGEXMATCH(AQ$10,$B42),$A42,1))/(AQ$11*IF(REGEXMATCH($C42,"&amp;"AQ$9),AQ$8,1))*6))"),5.0)</f>
        <v>5</v>
      </c>
      <c r="AR42" s="285">
        <f>IFERROR(__xludf.DUMMYFUNCTION("IF($E42*(IF(REGEXMATCH(AR$10,$B42),$A42,1))/(AR$11*IF(REGEXMATCH($C42,AR$9),AR$8,1))*6&gt;6,CEILING($E42*(IF(REGEXMATCH(AR$10,$B42),$A42,1))/(AR$11*IF(REGEXMATCH($C42,AR$9),AR$8,1))*6),FLOOR($E42*(IF(REGEXMATCH(AR$10,$B42),$A42,1))/(AR$11*IF(REGEXMATCH($C42,"&amp;"AR$9),AR$8,1))*6))"),9.0)</f>
        <v>9</v>
      </c>
      <c r="AS42" s="285">
        <f>IFERROR(__xludf.DUMMYFUNCTION("IF($E42*(IF(REGEXMATCH(AS$10,$B42),$A42,1))/(AS$11*IF(REGEXMATCH($C42,AS$9),AS$8,1))*6&gt;6,CEILING($E42*(IF(REGEXMATCH(AS$10,$B42),$A42,1))/(AS$11*IF(REGEXMATCH($C42,AS$9),AS$8,1))*6),FLOOR($E42*(IF(REGEXMATCH(AS$10,$B42),$A42,1))/(AS$11*IF(REGEXMATCH($C42,"&amp;"AS$9),AS$8,1))*6))"),9.0)</f>
        <v>9</v>
      </c>
      <c r="AT42" s="285">
        <f>IFERROR(__xludf.DUMMYFUNCTION("IF($E42*(IF(REGEXMATCH(AT$10,$B42),$A42,1))/(AT$11*IF(REGEXMATCH($C42,AT$9),AT$8,1))*6&gt;6,CEILING($E42*(IF(REGEXMATCH(AT$10,$B42),$A42,1))/(AT$11*IF(REGEXMATCH($C42,AT$9),AT$8,1))*6),FLOOR($E42*(IF(REGEXMATCH(AT$10,$B42),$A42,1))/(AT$11*IF(REGEXMATCH($C42,"&amp;"AT$9),AT$8,1))*6))"),12.0)</f>
        <v>12</v>
      </c>
    </row>
    <row r="43">
      <c r="A43" s="8">
        <v>1.0</v>
      </c>
      <c r="B43" s="8" t="s">
        <v>2577</v>
      </c>
      <c r="C43" s="813" t="s">
        <v>2584</v>
      </c>
      <c r="D43" s="813"/>
      <c r="E43" s="813">
        <v>6.0</v>
      </c>
      <c r="F43" s="815" t="s">
        <v>2556</v>
      </c>
      <c r="G43" s="285">
        <f>IFERROR(__xludf.DUMMYFUNCTION("IF($E43*(IF(REGEXMATCH(G$10,$B43),$A43,1))/(G$11*IF(REGEXMATCH($C43,G$9),G$8,1))*6&gt;6,CEILING($E43*(IF(REGEXMATCH(G$10,$B43),$A43,1))/(G$11*IF(REGEXMATCH($C43,G$9),G$8,1))*6),FLOOR($E43*(IF(REGEXMATCH(G$10,$B43),$A43,1))/(G$11*IF(REGEXMATCH($C43,G$9),G$8,1"&amp;"))*6))"),3.0)</f>
        <v>3</v>
      </c>
      <c r="H43" s="285">
        <f>IFERROR(__xludf.DUMMYFUNCTION("IF($E43*(IF(REGEXMATCH(H$10,$B43),$A43,1))/(H$11*IF(REGEXMATCH($C43,H$9),H$8,1))*6&gt;6,CEILING($E43*(IF(REGEXMATCH(H$10,$B43),$A43,1))/(H$11*IF(REGEXMATCH($C43,H$9),H$8,1))*6),FLOOR($E43*(IF(REGEXMATCH(H$10,$B43),$A43,1))/(H$11*IF(REGEXMATCH($C43,H$9),H$8,1"&amp;"))*6))"),3.0)</f>
        <v>3</v>
      </c>
      <c r="I43" s="285">
        <f>IFERROR(__xludf.DUMMYFUNCTION("IF($E43*(IF(REGEXMATCH(I$10,$B43),$A43,1))/(I$11*IF(REGEXMATCH($C43,I$9),I$8,1))*6&gt;6,CEILING($E43*(IF(REGEXMATCH(I$10,$B43),$A43,1))/(I$11*IF(REGEXMATCH($C43,I$9),I$8,1))*6),FLOOR($E43*(IF(REGEXMATCH(I$10,$B43),$A43,1))/(I$11*IF(REGEXMATCH($C43,I$9),I$8,1"&amp;"))*6))"),4.0)</f>
        <v>4</v>
      </c>
      <c r="J43" s="285">
        <f>IFERROR(__xludf.DUMMYFUNCTION("IF($E43*(IF(REGEXMATCH(J$10,$B43),$A43,1))/(J$11*IF(REGEXMATCH($C43,J$9),J$8,1))*6&gt;6,CEILING($E43*(IF(REGEXMATCH(J$10,$B43),$A43,1))/(J$11*IF(REGEXMATCH($C43,J$9),J$8,1))*6),FLOOR($E43*(IF(REGEXMATCH(J$10,$B43),$A43,1))/(J$11*IF(REGEXMATCH($C43,J$9),J$8,1"&amp;"))*6))"),3.0)</f>
        <v>3</v>
      </c>
      <c r="K43" s="285">
        <f>IFERROR(__xludf.DUMMYFUNCTION("IF($E43*(IF(REGEXMATCH(K$10,$B43),$A43,1))/(K$11*IF(REGEXMATCH($C43,K$9),K$8,1))*6&gt;6,CEILING($E43*(IF(REGEXMATCH(K$10,$B43),$A43,1))/(K$11*IF(REGEXMATCH($C43,K$9),K$8,1))*6),FLOOR($E43*(IF(REGEXMATCH(K$10,$B43),$A43,1))/(K$11*IF(REGEXMATCH($C43,K$9),K$8,1"&amp;"))*6))"),4.0)</f>
        <v>4</v>
      </c>
      <c r="L43" s="285">
        <f>IFERROR(__xludf.DUMMYFUNCTION("IF($E43*(IF(REGEXMATCH(L$10,$B43),$A43,1))/(L$11*IF(REGEXMATCH($C43,L$9),L$8,1))*6&gt;6,CEILING($E43*(IF(REGEXMATCH(L$10,$B43),$A43,1))/(L$11*IF(REGEXMATCH($C43,L$9),L$8,1))*6),FLOOR($E43*(IF(REGEXMATCH(L$10,$B43),$A43,1))/(L$11*IF(REGEXMATCH($C43,L$9),L$8,1"&amp;"))*6))"),4.0)</f>
        <v>4</v>
      </c>
      <c r="M43" s="285">
        <f>IFERROR(__xludf.DUMMYFUNCTION("IF($E43*(IF(REGEXMATCH(M$10,$B43),$A43,1))/(M$11*IF(REGEXMATCH($C43,M$9),M$8,1))*6&gt;6,CEILING($E43*(IF(REGEXMATCH(M$10,$B43),$A43,1))/(M$11*IF(REGEXMATCH($C43,M$9),M$8,1))*6),FLOOR($E43*(IF(REGEXMATCH(M$10,$B43),$A43,1))/(M$11*IF(REGEXMATCH($C43,M$9),M$8,1"&amp;"))*6))"),4.0)</f>
        <v>4</v>
      </c>
      <c r="N43" s="285">
        <f>IFERROR(__xludf.DUMMYFUNCTION("IF($E43*(IF(REGEXMATCH(N$10,$B43),$A43,1))/(N$11*IF(REGEXMATCH($C43,N$9),N$8,1))*6&gt;6,CEILING($E43*(IF(REGEXMATCH(N$10,$B43),$A43,1))/(N$11*IF(REGEXMATCH($C43,N$9),N$8,1))*6),FLOOR($E43*(IF(REGEXMATCH(N$10,$B43),$A43,1))/(N$11*IF(REGEXMATCH($C43,N$9),N$8,1"&amp;"))*6))"),4.0)</f>
        <v>4</v>
      </c>
      <c r="O43" s="285">
        <f>IFERROR(__xludf.DUMMYFUNCTION("IF($E43*(IF(REGEXMATCH(O$10,$B43),$A43,1))/(O$11*IF(REGEXMATCH($C43,O$9),O$8,1))*6&gt;6,CEILING($E43*(IF(REGEXMATCH(O$10,$B43),$A43,1))/(O$11*IF(REGEXMATCH($C43,O$9),O$8,1))*6),FLOOR($E43*(IF(REGEXMATCH(O$10,$B43),$A43,1))/(O$11*IF(REGEXMATCH($C43,O$9),O$8,1"&amp;"))*6))"),4.0)</f>
        <v>4</v>
      </c>
      <c r="P43" s="285">
        <f>IFERROR(__xludf.DUMMYFUNCTION("IF($E43*(IF(REGEXMATCH(P$10,$B43),$A43,1))/(P$11*IF(REGEXMATCH($C43,P$9),P$8,1))*6&gt;6,CEILING($E43*(IF(REGEXMATCH(P$10,$B43),$A43,1))/(P$11*IF(REGEXMATCH($C43,P$9),P$8,1))*6),FLOOR($E43*(IF(REGEXMATCH(P$10,$B43),$A43,1))/(P$11*IF(REGEXMATCH($C43,P$9),P$8,1"&amp;"))*6))"),4.0)</f>
        <v>4</v>
      </c>
      <c r="Q43" s="285">
        <f>IFERROR(__xludf.DUMMYFUNCTION("IF($E43*(IF(REGEXMATCH(Q$10,$B43),$A43,1))/(Q$11*IF(REGEXMATCH($C43,Q$9),Q$8,1))*6&gt;6,CEILING($E43*(IF(REGEXMATCH(Q$10,$B43),$A43,1))/(Q$11*IF(REGEXMATCH($C43,Q$9),Q$8,1))*6),FLOOR($E43*(IF(REGEXMATCH(Q$10,$B43),$A43,1))/(Q$11*IF(REGEXMATCH($C43,Q$9),Q$8,1"&amp;"))*6))"),4.0)</f>
        <v>4</v>
      </c>
      <c r="R43" s="285">
        <f>IFERROR(__xludf.DUMMYFUNCTION("IF($E43*(IF(REGEXMATCH(R$10,$B43),$A43,1))/(R$11*IF(REGEXMATCH($C43,R$9),R$8,1))*6&gt;6,CEILING($E43*(IF(REGEXMATCH(R$10,$B43),$A43,1))/(R$11*IF(REGEXMATCH($C43,R$9),R$8,1))*6),FLOOR($E43*(IF(REGEXMATCH(R$10,$B43),$A43,1))/(R$11*IF(REGEXMATCH($C43,R$9),R$8,1"&amp;"))*6))"),4.0)</f>
        <v>4</v>
      </c>
      <c r="S43" s="285">
        <f>IFERROR(__xludf.DUMMYFUNCTION("IF($E43*(IF(REGEXMATCH(S$10,$B43),$A43,1))/(S$11*IF(REGEXMATCH($C43,S$9),S$8,1))*6&gt;6,CEILING($E43*(IF(REGEXMATCH(S$10,$B43),$A43,1))/(S$11*IF(REGEXMATCH($C43,S$9),S$8,1))*6),FLOOR($E43*(IF(REGEXMATCH(S$10,$B43),$A43,1))/(S$11*IF(REGEXMATCH($C43,S$9),S$8,1"&amp;"))*6))"),4.0)</f>
        <v>4</v>
      </c>
      <c r="T43" s="285">
        <f>IFERROR(__xludf.DUMMYFUNCTION("IF($E43*(IF(REGEXMATCH(T$10,$B43),$A43,1))/(T$11*IF(REGEXMATCH($C43,T$9),T$8,1))*6&gt;6,CEILING($E43*(IF(REGEXMATCH(T$10,$B43),$A43,1))/(T$11*IF(REGEXMATCH($C43,T$9),T$8,1))*6),FLOOR($E43*(IF(REGEXMATCH(T$10,$B43),$A43,1))/(T$11*IF(REGEXMATCH($C43,T$9),T$8,1"&amp;"))*6))"),4.0)</f>
        <v>4</v>
      </c>
      <c r="U43" s="285">
        <f>IFERROR(__xludf.DUMMYFUNCTION("IF($E43*(IF(REGEXMATCH(U$10,$B43),$A43,1))/(U$11*IF(REGEXMATCH($C43,U$9),U$8,1))*6&gt;6,CEILING($E43*(IF(REGEXMATCH(U$10,$B43),$A43,1))/(U$11*IF(REGEXMATCH($C43,U$9),U$8,1))*6),FLOOR($E43*(IF(REGEXMATCH(U$10,$B43),$A43,1))/(U$11*IF(REGEXMATCH($C43,U$9),U$8,1"&amp;"))*6))"),4.0)</f>
        <v>4</v>
      </c>
      <c r="V43" s="285">
        <f>IFERROR(__xludf.DUMMYFUNCTION("IF($E43*(IF(REGEXMATCH(V$10,$B43),$A43,1))/(V$11*IF(REGEXMATCH($C43,V$9),V$8,1))*6&gt;6,CEILING($E43*(IF(REGEXMATCH(V$10,$B43),$A43,1))/(V$11*IF(REGEXMATCH($C43,V$9),V$8,1))*6),FLOOR($E43*(IF(REGEXMATCH(V$10,$B43),$A43,1))/(V$11*IF(REGEXMATCH($C43,V$9),V$8,1"&amp;"))*6))"),4.0)</f>
        <v>4</v>
      </c>
      <c r="W43" s="285">
        <f>IFERROR(__xludf.DUMMYFUNCTION("IF($E43*(IF(REGEXMATCH(W$10,$B43),$A43,1))/(W$11*IF(REGEXMATCH($C43,W$9),W$8,1))*6&gt;6,CEILING($E43*(IF(REGEXMATCH(W$10,$B43),$A43,1))/(W$11*IF(REGEXMATCH($C43,W$9),W$8,1))*6),FLOOR($E43*(IF(REGEXMATCH(W$10,$B43),$A43,1))/(W$11*IF(REGEXMATCH($C43,W$9),W$8,1"&amp;"))*6))"),6.0)</f>
        <v>6</v>
      </c>
      <c r="X43" s="285">
        <f>IFERROR(__xludf.DUMMYFUNCTION("IF($E43*(IF(REGEXMATCH(X$10,$B43),$A43,1))/(X$11*IF(REGEXMATCH($C43,X$9),X$8,1))*6&gt;6,CEILING($E43*(IF(REGEXMATCH(X$10,$B43),$A43,1))/(X$11*IF(REGEXMATCH($C43,X$9),X$8,1))*6),FLOOR($E43*(IF(REGEXMATCH(X$10,$B43),$A43,1))/(X$11*IF(REGEXMATCH($C43,X$9),X$8,1"&amp;"))*6))"),6.0)</f>
        <v>6</v>
      </c>
      <c r="Y43" s="285">
        <f>IFERROR(__xludf.DUMMYFUNCTION("IF($E43*(IF(REGEXMATCH(Y$10,$B43),$A43,1))/(Y$11*IF(REGEXMATCH($C43,Y$9),Y$8,1))*6&gt;6,CEILING($E43*(IF(REGEXMATCH(Y$10,$B43),$A43,1))/(Y$11*IF(REGEXMATCH($C43,Y$9),Y$8,1))*6),FLOOR($E43*(IF(REGEXMATCH(Y$10,$B43),$A43,1))/(Y$11*IF(REGEXMATCH($C43,Y$9),Y$8,1"&amp;"))*6))"),6.0)</f>
        <v>6</v>
      </c>
      <c r="Z43" s="285">
        <f>IFERROR(__xludf.DUMMYFUNCTION("IF($E43*(IF(REGEXMATCH(Z$10,$B43),$A43,1))/(Z$11*IF(REGEXMATCH($C43,Z$9),Z$8,1))*6&gt;6,CEILING($E43*(IF(REGEXMATCH(Z$10,$B43),$A43,1))/(Z$11*IF(REGEXMATCH($C43,Z$9),Z$8,1))*6),FLOOR($E43*(IF(REGEXMATCH(Z$10,$B43),$A43,1))/(Z$11*IF(REGEXMATCH($C43,Z$9),Z$8,1"&amp;"))*6))"),6.0)</f>
        <v>6</v>
      </c>
      <c r="AA43" s="285">
        <f>IFERROR(__xludf.DUMMYFUNCTION("IF($E43*(IF(REGEXMATCH(AA$10,$B43),$A43,1))/(AA$11*IF(REGEXMATCH($C43,AA$9),AA$8,1))*6&gt;6,CEILING($E43*(IF(REGEXMATCH(AA$10,$B43),$A43,1))/(AA$11*IF(REGEXMATCH($C43,AA$9),AA$8,1))*6),FLOOR($E43*(IF(REGEXMATCH(AA$10,$B43),$A43,1))/(AA$11*IF(REGEXMATCH($C43,"&amp;"AA$9),AA$8,1))*6))"),6.0)</f>
        <v>6</v>
      </c>
      <c r="AB43" s="285">
        <f>IFERROR(__xludf.DUMMYFUNCTION("IF($E43*(IF(REGEXMATCH(AB$10,$B43),$A43,1))/(AB$11*IF(REGEXMATCH($C43,AB$9),AB$8,1))*6&gt;6,CEILING($E43*(IF(REGEXMATCH(AB$10,$B43),$A43,1))/(AB$11*IF(REGEXMATCH($C43,AB$9),AB$8,1))*6),FLOOR($E43*(IF(REGEXMATCH(AB$10,$B43),$A43,1))/(AB$11*IF(REGEXMATCH($C43,"&amp;"AB$9),AB$8,1))*6))"),6.0)</f>
        <v>6</v>
      </c>
      <c r="AC43" s="285">
        <f>IFERROR(__xludf.DUMMYFUNCTION("IF($E43*(IF(REGEXMATCH(AC$10,$B43),$A43,1))/(AC$11*IF(REGEXMATCH($C43,AC$9),AC$8,1))*6&gt;6,CEILING($E43*(IF(REGEXMATCH(AC$10,$B43),$A43,1))/(AC$11*IF(REGEXMATCH($C43,AC$9),AC$8,1))*6),FLOOR($E43*(IF(REGEXMATCH(AC$10,$B43),$A43,1))/(AC$11*IF(REGEXMATCH($C43,"&amp;"AC$9),AC$8,1))*6))"),6.0)</f>
        <v>6</v>
      </c>
      <c r="AD43" s="285">
        <f>IFERROR(__xludf.DUMMYFUNCTION("IF($E43*(IF(REGEXMATCH(AD$10,$B43),$A43,1))/(AD$11*IF(REGEXMATCH($C43,AD$9),AD$8,1))*6&gt;6,CEILING($E43*(IF(REGEXMATCH(AD$10,$B43),$A43,1))/(AD$11*IF(REGEXMATCH($C43,AD$9),AD$8,1))*6),FLOOR($E43*(IF(REGEXMATCH(AD$10,$B43),$A43,1))/(AD$11*IF(REGEXMATCH($C43,"&amp;"AD$9),AD$8,1))*6))"),6.0)</f>
        <v>6</v>
      </c>
      <c r="AE43" s="285">
        <f>IFERROR(__xludf.DUMMYFUNCTION("IF($E43*(IF(REGEXMATCH(AE$10,$B43),$A43,1))/(AE$11*IF(REGEXMATCH($C43,AE$9),AE$8,1))*6&gt;6,CEILING($E43*(IF(REGEXMATCH(AE$10,$B43),$A43,1))/(AE$11*IF(REGEXMATCH($C43,AE$9),AE$8,1))*6),FLOOR($E43*(IF(REGEXMATCH(AE$10,$B43),$A43,1))/(AE$11*IF(REGEXMATCH($C43,"&amp;"AE$9),AE$8,1))*6))"),6.0)</f>
        <v>6</v>
      </c>
      <c r="AF43" s="285">
        <f>IFERROR(__xludf.DUMMYFUNCTION("IF($E43*(IF(REGEXMATCH(AF$10,$B43),$A43,1))/(AF$11*IF(REGEXMATCH($C43,AF$9),AF$8,1))*6&gt;6,CEILING($E43*(IF(REGEXMATCH(AF$10,$B43),$A43,1))/(AF$11*IF(REGEXMATCH($C43,AF$9),AF$8,1))*6),FLOOR($E43*(IF(REGEXMATCH(AF$10,$B43),$A43,1))/(AF$11*IF(REGEXMATCH($C43,"&amp;"AF$9),AF$8,1))*6))"),6.0)</f>
        <v>6</v>
      </c>
      <c r="AG43" s="285">
        <f>IFERROR(__xludf.DUMMYFUNCTION("IF($E43*(IF(REGEXMATCH(AG$10,$B43),$A43,1))/(AG$11*IF(REGEXMATCH($C43,AG$9),AG$8,1))*6&gt;6,CEILING($E43*(IF(REGEXMATCH(AG$10,$B43),$A43,1))/(AG$11*IF(REGEXMATCH($C43,AG$9),AG$8,1))*6),FLOOR($E43*(IF(REGEXMATCH(AG$10,$B43),$A43,1))/(AG$11*IF(REGEXMATCH($C43,"&amp;"AG$9),AG$8,1))*6))"),6.0)</f>
        <v>6</v>
      </c>
      <c r="AH43" s="285">
        <f>IFERROR(__xludf.DUMMYFUNCTION("IF($E43*(IF(REGEXMATCH(AH$10,$B43),$A43,1))/(AH$11*IF(REGEXMATCH($C43,AH$9),AH$8,1))*6&gt;6,CEILING($E43*(IF(REGEXMATCH(AH$10,$B43),$A43,1))/(AH$11*IF(REGEXMATCH($C43,AH$9),AH$8,1))*6),FLOOR($E43*(IF(REGEXMATCH(AH$10,$B43),$A43,1))/(AH$11*IF(REGEXMATCH($C43,"&amp;"AH$9),AH$8,1))*6))"),6.0)</f>
        <v>6</v>
      </c>
      <c r="AI43" s="285">
        <f>IFERROR(__xludf.DUMMYFUNCTION("IF($E43*(IF(REGEXMATCH(AI$10,$B43),$A43,1))/(AI$11*IF(REGEXMATCH($C43,AI$9),AI$8,1))*6&gt;6,CEILING($E43*(IF(REGEXMATCH(AI$10,$B43),$A43,1))/(AI$11*IF(REGEXMATCH($C43,AI$9),AI$8,1))*6),FLOOR($E43*(IF(REGEXMATCH(AI$10,$B43),$A43,1))/(AI$11*IF(REGEXMATCH($C43,"&amp;"AI$9),AI$8,1))*6))"),6.0)</f>
        <v>6</v>
      </c>
      <c r="AJ43" s="285">
        <f>IFERROR(__xludf.DUMMYFUNCTION("IF($E43*(IF(REGEXMATCH(AJ$10,$B43),$A43,1))/(AJ$11*IF(REGEXMATCH($C43,AJ$9),AJ$8,1))*6&gt;6,CEILING($E43*(IF(REGEXMATCH(AJ$10,$B43),$A43,1))/(AJ$11*IF(REGEXMATCH($C43,AJ$9),AJ$8,1))*6),FLOOR($E43*(IF(REGEXMATCH(AJ$10,$B43),$A43,1))/(AJ$11*IF(REGEXMATCH($C43,"&amp;"AJ$9),AJ$8,1))*6))"),6.0)</f>
        <v>6</v>
      </c>
      <c r="AK43" s="285">
        <f>IFERROR(__xludf.DUMMYFUNCTION("IF($E43*(IF(REGEXMATCH(AK$10,$B43),$A43,1))/(AK$11*IF(REGEXMATCH($C43,AK$9),AK$8,1))*6&gt;6,CEILING($E43*(IF(REGEXMATCH(AK$10,$B43),$A43,1))/(AK$11*IF(REGEXMATCH($C43,AK$9),AK$8,1))*6),FLOOR($E43*(IF(REGEXMATCH(AK$10,$B43),$A43,1))/(AK$11*IF(REGEXMATCH($C43,"&amp;"AK$9),AK$8,1))*6))"),6.0)</f>
        <v>6</v>
      </c>
      <c r="AL43" s="285">
        <f>IFERROR(__xludf.DUMMYFUNCTION("IF($E43*(IF(REGEXMATCH(AL$10,$B43),$A43,1))/(AL$11*IF(REGEXMATCH($C43,AL$9),AL$8,1))*6&gt;6,CEILING($E43*(IF(REGEXMATCH(AL$10,$B43),$A43,1))/(AL$11*IF(REGEXMATCH($C43,AL$9),AL$8,1))*6),FLOOR($E43*(IF(REGEXMATCH(AL$10,$B43),$A43,1))/(AL$11*IF(REGEXMATCH($C43,"&amp;"AL$9),AL$8,1))*6))"),8.0)</f>
        <v>8</v>
      </c>
      <c r="AM43" s="285">
        <f>IFERROR(__xludf.DUMMYFUNCTION("IF($E43*(IF(REGEXMATCH(AM$10,$B43),$A43,1))/(AM$11*IF(REGEXMATCH($C43,AM$9),AM$8,1))*6&gt;6,CEILING($E43*(IF(REGEXMATCH(AM$10,$B43),$A43,1))/(AM$11*IF(REGEXMATCH($C43,AM$9),AM$8,1))*6),FLOOR($E43*(IF(REGEXMATCH(AM$10,$B43),$A43,1))/(AM$11*IF(REGEXMATCH($C43,"&amp;"AM$9),AM$8,1))*6))"),8.0)</f>
        <v>8</v>
      </c>
      <c r="AN43" s="285">
        <f>IFERROR(__xludf.DUMMYFUNCTION("IF($E43*(IF(REGEXMATCH(AN$10,$B43),$A43,1))/(AN$11*IF(REGEXMATCH($C43,AN$9),AN$8,1))*6&gt;6,CEILING($E43*(IF(REGEXMATCH(AN$10,$B43),$A43,1))/(AN$11*IF(REGEXMATCH($C43,AN$9),AN$8,1))*6),FLOOR($E43*(IF(REGEXMATCH(AN$10,$B43),$A43,1))/(AN$11*IF(REGEXMATCH($C43,"&amp;"AN$9),AN$8,1))*6))"),8.0)</f>
        <v>8</v>
      </c>
      <c r="AO43" s="285">
        <f>IFERROR(__xludf.DUMMYFUNCTION("IF($E43*(IF(REGEXMATCH(AO$10,$B43),$A43,1))/(AO$11*IF(REGEXMATCH($C43,AO$9),AO$8,1))*6&gt;6,CEILING($E43*(IF(REGEXMATCH(AO$10,$B43),$A43,1))/(AO$11*IF(REGEXMATCH($C43,AO$9),AO$8,1))*6),FLOOR($E43*(IF(REGEXMATCH(AO$10,$B43),$A43,1))/(AO$11*IF(REGEXMATCH($C43,"&amp;"AO$9),AO$8,1))*6))"),8.0)</f>
        <v>8</v>
      </c>
      <c r="AP43" s="285">
        <f>IFERROR(__xludf.DUMMYFUNCTION("IF($E43*(IF(REGEXMATCH(AP$10,$B43),$A43,1))/(AP$11*IF(REGEXMATCH($C43,AP$9),AP$8,1))*6&gt;6,CEILING($E43*(IF(REGEXMATCH(AP$10,$B43),$A43,1))/(AP$11*IF(REGEXMATCH($C43,AP$9),AP$8,1))*6),FLOOR($E43*(IF(REGEXMATCH(AP$10,$B43),$A43,1))/(AP$11*IF(REGEXMATCH($C43,"&amp;"AP$9),AP$8,1))*6))"),8.0)</f>
        <v>8</v>
      </c>
      <c r="AQ43" s="285">
        <f>IFERROR(__xludf.DUMMYFUNCTION("IF($E43*(IF(REGEXMATCH(AQ$10,$B43),$A43,1))/(AQ$11*IF(REGEXMATCH($C43,AQ$9),AQ$8,1))*6&gt;6,CEILING($E43*(IF(REGEXMATCH(AQ$10,$B43),$A43,1))/(AQ$11*IF(REGEXMATCH($C43,AQ$9),AQ$8,1))*6),FLOOR($E43*(IF(REGEXMATCH(AQ$10,$B43),$A43,1))/(AQ$11*IF(REGEXMATCH($C43,"&amp;"AQ$9),AQ$8,1))*6))"),8.0)</f>
        <v>8</v>
      </c>
      <c r="AR43" s="285">
        <f>IFERROR(__xludf.DUMMYFUNCTION("IF($E43*(IF(REGEXMATCH(AR$10,$B43),$A43,1))/(AR$11*IF(REGEXMATCH($C43,AR$9),AR$8,1))*6&gt;6,CEILING($E43*(IF(REGEXMATCH(AR$10,$B43),$A43,1))/(AR$11*IF(REGEXMATCH($C43,AR$9),AR$8,1))*6),FLOOR($E43*(IF(REGEXMATCH(AR$10,$B43),$A43,1))/(AR$11*IF(REGEXMATCH($C43,"&amp;"AR$9),AR$8,1))*6))"),9.0)</f>
        <v>9</v>
      </c>
      <c r="AS43" s="285">
        <f>IFERROR(__xludf.DUMMYFUNCTION("IF($E43*(IF(REGEXMATCH(AS$10,$B43),$A43,1))/(AS$11*IF(REGEXMATCH($C43,AS$9),AS$8,1))*6&gt;6,CEILING($E43*(IF(REGEXMATCH(AS$10,$B43),$A43,1))/(AS$11*IF(REGEXMATCH($C43,AS$9),AS$8,1))*6),FLOOR($E43*(IF(REGEXMATCH(AS$10,$B43),$A43,1))/(AS$11*IF(REGEXMATCH($C43,"&amp;"AS$9),AS$8,1))*6))"),9.0)</f>
        <v>9</v>
      </c>
      <c r="AT43" s="285">
        <f>IFERROR(__xludf.DUMMYFUNCTION("IF($E43*(IF(REGEXMATCH(AT$10,$B43),$A43,1))/(AT$11*IF(REGEXMATCH($C43,AT$9),AT$8,1))*6&gt;6,CEILING($E43*(IF(REGEXMATCH(AT$10,$B43),$A43,1))/(AT$11*IF(REGEXMATCH($C43,AT$9),AT$8,1))*6),FLOOR($E43*(IF(REGEXMATCH(AT$10,$B43),$A43,1))/(AT$11*IF(REGEXMATCH($C43,"&amp;"AT$9),AT$8,1))*6))"),12.0)</f>
        <v>12</v>
      </c>
    </row>
    <row r="44">
      <c r="A44" s="8">
        <v>1.5</v>
      </c>
      <c r="B44" s="8" t="s">
        <v>2435</v>
      </c>
      <c r="C44" s="812" t="s">
        <v>2583</v>
      </c>
      <c r="D44" s="8"/>
      <c r="E44" s="8">
        <v>5.0</v>
      </c>
      <c r="F44" s="285" t="s">
        <v>2164</v>
      </c>
      <c r="G44" s="285">
        <f>IFERROR(__xludf.DUMMYFUNCTION("IF($E44*(IF(REGEXMATCH(G$10,$B44),$A44,1))/(G$11*IF(REGEXMATCH($C44,G$9),G$8,1))*6&gt;6,CEILING($E44*(IF(REGEXMATCH(G$10,$B44),$A44,1))/(G$11*IF(REGEXMATCH($C44,G$9),G$8,1))*6),FLOOR($E44*(IF(REGEXMATCH(G$10,$B44),$A44,1))/(G$11*IF(REGEXMATCH($C44,G$9),G$8,1"&amp;"))*6))"),4.0)</f>
        <v>4</v>
      </c>
      <c r="H44" s="285">
        <f>IFERROR(__xludf.DUMMYFUNCTION("IF($E44*(IF(REGEXMATCH(H$10,$B44),$A44,1))/(H$11*IF(REGEXMATCH($C44,H$9),H$8,1))*6&gt;6,CEILING($E44*(IF(REGEXMATCH(H$10,$B44),$A44,1))/(H$11*IF(REGEXMATCH($C44,H$9),H$8,1))*6),FLOOR($E44*(IF(REGEXMATCH(H$10,$B44),$A44,1))/(H$11*IF(REGEXMATCH($C44,H$9),H$8,1"&amp;"))*6))"),3.0)</f>
        <v>3</v>
      </c>
      <c r="I44" s="285">
        <f>IFERROR(__xludf.DUMMYFUNCTION("IF($E44*(IF(REGEXMATCH(I$10,$B44),$A44,1))/(I$11*IF(REGEXMATCH($C44,I$9),I$8,1))*6&gt;6,CEILING($E44*(IF(REGEXMATCH(I$10,$B44),$A44,1))/(I$11*IF(REGEXMATCH($C44,I$9),I$8,1))*6),FLOOR($E44*(IF(REGEXMATCH(I$10,$B44),$A44,1))/(I$11*IF(REGEXMATCH($C44,I$9),I$8,1"&amp;"))*6))"),2.0)</f>
        <v>2</v>
      </c>
      <c r="J44" s="285">
        <f>IFERROR(__xludf.DUMMYFUNCTION("IF($E44*(IF(REGEXMATCH(J$10,$B44),$A44,1))/(J$11*IF(REGEXMATCH($C44,J$9),J$8,1))*6&gt;6,CEILING($E44*(IF(REGEXMATCH(J$10,$B44),$A44,1))/(J$11*IF(REGEXMATCH($C44,J$9),J$8,1))*6),FLOOR($E44*(IF(REGEXMATCH(J$10,$B44),$A44,1))/(J$11*IF(REGEXMATCH($C44,J$9),J$8,1"&amp;"))*6))"),3.0)</f>
        <v>3</v>
      </c>
      <c r="K44" s="285">
        <f>IFERROR(__xludf.DUMMYFUNCTION("IF($E44*(IF(REGEXMATCH(K$10,$B44),$A44,1))/(K$11*IF(REGEXMATCH($C44,K$9),K$8,1))*6&gt;6,CEILING($E44*(IF(REGEXMATCH(K$10,$B44),$A44,1))/(K$11*IF(REGEXMATCH($C44,K$9),K$8,1))*6),FLOOR($E44*(IF(REGEXMATCH(K$10,$B44),$A44,1))/(K$11*IF(REGEXMATCH($C44,K$9),K$8,1"&amp;"))*6))"),3.0)</f>
        <v>3</v>
      </c>
      <c r="L44" s="285">
        <f>IFERROR(__xludf.DUMMYFUNCTION("IF($E44*(IF(REGEXMATCH(L$10,$B44),$A44,1))/(L$11*IF(REGEXMATCH($C44,L$9),L$8,1))*6&gt;6,CEILING($E44*(IF(REGEXMATCH(L$10,$B44),$A44,1))/(L$11*IF(REGEXMATCH($C44,L$9),L$8,1))*6),FLOOR($E44*(IF(REGEXMATCH(L$10,$B44),$A44,1))/(L$11*IF(REGEXMATCH($C44,L$9),L$8,1"&amp;"))*6))"),5.0)</f>
        <v>5</v>
      </c>
      <c r="M44" s="285">
        <f>IFERROR(__xludf.DUMMYFUNCTION("IF($E44*(IF(REGEXMATCH(M$10,$B44),$A44,1))/(M$11*IF(REGEXMATCH($C44,M$9),M$8,1))*6&gt;6,CEILING($E44*(IF(REGEXMATCH(M$10,$B44),$A44,1))/(M$11*IF(REGEXMATCH($C44,M$9),M$8,1))*6),FLOOR($E44*(IF(REGEXMATCH(M$10,$B44),$A44,1))/(M$11*IF(REGEXMATCH($C44,M$9),M$8,1"&amp;"))*6))"),1.0)</f>
        <v>1</v>
      </c>
      <c r="N44" s="285">
        <f>IFERROR(__xludf.DUMMYFUNCTION("IF($E44*(IF(REGEXMATCH(N$10,$B44),$A44,1))/(N$11*IF(REGEXMATCH($C44,N$9),N$8,1))*6&gt;6,CEILING($E44*(IF(REGEXMATCH(N$10,$B44),$A44,1))/(N$11*IF(REGEXMATCH($C44,N$9),N$8,1))*6),FLOOR($E44*(IF(REGEXMATCH(N$10,$B44),$A44,1))/(N$11*IF(REGEXMATCH($C44,N$9),N$8,1"&amp;"))*6))"),5.0)</f>
        <v>5</v>
      </c>
      <c r="O44" s="285">
        <f>IFERROR(__xludf.DUMMYFUNCTION("IF($E44*(IF(REGEXMATCH(O$10,$B44),$A44,1))/(O$11*IF(REGEXMATCH($C44,O$9),O$8,1))*6&gt;6,CEILING($E44*(IF(REGEXMATCH(O$10,$B44),$A44,1))/(O$11*IF(REGEXMATCH($C44,O$9),O$8,1))*6),FLOOR($E44*(IF(REGEXMATCH(O$10,$B44),$A44,1))/(O$11*IF(REGEXMATCH($C44,O$9),O$8,1"&amp;"))*6))"),3.0)</f>
        <v>3</v>
      </c>
      <c r="P44" s="285">
        <f>IFERROR(__xludf.DUMMYFUNCTION("IF($E44*(IF(REGEXMATCH(P$10,$B44),$A44,1))/(P$11*IF(REGEXMATCH($C44,P$9),P$8,1))*6&gt;6,CEILING($E44*(IF(REGEXMATCH(P$10,$B44),$A44,1))/(P$11*IF(REGEXMATCH($C44,P$9),P$8,1))*6),FLOOR($E44*(IF(REGEXMATCH(P$10,$B44),$A44,1))/(P$11*IF(REGEXMATCH($C44,P$9),P$8,1"&amp;"))*6))"),3.0)</f>
        <v>3</v>
      </c>
      <c r="Q44" s="285">
        <f>IFERROR(__xludf.DUMMYFUNCTION("IF($E44*(IF(REGEXMATCH(Q$10,$B44),$A44,1))/(Q$11*IF(REGEXMATCH($C44,Q$9),Q$8,1))*6&gt;6,CEILING($E44*(IF(REGEXMATCH(Q$10,$B44),$A44,1))/(Q$11*IF(REGEXMATCH($C44,Q$9),Q$8,1))*6),FLOOR($E44*(IF(REGEXMATCH(Q$10,$B44),$A44,1))/(Q$11*IF(REGEXMATCH($C44,Q$9),Q$8,1"&amp;"))*6))"),3.0)</f>
        <v>3</v>
      </c>
      <c r="R44" s="285">
        <f>IFERROR(__xludf.DUMMYFUNCTION("IF($E44*(IF(REGEXMATCH(R$10,$B44),$A44,1))/(R$11*IF(REGEXMATCH($C44,R$9),R$8,1))*6&gt;6,CEILING($E44*(IF(REGEXMATCH(R$10,$B44),$A44,1))/(R$11*IF(REGEXMATCH($C44,R$9),R$8,1))*6),FLOOR($E44*(IF(REGEXMATCH(R$10,$B44),$A44,1))/(R$11*IF(REGEXMATCH($C44,R$9),R$8,1"&amp;"))*6))"),2.0)</f>
        <v>2</v>
      </c>
      <c r="S44" s="285">
        <f>IFERROR(__xludf.DUMMYFUNCTION("IF($E44*(IF(REGEXMATCH(S$10,$B44),$A44,1))/(S$11*IF(REGEXMATCH($C44,S$9),S$8,1))*6&gt;6,CEILING($E44*(IF(REGEXMATCH(S$10,$B44),$A44,1))/(S$11*IF(REGEXMATCH($C44,S$9),S$8,1))*6),FLOOR($E44*(IF(REGEXMATCH(S$10,$B44),$A44,1))/(S$11*IF(REGEXMATCH($C44,S$9),S$8,1"&amp;"))*6))"),3.0)</f>
        <v>3</v>
      </c>
      <c r="T44" s="285">
        <f>IFERROR(__xludf.DUMMYFUNCTION("IF($E44*(IF(REGEXMATCH(T$10,$B44),$A44,1))/(T$11*IF(REGEXMATCH($C44,T$9),T$8,1))*6&gt;6,CEILING($E44*(IF(REGEXMATCH(T$10,$B44),$A44,1))/(T$11*IF(REGEXMATCH($C44,T$9),T$8,1))*6),FLOOR($E44*(IF(REGEXMATCH(T$10,$B44),$A44,1))/(T$11*IF(REGEXMATCH($C44,T$9),T$8,1"&amp;"))*6))"),3.0)</f>
        <v>3</v>
      </c>
      <c r="U44" s="285">
        <f>IFERROR(__xludf.DUMMYFUNCTION("IF($E44*(IF(REGEXMATCH(U$10,$B44),$A44,1))/(U$11*IF(REGEXMATCH($C44,U$9),U$8,1))*6&gt;6,CEILING($E44*(IF(REGEXMATCH(U$10,$B44),$A44,1))/(U$11*IF(REGEXMATCH($C44,U$9),U$8,1))*6),FLOOR($E44*(IF(REGEXMATCH(U$10,$B44),$A44,1))/(U$11*IF(REGEXMATCH($C44,U$9),U$8,1"&amp;"))*6))"),3.0)</f>
        <v>3</v>
      </c>
      <c r="V44" s="285">
        <f>IFERROR(__xludf.DUMMYFUNCTION("IF($E44*(IF(REGEXMATCH(V$10,$B44),$A44,1))/(V$11*IF(REGEXMATCH($C44,V$9),V$8,1))*6&gt;6,CEILING($E44*(IF(REGEXMATCH(V$10,$B44),$A44,1))/(V$11*IF(REGEXMATCH($C44,V$9),V$8,1))*6),FLOOR($E44*(IF(REGEXMATCH(V$10,$B44),$A44,1))/(V$11*IF(REGEXMATCH($C44,V$9),V$8,1"&amp;"))*6))"),3.0)</f>
        <v>3</v>
      </c>
      <c r="W44" s="285">
        <f>IFERROR(__xludf.DUMMYFUNCTION("IF($E44*(IF(REGEXMATCH(W$10,$B44),$A44,1))/(W$11*IF(REGEXMATCH($C44,W$9),W$8,1))*6&gt;6,CEILING($E44*(IF(REGEXMATCH(W$10,$B44),$A44,1))/(W$11*IF(REGEXMATCH($C44,W$9),W$8,1))*6),FLOOR($E44*(IF(REGEXMATCH(W$10,$B44),$A44,1))/(W$11*IF(REGEXMATCH($C44,W$9),W$8,1"&amp;"))*6))"),8.0)</f>
        <v>8</v>
      </c>
      <c r="X44" s="285">
        <f>IFERROR(__xludf.DUMMYFUNCTION("IF($E44*(IF(REGEXMATCH(X$10,$B44),$A44,1))/(X$11*IF(REGEXMATCH($C44,X$9),X$8,1))*6&gt;6,CEILING($E44*(IF(REGEXMATCH(X$10,$B44),$A44,1))/(X$11*IF(REGEXMATCH($C44,X$9),X$8,1))*6),FLOOR($E44*(IF(REGEXMATCH(X$10,$B44),$A44,1))/(X$11*IF(REGEXMATCH($C44,X$9),X$8,1"&amp;"))*6))"),5.0)</f>
        <v>5</v>
      </c>
      <c r="Y44" s="285">
        <f>IFERROR(__xludf.DUMMYFUNCTION("IF($E44*(IF(REGEXMATCH(Y$10,$B44),$A44,1))/(Y$11*IF(REGEXMATCH($C44,Y$9),Y$8,1))*6&gt;6,CEILING($E44*(IF(REGEXMATCH(Y$10,$B44),$A44,1))/(Y$11*IF(REGEXMATCH($C44,Y$9),Y$8,1))*6),FLOOR($E44*(IF(REGEXMATCH(Y$10,$B44),$A44,1))/(Y$11*IF(REGEXMATCH($C44,Y$9),Y$8,1"&amp;"))*6))"),4.0)</f>
        <v>4</v>
      </c>
      <c r="Z44" s="285">
        <f>IFERROR(__xludf.DUMMYFUNCTION("IF($E44*(IF(REGEXMATCH(Z$10,$B44),$A44,1))/(Z$11*IF(REGEXMATCH($C44,Z$9),Z$8,1))*6&gt;6,CEILING($E44*(IF(REGEXMATCH(Z$10,$B44),$A44,1))/(Z$11*IF(REGEXMATCH($C44,Z$9),Z$8,1))*6),FLOOR($E44*(IF(REGEXMATCH(Z$10,$B44),$A44,1))/(Z$11*IF(REGEXMATCH($C44,Z$9),Z$8,1"&amp;"))*6))"),5.0)</f>
        <v>5</v>
      </c>
      <c r="AA44" s="285">
        <f>IFERROR(__xludf.DUMMYFUNCTION("IF($E44*(IF(REGEXMATCH(AA$10,$B44),$A44,1))/(AA$11*IF(REGEXMATCH($C44,AA$9),AA$8,1))*6&gt;6,CEILING($E44*(IF(REGEXMATCH(AA$10,$B44),$A44,1))/(AA$11*IF(REGEXMATCH($C44,AA$9),AA$8,1))*6),FLOOR($E44*(IF(REGEXMATCH(AA$10,$B44),$A44,1))/(AA$11*IF(REGEXMATCH($C44,"&amp;"AA$9),AA$8,1))*6))"),5.0)</f>
        <v>5</v>
      </c>
      <c r="AB44" s="285">
        <f>IFERROR(__xludf.DUMMYFUNCTION("IF($E44*(IF(REGEXMATCH(AB$10,$B44),$A44,1))/(AB$11*IF(REGEXMATCH($C44,AB$9),AB$8,1))*6&gt;6,CEILING($E44*(IF(REGEXMATCH(AB$10,$B44),$A44,1))/(AB$11*IF(REGEXMATCH($C44,AB$9),AB$8,1))*6),FLOOR($E44*(IF(REGEXMATCH(AB$10,$B44),$A44,1))/(AB$11*IF(REGEXMATCH($C44,"&amp;"AB$9),AB$8,1))*6))"),8.0)</f>
        <v>8</v>
      </c>
      <c r="AC44" s="285">
        <f>IFERROR(__xludf.DUMMYFUNCTION("IF($E44*(IF(REGEXMATCH(AC$10,$B44),$A44,1))/(AC$11*IF(REGEXMATCH($C44,AC$9),AC$8,1))*6&gt;6,CEILING($E44*(IF(REGEXMATCH(AC$10,$B44),$A44,1))/(AC$11*IF(REGEXMATCH($C44,AC$9),AC$8,1))*6),FLOOR($E44*(IF(REGEXMATCH(AC$10,$B44),$A44,1))/(AC$11*IF(REGEXMATCH($C44,"&amp;"AC$9),AC$8,1))*6))"),8.0)</f>
        <v>8</v>
      </c>
      <c r="AD44" s="285">
        <f>IFERROR(__xludf.DUMMYFUNCTION("IF($E44*(IF(REGEXMATCH(AD$10,$B44),$A44,1))/(AD$11*IF(REGEXMATCH($C44,AD$9),AD$8,1))*6&gt;6,CEILING($E44*(IF(REGEXMATCH(AD$10,$B44),$A44,1))/(AD$11*IF(REGEXMATCH($C44,AD$9),AD$8,1))*6),FLOOR($E44*(IF(REGEXMATCH(AD$10,$B44),$A44,1))/(AD$11*IF(REGEXMATCH($C44,"&amp;"AD$9),AD$8,1))*6))"),5.0)</f>
        <v>5</v>
      </c>
      <c r="AE44" s="285">
        <f>IFERROR(__xludf.DUMMYFUNCTION("IF($E44*(IF(REGEXMATCH(AE$10,$B44),$A44,1))/(AE$11*IF(REGEXMATCH($C44,AE$9),AE$8,1))*6&gt;6,CEILING($E44*(IF(REGEXMATCH(AE$10,$B44),$A44,1))/(AE$11*IF(REGEXMATCH($C44,AE$9),AE$8,1))*6),FLOOR($E44*(IF(REGEXMATCH(AE$10,$B44),$A44,1))/(AE$11*IF(REGEXMATCH($C44,"&amp;"AE$9),AE$8,1))*6))"),5.0)</f>
        <v>5</v>
      </c>
      <c r="AF44" s="285">
        <f>IFERROR(__xludf.DUMMYFUNCTION("IF($E44*(IF(REGEXMATCH(AF$10,$B44),$A44,1))/(AF$11*IF(REGEXMATCH($C44,AF$9),AF$8,1))*6&gt;6,CEILING($E44*(IF(REGEXMATCH(AF$10,$B44),$A44,1))/(AF$11*IF(REGEXMATCH($C44,AF$9),AF$8,1))*6),FLOOR($E44*(IF(REGEXMATCH(AF$10,$B44),$A44,1))/(AF$11*IF(REGEXMATCH($C44,"&amp;"AF$9),AF$8,1))*6))"),5.0)</f>
        <v>5</v>
      </c>
      <c r="AG44" s="285">
        <f>IFERROR(__xludf.DUMMYFUNCTION("IF($E44*(IF(REGEXMATCH(AG$10,$B44),$A44,1))/(AG$11*IF(REGEXMATCH($C44,AG$9),AG$8,1))*6&gt;6,CEILING($E44*(IF(REGEXMATCH(AG$10,$B44),$A44,1))/(AG$11*IF(REGEXMATCH($C44,AG$9),AG$8,1))*6),FLOOR($E44*(IF(REGEXMATCH(AG$10,$B44),$A44,1))/(AG$11*IF(REGEXMATCH($C44,"&amp;"AG$9),AG$8,1))*6))"),3.0)</f>
        <v>3</v>
      </c>
      <c r="AH44" s="285">
        <f>IFERROR(__xludf.DUMMYFUNCTION("IF($E44*(IF(REGEXMATCH(AH$10,$B44),$A44,1))/(AH$11*IF(REGEXMATCH($C44,AH$9),AH$8,1))*6&gt;6,CEILING($E44*(IF(REGEXMATCH(AH$10,$B44),$A44,1))/(AH$11*IF(REGEXMATCH($C44,AH$9),AH$8,1))*6),FLOOR($E44*(IF(REGEXMATCH(AH$10,$B44),$A44,1))/(AH$11*IF(REGEXMATCH($C44,"&amp;"AH$9),AH$8,1))*6))"),5.0)</f>
        <v>5</v>
      </c>
      <c r="AI44" s="285">
        <f>IFERROR(__xludf.DUMMYFUNCTION("IF($E44*(IF(REGEXMATCH(AI$10,$B44),$A44,1))/(AI$11*IF(REGEXMATCH($C44,AI$9),AI$8,1))*6&gt;6,CEILING($E44*(IF(REGEXMATCH(AI$10,$B44),$A44,1))/(AI$11*IF(REGEXMATCH($C44,AI$9),AI$8,1))*6),FLOOR($E44*(IF(REGEXMATCH(AI$10,$B44),$A44,1))/(AI$11*IF(REGEXMATCH($C44,"&amp;"AI$9),AI$8,1))*6))"),4.0)</f>
        <v>4</v>
      </c>
      <c r="AJ44" s="285">
        <f>IFERROR(__xludf.DUMMYFUNCTION("IF($E44*(IF(REGEXMATCH(AJ$10,$B44),$A44,1))/(AJ$11*IF(REGEXMATCH($C44,AJ$9),AJ$8,1))*6&gt;6,CEILING($E44*(IF(REGEXMATCH(AJ$10,$B44),$A44,1))/(AJ$11*IF(REGEXMATCH($C44,AJ$9),AJ$8,1))*6),FLOOR($E44*(IF(REGEXMATCH(AJ$10,$B44),$A44,1))/(AJ$11*IF(REGEXMATCH($C44,"&amp;"AJ$9),AJ$8,1))*6))"),5.0)</f>
        <v>5</v>
      </c>
      <c r="AK44" s="285">
        <f>IFERROR(__xludf.DUMMYFUNCTION("IF($E44*(IF(REGEXMATCH(AK$10,$B44),$A44,1))/(AK$11*IF(REGEXMATCH($C44,AK$9),AK$8,1))*6&gt;6,CEILING($E44*(IF(REGEXMATCH(AK$10,$B44),$A44,1))/(AK$11*IF(REGEXMATCH($C44,AK$9),AK$8,1))*6),FLOOR($E44*(IF(REGEXMATCH(AK$10,$B44),$A44,1))/(AK$11*IF(REGEXMATCH($C44,"&amp;"AK$9),AK$8,1))*6))"),5.0)</f>
        <v>5</v>
      </c>
      <c r="AL44" s="285">
        <f>IFERROR(__xludf.DUMMYFUNCTION("IF($E44*(IF(REGEXMATCH(AL$10,$B44),$A44,1))/(AL$11*IF(REGEXMATCH($C44,AL$9),AL$8,1))*6&gt;6,CEILING($E44*(IF(REGEXMATCH(AL$10,$B44),$A44,1))/(AL$11*IF(REGEXMATCH($C44,AL$9),AL$8,1))*6),FLOOR($E44*(IF(REGEXMATCH(AL$10,$B44),$A44,1))/(AL$11*IF(REGEXMATCH($C44,"&amp;"AL$9),AL$8,1))*6))"),6.0)</f>
        <v>6</v>
      </c>
      <c r="AM44" s="285">
        <f>IFERROR(__xludf.DUMMYFUNCTION("IF($E44*(IF(REGEXMATCH(AM$10,$B44),$A44,1))/(AM$11*IF(REGEXMATCH($C44,AM$9),AM$8,1))*6&gt;6,CEILING($E44*(IF(REGEXMATCH(AM$10,$B44),$A44,1))/(AM$11*IF(REGEXMATCH($C44,AM$9),AM$8,1))*6),FLOOR($E44*(IF(REGEXMATCH(AM$10,$B44),$A44,1))/(AM$11*IF(REGEXMATCH($C44,"&amp;"AM$9),AM$8,1))*6))"),6.0)</f>
        <v>6</v>
      </c>
      <c r="AN44" s="285">
        <f>IFERROR(__xludf.DUMMYFUNCTION("IF($E44*(IF(REGEXMATCH(AN$10,$B44),$A44,1))/(AN$11*IF(REGEXMATCH($C44,AN$9),AN$8,1))*6&gt;6,CEILING($E44*(IF(REGEXMATCH(AN$10,$B44),$A44,1))/(AN$11*IF(REGEXMATCH($C44,AN$9),AN$8,1))*6),FLOOR($E44*(IF(REGEXMATCH(AN$10,$B44),$A44,1))/(AN$11*IF(REGEXMATCH($C44,"&amp;"AN$9),AN$8,1))*6))"),4.0)</f>
        <v>4</v>
      </c>
      <c r="AO44" s="285">
        <f>IFERROR(__xludf.DUMMYFUNCTION("IF($E44*(IF(REGEXMATCH(AO$10,$B44),$A44,1))/(AO$11*IF(REGEXMATCH($C44,AO$9),AO$8,1))*6&gt;6,CEILING($E44*(IF(REGEXMATCH(AO$10,$B44),$A44,1))/(AO$11*IF(REGEXMATCH($C44,AO$9),AO$8,1))*6),FLOOR($E44*(IF(REGEXMATCH(AO$10,$B44),$A44,1))/(AO$11*IF(REGEXMATCH($C44,"&amp;"AO$9),AO$8,1))*6))"),6.0)</f>
        <v>6</v>
      </c>
      <c r="AP44" s="285">
        <f>IFERROR(__xludf.DUMMYFUNCTION("IF($E44*(IF(REGEXMATCH(AP$10,$B44),$A44,1))/(AP$11*IF(REGEXMATCH($C44,AP$9),AP$8,1))*6&gt;6,CEILING($E44*(IF(REGEXMATCH(AP$10,$B44),$A44,1))/(AP$11*IF(REGEXMATCH($C44,AP$9),AP$8,1))*6),FLOOR($E44*(IF(REGEXMATCH(AP$10,$B44),$A44,1))/(AP$11*IF(REGEXMATCH($C44,"&amp;"AP$9),AP$8,1))*6))"),4.0)</f>
        <v>4</v>
      </c>
      <c r="AQ44" s="285">
        <f>IFERROR(__xludf.DUMMYFUNCTION("IF($E44*(IF(REGEXMATCH(AQ$10,$B44),$A44,1))/(AQ$11*IF(REGEXMATCH($C44,AQ$9),AQ$8,1))*6&gt;6,CEILING($E44*(IF(REGEXMATCH(AQ$10,$B44),$A44,1))/(AQ$11*IF(REGEXMATCH($C44,AQ$9),AQ$8,1))*6),FLOOR($E44*(IF(REGEXMATCH(AQ$10,$B44),$A44,1))/(AQ$11*IF(REGEXMATCH($C44,"&amp;"AQ$9),AQ$8,1))*6))"),4.0)</f>
        <v>4</v>
      </c>
      <c r="AR44" s="285">
        <f>IFERROR(__xludf.DUMMYFUNCTION("IF($E44*(IF(REGEXMATCH(AR$10,$B44),$A44,1))/(AR$11*IF(REGEXMATCH($C44,AR$9),AR$8,1))*6&gt;6,CEILING($E44*(IF(REGEXMATCH(AR$10,$B44),$A44,1))/(AR$11*IF(REGEXMATCH($C44,AR$9),AR$8,1))*6),FLOOR($E44*(IF(REGEXMATCH(AR$10,$B44),$A44,1))/(AR$11*IF(REGEXMATCH($C44,"&amp;"AR$9),AR$8,1))*6))"),8.0)</f>
        <v>8</v>
      </c>
      <c r="AS44" s="285">
        <f>IFERROR(__xludf.DUMMYFUNCTION("IF($E44*(IF(REGEXMATCH(AS$10,$B44),$A44,1))/(AS$11*IF(REGEXMATCH($C44,AS$9),AS$8,1))*6&gt;6,CEILING($E44*(IF(REGEXMATCH(AS$10,$B44),$A44,1))/(AS$11*IF(REGEXMATCH($C44,AS$9),AS$8,1))*6),FLOOR($E44*(IF(REGEXMATCH(AS$10,$B44),$A44,1))/(AS$11*IF(REGEXMATCH($C44,"&amp;"AS$9),AS$8,1))*6))"),8.0)</f>
        <v>8</v>
      </c>
      <c r="AT44" s="285">
        <f>IFERROR(__xludf.DUMMYFUNCTION("IF($E44*(IF(REGEXMATCH(AT$10,$B44),$A44,1))/(AT$11*IF(REGEXMATCH($C44,AT$9),AT$8,1))*6&gt;6,CEILING($E44*(IF(REGEXMATCH(AT$10,$B44),$A44,1))/(AT$11*IF(REGEXMATCH($C44,AT$9),AT$8,1))*6),FLOOR($E44*(IF(REGEXMATCH(AT$10,$B44),$A44,1))/(AT$11*IF(REGEXMATCH($C44,"&amp;"AT$9),AT$8,1))*6))"),10.0)</f>
        <v>10</v>
      </c>
    </row>
    <row r="45">
      <c r="A45" s="8">
        <v>1.25</v>
      </c>
      <c r="B45" s="8" t="s">
        <v>2579</v>
      </c>
      <c r="C45" s="812" t="s">
        <v>2585</v>
      </c>
      <c r="D45" s="8"/>
      <c r="E45" s="8">
        <v>5.0</v>
      </c>
      <c r="F45" s="285" t="s">
        <v>2561</v>
      </c>
      <c r="G45" s="285">
        <f>IFERROR(__xludf.DUMMYFUNCTION("IF($E45*(IF(REGEXMATCH(G$10,$B45),$A45,1))/(G$11*IF(REGEXMATCH($C45,G$9),G$8,1))*6&gt;6,CEILING($E45*(IF(REGEXMATCH(G$10,$B45),$A45,1))/(G$11*IF(REGEXMATCH($C45,G$9),G$8,1))*6),FLOOR($E45*(IF(REGEXMATCH(G$10,$B45),$A45,1))/(G$11*IF(REGEXMATCH($C45,G$9),G$8,1"&amp;"))*6))"),3.0)</f>
        <v>3</v>
      </c>
      <c r="H45" s="285">
        <f>IFERROR(__xludf.DUMMYFUNCTION("IF($E45*(IF(REGEXMATCH(H$10,$B45),$A45,1))/(H$11*IF(REGEXMATCH($C45,H$9),H$8,1))*6&gt;6,CEILING($E45*(IF(REGEXMATCH(H$10,$B45),$A45,1))/(H$11*IF(REGEXMATCH($C45,H$9),H$8,1))*6),FLOOR($E45*(IF(REGEXMATCH(H$10,$B45),$A45,1))/(H$11*IF(REGEXMATCH($C45,H$9),H$8,1"&amp;"))*6))"),3.0)</f>
        <v>3</v>
      </c>
      <c r="I45" s="285">
        <f>IFERROR(__xludf.DUMMYFUNCTION("IF($E45*(IF(REGEXMATCH(I$10,$B45),$A45,1))/(I$11*IF(REGEXMATCH($C45,I$9),I$8,1))*6&gt;6,CEILING($E45*(IF(REGEXMATCH(I$10,$B45),$A45,1))/(I$11*IF(REGEXMATCH($C45,I$9),I$8,1))*6),FLOOR($E45*(IF(REGEXMATCH(I$10,$B45),$A45,1))/(I$11*IF(REGEXMATCH($C45,I$9),I$8,1"&amp;"))*6))"),2.0)</f>
        <v>2</v>
      </c>
      <c r="J45" s="285">
        <f>IFERROR(__xludf.DUMMYFUNCTION("IF($E45*(IF(REGEXMATCH(J$10,$B45),$A45,1))/(J$11*IF(REGEXMATCH($C45,J$9),J$8,1))*6&gt;6,CEILING($E45*(IF(REGEXMATCH(J$10,$B45),$A45,1))/(J$11*IF(REGEXMATCH($C45,J$9),J$8,1))*6),FLOOR($E45*(IF(REGEXMATCH(J$10,$B45),$A45,1))/(J$11*IF(REGEXMATCH($C45,J$9),J$8,1"&amp;"))*6))"),2.0)</f>
        <v>2</v>
      </c>
      <c r="K45" s="285">
        <f>IFERROR(__xludf.DUMMYFUNCTION("IF($E45*(IF(REGEXMATCH(K$10,$B45),$A45,1))/(K$11*IF(REGEXMATCH($C45,K$9),K$8,1))*6&gt;6,CEILING($E45*(IF(REGEXMATCH(K$10,$B45),$A45,1))/(K$11*IF(REGEXMATCH($C45,K$9),K$8,1))*6),FLOOR($E45*(IF(REGEXMATCH(K$10,$B45),$A45,1))/(K$11*IF(REGEXMATCH($C45,K$9),K$8,1"&amp;"))*6))"),3.0)</f>
        <v>3</v>
      </c>
      <c r="L45" s="285">
        <f>IFERROR(__xludf.DUMMYFUNCTION("IF($E45*(IF(REGEXMATCH(L$10,$B45),$A45,1))/(L$11*IF(REGEXMATCH($C45,L$9),L$8,1))*6&gt;6,CEILING($E45*(IF(REGEXMATCH(L$10,$B45),$A45,1))/(L$11*IF(REGEXMATCH($C45,L$9),L$8,1))*6),FLOOR($E45*(IF(REGEXMATCH(L$10,$B45),$A45,1))/(L$11*IF(REGEXMATCH($C45,L$9),L$8,1"&amp;"))*6))"),3.0)</f>
        <v>3</v>
      </c>
      <c r="M45" s="285">
        <f>IFERROR(__xludf.DUMMYFUNCTION("IF($E45*(IF(REGEXMATCH(M$10,$B45),$A45,1))/(M$11*IF(REGEXMATCH($C45,M$9),M$8,1))*6&gt;6,CEILING($E45*(IF(REGEXMATCH(M$10,$B45),$A45,1))/(M$11*IF(REGEXMATCH($C45,M$9),M$8,1))*6),FLOOR($E45*(IF(REGEXMATCH(M$10,$B45),$A45,1))/(M$11*IF(REGEXMATCH($C45,M$9),M$8,1"&amp;"))*6))"),4.0)</f>
        <v>4</v>
      </c>
      <c r="N45" s="285">
        <f>IFERROR(__xludf.DUMMYFUNCTION("IF($E45*(IF(REGEXMATCH(N$10,$B45),$A45,1))/(N$11*IF(REGEXMATCH($C45,N$9),N$8,1))*6&gt;6,CEILING($E45*(IF(REGEXMATCH(N$10,$B45),$A45,1))/(N$11*IF(REGEXMATCH($C45,N$9),N$8,1))*6),FLOOR($E45*(IF(REGEXMATCH(N$10,$B45),$A45,1))/(N$11*IF(REGEXMATCH($C45,N$9),N$8,1"&amp;"))*6))"),3.0)</f>
        <v>3</v>
      </c>
      <c r="O45" s="285">
        <f>IFERROR(__xludf.DUMMYFUNCTION("IF($E45*(IF(REGEXMATCH(O$10,$B45),$A45,1))/(O$11*IF(REGEXMATCH($C45,O$9),O$8,1))*6&gt;6,CEILING($E45*(IF(REGEXMATCH(O$10,$B45),$A45,1))/(O$11*IF(REGEXMATCH($C45,O$9),O$8,1))*6),FLOOR($E45*(IF(REGEXMATCH(O$10,$B45),$A45,1))/(O$11*IF(REGEXMATCH($C45,O$9),O$8,1"&amp;"))*6))"),3.0)</f>
        <v>3</v>
      </c>
      <c r="P45" s="285">
        <f>IFERROR(__xludf.DUMMYFUNCTION("IF($E45*(IF(REGEXMATCH(P$10,$B45),$A45,1))/(P$11*IF(REGEXMATCH($C45,P$9),P$8,1))*6&gt;6,CEILING($E45*(IF(REGEXMATCH(P$10,$B45),$A45,1))/(P$11*IF(REGEXMATCH($C45,P$9),P$8,1))*6),FLOOR($E45*(IF(REGEXMATCH(P$10,$B45),$A45,1))/(P$11*IF(REGEXMATCH($C45,P$9),P$8,1"&amp;"))*6))"),3.0)</f>
        <v>3</v>
      </c>
      <c r="Q45" s="285">
        <f>IFERROR(__xludf.DUMMYFUNCTION("IF($E45*(IF(REGEXMATCH(Q$10,$B45),$A45,1))/(Q$11*IF(REGEXMATCH($C45,Q$9),Q$8,1))*6&gt;6,CEILING($E45*(IF(REGEXMATCH(Q$10,$B45),$A45,1))/(Q$11*IF(REGEXMATCH($C45,Q$9),Q$8,1))*6),FLOOR($E45*(IF(REGEXMATCH(Q$10,$B45),$A45,1))/(Q$11*IF(REGEXMATCH($C45,Q$9),Q$8,1"&amp;"))*6))"),3.0)</f>
        <v>3</v>
      </c>
      <c r="R45" s="285">
        <f>IFERROR(__xludf.DUMMYFUNCTION("IF($E45*(IF(REGEXMATCH(R$10,$B45),$A45,1))/(R$11*IF(REGEXMATCH($C45,R$9),R$8,1))*6&gt;6,CEILING($E45*(IF(REGEXMATCH(R$10,$B45),$A45,1))/(R$11*IF(REGEXMATCH($C45,R$9),R$8,1))*6),FLOOR($E45*(IF(REGEXMATCH(R$10,$B45),$A45,1))/(R$11*IF(REGEXMATCH($C45,R$9),R$8,1"&amp;"))*6))"),4.0)</f>
        <v>4</v>
      </c>
      <c r="S45" s="285">
        <f>IFERROR(__xludf.DUMMYFUNCTION("IF($E45*(IF(REGEXMATCH(S$10,$B45),$A45,1))/(S$11*IF(REGEXMATCH($C45,S$9),S$8,1))*6&gt;6,CEILING($E45*(IF(REGEXMATCH(S$10,$B45),$A45,1))/(S$11*IF(REGEXMATCH($C45,S$9),S$8,1))*6),FLOOR($E45*(IF(REGEXMATCH(S$10,$B45),$A45,1))/(S$11*IF(REGEXMATCH($C45,S$9),S$8,1"&amp;"))*6))"),3.0)</f>
        <v>3</v>
      </c>
      <c r="T45" s="285">
        <f>IFERROR(__xludf.DUMMYFUNCTION("IF($E45*(IF(REGEXMATCH(T$10,$B45),$A45,1))/(T$11*IF(REGEXMATCH($C45,T$9),T$8,1))*6&gt;6,CEILING($E45*(IF(REGEXMATCH(T$10,$B45),$A45,1))/(T$11*IF(REGEXMATCH($C45,T$9),T$8,1))*6),FLOOR($E45*(IF(REGEXMATCH(T$10,$B45),$A45,1))/(T$11*IF(REGEXMATCH($C45,T$9),T$8,1"&amp;"))*6))"),3.0)</f>
        <v>3</v>
      </c>
      <c r="U45" s="285">
        <f>IFERROR(__xludf.DUMMYFUNCTION("IF($E45*(IF(REGEXMATCH(U$10,$B45),$A45,1))/(U$11*IF(REGEXMATCH($C45,U$9),U$8,1))*6&gt;6,CEILING($E45*(IF(REGEXMATCH(U$10,$B45),$A45,1))/(U$11*IF(REGEXMATCH($C45,U$9),U$8,1))*6),FLOOR($E45*(IF(REGEXMATCH(U$10,$B45),$A45,1))/(U$11*IF(REGEXMATCH($C45,U$9),U$8,1"&amp;"))*6))"),3.0)</f>
        <v>3</v>
      </c>
      <c r="V45" s="285">
        <f>IFERROR(__xludf.DUMMYFUNCTION("IF($E45*(IF(REGEXMATCH(V$10,$B45),$A45,1))/(V$11*IF(REGEXMATCH($C45,V$9),V$8,1))*6&gt;6,CEILING($E45*(IF(REGEXMATCH(V$10,$B45),$A45,1))/(V$11*IF(REGEXMATCH($C45,V$9),V$8,1))*6),FLOOR($E45*(IF(REGEXMATCH(V$10,$B45),$A45,1))/(V$11*IF(REGEXMATCH($C45,V$9),V$8,1"&amp;"))*6))"),3.0)</f>
        <v>3</v>
      </c>
      <c r="W45" s="285">
        <f>IFERROR(__xludf.DUMMYFUNCTION("IF($E45*(IF(REGEXMATCH(W$10,$B45),$A45,1))/(W$11*IF(REGEXMATCH($C45,W$9),W$8,1))*6&gt;6,CEILING($E45*(IF(REGEXMATCH(W$10,$B45),$A45,1))/(W$11*IF(REGEXMATCH($C45,W$9),W$8,1))*6),FLOOR($E45*(IF(REGEXMATCH(W$10,$B45),$A45,1))/(W$11*IF(REGEXMATCH($C45,W$9),W$8,1"&amp;"))*6))"),5.0)</f>
        <v>5</v>
      </c>
      <c r="X45" s="285">
        <f>IFERROR(__xludf.DUMMYFUNCTION("IF($E45*(IF(REGEXMATCH(X$10,$B45),$A45,1))/(X$11*IF(REGEXMATCH($C45,X$9),X$8,1))*6&gt;6,CEILING($E45*(IF(REGEXMATCH(X$10,$B45),$A45,1))/(X$11*IF(REGEXMATCH($C45,X$9),X$8,1))*6),FLOOR($E45*(IF(REGEXMATCH(X$10,$B45),$A45,1))/(X$11*IF(REGEXMATCH($C45,X$9),X$8,1"&amp;"))*6))"),5.0)</f>
        <v>5</v>
      </c>
      <c r="Y45" s="285">
        <f>IFERROR(__xludf.DUMMYFUNCTION("IF($E45*(IF(REGEXMATCH(Y$10,$B45),$A45,1))/(Y$11*IF(REGEXMATCH($C45,Y$9),Y$8,1))*6&gt;6,CEILING($E45*(IF(REGEXMATCH(Y$10,$B45),$A45,1))/(Y$11*IF(REGEXMATCH($C45,Y$9),Y$8,1))*6),FLOOR($E45*(IF(REGEXMATCH(Y$10,$B45),$A45,1))/(Y$11*IF(REGEXMATCH($C45,Y$9),Y$8,1"&amp;"))*6))"),4.0)</f>
        <v>4</v>
      </c>
      <c r="Z45" s="285">
        <f>IFERROR(__xludf.DUMMYFUNCTION("IF($E45*(IF(REGEXMATCH(Z$10,$B45),$A45,1))/(Z$11*IF(REGEXMATCH($C45,Z$9),Z$8,1))*6&gt;6,CEILING($E45*(IF(REGEXMATCH(Z$10,$B45),$A45,1))/(Z$11*IF(REGEXMATCH($C45,Z$9),Z$8,1))*6),FLOOR($E45*(IF(REGEXMATCH(Z$10,$B45),$A45,1))/(Z$11*IF(REGEXMATCH($C45,Z$9),Z$8,1"&amp;"))*6))"),5.0)</f>
        <v>5</v>
      </c>
      <c r="AA45" s="285">
        <f>IFERROR(__xludf.DUMMYFUNCTION("IF($E45*(IF(REGEXMATCH(AA$10,$B45),$A45,1))/(AA$11*IF(REGEXMATCH($C45,AA$9),AA$8,1))*6&gt;6,CEILING($E45*(IF(REGEXMATCH(AA$10,$B45),$A45,1))/(AA$11*IF(REGEXMATCH($C45,AA$9),AA$8,1))*6),FLOOR($E45*(IF(REGEXMATCH(AA$10,$B45),$A45,1))/(AA$11*IF(REGEXMATCH($C45,"&amp;"AA$9),AA$8,1))*6))"),5.0)</f>
        <v>5</v>
      </c>
      <c r="AB45" s="285">
        <f>IFERROR(__xludf.DUMMYFUNCTION("IF($E45*(IF(REGEXMATCH(AB$10,$B45),$A45,1))/(AB$11*IF(REGEXMATCH($C45,AB$9),AB$8,1))*6&gt;6,CEILING($E45*(IF(REGEXMATCH(AB$10,$B45),$A45,1))/(AB$11*IF(REGEXMATCH($C45,AB$9),AB$8,1))*6),FLOOR($E45*(IF(REGEXMATCH(AB$10,$B45),$A45,1))/(AB$11*IF(REGEXMATCH($C45,"&amp;"AB$9),AB$8,1))*6))"),5.0)</f>
        <v>5</v>
      </c>
      <c r="AC45" s="285">
        <f>IFERROR(__xludf.DUMMYFUNCTION("IF($E45*(IF(REGEXMATCH(AC$10,$B45),$A45,1))/(AC$11*IF(REGEXMATCH($C45,AC$9),AC$8,1))*6&gt;6,CEILING($E45*(IF(REGEXMATCH(AC$10,$B45),$A45,1))/(AC$11*IF(REGEXMATCH($C45,AC$9),AC$8,1))*6),FLOOR($E45*(IF(REGEXMATCH(AC$10,$B45),$A45,1))/(AC$11*IF(REGEXMATCH($C45,"&amp;"AC$9),AC$8,1))*6))"),5.0)</f>
        <v>5</v>
      </c>
      <c r="AD45" s="285">
        <f>IFERROR(__xludf.DUMMYFUNCTION("IF($E45*(IF(REGEXMATCH(AD$10,$B45),$A45,1))/(AD$11*IF(REGEXMATCH($C45,AD$9),AD$8,1))*6&gt;6,CEILING($E45*(IF(REGEXMATCH(AD$10,$B45),$A45,1))/(AD$11*IF(REGEXMATCH($C45,AD$9),AD$8,1))*6),FLOOR($E45*(IF(REGEXMATCH(AD$10,$B45),$A45,1))/(AD$11*IF(REGEXMATCH($C45,"&amp;"AD$9),AD$8,1))*6))"),5.0)</f>
        <v>5</v>
      </c>
      <c r="AE45" s="285">
        <f>IFERROR(__xludf.DUMMYFUNCTION("IF($E45*(IF(REGEXMATCH(AE$10,$B45),$A45,1))/(AE$11*IF(REGEXMATCH($C45,AE$9),AE$8,1))*6&gt;6,CEILING($E45*(IF(REGEXMATCH(AE$10,$B45),$A45,1))/(AE$11*IF(REGEXMATCH($C45,AE$9),AE$8,1))*6),FLOOR($E45*(IF(REGEXMATCH(AE$10,$B45),$A45,1))/(AE$11*IF(REGEXMATCH($C45,"&amp;"AE$9),AE$8,1))*6))"),5.0)</f>
        <v>5</v>
      </c>
      <c r="AF45" s="285">
        <f>IFERROR(__xludf.DUMMYFUNCTION("IF($E45*(IF(REGEXMATCH(AF$10,$B45),$A45,1))/(AF$11*IF(REGEXMATCH($C45,AF$9),AF$8,1))*6&gt;6,CEILING($E45*(IF(REGEXMATCH(AF$10,$B45),$A45,1))/(AF$11*IF(REGEXMATCH($C45,AF$9),AF$8,1))*6),FLOOR($E45*(IF(REGEXMATCH(AF$10,$B45),$A45,1))/(AF$11*IF(REGEXMATCH($C45,"&amp;"AF$9),AF$8,1))*6))"),5.0)</f>
        <v>5</v>
      </c>
      <c r="AG45" s="285">
        <f>IFERROR(__xludf.DUMMYFUNCTION("IF($E45*(IF(REGEXMATCH(AG$10,$B45),$A45,1))/(AG$11*IF(REGEXMATCH($C45,AG$9),AG$8,1))*6&gt;6,CEILING($E45*(IF(REGEXMATCH(AG$10,$B45),$A45,1))/(AG$11*IF(REGEXMATCH($C45,AG$9),AG$8,1))*6),FLOOR($E45*(IF(REGEXMATCH(AG$10,$B45),$A45,1))/(AG$11*IF(REGEXMATCH($C45,"&amp;"AG$9),AG$8,1))*6))"),7.0)</f>
        <v>7</v>
      </c>
      <c r="AH45" s="285">
        <f>IFERROR(__xludf.DUMMYFUNCTION("IF($E45*(IF(REGEXMATCH(AH$10,$B45),$A45,1))/(AH$11*IF(REGEXMATCH($C45,AH$9),AH$8,1))*6&gt;6,CEILING($E45*(IF(REGEXMATCH(AH$10,$B45),$A45,1))/(AH$11*IF(REGEXMATCH($C45,AH$9),AH$8,1))*6),FLOOR($E45*(IF(REGEXMATCH(AH$10,$B45),$A45,1))/(AH$11*IF(REGEXMATCH($C45,"&amp;"AH$9),AH$8,1))*6))"),5.0)</f>
        <v>5</v>
      </c>
      <c r="AI45" s="285">
        <f>IFERROR(__xludf.DUMMYFUNCTION("IF($E45*(IF(REGEXMATCH(AI$10,$B45),$A45,1))/(AI$11*IF(REGEXMATCH($C45,AI$9),AI$8,1))*6&gt;6,CEILING($E45*(IF(REGEXMATCH(AI$10,$B45),$A45,1))/(AI$11*IF(REGEXMATCH($C45,AI$9),AI$8,1))*6),FLOOR($E45*(IF(REGEXMATCH(AI$10,$B45),$A45,1))/(AI$11*IF(REGEXMATCH($C45,"&amp;"AI$9),AI$8,1))*6))"),4.0)</f>
        <v>4</v>
      </c>
      <c r="AJ45" s="285">
        <f>IFERROR(__xludf.DUMMYFUNCTION("IF($E45*(IF(REGEXMATCH(AJ$10,$B45),$A45,1))/(AJ$11*IF(REGEXMATCH($C45,AJ$9),AJ$8,1))*6&gt;6,CEILING($E45*(IF(REGEXMATCH(AJ$10,$B45),$A45,1))/(AJ$11*IF(REGEXMATCH($C45,AJ$9),AJ$8,1))*6),FLOOR($E45*(IF(REGEXMATCH(AJ$10,$B45),$A45,1))/(AJ$11*IF(REGEXMATCH($C45,"&amp;"AJ$9),AJ$8,1))*6))"),5.0)</f>
        <v>5</v>
      </c>
      <c r="AK45" s="285">
        <f>IFERROR(__xludf.DUMMYFUNCTION("IF($E45*(IF(REGEXMATCH(AK$10,$B45),$A45,1))/(AK$11*IF(REGEXMATCH($C45,AK$9),AK$8,1))*6&gt;6,CEILING($E45*(IF(REGEXMATCH(AK$10,$B45),$A45,1))/(AK$11*IF(REGEXMATCH($C45,AK$9),AK$8,1))*6),FLOOR($E45*(IF(REGEXMATCH(AK$10,$B45),$A45,1))/(AK$11*IF(REGEXMATCH($C45,"&amp;"AK$9),AK$8,1))*6))"),5.0)</f>
        <v>5</v>
      </c>
      <c r="AL45" s="285">
        <f>IFERROR(__xludf.DUMMYFUNCTION("IF($E45*(IF(REGEXMATCH(AL$10,$B45),$A45,1))/(AL$11*IF(REGEXMATCH($C45,AL$9),AL$8,1))*6&gt;6,CEILING($E45*(IF(REGEXMATCH(AL$10,$B45),$A45,1))/(AL$11*IF(REGEXMATCH($C45,AL$9),AL$8,1))*6),FLOOR($E45*(IF(REGEXMATCH(AL$10,$B45),$A45,1))/(AL$11*IF(REGEXMATCH($C45,"&amp;"AL$9),AL$8,1))*6))"),6.0)</f>
        <v>6</v>
      </c>
      <c r="AM45" s="285">
        <f>IFERROR(__xludf.DUMMYFUNCTION("IF($E45*(IF(REGEXMATCH(AM$10,$B45),$A45,1))/(AM$11*IF(REGEXMATCH($C45,AM$9),AM$8,1))*6&gt;6,CEILING($E45*(IF(REGEXMATCH(AM$10,$B45),$A45,1))/(AM$11*IF(REGEXMATCH($C45,AM$9),AM$8,1))*6),FLOOR($E45*(IF(REGEXMATCH(AM$10,$B45),$A45,1))/(AM$11*IF(REGEXMATCH($C45,"&amp;"AM$9),AM$8,1))*6))"),6.0)</f>
        <v>6</v>
      </c>
      <c r="AN45" s="285">
        <f>IFERROR(__xludf.DUMMYFUNCTION("IF($E45*(IF(REGEXMATCH(AN$10,$B45),$A45,1))/(AN$11*IF(REGEXMATCH($C45,AN$9),AN$8,1))*6&gt;6,CEILING($E45*(IF(REGEXMATCH(AN$10,$B45),$A45,1))/(AN$11*IF(REGEXMATCH($C45,AN$9),AN$8,1))*6),FLOOR($E45*(IF(REGEXMATCH(AN$10,$B45),$A45,1))/(AN$11*IF(REGEXMATCH($C45,"&amp;"AN$9),AN$8,1))*6))"),8.0)</f>
        <v>8</v>
      </c>
      <c r="AO45" s="285">
        <f>IFERROR(__xludf.DUMMYFUNCTION("IF($E45*(IF(REGEXMATCH(AO$10,$B45),$A45,1))/(AO$11*IF(REGEXMATCH($C45,AO$9),AO$8,1))*6&gt;6,CEILING($E45*(IF(REGEXMATCH(AO$10,$B45),$A45,1))/(AO$11*IF(REGEXMATCH($C45,AO$9),AO$8,1))*6),FLOOR($E45*(IF(REGEXMATCH(AO$10,$B45),$A45,1))/(AO$11*IF(REGEXMATCH($C45,"&amp;"AO$9),AO$8,1))*6))"),6.0)</f>
        <v>6</v>
      </c>
      <c r="AP45" s="285">
        <f>IFERROR(__xludf.DUMMYFUNCTION("IF($E45*(IF(REGEXMATCH(AP$10,$B45),$A45,1))/(AP$11*IF(REGEXMATCH($C45,AP$9),AP$8,1))*6&gt;6,CEILING($E45*(IF(REGEXMATCH(AP$10,$B45),$A45,1))/(AP$11*IF(REGEXMATCH($C45,AP$9),AP$8,1))*6),FLOOR($E45*(IF(REGEXMATCH(AP$10,$B45),$A45,1))/(AP$11*IF(REGEXMATCH($C45,"&amp;"AP$9),AP$8,1))*6))"),6.0)</f>
        <v>6</v>
      </c>
      <c r="AQ45" s="285">
        <f>IFERROR(__xludf.DUMMYFUNCTION("IF($E45*(IF(REGEXMATCH(AQ$10,$B45),$A45,1))/(AQ$11*IF(REGEXMATCH($C45,AQ$9),AQ$8,1))*6&gt;6,CEILING($E45*(IF(REGEXMATCH(AQ$10,$B45),$A45,1))/(AQ$11*IF(REGEXMATCH($C45,AQ$9),AQ$8,1))*6),FLOOR($E45*(IF(REGEXMATCH(AQ$10,$B45),$A45,1))/(AQ$11*IF(REGEXMATCH($C45,"&amp;"AQ$9),AQ$8,1))*6))"),6.0)</f>
        <v>6</v>
      </c>
      <c r="AR45" s="285">
        <f>IFERROR(__xludf.DUMMYFUNCTION("IF($E45*(IF(REGEXMATCH(AR$10,$B45),$A45,1))/(AR$11*IF(REGEXMATCH($C45,AR$9),AR$8,1))*6&gt;6,CEILING($E45*(IF(REGEXMATCH(AR$10,$B45),$A45,1))/(AR$11*IF(REGEXMATCH($C45,AR$9),AR$8,1))*6),FLOOR($E45*(IF(REGEXMATCH(AR$10,$B45),$A45,1))/(AR$11*IF(REGEXMATCH($C45,"&amp;"AR$9),AR$8,1))*6))"),8.0)</f>
        <v>8</v>
      </c>
      <c r="AS45" s="285">
        <f>IFERROR(__xludf.DUMMYFUNCTION("IF($E45*(IF(REGEXMATCH(AS$10,$B45),$A45,1))/(AS$11*IF(REGEXMATCH($C45,AS$9),AS$8,1))*6&gt;6,CEILING($E45*(IF(REGEXMATCH(AS$10,$B45),$A45,1))/(AS$11*IF(REGEXMATCH($C45,AS$9),AS$8,1))*6),FLOOR($E45*(IF(REGEXMATCH(AS$10,$B45),$A45,1))/(AS$11*IF(REGEXMATCH($C45,"&amp;"AS$9),AS$8,1))*6))"),8.0)</f>
        <v>8</v>
      </c>
      <c r="AT45" s="285">
        <f>IFERROR(__xludf.DUMMYFUNCTION("IF($E45*(IF(REGEXMATCH(AT$10,$B45),$A45,1))/(AT$11*IF(REGEXMATCH($C45,AT$9),AT$8,1))*6&gt;6,CEILING($E45*(IF(REGEXMATCH(AT$10,$B45),$A45,1))/(AT$11*IF(REGEXMATCH($C45,AT$9),AT$8,1))*6),FLOOR($E45*(IF(REGEXMATCH(AT$10,$B45),$A45,1))/(AT$11*IF(REGEXMATCH($C45,"&amp;"AT$9),AT$8,1))*6))"),10.0)</f>
        <v>10</v>
      </c>
    </row>
    <row r="46">
      <c r="A46" s="8">
        <v>1.5</v>
      </c>
      <c r="B46" s="8" t="s">
        <v>2578</v>
      </c>
      <c r="C46" s="8" t="s">
        <v>2586</v>
      </c>
      <c r="D46" s="8"/>
      <c r="E46" s="8">
        <v>5.0</v>
      </c>
      <c r="F46" s="285" t="s">
        <v>2562</v>
      </c>
      <c r="G46" s="285">
        <f>IFERROR(__xludf.DUMMYFUNCTION("IF($E46*(IF(REGEXMATCH(G$10,$B46),$A46,1))/(G$11*IF(REGEXMATCH($C46,G$9),G$8,1))*6&gt;6,CEILING($E46*(IF(REGEXMATCH(G$10,$B46),$A46,1))/(G$11*IF(REGEXMATCH($C46,G$9),G$8,1))*6),FLOOR($E46*(IF(REGEXMATCH(G$10,$B46),$A46,1))/(G$11*IF(REGEXMATCH($C46,G$9),G$8,1"&amp;"))*6))"),3.0)</f>
        <v>3</v>
      </c>
      <c r="H46" s="285">
        <f>IFERROR(__xludf.DUMMYFUNCTION("IF($E46*(IF(REGEXMATCH(H$10,$B46),$A46,1))/(H$11*IF(REGEXMATCH($C46,H$9),H$8,1))*6&gt;6,CEILING($E46*(IF(REGEXMATCH(H$10,$B46),$A46,1))/(H$11*IF(REGEXMATCH($C46,H$9),H$8,1))*6),FLOOR($E46*(IF(REGEXMATCH(H$10,$B46),$A46,1))/(H$11*IF(REGEXMATCH($C46,H$9),H$8,1"&amp;"))*6))"),4.0)</f>
        <v>4</v>
      </c>
      <c r="I46" s="285">
        <f>IFERROR(__xludf.DUMMYFUNCTION("IF($E46*(IF(REGEXMATCH(I$10,$B46),$A46,1))/(I$11*IF(REGEXMATCH($C46,I$9),I$8,1))*6&gt;6,CEILING($E46*(IF(REGEXMATCH(I$10,$B46),$A46,1))/(I$11*IF(REGEXMATCH($C46,I$9),I$8,1))*6),FLOOR($E46*(IF(REGEXMATCH(I$10,$B46),$A46,1))/(I$11*IF(REGEXMATCH($C46,I$9),I$8,1"&amp;"))*6))"),2.0)</f>
        <v>2</v>
      </c>
      <c r="J46" s="285">
        <f>IFERROR(__xludf.DUMMYFUNCTION("IF($E46*(IF(REGEXMATCH(J$10,$B46),$A46,1))/(J$11*IF(REGEXMATCH($C46,J$9),J$8,1))*6&gt;6,CEILING($E46*(IF(REGEXMATCH(J$10,$B46),$A46,1))/(J$11*IF(REGEXMATCH($C46,J$9),J$8,1))*6),FLOOR($E46*(IF(REGEXMATCH(J$10,$B46),$A46,1))/(J$11*IF(REGEXMATCH($C46,J$9),J$8,1"&amp;"))*6))"),2.0)</f>
        <v>2</v>
      </c>
      <c r="K46" s="285">
        <f>IFERROR(__xludf.DUMMYFUNCTION("IF($E46*(IF(REGEXMATCH(K$10,$B46),$A46,1))/(K$11*IF(REGEXMATCH($C46,K$9),K$8,1))*6&gt;6,CEILING($E46*(IF(REGEXMATCH(K$10,$B46),$A46,1))/(K$11*IF(REGEXMATCH($C46,K$9),K$8,1))*6),FLOOR($E46*(IF(REGEXMATCH(K$10,$B46),$A46,1))/(K$11*IF(REGEXMATCH($C46,K$9),K$8,1"&amp;"))*6))"),3.0)</f>
        <v>3</v>
      </c>
      <c r="L46" s="285">
        <f>IFERROR(__xludf.DUMMYFUNCTION("IF($E46*(IF(REGEXMATCH(L$10,$B46),$A46,1))/(L$11*IF(REGEXMATCH($C46,L$9),L$8,1))*6&gt;6,CEILING($E46*(IF(REGEXMATCH(L$10,$B46),$A46,1))/(L$11*IF(REGEXMATCH($C46,L$9),L$8,1))*6),FLOOR($E46*(IF(REGEXMATCH(L$10,$B46),$A46,1))/(L$11*IF(REGEXMATCH($C46,L$9),L$8,1"&amp;"))*6))"),3.0)</f>
        <v>3</v>
      </c>
      <c r="M46" s="285">
        <f>IFERROR(__xludf.DUMMYFUNCTION("IF($E46*(IF(REGEXMATCH(M$10,$B46),$A46,1))/(M$11*IF(REGEXMATCH($C46,M$9),M$8,1))*6&gt;6,CEILING($E46*(IF(REGEXMATCH(M$10,$B46),$A46,1))/(M$11*IF(REGEXMATCH($C46,M$9),M$8,1))*6),FLOOR($E46*(IF(REGEXMATCH(M$10,$B46),$A46,1))/(M$11*IF(REGEXMATCH($C46,M$9),M$8,1"&amp;"))*6))"),3.0)</f>
        <v>3</v>
      </c>
      <c r="N46" s="285">
        <f>IFERROR(__xludf.DUMMYFUNCTION("IF($E46*(IF(REGEXMATCH(N$10,$B46),$A46,1))/(N$11*IF(REGEXMATCH($C46,N$9),N$8,1))*6&gt;6,CEILING($E46*(IF(REGEXMATCH(N$10,$B46),$A46,1))/(N$11*IF(REGEXMATCH($C46,N$9),N$8,1))*6),FLOOR($E46*(IF(REGEXMATCH(N$10,$B46),$A46,1))/(N$11*IF(REGEXMATCH($C46,N$9),N$8,1"&amp;"))*6))"),3.0)</f>
        <v>3</v>
      </c>
      <c r="O46" s="285">
        <f>IFERROR(__xludf.DUMMYFUNCTION("IF($E46*(IF(REGEXMATCH(O$10,$B46),$A46,1))/(O$11*IF(REGEXMATCH($C46,O$9),O$8,1))*6&gt;6,CEILING($E46*(IF(REGEXMATCH(O$10,$B46),$A46,1))/(O$11*IF(REGEXMATCH($C46,O$9),O$8,1))*6),FLOOR($E46*(IF(REGEXMATCH(O$10,$B46),$A46,1))/(O$11*IF(REGEXMATCH($C46,O$9),O$8,1"&amp;"))*6))"),3.0)</f>
        <v>3</v>
      </c>
      <c r="P46" s="285">
        <f>IFERROR(__xludf.DUMMYFUNCTION("IF($E46*(IF(REGEXMATCH(P$10,$B46),$A46,1))/(P$11*IF(REGEXMATCH($C46,P$9),P$8,1))*6&gt;6,CEILING($E46*(IF(REGEXMATCH(P$10,$B46),$A46,1))/(P$11*IF(REGEXMATCH($C46,P$9),P$8,1))*6),FLOOR($E46*(IF(REGEXMATCH(P$10,$B46),$A46,1))/(P$11*IF(REGEXMATCH($C46,P$9),P$8,1"&amp;"))*6))"),5.0)</f>
        <v>5</v>
      </c>
      <c r="Q46" s="285">
        <f>IFERROR(__xludf.DUMMYFUNCTION("IF($E46*(IF(REGEXMATCH(Q$10,$B46),$A46,1))/(Q$11*IF(REGEXMATCH($C46,Q$9),Q$8,1))*6&gt;6,CEILING($E46*(IF(REGEXMATCH(Q$10,$B46),$A46,1))/(Q$11*IF(REGEXMATCH($C46,Q$9),Q$8,1))*6),FLOOR($E46*(IF(REGEXMATCH(Q$10,$B46),$A46,1))/(Q$11*IF(REGEXMATCH($C46,Q$9),Q$8,1"&amp;"))*6))"),5.0)</f>
        <v>5</v>
      </c>
      <c r="R46" s="285">
        <f>IFERROR(__xludf.DUMMYFUNCTION("IF($E46*(IF(REGEXMATCH(R$10,$B46),$A46,1))/(R$11*IF(REGEXMATCH($C46,R$9),R$8,1))*6&gt;6,CEILING($E46*(IF(REGEXMATCH(R$10,$B46),$A46,1))/(R$11*IF(REGEXMATCH($C46,R$9),R$8,1))*6),FLOOR($E46*(IF(REGEXMATCH(R$10,$B46),$A46,1))/(R$11*IF(REGEXMATCH($C46,R$9),R$8,1"&amp;"))*6))"),3.0)</f>
        <v>3</v>
      </c>
      <c r="S46" s="285">
        <f>IFERROR(__xludf.DUMMYFUNCTION("IF($E46*(IF(REGEXMATCH(S$10,$B46),$A46,1))/(S$11*IF(REGEXMATCH($C46,S$9),S$8,1))*6&gt;6,CEILING($E46*(IF(REGEXMATCH(S$10,$B46),$A46,1))/(S$11*IF(REGEXMATCH($C46,S$9),S$8,1))*6),FLOOR($E46*(IF(REGEXMATCH(S$10,$B46),$A46,1))/(S$11*IF(REGEXMATCH($C46,S$9),S$8,1"&amp;"))*6))"),5.0)</f>
        <v>5</v>
      </c>
      <c r="T46" s="285">
        <f>IFERROR(__xludf.DUMMYFUNCTION("IF($E46*(IF(REGEXMATCH(T$10,$B46),$A46,1))/(T$11*IF(REGEXMATCH($C46,T$9),T$8,1))*6&gt;6,CEILING($E46*(IF(REGEXMATCH(T$10,$B46),$A46,1))/(T$11*IF(REGEXMATCH($C46,T$9),T$8,1))*6),FLOOR($E46*(IF(REGEXMATCH(T$10,$B46),$A46,1))/(T$11*IF(REGEXMATCH($C46,T$9),T$8,1"&amp;"))*6))"),3.0)</f>
        <v>3</v>
      </c>
      <c r="U46" s="285">
        <f>IFERROR(__xludf.DUMMYFUNCTION("IF($E46*(IF(REGEXMATCH(U$10,$B46),$A46,1))/(U$11*IF(REGEXMATCH($C46,U$9),U$8,1))*6&gt;6,CEILING($E46*(IF(REGEXMATCH(U$10,$B46),$A46,1))/(U$11*IF(REGEXMATCH($C46,U$9),U$8,1))*6),FLOOR($E46*(IF(REGEXMATCH(U$10,$B46),$A46,1))/(U$11*IF(REGEXMATCH($C46,U$9),U$8,1"&amp;"))*6))"),5.0)</f>
        <v>5</v>
      </c>
      <c r="V46" s="285">
        <f>IFERROR(__xludf.DUMMYFUNCTION("IF($E46*(IF(REGEXMATCH(V$10,$B46),$A46,1))/(V$11*IF(REGEXMATCH($C46,V$9),V$8,1))*6&gt;6,CEILING($E46*(IF(REGEXMATCH(V$10,$B46),$A46,1))/(V$11*IF(REGEXMATCH($C46,V$9),V$8,1))*6),FLOOR($E46*(IF(REGEXMATCH(V$10,$B46),$A46,1))/(V$11*IF(REGEXMATCH($C46,V$9),V$8,1"&amp;"))*6))"),3.0)</f>
        <v>3</v>
      </c>
      <c r="W46" s="285">
        <f>IFERROR(__xludf.DUMMYFUNCTION("IF($E46*(IF(REGEXMATCH(W$10,$B46),$A46,1))/(W$11*IF(REGEXMATCH($C46,W$9),W$8,1))*6&gt;6,CEILING($E46*(IF(REGEXMATCH(W$10,$B46),$A46,1))/(W$11*IF(REGEXMATCH($C46,W$9),W$8,1))*6),FLOOR($E46*(IF(REGEXMATCH(W$10,$B46),$A46,1))/(W$11*IF(REGEXMATCH($C46,W$9),W$8,1"&amp;"))*6))"),5.0)</f>
        <v>5</v>
      </c>
      <c r="X46" s="285">
        <f>IFERROR(__xludf.DUMMYFUNCTION("IF($E46*(IF(REGEXMATCH(X$10,$B46),$A46,1))/(X$11*IF(REGEXMATCH($C46,X$9),X$8,1))*6&gt;6,CEILING($E46*(IF(REGEXMATCH(X$10,$B46),$A46,1))/(X$11*IF(REGEXMATCH($C46,X$9),X$8,1))*6),FLOOR($E46*(IF(REGEXMATCH(X$10,$B46),$A46,1))/(X$11*IF(REGEXMATCH($C46,X$9),X$8,1"&amp;"))*6))"),8.0)</f>
        <v>8</v>
      </c>
      <c r="Y46" s="285">
        <f>IFERROR(__xludf.DUMMYFUNCTION("IF($E46*(IF(REGEXMATCH(Y$10,$B46),$A46,1))/(Y$11*IF(REGEXMATCH($C46,Y$9),Y$8,1))*6&gt;6,CEILING($E46*(IF(REGEXMATCH(Y$10,$B46),$A46,1))/(Y$11*IF(REGEXMATCH($C46,Y$9),Y$8,1))*6),FLOOR($E46*(IF(REGEXMATCH(Y$10,$B46),$A46,1))/(Y$11*IF(REGEXMATCH($C46,Y$9),Y$8,1"&amp;"))*6))"),4.0)</f>
        <v>4</v>
      </c>
      <c r="Z46" s="285">
        <f>IFERROR(__xludf.DUMMYFUNCTION("IF($E46*(IF(REGEXMATCH(Z$10,$B46),$A46,1))/(Z$11*IF(REGEXMATCH($C46,Z$9),Z$8,1))*6&gt;6,CEILING($E46*(IF(REGEXMATCH(Z$10,$B46),$A46,1))/(Z$11*IF(REGEXMATCH($C46,Z$9),Z$8,1))*6),FLOOR($E46*(IF(REGEXMATCH(Z$10,$B46),$A46,1))/(Z$11*IF(REGEXMATCH($C46,Z$9),Z$8,1"&amp;"))*6))"),8.0)</f>
        <v>8</v>
      </c>
      <c r="AA46" s="285">
        <f>IFERROR(__xludf.DUMMYFUNCTION("IF($E46*(IF(REGEXMATCH(AA$10,$B46),$A46,1))/(AA$11*IF(REGEXMATCH($C46,AA$9),AA$8,1))*6&gt;6,CEILING($E46*(IF(REGEXMATCH(AA$10,$B46),$A46,1))/(AA$11*IF(REGEXMATCH($C46,AA$9),AA$8,1))*6),FLOOR($E46*(IF(REGEXMATCH(AA$10,$B46),$A46,1))/(AA$11*IF(REGEXMATCH($C46,"&amp;"AA$9),AA$8,1))*6))"),8.0)</f>
        <v>8</v>
      </c>
      <c r="AB46" s="285">
        <f>IFERROR(__xludf.DUMMYFUNCTION("IF($E46*(IF(REGEXMATCH(AB$10,$B46),$A46,1))/(AB$11*IF(REGEXMATCH($C46,AB$9),AB$8,1))*6&gt;6,CEILING($E46*(IF(REGEXMATCH(AB$10,$B46),$A46,1))/(AB$11*IF(REGEXMATCH($C46,AB$9),AB$8,1))*6),FLOOR($E46*(IF(REGEXMATCH(AB$10,$B46),$A46,1))/(AB$11*IF(REGEXMATCH($C46,"&amp;"AB$9),AB$8,1))*6))"),5.0)</f>
        <v>5</v>
      </c>
      <c r="AC46" s="285">
        <f>IFERROR(__xludf.DUMMYFUNCTION("IF($E46*(IF(REGEXMATCH(AC$10,$B46),$A46,1))/(AC$11*IF(REGEXMATCH($C46,AC$9),AC$8,1))*6&gt;6,CEILING($E46*(IF(REGEXMATCH(AC$10,$B46),$A46,1))/(AC$11*IF(REGEXMATCH($C46,AC$9),AC$8,1))*6),FLOOR($E46*(IF(REGEXMATCH(AC$10,$B46),$A46,1))/(AC$11*IF(REGEXMATCH($C46,"&amp;"AC$9),AC$8,1))*6))"),5.0)</f>
        <v>5</v>
      </c>
      <c r="AD46" s="285">
        <f>IFERROR(__xludf.DUMMYFUNCTION("IF($E46*(IF(REGEXMATCH(AD$10,$B46),$A46,1))/(AD$11*IF(REGEXMATCH($C46,AD$9),AD$8,1))*6&gt;6,CEILING($E46*(IF(REGEXMATCH(AD$10,$B46),$A46,1))/(AD$11*IF(REGEXMATCH($C46,AD$9),AD$8,1))*6),FLOOR($E46*(IF(REGEXMATCH(AD$10,$B46),$A46,1))/(AD$11*IF(REGEXMATCH($C46,"&amp;"AD$9),AD$8,1))*6))"),5.0)</f>
        <v>5</v>
      </c>
      <c r="AE46" s="285">
        <f>IFERROR(__xludf.DUMMYFUNCTION("IF($E46*(IF(REGEXMATCH(AE$10,$B46),$A46,1))/(AE$11*IF(REGEXMATCH($C46,AE$9),AE$8,1))*6&gt;6,CEILING($E46*(IF(REGEXMATCH(AE$10,$B46),$A46,1))/(AE$11*IF(REGEXMATCH($C46,AE$9),AE$8,1))*6),FLOOR($E46*(IF(REGEXMATCH(AE$10,$B46),$A46,1))/(AE$11*IF(REGEXMATCH($C46,"&amp;"AE$9),AE$8,1))*6))"),8.0)</f>
        <v>8</v>
      </c>
      <c r="AF46" s="285">
        <f>IFERROR(__xludf.DUMMYFUNCTION("IF($E46*(IF(REGEXMATCH(AF$10,$B46),$A46,1))/(AF$11*IF(REGEXMATCH($C46,AF$9),AF$8,1))*6&gt;6,CEILING($E46*(IF(REGEXMATCH(AF$10,$B46),$A46,1))/(AF$11*IF(REGEXMATCH($C46,AF$9),AF$8,1))*6),FLOOR($E46*(IF(REGEXMATCH(AF$10,$B46),$A46,1))/(AF$11*IF(REGEXMATCH($C46,"&amp;"AF$9),AF$8,1))*6))"),8.0)</f>
        <v>8</v>
      </c>
      <c r="AG46" s="285">
        <f>IFERROR(__xludf.DUMMYFUNCTION("IF($E46*(IF(REGEXMATCH(AG$10,$B46),$A46,1))/(AG$11*IF(REGEXMATCH($C46,AG$9),AG$8,1))*6&gt;6,CEILING($E46*(IF(REGEXMATCH(AG$10,$B46),$A46,1))/(AG$11*IF(REGEXMATCH($C46,AG$9),AG$8,1))*6),FLOOR($E46*(IF(REGEXMATCH(AG$10,$B46),$A46,1))/(AG$11*IF(REGEXMATCH($C46,"&amp;"AG$9),AG$8,1))*6))"),5.0)</f>
        <v>5</v>
      </c>
      <c r="AH46" s="285">
        <f>IFERROR(__xludf.DUMMYFUNCTION("IF($E46*(IF(REGEXMATCH(AH$10,$B46),$A46,1))/(AH$11*IF(REGEXMATCH($C46,AH$9),AH$8,1))*6&gt;6,CEILING($E46*(IF(REGEXMATCH(AH$10,$B46),$A46,1))/(AH$11*IF(REGEXMATCH($C46,AH$9),AH$8,1))*6),FLOOR($E46*(IF(REGEXMATCH(AH$10,$B46),$A46,1))/(AH$11*IF(REGEXMATCH($C46,"&amp;"AH$9),AH$8,1))*6))"),8.0)</f>
        <v>8</v>
      </c>
      <c r="AI46" s="285">
        <f>IFERROR(__xludf.DUMMYFUNCTION("IF($E46*(IF(REGEXMATCH(AI$10,$B46),$A46,1))/(AI$11*IF(REGEXMATCH($C46,AI$9),AI$8,1))*6&gt;6,CEILING($E46*(IF(REGEXMATCH(AI$10,$B46),$A46,1))/(AI$11*IF(REGEXMATCH($C46,AI$9),AI$8,1))*6),FLOOR($E46*(IF(REGEXMATCH(AI$10,$B46),$A46,1))/(AI$11*IF(REGEXMATCH($C46,"&amp;"AI$9),AI$8,1))*6))"),4.0)</f>
        <v>4</v>
      </c>
      <c r="AJ46" s="285">
        <f>IFERROR(__xludf.DUMMYFUNCTION("IF($E46*(IF(REGEXMATCH(AJ$10,$B46),$A46,1))/(AJ$11*IF(REGEXMATCH($C46,AJ$9),AJ$8,1))*6&gt;6,CEILING($E46*(IF(REGEXMATCH(AJ$10,$B46),$A46,1))/(AJ$11*IF(REGEXMATCH($C46,AJ$9),AJ$8,1))*6),FLOOR($E46*(IF(REGEXMATCH(AJ$10,$B46),$A46,1))/(AJ$11*IF(REGEXMATCH($C46,"&amp;"AJ$9),AJ$8,1))*6))"),8.0)</f>
        <v>8</v>
      </c>
      <c r="AK46" s="285">
        <f>IFERROR(__xludf.DUMMYFUNCTION("IF($E46*(IF(REGEXMATCH(AK$10,$B46),$A46,1))/(AK$11*IF(REGEXMATCH($C46,AK$9),AK$8,1))*6&gt;6,CEILING($E46*(IF(REGEXMATCH(AK$10,$B46),$A46,1))/(AK$11*IF(REGEXMATCH($C46,AK$9),AK$8,1))*6),FLOOR($E46*(IF(REGEXMATCH(AK$10,$B46),$A46,1))/(AK$11*IF(REGEXMATCH($C46,"&amp;"AK$9),AK$8,1))*6))"),5.0)</f>
        <v>5</v>
      </c>
      <c r="AL46" s="285">
        <f>IFERROR(__xludf.DUMMYFUNCTION("IF($E46*(IF(REGEXMATCH(AL$10,$B46),$A46,1))/(AL$11*IF(REGEXMATCH($C46,AL$9),AL$8,1))*6&gt;6,CEILING($E46*(IF(REGEXMATCH(AL$10,$B46),$A46,1))/(AL$11*IF(REGEXMATCH($C46,AL$9),AL$8,1))*6),FLOOR($E46*(IF(REGEXMATCH(AL$10,$B46),$A46,1))/(AL$11*IF(REGEXMATCH($C46,"&amp;"AL$9),AL$8,1))*6))"),9.0)</f>
        <v>9</v>
      </c>
      <c r="AM46" s="285">
        <f>IFERROR(__xludf.DUMMYFUNCTION("IF($E46*(IF(REGEXMATCH(AM$10,$B46),$A46,1))/(AM$11*IF(REGEXMATCH($C46,AM$9),AM$8,1))*6&gt;6,CEILING($E46*(IF(REGEXMATCH(AM$10,$B46),$A46,1))/(AM$11*IF(REGEXMATCH($C46,AM$9),AM$8,1))*6),FLOOR($E46*(IF(REGEXMATCH(AM$10,$B46),$A46,1))/(AM$11*IF(REGEXMATCH($C46,"&amp;"AM$9),AM$8,1))*6))"),4.0)</f>
        <v>4</v>
      </c>
      <c r="AN46" s="285">
        <f>IFERROR(__xludf.DUMMYFUNCTION("IF($E46*(IF(REGEXMATCH(AN$10,$B46),$A46,1))/(AN$11*IF(REGEXMATCH($C46,AN$9),AN$8,1))*6&gt;6,CEILING($E46*(IF(REGEXMATCH(AN$10,$B46),$A46,1))/(AN$11*IF(REGEXMATCH($C46,AN$9),AN$8,1))*6),FLOOR($E46*(IF(REGEXMATCH(AN$10,$B46),$A46,1))/(AN$11*IF(REGEXMATCH($C46,"&amp;"AN$9),AN$8,1))*6))"),6.0)</f>
        <v>6</v>
      </c>
      <c r="AO46" s="285">
        <f>IFERROR(__xludf.DUMMYFUNCTION("IF($E46*(IF(REGEXMATCH(AO$10,$B46),$A46,1))/(AO$11*IF(REGEXMATCH($C46,AO$9),AO$8,1))*6&gt;6,CEILING($E46*(IF(REGEXMATCH(AO$10,$B46),$A46,1))/(AO$11*IF(REGEXMATCH($C46,AO$9),AO$8,1))*6),FLOOR($E46*(IF(REGEXMATCH(AO$10,$B46),$A46,1))/(AO$11*IF(REGEXMATCH($C46,"&amp;"AO$9),AO$8,1))*6))"),6.0)</f>
        <v>6</v>
      </c>
      <c r="AP46" s="285">
        <f>IFERROR(__xludf.DUMMYFUNCTION("IF($E46*(IF(REGEXMATCH(AP$10,$B46),$A46,1))/(AP$11*IF(REGEXMATCH($C46,AP$9),AP$8,1))*6&gt;6,CEILING($E46*(IF(REGEXMATCH(AP$10,$B46),$A46,1))/(AP$11*IF(REGEXMATCH($C46,AP$9),AP$8,1))*6),FLOOR($E46*(IF(REGEXMATCH(AP$10,$B46),$A46,1))/(AP$11*IF(REGEXMATCH($C46,"&amp;"AP$9),AP$8,1))*6))"),9.0)</f>
        <v>9</v>
      </c>
      <c r="AQ46" s="285">
        <f>IFERROR(__xludf.DUMMYFUNCTION("IF($E46*(IF(REGEXMATCH(AQ$10,$B46),$A46,1))/(AQ$11*IF(REGEXMATCH($C46,AQ$9),AQ$8,1))*6&gt;6,CEILING($E46*(IF(REGEXMATCH(AQ$10,$B46),$A46,1))/(AQ$11*IF(REGEXMATCH($C46,AQ$9),AQ$8,1))*6),FLOOR($E46*(IF(REGEXMATCH(AQ$10,$B46),$A46,1))/(AQ$11*IF(REGEXMATCH($C46,"&amp;"AQ$9),AQ$8,1))*6))"),6.0)</f>
        <v>6</v>
      </c>
      <c r="AR46" s="285">
        <f>IFERROR(__xludf.DUMMYFUNCTION("IF($E46*(IF(REGEXMATCH(AR$10,$B46),$A46,1))/(AR$11*IF(REGEXMATCH($C46,AR$9),AR$8,1))*6&gt;6,CEILING($E46*(IF(REGEXMATCH(AR$10,$B46),$A46,1))/(AR$11*IF(REGEXMATCH($C46,AR$9),AR$8,1))*6),FLOOR($E46*(IF(REGEXMATCH(AR$10,$B46),$A46,1))/(AR$11*IF(REGEXMATCH($C46,"&amp;"AR$9),AR$8,1))*6))"),8.0)</f>
        <v>8</v>
      </c>
      <c r="AS46" s="285">
        <f>IFERROR(__xludf.DUMMYFUNCTION("IF($E46*(IF(REGEXMATCH(AS$10,$B46),$A46,1))/(AS$11*IF(REGEXMATCH($C46,AS$9),AS$8,1))*6&gt;6,CEILING($E46*(IF(REGEXMATCH(AS$10,$B46),$A46,1))/(AS$11*IF(REGEXMATCH($C46,AS$9),AS$8,1))*6),FLOOR($E46*(IF(REGEXMATCH(AS$10,$B46),$A46,1))/(AS$11*IF(REGEXMATCH($C46,"&amp;"AS$9),AS$8,1))*6))"),8.0)</f>
        <v>8</v>
      </c>
      <c r="AT46" s="285">
        <f>IFERROR(__xludf.DUMMYFUNCTION("IF($E46*(IF(REGEXMATCH(AT$10,$B46),$A46,1))/(AT$11*IF(REGEXMATCH($C46,AT$9),AT$8,1))*6&gt;6,CEILING($E46*(IF(REGEXMATCH(AT$10,$B46),$A46,1))/(AT$11*IF(REGEXMATCH($C46,AT$9),AT$8,1))*6),FLOOR($E46*(IF(REGEXMATCH(AT$10,$B46),$A46,1))/(AT$11*IF(REGEXMATCH($C46,"&amp;"AT$9),AT$8,1))*6))"),10.0)</f>
        <v>10</v>
      </c>
    </row>
    <row r="47">
      <c r="A47" s="8">
        <v>1.0</v>
      </c>
      <c r="B47" s="8" t="s">
        <v>2577</v>
      </c>
      <c r="C47" s="812" t="s">
        <v>2584</v>
      </c>
      <c r="D47" s="8"/>
      <c r="E47" s="8">
        <v>5.0</v>
      </c>
      <c r="F47" s="285" t="s">
        <v>2195</v>
      </c>
      <c r="G47" s="285">
        <f>IFERROR(__xludf.DUMMYFUNCTION("IF($E47*(IF(REGEXMATCH(G$10,$B47),$A47,1))/(G$11*IF(REGEXMATCH($C47,G$9),G$8,1))*6&gt;6,CEILING($E47*(IF(REGEXMATCH(G$10,$B47),$A47,1))/(G$11*IF(REGEXMATCH($C47,G$9),G$8,1))*6),FLOOR($E47*(IF(REGEXMATCH(G$10,$B47),$A47,1))/(G$11*IF(REGEXMATCH($C47,G$9),G$8,1"&amp;"))*6))"),3.0)</f>
        <v>3</v>
      </c>
      <c r="H47" s="285">
        <f>IFERROR(__xludf.DUMMYFUNCTION("IF($E47*(IF(REGEXMATCH(H$10,$B47),$A47,1))/(H$11*IF(REGEXMATCH($C47,H$9),H$8,1))*6&gt;6,CEILING($E47*(IF(REGEXMATCH(H$10,$B47),$A47,1))/(H$11*IF(REGEXMATCH($C47,H$9),H$8,1))*6),FLOOR($E47*(IF(REGEXMATCH(H$10,$B47),$A47,1))/(H$11*IF(REGEXMATCH($C47,H$9),H$8,1"&amp;"))*6))"),3.0)</f>
        <v>3</v>
      </c>
      <c r="I47" s="285">
        <f>IFERROR(__xludf.DUMMYFUNCTION("IF($E47*(IF(REGEXMATCH(I$10,$B47),$A47,1))/(I$11*IF(REGEXMATCH($C47,I$9),I$8,1))*6&gt;6,CEILING($E47*(IF(REGEXMATCH(I$10,$B47),$A47,1))/(I$11*IF(REGEXMATCH($C47,I$9),I$8,1))*6),FLOOR($E47*(IF(REGEXMATCH(I$10,$B47),$A47,1))/(I$11*IF(REGEXMATCH($C47,I$9),I$8,1"&amp;"))*6))"),3.0)</f>
        <v>3</v>
      </c>
      <c r="J47" s="285">
        <f>IFERROR(__xludf.DUMMYFUNCTION("IF($E47*(IF(REGEXMATCH(J$10,$B47),$A47,1))/(J$11*IF(REGEXMATCH($C47,J$9),J$8,1))*6&gt;6,CEILING($E47*(IF(REGEXMATCH(J$10,$B47),$A47,1))/(J$11*IF(REGEXMATCH($C47,J$9),J$8,1))*6),FLOOR($E47*(IF(REGEXMATCH(J$10,$B47),$A47,1))/(J$11*IF(REGEXMATCH($C47,J$9),J$8,1"&amp;"))*6))"),2.0)</f>
        <v>2</v>
      </c>
      <c r="K47" s="285">
        <f>IFERROR(__xludf.DUMMYFUNCTION("IF($E47*(IF(REGEXMATCH(K$10,$B47),$A47,1))/(K$11*IF(REGEXMATCH($C47,K$9),K$8,1))*6&gt;6,CEILING($E47*(IF(REGEXMATCH(K$10,$B47),$A47,1))/(K$11*IF(REGEXMATCH($C47,K$9),K$8,1))*6),FLOOR($E47*(IF(REGEXMATCH(K$10,$B47),$A47,1))/(K$11*IF(REGEXMATCH($C47,K$9),K$8,1"&amp;"))*6))"),3.0)</f>
        <v>3</v>
      </c>
      <c r="L47" s="285">
        <f>IFERROR(__xludf.DUMMYFUNCTION("IF($E47*(IF(REGEXMATCH(L$10,$B47),$A47,1))/(L$11*IF(REGEXMATCH($C47,L$9),L$8,1))*6&gt;6,CEILING($E47*(IF(REGEXMATCH(L$10,$B47),$A47,1))/(L$11*IF(REGEXMATCH($C47,L$9),L$8,1))*6),FLOOR($E47*(IF(REGEXMATCH(L$10,$B47),$A47,1))/(L$11*IF(REGEXMATCH($C47,L$9),L$8,1"&amp;"))*6))"),3.0)</f>
        <v>3</v>
      </c>
      <c r="M47" s="285">
        <f>IFERROR(__xludf.DUMMYFUNCTION("IF($E47*(IF(REGEXMATCH(M$10,$B47),$A47,1))/(M$11*IF(REGEXMATCH($C47,M$9),M$8,1))*6&gt;6,CEILING($E47*(IF(REGEXMATCH(M$10,$B47),$A47,1))/(M$11*IF(REGEXMATCH($C47,M$9),M$8,1))*6),FLOOR($E47*(IF(REGEXMATCH(M$10,$B47),$A47,1))/(M$11*IF(REGEXMATCH($C47,M$9),M$8,1"&amp;"))*6))"),3.0)</f>
        <v>3</v>
      </c>
      <c r="N47" s="285">
        <f>IFERROR(__xludf.DUMMYFUNCTION("IF($E47*(IF(REGEXMATCH(N$10,$B47),$A47,1))/(N$11*IF(REGEXMATCH($C47,N$9),N$8,1))*6&gt;6,CEILING($E47*(IF(REGEXMATCH(N$10,$B47),$A47,1))/(N$11*IF(REGEXMATCH($C47,N$9),N$8,1))*6),FLOOR($E47*(IF(REGEXMATCH(N$10,$B47),$A47,1))/(N$11*IF(REGEXMATCH($C47,N$9),N$8,1"&amp;"))*6))"),3.0)</f>
        <v>3</v>
      </c>
      <c r="O47" s="285">
        <f>IFERROR(__xludf.DUMMYFUNCTION("IF($E47*(IF(REGEXMATCH(O$10,$B47),$A47,1))/(O$11*IF(REGEXMATCH($C47,O$9),O$8,1))*6&gt;6,CEILING($E47*(IF(REGEXMATCH(O$10,$B47),$A47,1))/(O$11*IF(REGEXMATCH($C47,O$9),O$8,1))*6),FLOOR($E47*(IF(REGEXMATCH(O$10,$B47),$A47,1))/(O$11*IF(REGEXMATCH($C47,O$9),O$8,1"&amp;"))*6))"),3.0)</f>
        <v>3</v>
      </c>
      <c r="P47" s="285">
        <f>IFERROR(__xludf.DUMMYFUNCTION("IF($E47*(IF(REGEXMATCH(P$10,$B47),$A47,1))/(P$11*IF(REGEXMATCH($C47,P$9),P$8,1))*6&gt;6,CEILING($E47*(IF(REGEXMATCH(P$10,$B47),$A47,1))/(P$11*IF(REGEXMATCH($C47,P$9),P$8,1))*6),FLOOR($E47*(IF(REGEXMATCH(P$10,$B47),$A47,1))/(P$11*IF(REGEXMATCH($C47,P$9),P$8,1"&amp;"))*6))"),3.0)</f>
        <v>3</v>
      </c>
      <c r="Q47" s="285">
        <f>IFERROR(__xludf.DUMMYFUNCTION("IF($E47*(IF(REGEXMATCH(Q$10,$B47),$A47,1))/(Q$11*IF(REGEXMATCH($C47,Q$9),Q$8,1))*6&gt;6,CEILING($E47*(IF(REGEXMATCH(Q$10,$B47),$A47,1))/(Q$11*IF(REGEXMATCH($C47,Q$9),Q$8,1))*6),FLOOR($E47*(IF(REGEXMATCH(Q$10,$B47),$A47,1))/(Q$11*IF(REGEXMATCH($C47,Q$9),Q$8,1"&amp;"))*6))"),3.0)</f>
        <v>3</v>
      </c>
      <c r="R47" s="285">
        <f>IFERROR(__xludf.DUMMYFUNCTION("IF($E47*(IF(REGEXMATCH(R$10,$B47),$A47,1))/(R$11*IF(REGEXMATCH($C47,R$9),R$8,1))*6&gt;6,CEILING($E47*(IF(REGEXMATCH(R$10,$B47),$A47,1))/(R$11*IF(REGEXMATCH($C47,R$9),R$8,1))*6),FLOOR($E47*(IF(REGEXMATCH(R$10,$B47),$A47,1))/(R$11*IF(REGEXMATCH($C47,R$9),R$8,1"&amp;"))*6))"),3.0)</f>
        <v>3</v>
      </c>
      <c r="S47" s="285">
        <f>IFERROR(__xludf.DUMMYFUNCTION("IF($E47*(IF(REGEXMATCH(S$10,$B47),$A47,1))/(S$11*IF(REGEXMATCH($C47,S$9),S$8,1))*6&gt;6,CEILING($E47*(IF(REGEXMATCH(S$10,$B47),$A47,1))/(S$11*IF(REGEXMATCH($C47,S$9),S$8,1))*6),FLOOR($E47*(IF(REGEXMATCH(S$10,$B47),$A47,1))/(S$11*IF(REGEXMATCH($C47,S$9),S$8,1"&amp;"))*6))"),3.0)</f>
        <v>3</v>
      </c>
      <c r="T47" s="285">
        <f>IFERROR(__xludf.DUMMYFUNCTION("IF($E47*(IF(REGEXMATCH(T$10,$B47),$A47,1))/(T$11*IF(REGEXMATCH($C47,T$9),T$8,1))*6&gt;6,CEILING($E47*(IF(REGEXMATCH(T$10,$B47),$A47,1))/(T$11*IF(REGEXMATCH($C47,T$9),T$8,1))*6),FLOOR($E47*(IF(REGEXMATCH(T$10,$B47),$A47,1))/(T$11*IF(REGEXMATCH($C47,T$9),T$8,1"&amp;"))*6))"),3.0)</f>
        <v>3</v>
      </c>
      <c r="U47" s="285">
        <f>IFERROR(__xludf.DUMMYFUNCTION("IF($E47*(IF(REGEXMATCH(U$10,$B47),$A47,1))/(U$11*IF(REGEXMATCH($C47,U$9),U$8,1))*6&gt;6,CEILING($E47*(IF(REGEXMATCH(U$10,$B47),$A47,1))/(U$11*IF(REGEXMATCH($C47,U$9),U$8,1))*6),FLOOR($E47*(IF(REGEXMATCH(U$10,$B47),$A47,1))/(U$11*IF(REGEXMATCH($C47,U$9),U$8,1"&amp;"))*6))"),3.0)</f>
        <v>3</v>
      </c>
      <c r="V47" s="285">
        <f>IFERROR(__xludf.DUMMYFUNCTION("IF($E47*(IF(REGEXMATCH(V$10,$B47),$A47,1))/(V$11*IF(REGEXMATCH($C47,V$9),V$8,1))*6&gt;6,CEILING($E47*(IF(REGEXMATCH(V$10,$B47),$A47,1))/(V$11*IF(REGEXMATCH($C47,V$9),V$8,1))*6),FLOOR($E47*(IF(REGEXMATCH(V$10,$B47),$A47,1))/(V$11*IF(REGEXMATCH($C47,V$9),V$8,1"&amp;"))*6))"),3.0)</f>
        <v>3</v>
      </c>
      <c r="W47" s="285">
        <f>IFERROR(__xludf.DUMMYFUNCTION("IF($E47*(IF(REGEXMATCH(W$10,$B47),$A47,1))/(W$11*IF(REGEXMATCH($C47,W$9),W$8,1))*6&gt;6,CEILING($E47*(IF(REGEXMATCH(W$10,$B47),$A47,1))/(W$11*IF(REGEXMATCH($C47,W$9),W$8,1))*6),FLOOR($E47*(IF(REGEXMATCH(W$10,$B47),$A47,1))/(W$11*IF(REGEXMATCH($C47,W$9),W$8,1"&amp;"))*6))"),5.0)</f>
        <v>5</v>
      </c>
      <c r="X47" s="285">
        <f>IFERROR(__xludf.DUMMYFUNCTION("IF($E47*(IF(REGEXMATCH(X$10,$B47),$A47,1))/(X$11*IF(REGEXMATCH($C47,X$9),X$8,1))*6&gt;6,CEILING($E47*(IF(REGEXMATCH(X$10,$B47),$A47,1))/(X$11*IF(REGEXMATCH($C47,X$9),X$8,1))*6),FLOOR($E47*(IF(REGEXMATCH(X$10,$B47),$A47,1))/(X$11*IF(REGEXMATCH($C47,X$9),X$8,1"&amp;"))*6))"),5.0)</f>
        <v>5</v>
      </c>
      <c r="Y47" s="285">
        <f>IFERROR(__xludf.DUMMYFUNCTION("IF($E47*(IF(REGEXMATCH(Y$10,$B47),$A47,1))/(Y$11*IF(REGEXMATCH($C47,Y$9),Y$8,1))*6&gt;6,CEILING($E47*(IF(REGEXMATCH(Y$10,$B47),$A47,1))/(Y$11*IF(REGEXMATCH($C47,Y$9),Y$8,1))*6),FLOOR($E47*(IF(REGEXMATCH(Y$10,$B47),$A47,1))/(Y$11*IF(REGEXMATCH($C47,Y$9),Y$8,1"&amp;"))*6))"),5.0)</f>
        <v>5</v>
      </c>
      <c r="Z47" s="285">
        <f>IFERROR(__xludf.DUMMYFUNCTION("IF($E47*(IF(REGEXMATCH(Z$10,$B47),$A47,1))/(Z$11*IF(REGEXMATCH($C47,Z$9),Z$8,1))*6&gt;6,CEILING($E47*(IF(REGEXMATCH(Z$10,$B47),$A47,1))/(Z$11*IF(REGEXMATCH($C47,Z$9),Z$8,1))*6),FLOOR($E47*(IF(REGEXMATCH(Z$10,$B47),$A47,1))/(Z$11*IF(REGEXMATCH($C47,Z$9),Z$8,1"&amp;"))*6))"),5.0)</f>
        <v>5</v>
      </c>
      <c r="AA47" s="285">
        <f>IFERROR(__xludf.DUMMYFUNCTION("IF($E47*(IF(REGEXMATCH(AA$10,$B47),$A47,1))/(AA$11*IF(REGEXMATCH($C47,AA$9),AA$8,1))*6&gt;6,CEILING($E47*(IF(REGEXMATCH(AA$10,$B47),$A47,1))/(AA$11*IF(REGEXMATCH($C47,AA$9),AA$8,1))*6),FLOOR($E47*(IF(REGEXMATCH(AA$10,$B47),$A47,1))/(AA$11*IF(REGEXMATCH($C47,"&amp;"AA$9),AA$8,1))*6))"),5.0)</f>
        <v>5</v>
      </c>
      <c r="AB47" s="285">
        <f>IFERROR(__xludf.DUMMYFUNCTION("IF($E47*(IF(REGEXMATCH(AB$10,$B47),$A47,1))/(AB$11*IF(REGEXMATCH($C47,AB$9),AB$8,1))*6&gt;6,CEILING($E47*(IF(REGEXMATCH(AB$10,$B47),$A47,1))/(AB$11*IF(REGEXMATCH($C47,AB$9),AB$8,1))*6),FLOOR($E47*(IF(REGEXMATCH(AB$10,$B47),$A47,1))/(AB$11*IF(REGEXMATCH($C47,"&amp;"AB$9),AB$8,1))*6))"),5.0)</f>
        <v>5</v>
      </c>
      <c r="AC47" s="285">
        <f>IFERROR(__xludf.DUMMYFUNCTION("IF($E47*(IF(REGEXMATCH(AC$10,$B47),$A47,1))/(AC$11*IF(REGEXMATCH($C47,AC$9),AC$8,1))*6&gt;6,CEILING($E47*(IF(REGEXMATCH(AC$10,$B47),$A47,1))/(AC$11*IF(REGEXMATCH($C47,AC$9),AC$8,1))*6),FLOOR($E47*(IF(REGEXMATCH(AC$10,$B47),$A47,1))/(AC$11*IF(REGEXMATCH($C47,"&amp;"AC$9),AC$8,1))*6))"),5.0)</f>
        <v>5</v>
      </c>
      <c r="AD47" s="285">
        <f>IFERROR(__xludf.DUMMYFUNCTION("IF($E47*(IF(REGEXMATCH(AD$10,$B47),$A47,1))/(AD$11*IF(REGEXMATCH($C47,AD$9),AD$8,1))*6&gt;6,CEILING($E47*(IF(REGEXMATCH(AD$10,$B47),$A47,1))/(AD$11*IF(REGEXMATCH($C47,AD$9),AD$8,1))*6),FLOOR($E47*(IF(REGEXMATCH(AD$10,$B47),$A47,1))/(AD$11*IF(REGEXMATCH($C47,"&amp;"AD$9),AD$8,1))*6))"),5.0)</f>
        <v>5</v>
      </c>
      <c r="AE47" s="285">
        <f>IFERROR(__xludf.DUMMYFUNCTION("IF($E47*(IF(REGEXMATCH(AE$10,$B47),$A47,1))/(AE$11*IF(REGEXMATCH($C47,AE$9),AE$8,1))*6&gt;6,CEILING($E47*(IF(REGEXMATCH(AE$10,$B47),$A47,1))/(AE$11*IF(REGEXMATCH($C47,AE$9),AE$8,1))*6),FLOOR($E47*(IF(REGEXMATCH(AE$10,$B47),$A47,1))/(AE$11*IF(REGEXMATCH($C47,"&amp;"AE$9),AE$8,1))*6))"),5.0)</f>
        <v>5</v>
      </c>
      <c r="AF47" s="285">
        <f>IFERROR(__xludf.DUMMYFUNCTION("IF($E47*(IF(REGEXMATCH(AF$10,$B47),$A47,1))/(AF$11*IF(REGEXMATCH($C47,AF$9),AF$8,1))*6&gt;6,CEILING($E47*(IF(REGEXMATCH(AF$10,$B47),$A47,1))/(AF$11*IF(REGEXMATCH($C47,AF$9),AF$8,1))*6),FLOOR($E47*(IF(REGEXMATCH(AF$10,$B47),$A47,1))/(AF$11*IF(REGEXMATCH($C47,"&amp;"AF$9),AF$8,1))*6))"),5.0)</f>
        <v>5</v>
      </c>
      <c r="AG47" s="285">
        <f>IFERROR(__xludf.DUMMYFUNCTION("IF($E47*(IF(REGEXMATCH(AG$10,$B47),$A47,1))/(AG$11*IF(REGEXMATCH($C47,AG$9),AG$8,1))*6&gt;6,CEILING($E47*(IF(REGEXMATCH(AG$10,$B47),$A47,1))/(AG$11*IF(REGEXMATCH($C47,AG$9),AG$8,1))*6),FLOOR($E47*(IF(REGEXMATCH(AG$10,$B47),$A47,1))/(AG$11*IF(REGEXMATCH($C47,"&amp;"AG$9),AG$8,1))*6))"),5.0)</f>
        <v>5</v>
      </c>
      <c r="AH47" s="285">
        <f>IFERROR(__xludf.DUMMYFUNCTION("IF($E47*(IF(REGEXMATCH(AH$10,$B47),$A47,1))/(AH$11*IF(REGEXMATCH($C47,AH$9),AH$8,1))*6&gt;6,CEILING($E47*(IF(REGEXMATCH(AH$10,$B47),$A47,1))/(AH$11*IF(REGEXMATCH($C47,AH$9),AH$8,1))*6),FLOOR($E47*(IF(REGEXMATCH(AH$10,$B47),$A47,1))/(AH$11*IF(REGEXMATCH($C47,"&amp;"AH$9),AH$8,1))*6))"),5.0)</f>
        <v>5</v>
      </c>
      <c r="AI47" s="285">
        <f>IFERROR(__xludf.DUMMYFUNCTION("IF($E47*(IF(REGEXMATCH(AI$10,$B47),$A47,1))/(AI$11*IF(REGEXMATCH($C47,AI$9),AI$8,1))*6&gt;6,CEILING($E47*(IF(REGEXMATCH(AI$10,$B47),$A47,1))/(AI$11*IF(REGEXMATCH($C47,AI$9),AI$8,1))*6),FLOOR($E47*(IF(REGEXMATCH(AI$10,$B47),$A47,1))/(AI$11*IF(REGEXMATCH($C47,"&amp;"AI$9),AI$8,1))*6))"),5.0)</f>
        <v>5</v>
      </c>
      <c r="AJ47" s="285">
        <f>IFERROR(__xludf.DUMMYFUNCTION("IF($E47*(IF(REGEXMATCH(AJ$10,$B47),$A47,1))/(AJ$11*IF(REGEXMATCH($C47,AJ$9),AJ$8,1))*6&gt;6,CEILING($E47*(IF(REGEXMATCH(AJ$10,$B47),$A47,1))/(AJ$11*IF(REGEXMATCH($C47,AJ$9),AJ$8,1))*6),FLOOR($E47*(IF(REGEXMATCH(AJ$10,$B47),$A47,1))/(AJ$11*IF(REGEXMATCH($C47,"&amp;"AJ$9),AJ$8,1))*6))"),5.0)</f>
        <v>5</v>
      </c>
      <c r="AK47" s="285">
        <f>IFERROR(__xludf.DUMMYFUNCTION("IF($E47*(IF(REGEXMATCH(AK$10,$B47),$A47,1))/(AK$11*IF(REGEXMATCH($C47,AK$9),AK$8,1))*6&gt;6,CEILING($E47*(IF(REGEXMATCH(AK$10,$B47),$A47,1))/(AK$11*IF(REGEXMATCH($C47,AK$9),AK$8,1))*6),FLOOR($E47*(IF(REGEXMATCH(AK$10,$B47),$A47,1))/(AK$11*IF(REGEXMATCH($C47,"&amp;"AK$9),AK$8,1))*6))"),5.0)</f>
        <v>5</v>
      </c>
      <c r="AL47" s="285">
        <f>IFERROR(__xludf.DUMMYFUNCTION("IF($E47*(IF(REGEXMATCH(AL$10,$B47),$A47,1))/(AL$11*IF(REGEXMATCH($C47,AL$9),AL$8,1))*6&gt;6,CEILING($E47*(IF(REGEXMATCH(AL$10,$B47),$A47,1))/(AL$11*IF(REGEXMATCH($C47,AL$9),AL$8,1))*6),FLOOR($E47*(IF(REGEXMATCH(AL$10,$B47),$A47,1))/(AL$11*IF(REGEXMATCH($C47,"&amp;"AL$9),AL$8,1))*6))"),6.0)</f>
        <v>6</v>
      </c>
      <c r="AM47" s="285">
        <f>IFERROR(__xludf.DUMMYFUNCTION("IF($E47*(IF(REGEXMATCH(AM$10,$B47),$A47,1))/(AM$11*IF(REGEXMATCH($C47,AM$9),AM$8,1))*6&gt;6,CEILING($E47*(IF(REGEXMATCH(AM$10,$B47),$A47,1))/(AM$11*IF(REGEXMATCH($C47,AM$9),AM$8,1))*6),FLOOR($E47*(IF(REGEXMATCH(AM$10,$B47),$A47,1))/(AM$11*IF(REGEXMATCH($C47,"&amp;"AM$9),AM$8,1))*6))"),6.0)</f>
        <v>6</v>
      </c>
      <c r="AN47" s="285">
        <f>IFERROR(__xludf.DUMMYFUNCTION("IF($E47*(IF(REGEXMATCH(AN$10,$B47),$A47,1))/(AN$11*IF(REGEXMATCH($C47,AN$9),AN$8,1))*6&gt;6,CEILING($E47*(IF(REGEXMATCH(AN$10,$B47),$A47,1))/(AN$11*IF(REGEXMATCH($C47,AN$9),AN$8,1))*6),FLOOR($E47*(IF(REGEXMATCH(AN$10,$B47),$A47,1))/(AN$11*IF(REGEXMATCH($C47,"&amp;"AN$9),AN$8,1))*6))"),6.0)</f>
        <v>6</v>
      </c>
      <c r="AO47" s="285">
        <f>IFERROR(__xludf.DUMMYFUNCTION("IF($E47*(IF(REGEXMATCH(AO$10,$B47),$A47,1))/(AO$11*IF(REGEXMATCH($C47,AO$9),AO$8,1))*6&gt;6,CEILING($E47*(IF(REGEXMATCH(AO$10,$B47),$A47,1))/(AO$11*IF(REGEXMATCH($C47,AO$9),AO$8,1))*6),FLOOR($E47*(IF(REGEXMATCH(AO$10,$B47),$A47,1))/(AO$11*IF(REGEXMATCH($C47,"&amp;"AO$9),AO$8,1))*6))"),6.0)</f>
        <v>6</v>
      </c>
      <c r="AP47" s="285">
        <f>IFERROR(__xludf.DUMMYFUNCTION("IF($E47*(IF(REGEXMATCH(AP$10,$B47),$A47,1))/(AP$11*IF(REGEXMATCH($C47,AP$9),AP$8,1))*6&gt;6,CEILING($E47*(IF(REGEXMATCH(AP$10,$B47),$A47,1))/(AP$11*IF(REGEXMATCH($C47,AP$9),AP$8,1))*6),FLOOR($E47*(IF(REGEXMATCH(AP$10,$B47),$A47,1))/(AP$11*IF(REGEXMATCH($C47,"&amp;"AP$9),AP$8,1))*6))"),6.0)</f>
        <v>6</v>
      </c>
      <c r="AQ47" s="285">
        <f>IFERROR(__xludf.DUMMYFUNCTION("IF($E47*(IF(REGEXMATCH(AQ$10,$B47),$A47,1))/(AQ$11*IF(REGEXMATCH($C47,AQ$9),AQ$8,1))*6&gt;6,CEILING($E47*(IF(REGEXMATCH(AQ$10,$B47),$A47,1))/(AQ$11*IF(REGEXMATCH($C47,AQ$9),AQ$8,1))*6),FLOOR($E47*(IF(REGEXMATCH(AQ$10,$B47),$A47,1))/(AQ$11*IF(REGEXMATCH($C47,"&amp;"AQ$9),AQ$8,1))*6))"),6.0)</f>
        <v>6</v>
      </c>
      <c r="AR47" s="285">
        <f>IFERROR(__xludf.DUMMYFUNCTION("IF($E47*(IF(REGEXMATCH(AR$10,$B47),$A47,1))/(AR$11*IF(REGEXMATCH($C47,AR$9),AR$8,1))*6&gt;6,CEILING($E47*(IF(REGEXMATCH(AR$10,$B47),$A47,1))/(AR$11*IF(REGEXMATCH($C47,AR$9),AR$8,1))*6),FLOOR($E47*(IF(REGEXMATCH(AR$10,$B47),$A47,1))/(AR$11*IF(REGEXMATCH($C47,"&amp;"AR$9),AR$8,1))*6))"),8.0)</f>
        <v>8</v>
      </c>
      <c r="AS47" s="285">
        <f>IFERROR(__xludf.DUMMYFUNCTION("IF($E47*(IF(REGEXMATCH(AS$10,$B47),$A47,1))/(AS$11*IF(REGEXMATCH($C47,AS$9),AS$8,1))*6&gt;6,CEILING($E47*(IF(REGEXMATCH(AS$10,$B47),$A47,1))/(AS$11*IF(REGEXMATCH($C47,AS$9),AS$8,1))*6),FLOOR($E47*(IF(REGEXMATCH(AS$10,$B47),$A47,1))/(AS$11*IF(REGEXMATCH($C47,"&amp;"AS$9),AS$8,1))*6))"),8.0)</f>
        <v>8</v>
      </c>
      <c r="AT47" s="285">
        <f>IFERROR(__xludf.DUMMYFUNCTION("IF($E47*(IF(REGEXMATCH(AT$10,$B47),$A47,1))/(AT$11*IF(REGEXMATCH($C47,AT$9),AT$8,1))*6&gt;6,CEILING($E47*(IF(REGEXMATCH(AT$10,$B47),$A47,1))/(AT$11*IF(REGEXMATCH($C47,AT$9),AT$8,1))*6),FLOOR($E47*(IF(REGEXMATCH(AT$10,$B47),$A47,1))/(AT$11*IF(REGEXMATCH($C47,"&amp;"AT$9),AT$8,1))*6))"),10.0)</f>
        <v>10</v>
      </c>
    </row>
    <row r="48">
      <c r="A48" s="8">
        <v>1.5</v>
      </c>
      <c r="B48" s="8" t="s">
        <v>2580</v>
      </c>
      <c r="C48" s="812" t="s">
        <v>2590</v>
      </c>
      <c r="D48" s="8"/>
      <c r="E48" s="8">
        <v>5.0</v>
      </c>
      <c r="F48" s="285" t="s">
        <v>2564</v>
      </c>
      <c r="G48" s="285">
        <f>IFERROR(__xludf.DUMMYFUNCTION("IF($E48*(IF(REGEXMATCH(G$10,$B48),$A48,1))/(G$11*IF(REGEXMATCH($C48,G$9),G$8,1))*6&gt;6,CEILING($E48*(IF(REGEXMATCH(G$10,$B48),$A48,1))/(G$11*IF(REGEXMATCH($C48,G$9),G$8,1))*6),FLOOR($E48*(IF(REGEXMATCH(G$10,$B48),$A48,1))/(G$11*IF(REGEXMATCH($C48,G$9),G$8,1"&amp;"))*6))"),3.0)</f>
        <v>3</v>
      </c>
      <c r="H48" s="285">
        <f>IFERROR(__xludf.DUMMYFUNCTION("IF($E48*(IF(REGEXMATCH(H$10,$B48),$A48,1))/(H$11*IF(REGEXMATCH($C48,H$9),H$8,1))*6&gt;6,CEILING($E48*(IF(REGEXMATCH(H$10,$B48),$A48,1))/(H$11*IF(REGEXMATCH($C48,H$9),H$8,1))*6),FLOOR($E48*(IF(REGEXMATCH(H$10,$B48),$A48,1))/(H$11*IF(REGEXMATCH($C48,H$9),H$8,1"&amp;"))*6))"),4.0)</f>
        <v>4</v>
      </c>
      <c r="I48" s="285">
        <f>IFERROR(__xludf.DUMMYFUNCTION("IF($E48*(IF(REGEXMATCH(I$10,$B48),$A48,1))/(I$11*IF(REGEXMATCH($C48,I$9),I$8,1))*6&gt;6,CEILING($E48*(IF(REGEXMATCH(I$10,$B48),$A48,1))/(I$11*IF(REGEXMATCH($C48,I$9),I$8,1))*6),FLOOR($E48*(IF(REGEXMATCH(I$10,$B48),$A48,1))/(I$11*IF(REGEXMATCH($C48,I$9),I$8,1"&amp;"))*6))"),3.0)</f>
        <v>3</v>
      </c>
      <c r="J48" s="285">
        <f>IFERROR(__xludf.DUMMYFUNCTION("IF($E48*(IF(REGEXMATCH(J$10,$B48),$A48,1))/(J$11*IF(REGEXMATCH($C48,J$9),J$8,1))*6&gt;6,CEILING($E48*(IF(REGEXMATCH(J$10,$B48),$A48,1))/(J$11*IF(REGEXMATCH($C48,J$9),J$8,1))*6),FLOOR($E48*(IF(REGEXMATCH(J$10,$B48),$A48,1))/(J$11*IF(REGEXMATCH($C48,J$9),J$8,1"&amp;"))*6))"),3.0)</f>
        <v>3</v>
      </c>
      <c r="K48" s="285">
        <f>IFERROR(__xludf.DUMMYFUNCTION("IF($E48*(IF(REGEXMATCH(K$10,$B48),$A48,1))/(K$11*IF(REGEXMATCH($C48,K$9),K$8,1))*6&gt;6,CEILING($E48*(IF(REGEXMATCH(K$10,$B48),$A48,1))/(K$11*IF(REGEXMATCH($C48,K$9),K$8,1))*6),FLOOR($E48*(IF(REGEXMATCH(K$10,$B48),$A48,1))/(K$11*IF(REGEXMATCH($C48,K$9),K$8,1"&amp;"))*6))"),3.0)</f>
        <v>3</v>
      </c>
      <c r="L48" s="285">
        <f>IFERROR(__xludf.DUMMYFUNCTION("IF($E48*(IF(REGEXMATCH(L$10,$B48),$A48,1))/(L$11*IF(REGEXMATCH($C48,L$9),L$8,1))*6&gt;6,CEILING($E48*(IF(REGEXMATCH(L$10,$B48),$A48,1))/(L$11*IF(REGEXMATCH($C48,L$9),L$8,1))*6),FLOOR($E48*(IF(REGEXMATCH(L$10,$B48),$A48,1))/(L$11*IF(REGEXMATCH($C48,L$9),L$8,1"&amp;"))*6))"),3.0)</f>
        <v>3</v>
      </c>
      <c r="M48" s="285">
        <f>IFERROR(__xludf.DUMMYFUNCTION("IF($E48*(IF(REGEXMATCH(M$10,$B48),$A48,1))/(M$11*IF(REGEXMATCH($C48,M$9),M$8,1))*6&gt;6,CEILING($E48*(IF(REGEXMATCH(M$10,$B48),$A48,1))/(M$11*IF(REGEXMATCH($C48,M$9),M$8,1))*6),FLOOR($E48*(IF(REGEXMATCH(M$10,$B48),$A48,1))/(M$11*IF(REGEXMATCH($C48,M$9),M$8,1"&amp;"))*6))"),1.0)</f>
        <v>1</v>
      </c>
      <c r="N48" s="285">
        <f>IFERROR(__xludf.DUMMYFUNCTION("IF($E48*(IF(REGEXMATCH(N$10,$B48),$A48,1))/(N$11*IF(REGEXMATCH($C48,N$9),N$8,1))*6&gt;6,CEILING($E48*(IF(REGEXMATCH(N$10,$B48),$A48,1))/(N$11*IF(REGEXMATCH($C48,N$9),N$8,1))*6),FLOOR($E48*(IF(REGEXMATCH(N$10,$B48),$A48,1))/(N$11*IF(REGEXMATCH($C48,N$9),N$8,1"&amp;"))*6))"),3.0)</f>
        <v>3</v>
      </c>
      <c r="O48" s="285">
        <f>IFERROR(__xludf.DUMMYFUNCTION("IF($E48*(IF(REGEXMATCH(O$10,$B48),$A48,1))/(O$11*IF(REGEXMATCH($C48,O$9),O$8,1))*6&gt;6,CEILING($E48*(IF(REGEXMATCH(O$10,$B48),$A48,1))/(O$11*IF(REGEXMATCH($C48,O$9),O$8,1))*6),FLOOR($E48*(IF(REGEXMATCH(O$10,$B48),$A48,1))/(O$11*IF(REGEXMATCH($C48,O$9),O$8,1"&amp;"))*6))"),3.0)</f>
        <v>3</v>
      </c>
      <c r="P48" s="285">
        <f>IFERROR(__xludf.DUMMYFUNCTION("IF($E48*(IF(REGEXMATCH(P$10,$B48),$A48,1))/(P$11*IF(REGEXMATCH($C48,P$9),P$8,1))*6&gt;6,CEILING($E48*(IF(REGEXMATCH(P$10,$B48),$A48,1))/(P$11*IF(REGEXMATCH($C48,P$9),P$8,1))*6),FLOOR($E48*(IF(REGEXMATCH(P$10,$B48),$A48,1))/(P$11*IF(REGEXMATCH($C48,P$9),P$8,1"&amp;"))*6))"),3.0)</f>
        <v>3</v>
      </c>
      <c r="Q48" s="285">
        <f>IFERROR(__xludf.DUMMYFUNCTION("IF($E48*(IF(REGEXMATCH(Q$10,$B48),$A48,1))/(Q$11*IF(REGEXMATCH($C48,Q$9),Q$8,1))*6&gt;6,CEILING($E48*(IF(REGEXMATCH(Q$10,$B48),$A48,1))/(Q$11*IF(REGEXMATCH($C48,Q$9),Q$8,1))*6),FLOOR($E48*(IF(REGEXMATCH(Q$10,$B48),$A48,1))/(Q$11*IF(REGEXMATCH($C48,Q$9),Q$8,1"&amp;"))*6))"),5.0)</f>
        <v>5</v>
      </c>
      <c r="R48" s="285">
        <f>IFERROR(__xludf.DUMMYFUNCTION("IF($E48*(IF(REGEXMATCH(R$10,$B48),$A48,1))/(R$11*IF(REGEXMATCH($C48,R$9),R$8,1))*6&gt;6,CEILING($E48*(IF(REGEXMATCH(R$10,$B48),$A48,1))/(R$11*IF(REGEXMATCH($C48,R$9),R$8,1))*6),FLOOR($E48*(IF(REGEXMATCH(R$10,$B48),$A48,1))/(R$11*IF(REGEXMATCH($C48,R$9),R$8,1"&amp;"))*6))"),2.0)</f>
        <v>2</v>
      </c>
      <c r="S48" s="285">
        <f>IFERROR(__xludf.DUMMYFUNCTION("IF($E48*(IF(REGEXMATCH(S$10,$B48),$A48,1))/(S$11*IF(REGEXMATCH($C48,S$9),S$8,1))*6&gt;6,CEILING($E48*(IF(REGEXMATCH(S$10,$B48),$A48,1))/(S$11*IF(REGEXMATCH($C48,S$9),S$8,1))*6),FLOOR($E48*(IF(REGEXMATCH(S$10,$B48),$A48,1))/(S$11*IF(REGEXMATCH($C48,S$9),S$8,1"&amp;"))*6))"),5.0)</f>
        <v>5</v>
      </c>
      <c r="T48" s="285">
        <f>IFERROR(__xludf.DUMMYFUNCTION("IF($E48*(IF(REGEXMATCH(T$10,$B48),$A48,1))/(T$11*IF(REGEXMATCH($C48,T$9),T$8,1))*6&gt;6,CEILING($E48*(IF(REGEXMATCH(T$10,$B48),$A48,1))/(T$11*IF(REGEXMATCH($C48,T$9),T$8,1))*6),FLOOR($E48*(IF(REGEXMATCH(T$10,$B48),$A48,1))/(T$11*IF(REGEXMATCH($C48,T$9),T$8,1"&amp;"))*6))"),3.0)</f>
        <v>3</v>
      </c>
      <c r="U48" s="285">
        <f>IFERROR(__xludf.DUMMYFUNCTION("IF($E48*(IF(REGEXMATCH(U$10,$B48),$A48,1))/(U$11*IF(REGEXMATCH($C48,U$9),U$8,1))*6&gt;6,CEILING($E48*(IF(REGEXMATCH(U$10,$B48),$A48,1))/(U$11*IF(REGEXMATCH($C48,U$9),U$8,1))*6),FLOOR($E48*(IF(REGEXMATCH(U$10,$B48),$A48,1))/(U$11*IF(REGEXMATCH($C48,U$9),U$8,1"&amp;"))*6))"),5.0)</f>
        <v>5</v>
      </c>
      <c r="V48" s="285">
        <f>IFERROR(__xludf.DUMMYFUNCTION("IF($E48*(IF(REGEXMATCH(V$10,$B48),$A48,1))/(V$11*IF(REGEXMATCH($C48,V$9),V$8,1))*6&gt;6,CEILING($E48*(IF(REGEXMATCH(V$10,$B48),$A48,1))/(V$11*IF(REGEXMATCH($C48,V$9),V$8,1))*6),FLOOR($E48*(IF(REGEXMATCH(V$10,$B48),$A48,1))/(V$11*IF(REGEXMATCH($C48,V$9),V$8,1"&amp;"))*6))"),3.0)</f>
        <v>3</v>
      </c>
      <c r="W48" s="285">
        <f>IFERROR(__xludf.DUMMYFUNCTION("IF($E48*(IF(REGEXMATCH(W$10,$B48),$A48,1))/(W$11*IF(REGEXMATCH($C48,W$9),W$8,1))*6&gt;6,CEILING($E48*(IF(REGEXMATCH(W$10,$B48),$A48,1))/(W$11*IF(REGEXMATCH($C48,W$9),W$8,1))*6),FLOOR($E48*(IF(REGEXMATCH(W$10,$B48),$A48,1))/(W$11*IF(REGEXMATCH($C48,W$9),W$8,1"&amp;"))*6))"),5.0)</f>
        <v>5</v>
      </c>
      <c r="X48" s="285">
        <f>IFERROR(__xludf.DUMMYFUNCTION("IF($E48*(IF(REGEXMATCH(X$10,$B48),$A48,1))/(X$11*IF(REGEXMATCH($C48,X$9),X$8,1))*6&gt;6,CEILING($E48*(IF(REGEXMATCH(X$10,$B48),$A48,1))/(X$11*IF(REGEXMATCH($C48,X$9),X$8,1))*6),FLOOR($E48*(IF(REGEXMATCH(X$10,$B48),$A48,1))/(X$11*IF(REGEXMATCH($C48,X$9),X$8,1"&amp;"))*6))"),5.0)</f>
        <v>5</v>
      </c>
      <c r="Y48" s="285">
        <f>IFERROR(__xludf.DUMMYFUNCTION("IF($E48*(IF(REGEXMATCH(Y$10,$B48),$A48,1))/(Y$11*IF(REGEXMATCH($C48,Y$9),Y$8,1))*6&gt;6,CEILING($E48*(IF(REGEXMATCH(Y$10,$B48),$A48,1))/(Y$11*IF(REGEXMATCH($C48,Y$9),Y$8,1))*6),FLOOR($E48*(IF(REGEXMATCH(Y$10,$B48),$A48,1))/(Y$11*IF(REGEXMATCH($C48,Y$9),Y$8,1"&amp;"))*6))"),5.0)</f>
        <v>5</v>
      </c>
      <c r="Z48" s="285">
        <f>IFERROR(__xludf.DUMMYFUNCTION("IF($E48*(IF(REGEXMATCH(Z$10,$B48),$A48,1))/(Z$11*IF(REGEXMATCH($C48,Z$9),Z$8,1))*6&gt;6,CEILING($E48*(IF(REGEXMATCH(Z$10,$B48),$A48,1))/(Z$11*IF(REGEXMATCH($C48,Z$9),Z$8,1))*6),FLOOR($E48*(IF(REGEXMATCH(Z$10,$B48),$A48,1))/(Z$11*IF(REGEXMATCH($C48,Z$9),Z$8,1"&amp;"))*6))"),8.0)</f>
        <v>8</v>
      </c>
      <c r="AA48" s="285">
        <f>IFERROR(__xludf.DUMMYFUNCTION("IF($E48*(IF(REGEXMATCH(AA$10,$B48),$A48,1))/(AA$11*IF(REGEXMATCH($C48,AA$9),AA$8,1))*6&gt;6,CEILING($E48*(IF(REGEXMATCH(AA$10,$B48),$A48,1))/(AA$11*IF(REGEXMATCH($C48,AA$9),AA$8,1))*6),FLOOR($E48*(IF(REGEXMATCH(AA$10,$B48),$A48,1))/(AA$11*IF(REGEXMATCH($C48,"&amp;"AA$9),AA$8,1))*6))"),8.0)</f>
        <v>8</v>
      </c>
      <c r="AB48" s="285">
        <f>IFERROR(__xludf.DUMMYFUNCTION("IF($E48*(IF(REGEXMATCH(AB$10,$B48),$A48,1))/(AB$11*IF(REGEXMATCH($C48,AB$9),AB$8,1))*6&gt;6,CEILING($E48*(IF(REGEXMATCH(AB$10,$B48),$A48,1))/(AB$11*IF(REGEXMATCH($C48,AB$9),AB$8,1))*6),FLOOR($E48*(IF(REGEXMATCH(AB$10,$B48),$A48,1))/(AB$11*IF(REGEXMATCH($C48,"&amp;"AB$9),AB$8,1))*6))"),5.0)</f>
        <v>5</v>
      </c>
      <c r="AC48" s="285">
        <f>IFERROR(__xludf.DUMMYFUNCTION("IF($E48*(IF(REGEXMATCH(AC$10,$B48),$A48,1))/(AC$11*IF(REGEXMATCH($C48,AC$9),AC$8,1))*6&gt;6,CEILING($E48*(IF(REGEXMATCH(AC$10,$B48),$A48,1))/(AC$11*IF(REGEXMATCH($C48,AC$9),AC$8,1))*6),FLOOR($E48*(IF(REGEXMATCH(AC$10,$B48),$A48,1))/(AC$11*IF(REGEXMATCH($C48,"&amp;"AC$9),AC$8,1))*6))"),5.0)</f>
        <v>5</v>
      </c>
      <c r="AD48" s="285">
        <f>IFERROR(__xludf.DUMMYFUNCTION("IF($E48*(IF(REGEXMATCH(AD$10,$B48),$A48,1))/(AD$11*IF(REGEXMATCH($C48,AD$9),AD$8,1))*6&gt;6,CEILING($E48*(IF(REGEXMATCH(AD$10,$B48),$A48,1))/(AD$11*IF(REGEXMATCH($C48,AD$9),AD$8,1))*6),FLOOR($E48*(IF(REGEXMATCH(AD$10,$B48),$A48,1))/(AD$11*IF(REGEXMATCH($C48,"&amp;"AD$9),AD$8,1))*6))"),5.0)</f>
        <v>5</v>
      </c>
      <c r="AE48" s="285">
        <f>IFERROR(__xludf.DUMMYFUNCTION("IF($E48*(IF(REGEXMATCH(AE$10,$B48),$A48,1))/(AE$11*IF(REGEXMATCH($C48,AE$9),AE$8,1))*6&gt;6,CEILING($E48*(IF(REGEXMATCH(AE$10,$B48),$A48,1))/(AE$11*IF(REGEXMATCH($C48,AE$9),AE$8,1))*6),FLOOR($E48*(IF(REGEXMATCH(AE$10,$B48),$A48,1))/(AE$11*IF(REGEXMATCH($C48,"&amp;"AE$9),AE$8,1))*6))"),5.0)</f>
        <v>5</v>
      </c>
      <c r="AF48" s="285">
        <f>IFERROR(__xludf.DUMMYFUNCTION("IF($E48*(IF(REGEXMATCH(AF$10,$B48),$A48,1))/(AF$11*IF(REGEXMATCH($C48,AF$9),AF$8,1))*6&gt;6,CEILING($E48*(IF(REGEXMATCH(AF$10,$B48),$A48,1))/(AF$11*IF(REGEXMATCH($C48,AF$9),AF$8,1))*6),FLOOR($E48*(IF(REGEXMATCH(AF$10,$B48),$A48,1))/(AF$11*IF(REGEXMATCH($C48,"&amp;"AF$9),AF$8,1))*6))"),8.0)</f>
        <v>8</v>
      </c>
      <c r="AG48" s="285">
        <f>IFERROR(__xludf.DUMMYFUNCTION("IF($E48*(IF(REGEXMATCH(AG$10,$B48),$A48,1))/(AG$11*IF(REGEXMATCH($C48,AG$9),AG$8,1))*6&gt;6,CEILING($E48*(IF(REGEXMATCH(AG$10,$B48),$A48,1))/(AG$11*IF(REGEXMATCH($C48,AG$9),AG$8,1))*6),FLOOR($E48*(IF(REGEXMATCH(AG$10,$B48),$A48,1))/(AG$11*IF(REGEXMATCH($C48,"&amp;"AG$9),AG$8,1))*6))"),3.0)</f>
        <v>3</v>
      </c>
      <c r="AH48" s="285">
        <f>IFERROR(__xludf.DUMMYFUNCTION("IF($E48*(IF(REGEXMATCH(AH$10,$B48),$A48,1))/(AH$11*IF(REGEXMATCH($C48,AH$9),AH$8,1))*6&gt;6,CEILING($E48*(IF(REGEXMATCH(AH$10,$B48),$A48,1))/(AH$11*IF(REGEXMATCH($C48,AH$9),AH$8,1))*6),FLOOR($E48*(IF(REGEXMATCH(AH$10,$B48),$A48,1))/(AH$11*IF(REGEXMATCH($C48,"&amp;"AH$9),AH$8,1))*6))"),8.0)</f>
        <v>8</v>
      </c>
      <c r="AI48" s="285">
        <f>IFERROR(__xludf.DUMMYFUNCTION("IF($E48*(IF(REGEXMATCH(AI$10,$B48),$A48,1))/(AI$11*IF(REGEXMATCH($C48,AI$9),AI$8,1))*6&gt;6,CEILING($E48*(IF(REGEXMATCH(AI$10,$B48),$A48,1))/(AI$11*IF(REGEXMATCH($C48,AI$9),AI$8,1))*6),FLOOR($E48*(IF(REGEXMATCH(AI$10,$B48),$A48,1))/(AI$11*IF(REGEXMATCH($C48,"&amp;"AI$9),AI$8,1))*6))"),5.0)</f>
        <v>5</v>
      </c>
      <c r="AJ48" s="285">
        <f>IFERROR(__xludf.DUMMYFUNCTION("IF($E48*(IF(REGEXMATCH(AJ$10,$B48),$A48,1))/(AJ$11*IF(REGEXMATCH($C48,AJ$9),AJ$8,1))*6&gt;6,CEILING($E48*(IF(REGEXMATCH(AJ$10,$B48),$A48,1))/(AJ$11*IF(REGEXMATCH($C48,AJ$9),AJ$8,1))*6),FLOOR($E48*(IF(REGEXMATCH(AJ$10,$B48),$A48,1))/(AJ$11*IF(REGEXMATCH($C48,"&amp;"AJ$9),AJ$8,1))*6))"),8.0)</f>
        <v>8</v>
      </c>
      <c r="AK48" s="285">
        <f>IFERROR(__xludf.DUMMYFUNCTION("IF($E48*(IF(REGEXMATCH(AK$10,$B48),$A48,1))/(AK$11*IF(REGEXMATCH($C48,AK$9),AK$8,1))*6&gt;6,CEILING($E48*(IF(REGEXMATCH(AK$10,$B48),$A48,1))/(AK$11*IF(REGEXMATCH($C48,AK$9),AK$8,1))*6),FLOOR($E48*(IF(REGEXMATCH(AK$10,$B48),$A48,1))/(AK$11*IF(REGEXMATCH($C48,"&amp;"AK$9),AK$8,1))*6))"),5.0)</f>
        <v>5</v>
      </c>
      <c r="AL48" s="285">
        <f>IFERROR(__xludf.DUMMYFUNCTION("IF($E48*(IF(REGEXMATCH(AL$10,$B48),$A48,1))/(AL$11*IF(REGEXMATCH($C48,AL$9),AL$8,1))*6&gt;6,CEILING($E48*(IF(REGEXMATCH(AL$10,$B48),$A48,1))/(AL$11*IF(REGEXMATCH($C48,AL$9),AL$8,1))*6),FLOOR($E48*(IF(REGEXMATCH(AL$10,$B48),$A48,1))/(AL$11*IF(REGEXMATCH($C48,"&amp;"AL$9),AL$8,1))*6))"),9.0)</f>
        <v>9</v>
      </c>
      <c r="AM48" s="285">
        <f>IFERROR(__xludf.DUMMYFUNCTION("IF($E48*(IF(REGEXMATCH(AM$10,$B48),$A48,1))/(AM$11*IF(REGEXMATCH($C48,AM$9),AM$8,1))*6&gt;6,CEILING($E48*(IF(REGEXMATCH(AM$10,$B48),$A48,1))/(AM$11*IF(REGEXMATCH($C48,AM$9),AM$8,1))*6),FLOOR($E48*(IF(REGEXMATCH(AM$10,$B48),$A48,1))/(AM$11*IF(REGEXMATCH($C48,"&amp;"AM$9),AM$8,1))*6))"),6.0)</f>
        <v>6</v>
      </c>
      <c r="AN48" s="285">
        <f>IFERROR(__xludf.DUMMYFUNCTION("IF($E48*(IF(REGEXMATCH(AN$10,$B48),$A48,1))/(AN$11*IF(REGEXMATCH($C48,AN$9),AN$8,1))*6&gt;6,CEILING($E48*(IF(REGEXMATCH(AN$10,$B48),$A48,1))/(AN$11*IF(REGEXMATCH($C48,AN$9),AN$8,1))*6),FLOOR($E48*(IF(REGEXMATCH(AN$10,$B48),$A48,1))/(AN$11*IF(REGEXMATCH($C48,"&amp;"AN$9),AN$8,1))*6))"),4.0)</f>
        <v>4</v>
      </c>
      <c r="AO48" s="285">
        <f>IFERROR(__xludf.DUMMYFUNCTION("IF($E48*(IF(REGEXMATCH(AO$10,$B48),$A48,1))/(AO$11*IF(REGEXMATCH($C48,AO$9),AO$8,1))*6&gt;6,CEILING($E48*(IF(REGEXMATCH(AO$10,$B48),$A48,1))/(AO$11*IF(REGEXMATCH($C48,AO$9),AO$8,1))*6),FLOOR($E48*(IF(REGEXMATCH(AO$10,$B48),$A48,1))/(AO$11*IF(REGEXMATCH($C48,"&amp;"AO$9),AO$8,1))*6))"),6.0)</f>
        <v>6</v>
      </c>
      <c r="AP48" s="285">
        <f>IFERROR(__xludf.DUMMYFUNCTION("IF($E48*(IF(REGEXMATCH(AP$10,$B48),$A48,1))/(AP$11*IF(REGEXMATCH($C48,AP$9),AP$8,1))*6&gt;6,CEILING($E48*(IF(REGEXMATCH(AP$10,$B48),$A48,1))/(AP$11*IF(REGEXMATCH($C48,AP$9),AP$8,1))*6),FLOOR($E48*(IF(REGEXMATCH(AP$10,$B48),$A48,1))/(AP$11*IF(REGEXMATCH($C48,"&amp;"AP$9),AP$8,1))*6))"),6.0)</f>
        <v>6</v>
      </c>
      <c r="AQ48" s="285">
        <f>IFERROR(__xludf.DUMMYFUNCTION("IF($E48*(IF(REGEXMATCH(AQ$10,$B48),$A48,1))/(AQ$11*IF(REGEXMATCH($C48,AQ$9),AQ$8,1))*6&gt;6,CEILING($E48*(IF(REGEXMATCH(AQ$10,$B48),$A48,1))/(AQ$11*IF(REGEXMATCH($C48,AQ$9),AQ$8,1))*6),FLOOR($E48*(IF(REGEXMATCH(AQ$10,$B48),$A48,1))/(AQ$11*IF(REGEXMATCH($C48,"&amp;"AQ$9),AQ$8,1))*6))"),4.0)</f>
        <v>4</v>
      </c>
      <c r="AR48" s="285">
        <f>IFERROR(__xludf.DUMMYFUNCTION("IF($E48*(IF(REGEXMATCH(AR$10,$B48),$A48,1))/(AR$11*IF(REGEXMATCH($C48,AR$9),AR$8,1))*6&gt;6,CEILING($E48*(IF(REGEXMATCH(AR$10,$B48),$A48,1))/(AR$11*IF(REGEXMATCH($C48,AR$9),AR$8,1))*6),FLOOR($E48*(IF(REGEXMATCH(AR$10,$B48),$A48,1))/(AR$11*IF(REGEXMATCH($C48,"&amp;"AR$9),AR$8,1))*6))"),8.0)</f>
        <v>8</v>
      </c>
      <c r="AS48" s="285">
        <f>IFERROR(__xludf.DUMMYFUNCTION("IF($E48*(IF(REGEXMATCH(AS$10,$B48),$A48,1))/(AS$11*IF(REGEXMATCH($C48,AS$9),AS$8,1))*6&gt;6,CEILING($E48*(IF(REGEXMATCH(AS$10,$B48),$A48,1))/(AS$11*IF(REGEXMATCH($C48,AS$9),AS$8,1))*6),FLOOR($E48*(IF(REGEXMATCH(AS$10,$B48),$A48,1))/(AS$11*IF(REGEXMATCH($C48,"&amp;"AS$9),AS$8,1))*6))"),8.0)</f>
        <v>8</v>
      </c>
      <c r="AT48" s="285">
        <f>IFERROR(__xludf.DUMMYFUNCTION("IF($E48*(IF(REGEXMATCH(AT$10,$B48),$A48,1))/(AT$11*IF(REGEXMATCH($C48,AT$9),AT$8,1))*6&gt;6,CEILING($E48*(IF(REGEXMATCH(AT$10,$B48),$A48,1))/(AT$11*IF(REGEXMATCH($C48,AT$9),AT$8,1))*6),FLOOR($E48*(IF(REGEXMATCH(AT$10,$B48),$A48,1))/(AT$11*IF(REGEXMATCH($C48,"&amp;"AT$9),AT$8,1))*6))"),10.0)</f>
        <v>10</v>
      </c>
    </row>
    <row r="49">
      <c r="A49" s="8">
        <v>1.25</v>
      </c>
      <c r="B49" s="8" t="s">
        <v>2578</v>
      </c>
      <c r="C49" s="812" t="s">
        <v>2585</v>
      </c>
      <c r="D49" s="8"/>
      <c r="E49" s="8">
        <v>5.0</v>
      </c>
      <c r="F49" s="811" t="s">
        <v>2221</v>
      </c>
      <c r="G49" s="285">
        <f>IFERROR(__xludf.DUMMYFUNCTION("IF($E49*(IF(REGEXMATCH(G$10,$B49),$A49,1))/(G$11*IF(REGEXMATCH($C49,G$9),G$8,1))*6&gt;6,CEILING($E49*(IF(REGEXMATCH(G$10,$B49),$A49,1))/(G$11*IF(REGEXMATCH($C49,G$9),G$8,1))*6),FLOOR($E49*(IF(REGEXMATCH(G$10,$B49),$A49,1))/(G$11*IF(REGEXMATCH($C49,G$9),G$8,1"&amp;"))*6))"),3.0)</f>
        <v>3</v>
      </c>
      <c r="H49" s="285">
        <f>IFERROR(__xludf.DUMMYFUNCTION("IF($E49*(IF(REGEXMATCH(H$10,$B49),$A49,1))/(H$11*IF(REGEXMATCH($C49,H$9),H$8,1))*6&gt;6,CEILING($E49*(IF(REGEXMATCH(H$10,$B49),$A49,1))/(H$11*IF(REGEXMATCH($C49,H$9),H$8,1))*6),FLOOR($E49*(IF(REGEXMATCH(H$10,$B49),$A49,1))/(H$11*IF(REGEXMATCH($C49,H$9),H$8,1"&amp;"))*6))"),3.0)</f>
        <v>3</v>
      </c>
      <c r="I49" s="285">
        <f>IFERROR(__xludf.DUMMYFUNCTION("IF($E49*(IF(REGEXMATCH(I$10,$B49),$A49,1))/(I$11*IF(REGEXMATCH($C49,I$9),I$8,1))*6&gt;6,CEILING($E49*(IF(REGEXMATCH(I$10,$B49),$A49,1))/(I$11*IF(REGEXMATCH($C49,I$9),I$8,1))*6),FLOOR($E49*(IF(REGEXMATCH(I$10,$B49),$A49,1))/(I$11*IF(REGEXMATCH($C49,I$9),I$8,1"&amp;"))*6))"),2.0)</f>
        <v>2</v>
      </c>
      <c r="J49" s="285">
        <f>IFERROR(__xludf.DUMMYFUNCTION("IF($E49*(IF(REGEXMATCH(J$10,$B49),$A49,1))/(J$11*IF(REGEXMATCH($C49,J$9),J$8,1))*6&gt;6,CEILING($E49*(IF(REGEXMATCH(J$10,$B49),$A49,1))/(J$11*IF(REGEXMATCH($C49,J$9),J$8,1))*6),FLOOR($E49*(IF(REGEXMATCH(J$10,$B49),$A49,1))/(J$11*IF(REGEXMATCH($C49,J$9),J$8,1"&amp;"))*6))"),2.0)</f>
        <v>2</v>
      </c>
      <c r="K49" s="285">
        <f>IFERROR(__xludf.DUMMYFUNCTION("IF($E49*(IF(REGEXMATCH(K$10,$B49),$A49,1))/(K$11*IF(REGEXMATCH($C49,K$9),K$8,1))*6&gt;6,CEILING($E49*(IF(REGEXMATCH(K$10,$B49),$A49,1))/(K$11*IF(REGEXMATCH($C49,K$9),K$8,1))*6),FLOOR($E49*(IF(REGEXMATCH(K$10,$B49),$A49,1))/(K$11*IF(REGEXMATCH($C49,K$9),K$8,1"&amp;"))*6))"),3.0)</f>
        <v>3</v>
      </c>
      <c r="L49" s="285">
        <f>IFERROR(__xludf.DUMMYFUNCTION("IF($E49*(IF(REGEXMATCH(L$10,$B49),$A49,1))/(L$11*IF(REGEXMATCH($C49,L$9),L$8,1))*6&gt;6,CEILING($E49*(IF(REGEXMATCH(L$10,$B49),$A49,1))/(L$11*IF(REGEXMATCH($C49,L$9),L$8,1))*6),FLOOR($E49*(IF(REGEXMATCH(L$10,$B49),$A49,1))/(L$11*IF(REGEXMATCH($C49,L$9),L$8,1"&amp;"))*6))"),3.0)</f>
        <v>3</v>
      </c>
      <c r="M49" s="285">
        <f>IFERROR(__xludf.DUMMYFUNCTION("IF($E49*(IF(REGEXMATCH(M$10,$B49),$A49,1))/(M$11*IF(REGEXMATCH($C49,M$9),M$8,1))*6&gt;6,CEILING($E49*(IF(REGEXMATCH(M$10,$B49),$A49,1))/(M$11*IF(REGEXMATCH($C49,M$9),M$8,1))*6),FLOOR($E49*(IF(REGEXMATCH(M$10,$B49),$A49,1))/(M$11*IF(REGEXMATCH($C49,M$9),M$8,1"&amp;"))*6))"),3.0)</f>
        <v>3</v>
      </c>
      <c r="N49" s="285">
        <f>IFERROR(__xludf.DUMMYFUNCTION("IF($E49*(IF(REGEXMATCH(N$10,$B49),$A49,1))/(N$11*IF(REGEXMATCH($C49,N$9),N$8,1))*6&gt;6,CEILING($E49*(IF(REGEXMATCH(N$10,$B49),$A49,1))/(N$11*IF(REGEXMATCH($C49,N$9),N$8,1))*6),FLOOR($E49*(IF(REGEXMATCH(N$10,$B49),$A49,1))/(N$11*IF(REGEXMATCH($C49,N$9),N$8,1"&amp;"))*6))"),3.0)</f>
        <v>3</v>
      </c>
      <c r="O49" s="285">
        <f>IFERROR(__xludf.DUMMYFUNCTION("IF($E49*(IF(REGEXMATCH(O$10,$B49),$A49,1))/(O$11*IF(REGEXMATCH($C49,O$9),O$8,1))*6&gt;6,CEILING($E49*(IF(REGEXMATCH(O$10,$B49),$A49,1))/(O$11*IF(REGEXMATCH($C49,O$9),O$8,1))*6),FLOOR($E49*(IF(REGEXMATCH(O$10,$B49),$A49,1))/(O$11*IF(REGEXMATCH($C49,O$9),O$8,1"&amp;"))*6))"),3.0)</f>
        <v>3</v>
      </c>
      <c r="P49" s="285">
        <f>IFERROR(__xludf.DUMMYFUNCTION("IF($E49*(IF(REGEXMATCH(P$10,$B49),$A49,1))/(P$11*IF(REGEXMATCH($C49,P$9),P$8,1))*6&gt;6,CEILING($E49*(IF(REGEXMATCH(P$10,$B49),$A49,1))/(P$11*IF(REGEXMATCH($C49,P$9),P$8,1))*6),FLOOR($E49*(IF(REGEXMATCH(P$10,$B49),$A49,1))/(P$11*IF(REGEXMATCH($C49,P$9),P$8,1"&amp;"))*6))"),4.0)</f>
        <v>4</v>
      </c>
      <c r="Q49" s="285">
        <f>IFERROR(__xludf.DUMMYFUNCTION("IF($E49*(IF(REGEXMATCH(Q$10,$B49),$A49,1))/(Q$11*IF(REGEXMATCH($C49,Q$9),Q$8,1))*6&gt;6,CEILING($E49*(IF(REGEXMATCH(Q$10,$B49),$A49,1))/(Q$11*IF(REGEXMATCH($C49,Q$9),Q$8,1))*6),FLOOR($E49*(IF(REGEXMATCH(Q$10,$B49),$A49,1))/(Q$11*IF(REGEXMATCH($C49,Q$9),Q$8,1"&amp;"))*6))"),4.0)</f>
        <v>4</v>
      </c>
      <c r="R49" s="285">
        <f>IFERROR(__xludf.DUMMYFUNCTION("IF($E49*(IF(REGEXMATCH(R$10,$B49),$A49,1))/(R$11*IF(REGEXMATCH($C49,R$9),R$8,1))*6&gt;6,CEILING($E49*(IF(REGEXMATCH(R$10,$B49),$A49,1))/(R$11*IF(REGEXMATCH($C49,R$9),R$8,1))*6),FLOOR($E49*(IF(REGEXMATCH(R$10,$B49),$A49,1))/(R$11*IF(REGEXMATCH($C49,R$9),R$8,1"&amp;"))*6))"),3.0)</f>
        <v>3</v>
      </c>
      <c r="S49" s="285">
        <f>IFERROR(__xludf.DUMMYFUNCTION("IF($E49*(IF(REGEXMATCH(S$10,$B49),$A49,1))/(S$11*IF(REGEXMATCH($C49,S$9),S$8,1))*6&gt;6,CEILING($E49*(IF(REGEXMATCH(S$10,$B49),$A49,1))/(S$11*IF(REGEXMATCH($C49,S$9),S$8,1))*6),FLOOR($E49*(IF(REGEXMATCH(S$10,$B49),$A49,1))/(S$11*IF(REGEXMATCH($C49,S$9),S$8,1"&amp;"))*6))"),4.0)</f>
        <v>4</v>
      </c>
      <c r="T49" s="285">
        <f>IFERROR(__xludf.DUMMYFUNCTION("IF($E49*(IF(REGEXMATCH(T$10,$B49),$A49,1))/(T$11*IF(REGEXMATCH($C49,T$9),T$8,1))*6&gt;6,CEILING($E49*(IF(REGEXMATCH(T$10,$B49),$A49,1))/(T$11*IF(REGEXMATCH($C49,T$9),T$8,1))*6),FLOOR($E49*(IF(REGEXMATCH(T$10,$B49),$A49,1))/(T$11*IF(REGEXMATCH($C49,T$9),T$8,1"&amp;"))*6))"),3.0)</f>
        <v>3</v>
      </c>
      <c r="U49" s="285">
        <f>IFERROR(__xludf.DUMMYFUNCTION("IF($E49*(IF(REGEXMATCH(U$10,$B49),$A49,1))/(U$11*IF(REGEXMATCH($C49,U$9),U$8,1))*6&gt;6,CEILING($E49*(IF(REGEXMATCH(U$10,$B49),$A49,1))/(U$11*IF(REGEXMATCH($C49,U$9),U$8,1))*6),FLOOR($E49*(IF(REGEXMATCH(U$10,$B49),$A49,1))/(U$11*IF(REGEXMATCH($C49,U$9),U$8,1"&amp;"))*6))"),4.0)</f>
        <v>4</v>
      </c>
      <c r="V49" s="285">
        <f>IFERROR(__xludf.DUMMYFUNCTION("IF($E49*(IF(REGEXMATCH(V$10,$B49),$A49,1))/(V$11*IF(REGEXMATCH($C49,V$9),V$8,1))*6&gt;6,CEILING($E49*(IF(REGEXMATCH(V$10,$B49),$A49,1))/(V$11*IF(REGEXMATCH($C49,V$9),V$8,1))*6),FLOOR($E49*(IF(REGEXMATCH(V$10,$B49),$A49,1))/(V$11*IF(REGEXMATCH($C49,V$9),V$8,1"&amp;"))*6))"),3.0)</f>
        <v>3</v>
      </c>
      <c r="W49" s="285">
        <f>IFERROR(__xludf.DUMMYFUNCTION("IF($E49*(IF(REGEXMATCH(W$10,$B49),$A49,1))/(W$11*IF(REGEXMATCH($C49,W$9),W$8,1))*6&gt;6,CEILING($E49*(IF(REGEXMATCH(W$10,$B49),$A49,1))/(W$11*IF(REGEXMATCH($C49,W$9),W$8,1))*6),FLOOR($E49*(IF(REGEXMATCH(W$10,$B49),$A49,1))/(W$11*IF(REGEXMATCH($C49,W$9),W$8,1"&amp;"))*6))"),5.0)</f>
        <v>5</v>
      </c>
      <c r="X49" s="285">
        <f>IFERROR(__xludf.DUMMYFUNCTION("IF($E49*(IF(REGEXMATCH(X$10,$B49),$A49,1))/(X$11*IF(REGEXMATCH($C49,X$9),X$8,1))*6&gt;6,CEILING($E49*(IF(REGEXMATCH(X$10,$B49),$A49,1))/(X$11*IF(REGEXMATCH($C49,X$9),X$8,1))*6),FLOOR($E49*(IF(REGEXMATCH(X$10,$B49),$A49,1))/(X$11*IF(REGEXMATCH($C49,X$9),X$8,1"&amp;"))*6))"),7.0)</f>
        <v>7</v>
      </c>
      <c r="Y49" s="285">
        <f>IFERROR(__xludf.DUMMYFUNCTION("IF($E49*(IF(REGEXMATCH(Y$10,$B49),$A49,1))/(Y$11*IF(REGEXMATCH($C49,Y$9),Y$8,1))*6&gt;6,CEILING($E49*(IF(REGEXMATCH(Y$10,$B49),$A49,1))/(Y$11*IF(REGEXMATCH($C49,Y$9),Y$8,1))*6),FLOOR($E49*(IF(REGEXMATCH(Y$10,$B49),$A49,1))/(Y$11*IF(REGEXMATCH($C49,Y$9),Y$8,1"&amp;"))*6))"),4.0)</f>
        <v>4</v>
      </c>
      <c r="Z49" s="285">
        <f>IFERROR(__xludf.DUMMYFUNCTION("IF($E49*(IF(REGEXMATCH(Z$10,$B49),$A49,1))/(Z$11*IF(REGEXMATCH($C49,Z$9),Z$8,1))*6&gt;6,CEILING($E49*(IF(REGEXMATCH(Z$10,$B49),$A49,1))/(Z$11*IF(REGEXMATCH($C49,Z$9),Z$8,1))*6),FLOOR($E49*(IF(REGEXMATCH(Z$10,$B49),$A49,1))/(Z$11*IF(REGEXMATCH($C49,Z$9),Z$8,1"&amp;"))*6))"),7.0)</f>
        <v>7</v>
      </c>
      <c r="AA49" s="285">
        <f>IFERROR(__xludf.DUMMYFUNCTION("IF($E49*(IF(REGEXMATCH(AA$10,$B49),$A49,1))/(AA$11*IF(REGEXMATCH($C49,AA$9),AA$8,1))*6&gt;6,CEILING($E49*(IF(REGEXMATCH(AA$10,$B49),$A49,1))/(AA$11*IF(REGEXMATCH($C49,AA$9),AA$8,1))*6),FLOOR($E49*(IF(REGEXMATCH(AA$10,$B49),$A49,1))/(AA$11*IF(REGEXMATCH($C49,"&amp;"AA$9),AA$8,1))*6))"),7.0)</f>
        <v>7</v>
      </c>
      <c r="AB49" s="285">
        <f>IFERROR(__xludf.DUMMYFUNCTION("IF($E49*(IF(REGEXMATCH(AB$10,$B49),$A49,1))/(AB$11*IF(REGEXMATCH($C49,AB$9),AB$8,1))*6&gt;6,CEILING($E49*(IF(REGEXMATCH(AB$10,$B49),$A49,1))/(AB$11*IF(REGEXMATCH($C49,AB$9),AB$8,1))*6),FLOOR($E49*(IF(REGEXMATCH(AB$10,$B49),$A49,1))/(AB$11*IF(REGEXMATCH($C49,"&amp;"AB$9),AB$8,1))*6))"),5.0)</f>
        <v>5</v>
      </c>
      <c r="AC49" s="285">
        <f>IFERROR(__xludf.DUMMYFUNCTION("IF($E49*(IF(REGEXMATCH(AC$10,$B49),$A49,1))/(AC$11*IF(REGEXMATCH($C49,AC$9),AC$8,1))*6&gt;6,CEILING($E49*(IF(REGEXMATCH(AC$10,$B49),$A49,1))/(AC$11*IF(REGEXMATCH($C49,AC$9),AC$8,1))*6),FLOOR($E49*(IF(REGEXMATCH(AC$10,$B49),$A49,1))/(AC$11*IF(REGEXMATCH($C49,"&amp;"AC$9),AC$8,1))*6))"),5.0)</f>
        <v>5</v>
      </c>
      <c r="AD49" s="285">
        <f>IFERROR(__xludf.DUMMYFUNCTION("IF($E49*(IF(REGEXMATCH(AD$10,$B49),$A49,1))/(AD$11*IF(REGEXMATCH($C49,AD$9),AD$8,1))*6&gt;6,CEILING($E49*(IF(REGEXMATCH(AD$10,$B49),$A49,1))/(AD$11*IF(REGEXMATCH($C49,AD$9),AD$8,1))*6),FLOOR($E49*(IF(REGEXMATCH(AD$10,$B49),$A49,1))/(AD$11*IF(REGEXMATCH($C49,"&amp;"AD$9),AD$8,1))*6))"),5.0)</f>
        <v>5</v>
      </c>
      <c r="AE49" s="285">
        <f>IFERROR(__xludf.DUMMYFUNCTION("IF($E49*(IF(REGEXMATCH(AE$10,$B49),$A49,1))/(AE$11*IF(REGEXMATCH($C49,AE$9),AE$8,1))*6&gt;6,CEILING($E49*(IF(REGEXMATCH(AE$10,$B49),$A49,1))/(AE$11*IF(REGEXMATCH($C49,AE$9),AE$8,1))*6),FLOOR($E49*(IF(REGEXMATCH(AE$10,$B49),$A49,1))/(AE$11*IF(REGEXMATCH($C49,"&amp;"AE$9),AE$8,1))*6))"),7.0)</f>
        <v>7</v>
      </c>
      <c r="AF49" s="285">
        <f>IFERROR(__xludf.DUMMYFUNCTION("IF($E49*(IF(REGEXMATCH(AF$10,$B49),$A49,1))/(AF$11*IF(REGEXMATCH($C49,AF$9),AF$8,1))*6&gt;6,CEILING($E49*(IF(REGEXMATCH(AF$10,$B49),$A49,1))/(AF$11*IF(REGEXMATCH($C49,AF$9),AF$8,1))*6),FLOOR($E49*(IF(REGEXMATCH(AF$10,$B49),$A49,1))/(AF$11*IF(REGEXMATCH($C49,"&amp;"AF$9),AF$8,1))*6))"),7.0)</f>
        <v>7</v>
      </c>
      <c r="AG49" s="285">
        <f>IFERROR(__xludf.DUMMYFUNCTION("IF($E49*(IF(REGEXMATCH(AG$10,$B49),$A49,1))/(AG$11*IF(REGEXMATCH($C49,AG$9),AG$8,1))*6&gt;6,CEILING($E49*(IF(REGEXMATCH(AG$10,$B49),$A49,1))/(AG$11*IF(REGEXMATCH($C49,AG$9),AG$8,1))*6),FLOOR($E49*(IF(REGEXMATCH(AG$10,$B49),$A49,1))/(AG$11*IF(REGEXMATCH($C49,"&amp;"AG$9),AG$8,1))*6))"),5.0)</f>
        <v>5</v>
      </c>
      <c r="AH49" s="285">
        <f>IFERROR(__xludf.DUMMYFUNCTION("IF($E49*(IF(REGEXMATCH(AH$10,$B49),$A49,1))/(AH$11*IF(REGEXMATCH($C49,AH$9),AH$8,1))*6&gt;6,CEILING($E49*(IF(REGEXMATCH(AH$10,$B49),$A49,1))/(AH$11*IF(REGEXMATCH($C49,AH$9),AH$8,1))*6),FLOOR($E49*(IF(REGEXMATCH(AH$10,$B49),$A49,1))/(AH$11*IF(REGEXMATCH($C49,"&amp;"AH$9),AH$8,1))*6))"),7.0)</f>
        <v>7</v>
      </c>
      <c r="AI49" s="285">
        <f>IFERROR(__xludf.DUMMYFUNCTION("IF($E49*(IF(REGEXMATCH(AI$10,$B49),$A49,1))/(AI$11*IF(REGEXMATCH($C49,AI$9),AI$8,1))*6&gt;6,CEILING($E49*(IF(REGEXMATCH(AI$10,$B49),$A49,1))/(AI$11*IF(REGEXMATCH($C49,AI$9),AI$8,1))*6),FLOOR($E49*(IF(REGEXMATCH(AI$10,$B49),$A49,1))/(AI$11*IF(REGEXMATCH($C49,"&amp;"AI$9),AI$8,1))*6))"),4.0)</f>
        <v>4</v>
      </c>
      <c r="AJ49" s="285">
        <f>IFERROR(__xludf.DUMMYFUNCTION("IF($E49*(IF(REGEXMATCH(AJ$10,$B49),$A49,1))/(AJ$11*IF(REGEXMATCH($C49,AJ$9),AJ$8,1))*6&gt;6,CEILING($E49*(IF(REGEXMATCH(AJ$10,$B49),$A49,1))/(AJ$11*IF(REGEXMATCH($C49,AJ$9),AJ$8,1))*6),FLOOR($E49*(IF(REGEXMATCH(AJ$10,$B49),$A49,1))/(AJ$11*IF(REGEXMATCH($C49,"&amp;"AJ$9),AJ$8,1))*6))"),7.0)</f>
        <v>7</v>
      </c>
      <c r="AK49" s="285">
        <f>IFERROR(__xludf.DUMMYFUNCTION("IF($E49*(IF(REGEXMATCH(AK$10,$B49),$A49,1))/(AK$11*IF(REGEXMATCH($C49,AK$9),AK$8,1))*6&gt;6,CEILING($E49*(IF(REGEXMATCH(AK$10,$B49),$A49,1))/(AK$11*IF(REGEXMATCH($C49,AK$9),AK$8,1))*6),FLOOR($E49*(IF(REGEXMATCH(AK$10,$B49),$A49,1))/(AK$11*IF(REGEXMATCH($C49,"&amp;"AK$9),AK$8,1))*6))"),5.0)</f>
        <v>5</v>
      </c>
      <c r="AL49" s="285">
        <f>IFERROR(__xludf.DUMMYFUNCTION("IF($E49*(IF(REGEXMATCH(AL$10,$B49),$A49,1))/(AL$11*IF(REGEXMATCH($C49,AL$9),AL$8,1))*6&gt;6,CEILING($E49*(IF(REGEXMATCH(AL$10,$B49),$A49,1))/(AL$11*IF(REGEXMATCH($C49,AL$9),AL$8,1))*6),FLOOR($E49*(IF(REGEXMATCH(AL$10,$B49),$A49,1))/(AL$11*IF(REGEXMATCH($C49,"&amp;"AL$9),AL$8,1))*6))"),8.0)</f>
        <v>8</v>
      </c>
      <c r="AM49" s="285">
        <f>IFERROR(__xludf.DUMMYFUNCTION("IF($E49*(IF(REGEXMATCH(AM$10,$B49),$A49,1))/(AM$11*IF(REGEXMATCH($C49,AM$9),AM$8,1))*6&gt;6,CEILING($E49*(IF(REGEXMATCH(AM$10,$B49),$A49,1))/(AM$11*IF(REGEXMATCH($C49,AM$9),AM$8,1))*6),FLOOR($E49*(IF(REGEXMATCH(AM$10,$B49),$A49,1))/(AM$11*IF(REGEXMATCH($C49,"&amp;"AM$9),AM$8,1))*6))"),6.0)</f>
        <v>6</v>
      </c>
      <c r="AN49" s="285">
        <f>IFERROR(__xludf.DUMMYFUNCTION("IF($E49*(IF(REGEXMATCH(AN$10,$B49),$A49,1))/(AN$11*IF(REGEXMATCH($C49,AN$9),AN$8,1))*6&gt;6,CEILING($E49*(IF(REGEXMATCH(AN$10,$B49),$A49,1))/(AN$11*IF(REGEXMATCH($C49,AN$9),AN$8,1))*6),FLOOR($E49*(IF(REGEXMATCH(AN$10,$B49),$A49,1))/(AN$11*IF(REGEXMATCH($C49,"&amp;"AN$9),AN$8,1))*6))"),6.0)</f>
        <v>6</v>
      </c>
      <c r="AO49" s="285">
        <f>IFERROR(__xludf.DUMMYFUNCTION("IF($E49*(IF(REGEXMATCH(AO$10,$B49),$A49,1))/(AO$11*IF(REGEXMATCH($C49,AO$9),AO$8,1))*6&gt;6,CEILING($E49*(IF(REGEXMATCH(AO$10,$B49),$A49,1))/(AO$11*IF(REGEXMATCH($C49,AO$9),AO$8,1))*6),FLOOR($E49*(IF(REGEXMATCH(AO$10,$B49),$A49,1))/(AO$11*IF(REGEXMATCH($C49,"&amp;"AO$9),AO$8,1))*6))"),6.0)</f>
        <v>6</v>
      </c>
      <c r="AP49" s="285">
        <f>IFERROR(__xludf.DUMMYFUNCTION("IF($E49*(IF(REGEXMATCH(AP$10,$B49),$A49,1))/(AP$11*IF(REGEXMATCH($C49,AP$9),AP$8,1))*6&gt;6,CEILING($E49*(IF(REGEXMATCH(AP$10,$B49),$A49,1))/(AP$11*IF(REGEXMATCH($C49,AP$9),AP$8,1))*6),FLOOR($E49*(IF(REGEXMATCH(AP$10,$B49),$A49,1))/(AP$11*IF(REGEXMATCH($C49,"&amp;"AP$9),AP$8,1))*6))"),8.0)</f>
        <v>8</v>
      </c>
      <c r="AQ49" s="285">
        <f>IFERROR(__xludf.DUMMYFUNCTION("IF($E49*(IF(REGEXMATCH(AQ$10,$B49),$A49,1))/(AQ$11*IF(REGEXMATCH($C49,AQ$9),AQ$8,1))*6&gt;6,CEILING($E49*(IF(REGEXMATCH(AQ$10,$B49),$A49,1))/(AQ$11*IF(REGEXMATCH($C49,AQ$9),AQ$8,1))*6),FLOOR($E49*(IF(REGEXMATCH(AQ$10,$B49),$A49,1))/(AQ$11*IF(REGEXMATCH($C49,"&amp;"AQ$9),AQ$8,1))*6))"),6.0)</f>
        <v>6</v>
      </c>
      <c r="AR49" s="285">
        <f>IFERROR(__xludf.DUMMYFUNCTION("IF($E49*(IF(REGEXMATCH(AR$10,$B49),$A49,1))/(AR$11*IF(REGEXMATCH($C49,AR$9),AR$8,1))*6&gt;6,CEILING($E49*(IF(REGEXMATCH(AR$10,$B49),$A49,1))/(AR$11*IF(REGEXMATCH($C49,AR$9),AR$8,1))*6),FLOOR($E49*(IF(REGEXMATCH(AR$10,$B49),$A49,1))/(AR$11*IF(REGEXMATCH($C49,"&amp;"AR$9),AR$8,1))*6))"),8.0)</f>
        <v>8</v>
      </c>
      <c r="AS49" s="285">
        <f>IFERROR(__xludf.DUMMYFUNCTION("IF($E49*(IF(REGEXMATCH(AS$10,$B49),$A49,1))/(AS$11*IF(REGEXMATCH($C49,AS$9),AS$8,1))*6&gt;6,CEILING($E49*(IF(REGEXMATCH(AS$10,$B49),$A49,1))/(AS$11*IF(REGEXMATCH($C49,AS$9),AS$8,1))*6),FLOOR($E49*(IF(REGEXMATCH(AS$10,$B49),$A49,1))/(AS$11*IF(REGEXMATCH($C49,"&amp;"AS$9),AS$8,1))*6))"),8.0)</f>
        <v>8</v>
      </c>
      <c r="AT49" s="285">
        <f>IFERROR(__xludf.DUMMYFUNCTION("IF($E49*(IF(REGEXMATCH(AT$10,$B49),$A49,1))/(AT$11*IF(REGEXMATCH($C49,AT$9),AT$8,1))*6&gt;6,CEILING($E49*(IF(REGEXMATCH(AT$10,$B49),$A49,1))/(AT$11*IF(REGEXMATCH($C49,AT$9),AT$8,1))*6),FLOOR($E49*(IF(REGEXMATCH(AT$10,$B49),$A49,1))/(AT$11*IF(REGEXMATCH($C49,"&amp;"AT$9),AT$8,1))*6))"),10.0)</f>
        <v>10</v>
      </c>
    </row>
    <row r="50">
      <c r="A50" s="8">
        <v>1.0</v>
      </c>
      <c r="B50" s="8" t="s">
        <v>2577</v>
      </c>
      <c r="C50" s="812" t="s">
        <v>2585</v>
      </c>
      <c r="D50" s="8"/>
      <c r="E50" s="8">
        <v>4.0</v>
      </c>
      <c r="F50" s="811" t="s">
        <v>688</v>
      </c>
      <c r="G50" s="285">
        <f>IFERROR(__xludf.DUMMYFUNCTION("IF($E50*(IF(REGEXMATCH(G$10,$B50),$A50,1))/(G$11*IF(REGEXMATCH($C50,G$9),G$8,1))*6&gt;6,CEILING($E50*(IF(REGEXMATCH(G$10,$B50),$A50,1))/(G$11*IF(REGEXMATCH($C50,G$9),G$8,1))*6),FLOOR($E50*(IF(REGEXMATCH(G$10,$B50),$A50,1))/(G$11*IF(REGEXMATCH($C50,G$9),G$8,1"&amp;"))*6))"),2.0)</f>
        <v>2</v>
      </c>
      <c r="H50" s="285">
        <f>IFERROR(__xludf.DUMMYFUNCTION("IF($E50*(IF(REGEXMATCH(H$10,$B50),$A50,1))/(H$11*IF(REGEXMATCH($C50,H$9),H$8,1))*6&gt;6,CEILING($E50*(IF(REGEXMATCH(H$10,$B50),$A50,1))/(H$11*IF(REGEXMATCH($C50,H$9),H$8,1))*6),FLOOR($E50*(IF(REGEXMATCH(H$10,$B50),$A50,1))/(H$11*IF(REGEXMATCH($C50,H$9),H$8,1"&amp;"))*6))"),2.0)</f>
        <v>2</v>
      </c>
      <c r="I50" s="285">
        <f>IFERROR(__xludf.DUMMYFUNCTION("IF($E50*(IF(REGEXMATCH(I$10,$B50),$A50,1))/(I$11*IF(REGEXMATCH($C50,I$9),I$8,1))*6&gt;6,CEILING($E50*(IF(REGEXMATCH(I$10,$B50),$A50,1))/(I$11*IF(REGEXMATCH($C50,I$9),I$8,1))*6),FLOOR($E50*(IF(REGEXMATCH(I$10,$B50),$A50,1))/(I$11*IF(REGEXMATCH($C50,I$9),I$8,1"&amp;"))*6))"),2.0)</f>
        <v>2</v>
      </c>
      <c r="J50" s="285">
        <f>IFERROR(__xludf.DUMMYFUNCTION("IF($E50*(IF(REGEXMATCH(J$10,$B50),$A50,1))/(J$11*IF(REGEXMATCH($C50,J$9),J$8,1))*6&gt;6,CEILING($E50*(IF(REGEXMATCH(J$10,$B50),$A50,1))/(J$11*IF(REGEXMATCH($C50,J$9),J$8,1))*6),FLOOR($E50*(IF(REGEXMATCH(J$10,$B50),$A50,1))/(J$11*IF(REGEXMATCH($C50,J$9),J$8,1"&amp;"))*6))"),2.0)</f>
        <v>2</v>
      </c>
      <c r="K50" s="285">
        <f>IFERROR(__xludf.DUMMYFUNCTION("IF($E50*(IF(REGEXMATCH(K$10,$B50),$A50,1))/(K$11*IF(REGEXMATCH($C50,K$9),K$8,1))*6&gt;6,CEILING($E50*(IF(REGEXMATCH(K$10,$B50),$A50,1))/(K$11*IF(REGEXMATCH($C50,K$9),K$8,1))*6),FLOOR($E50*(IF(REGEXMATCH(K$10,$B50),$A50,1))/(K$11*IF(REGEXMATCH($C50,K$9),K$8,1"&amp;"))*6))"),3.0)</f>
        <v>3</v>
      </c>
      <c r="L50" s="285">
        <f>IFERROR(__xludf.DUMMYFUNCTION("IF($E50*(IF(REGEXMATCH(L$10,$B50),$A50,1))/(L$11*IF(REGEXMATCH($C50,L$9),L$8,1))*6&gt;6,CEILING($E50*(IF(REGEXMATCH(L$10,$B50),$A50,1))/(L$11*IF(REGEXMATCH($C50,L$9),L$8,1))*6),FLOOR($E50*(IF(REGEXMATCH(L$10,$B50),$A50,1))/(L$11*IF(REGEXMATCH($C50,L$9),L$8,1"&amp;"))*6))"),3.0)</f>
        <v>3</v>
      </c>
      <c r="M50" s="285">
        <f>IFERROR(__xludf.DUMMYFUNCTION("IF($E50*(IF(REGEXMATCH(M$10,$B50),$A50,1))/(M$11*IF(REGEXMATCH($C50,M$9),M$8,1))*6&gt;6,CEILING($E50*(IF(REGEXMATCH(M$10,$B50),$A50,1))/(M$11*IF(REGEXMATCH($C50,M$9),M$8,1))*6),FLOOR($E50*(IF(REGEXMATCH(M$10,$B50),$A50,1))/(M$11*IF(REGEXMATCH($C50,M$9),M$8,1"&amp;"))*6))"),3.0)</f>
        <v>3</v>
      </c>
      <c r="N50" s="285">
        <f>IFERROR(__xludf.DUMMYFUNCTION("IF($E50*(IF(REGEXMATCH(N$10,$B50),$A50,1))/(N$11*IF(REGEXMATCH($C50,N$9),N$8,1))*6&gt;6,CEILING($E50*(IF(REGEXMATCH(N$10,$B50),$A50,1))/(N$11*IF(REGEXMATCH($C50,N$9),N$8,1))*6),FLOOR($E50*(IF(REGEXMATCH(N$10,$B50),$A50,1))/(N$11*IF(REGEXMATCH($C50,N$9),N$8,1"&amp;"))*6))"),3.0)</f>
        <v>3</v>
      </c>
      <c r="O50" s="285">
        <f>IFERROR(__xludf.DUMMYFUNCTION("IF($E50*(IF(REGEXMATCH(O$10,$B50),$A50,1))/(O$11*IF(REGEXMATCH($C50,O$9),O$8,1))*6&gt;6,CEILING($E50*(IF(REGEXMATCH(O$10,$B50),$A50,1))/(O$11*IF(REGEXMATCH($C50,O$9),O$8,1))*6),FLOOR($E50*(IF(REGEXMATCH(O$10,$B50),$A50,1))/(O$11*IF(REGEXMATCH($C50,O$9),O$8,1"&amp;"))*6))"),3.0)</f>
        <v>3</v>
      </c>
      <c r="P50" s="285">
        <f>IFERROR(__xludf.DUMMYFUNCTION("IF($E50*(IF(REGEXMATCH(P$10,$B50),$A50,1))/(P$11*IF(REGEXMATCH($C50,P$9),P$8,1))*6&gt;6,CEILING($E50*(IF(REGEXMATCH(P$10,$B50),$A50,1))/(P$11*IF(REGEXMATCH($C50,P$9),P$8,1))*6),FLOOR($E50*(IF(REGEXMATCH(P$10,$B50),$A50,1))/(P$11*IF(REGEXMATCH($C50,P$9),P$8,1"&amp;"))*6))"),3.0)</f>
        <v>3</v>
      </c>
      <c r="Q50" s="285">
        <f>IFERROR(__xludf.DUMMYFUNCTION("IF($E50*(IF(REGEXMATCH(Q$10,$B50),$A50,1))/(Q$11*IF(REGEXMATCH($C50,Q$9),Q$8,1))*6&gt;6,CEILING($E50*(IF(REGEXMATCH(Q$10,$B50),$A50,1))/(Q$11*IF(REGEXMATCH($C50,Q$9),Q$8,1))*6),FLOOR($E50*(IF(REGEXMATCH(Q$10,$B50),$A50,1))/(Q$11*IF(REGEXMATCH($C50,Q$9),Q$8,1"&amp;"))*6))"),3.0)</f>
        <v>3</v>
      </c>
      <c r="R50" s="285">
        <f>IFERROR(__xludf.DUMMYFUNCTION("IF($E50*(IF(REGEXMATCH(R$10,$B50),$A50,1))/(R$11*IF(REGEXMATCH($C50,R$9),R$8,1))*6&gt;6,CEILING($E50*(IF(REGEXMATCH(R$10,$B50),$A50,1))/(R$11*IF(REGEXMATCH($C50,R$9),R$8,1))*6),FLOOR($E50*(IF(REGEXMATCH(R$10,$B50),$A50,1))/(R$11*IF(REGEXMATCH($C50,R$9),R$8,1"&amp;"))*6))"),3.0)</f>
        <v>3</v>
      </c>
      <c r="S50" s="285">
        <f>IFERROR(__xludf.DUMMYFUNCTION("IF($E50*(IF(REGEXMATCH(S$10,$B50),$A50,1))/(S$11*IF(REGEXMATCH($C50,S$9),S$8,1))*6&gt;6,CEILING($E50*(IF(REGEXMATCH(S$10,$B50),$A50,1))/(S$11*IF(REGEXMATCH($C50,S$9),S$8,1))*6),FLOOR($E50*(IF(REGEXMATCH(S$10,$B50),$A50,1))/(S$11*IF(REGEXMATCH($C50,S$9),S$8,1"&amp;"))*6))"),3.0)</f>
        <v>3</v>
      </c>
      <c r="T50" s="285">
        <f>IFERROR(__xludf.DUMMYFUNCTION("IF($E50*(IF(REGEXMATCH(T$10,$B50),$A50,1))/(T$11*IF(REGEXMATCH($C50,T$9),T$8,1))*6&gt;6,CEILING($E50*(IF(REGEXMATCH(T$10,$B50),$A50,1))/(T$11*IF(REGEXMATCH($C50,T$9),T$8,1))*6),FLOOR($E50*(IF(REGEXMATCH(T$10,$B50),$A50,1))/(T$11*IF(REGEXMATCH($C50,T$9),T$8,1"&amp;"))*6))"),2.0)</f>
        <v>2</v>
      </c>
      <c r="U50" s="285">
        <f>IFERROR(__xludf.DUMMYFUNCTION("IF($E50*(IF(REGEXMATCH(U$10,$B50),$A50,1))/(U$11*IF(REGEXMATCH($C50,U$9),U$8,1))*6&gt;6,CEILING($E50*(IF(REGEXMATCH(U$10,$B50),$A50,1))/(U$11*IF(REGEXMATCH($C50,U$9),U$8,1))*6),FLOOR($E50*(IF(REGEXMATCH(U$10,$B50),$A50,1))/(U$11*IF(REGEXMATCH($C50,U$9),U$8,1"&amp;"))*6))"),3.0)</f>
        <v>3</v>
      </c>
      <c r="V50" s="285">
        <f>IFERROR(__xludf.DUMMYFUNCTION("IF($E50*(IF(REGEXMATCH(V$10,$B50),$A50,1))/(V$11*IF(REGEXMATCH($C50,V$9),V$8,1))*6&gt;6,CEILING($E50*(IF(REGEXMATCH(V$10,$B50),$A50,1))/(V$11*IF(REGEXMATCH($C50,V$9),V$8,1))*6),FLOOR($E50*(IF(REGEXMATCH(V$10,$B50),$A50,1))/(V$11*IF(REGEXMATCH($C50,V$9),V$8,1"&amp;"))*6))"),3.0)</f>
        <v>3</v>
      </c>
      <c r="W50" s="285">
        <f>IFERROR(__xludf.DUMMYFUNCTION("IF($E50*(IF(REGEXMATCH(W$10,$B50),$A50,1))/(W$11*IF(REGEXMATCH($C50,W$9),W$8,1))*6&gt;6,CEILING($E50*(IF(REGEXMATCH(W$10,$B50),$A50,1))/(W$11*IF(REGEXMATCH($C50,W$9),W$8,1))*6),FLOOR($E50*(IF(REGEXMATCH(W$10,$B50),$A50,1))/(W$11*IF(REGEXMATCH($C50,W$9),W$8,1"&amp;"))*6))"),4.0)</f>
        <v>4</v>
      </c>
      <c r="X50" s="285">
        <f>IFERROR(__xludf.DUMMYFUNCTION("IF($E50*(IF(REGEXMATCH(X$10,$B50),$A50,1))/(X$11*IF(REGEXMATCH($C50,X$9),X$8,1))*6&gt;6,CEILING($E50*(IF(REGEXMATCH(X$10,$B50),$A50,1))/(X$11*IF(REGEXMATCH($C50,X$9),X$8,1))*6),FLOOR($E50*(IF(REGEXMATCH(X$10,$B50),$A50,1))/(X$11*IF(REGEXMATCH($C50,X$9),X$8,1"&amp;"))*6))"),4.0)</f>
        <v>4</v>
      </c>
      <c r="Y50" s="285">
        <f>IFERROR(__xludf.DUMMYFUNCTION("IF($E50*(IF(REGEXMATCH(Y$10,$B50),$A50,1))/(Y$11*IF(REGEXMATCH($C50,Y$9),Y$8,1))*6&gt;6,CEILING($E50*(IF(REGEXMATCH(Y$10,$B50),$A50,1))/(Y$11*IF(REGEXMATCH($C50,Y$9),Y$8,1))*6),FLOOR($E50*(IF(REGEXMATCH(Y$10,$B50),$A50,1))/(Y$11*IF(REGEXMATCH($C50,Y$9),Y$8,1"&amp;"))*6))"),3.0)</f>
        <v>3</v>
      </c>
      <c r="Z50" s="285">
        <f>IFERROR(__xludf.DUMMYFUNCTION("IF($E50*(IF(REGEXMATCH(Z$10,$B50),$A50,1))/(Z$11*IF(REGEXMATCH($C50,Z$9),Z$8,1))*6&gt;6,CEILING($E50*(IF(REGEXMATCH(Z$10,$B50),$A50,1))/(Z$11*IF(REGEXMATCH($C50,Z$9),Z$8,1))*6),FLOOR($E50*(IF(REGEXMATCH(Z$10,$B50),$A50,1))/(Z$11*IF(REGEXMATCH($C50,Z$9),Z$8,1"&amp;"))*6))"),4.0)</f>
        <v>4</v>
      </c>
      <c r="AA50" s="285">
        <f>IFERROR(__xludf.DUMMYFUNCTION("IF($E50*(IF(REGEXMATCH(AA$10,$B50),$A50,1))/(AA$11*IF(REGEXMATCH($C50,AA$9),AA$8,1))*6&gt;6,CEILING($E50*(IF(REGEXMATCH(AA$10,$B50),$A50,1))/(AA$11*IF(REGEXMATCH($C50,AA$9),AA$8,1))*6),FLOOR($E50*(IF(REGEXMATCH(AA$10,$B50),$A50,1))/(AA$11*IF(REGEXMATCH($C50,"&amp;"AA$9),AA$8,1))*6))"),4.0)</f>
        <v>4</v>
      </c>
      <c r="AB50" s="285">
        <f>IFERROR(__xludf.DUMMYFUNCTION("IF($E50*(IF(REGEXMATCH(AB$10,$B50),$A50,1))/(AB$11*IF(REGEXMATCH($C50,AB$9),AB$8,1))*6&gt;6,CEILING($E50*(IF(REGEXMATCH(AB$10,$B50),$A50,1))/(AB$11*IF(REGEXMATCH($C50,AB$9),AB$8,1))*6),FLOOR($E50*(IF(REGEXMATCH(AB$10,$B50),$A50,1))/(AB$11*IF(REGEXMATCH($C50,"&amp;"AB$9),AB$8,1))*6))"),4.0)</f>
        <v>4</v>
      </c>
      <c r="AC50" s="285">
        <f>IFERROR(__xludf.DUMMYFUNCTION("IF($E50*(IF(REGEXMATCH(AC$10,$B50),$A50,1))/(AC$11*IF(REGEXMATCH($C50,AC$9),AC$8,1))*6&gt;6,CEILING($E50*(IF(REGEXMATCH(AC$10,$B50),$A50,1))/(AC$11*IF(REGEXMATCH($C50,AC$9),AC$8,1))*6),FLOOR($E50*(IF(REGEXMATCH(AC$10,$B50),$A50,1))/(AC$11*IF(REGEXMATCH($C50,"&amp;"AC$9),AC$8,1))*6))"),4.0)</f>
        <v>4</v>
      </c>
      <c r="AD50" s="285">
        <f>IFERROR(__xludf.DUMMYFUNCTION("IF($E50*(IF(REGEXMATCH(AD$10,$B50),$A50,1))/(AD$11*IF(REGEXMATCH($C50,AD$9),AD$8,1))*6&gt;6,CEILING($E50*(IF(REGEXMATCH(AD$10,$B50),$A50,1))/(AD$11*IF(REGEXMATCH($C50,AD$9),AD$8,1))*6),FLOOR($E50*(IF(REGEXMATCH(AD$10,$B50),$A50,1))/(AD$11*IF(REGEXMATCH($C50,"&amp;"AD$9),AD$8,1))*6))"),4.0)</f>
        <v>4</v>
      </c>
      <c r="AE50" s="285">
        <f>IFERROR(__xludf.DUMMYFUNCTION("IF($E50*(IF(REGEXMATCH(AE$10,$B50),$A50,1))/(AE$11*IF(REGEXMATCH($C50,AE$9),AE$8,1))*6&gt;6,CEILING($E50*(IF(REGEXMATCH(AE$10,$B50),$A50,1))/(AE$11*IF(REGEXMATCH($C50,AE$9),AE$8,1))*6),FLOOR($E50*(IF(REGEXMATCH(AE$10,$B50),$A50,1))/(AE$11*IF(REGEXMATCH($C50,"&amp;"AE$9),AE$8,1))*6))"),4.0)</f>
        <v>4</v>
      </c>
      <c r="AF50" s="285">
        <f>IFERROR(__xludf.DUMMYFUNCTION("IF($E50*(IF(REGEXMATCH(AF$10,$B50),$A50,1))/(AF$11*IF(REGEXMATCH($C50,AF$9),AF$8,1))*6&gt;6,CEILING($E50*(IF(REGEXMATCH(AF$10,$B50),$A50,1))/(AF$11*IF(REGEXMATCH($C50,AF$9),AF$8,1))*6),FLOOR($E50*(IF(REGEXMATCH(AF$10,$B50),$A50,1))/(AF$11*IF(REGEXMATCH($C50,"&amp;"AF$9),AF$8,1))*6))"),4.0)</f>
        <v>4</v>
      </c>
      <c r="AG50" s="285">
        <f>IFERROR(__xludf.DUMMYFUNCTION("IF($E50*(IF(REGEXMATCH(AG$10,$B50),$A50,1))/(AG$11*IF(REGEXMATCH($C50,AG$9),AG$8,1))*6&gt;6,CEILING($E50*(IF(REGEXMATCH(AG$10,$B50),$A50,1))/(AG$11*IF(REGEXMATCH($C50,AG$9),AG$8,1))*6),FLOOR($E50*(IF(REGEXMATCH(AG$10,$B50),$A50,1))/(AG$11*IF(REGEXMATCH($C50,"&amp;"AG$9),AG$8,1))*6))"),4.0)</f>
        <v>4</v>
      </c>
      <c r="AH50" s="285">
        <f>IFERROR(__xludf.DUMMYFUNCTION("IF($E50*(IF(REGEXMATCH(AH$10,$B50),$A50,1))/(AH$11*IF(REGEXMATCH($C50,AH$9),AH$8,1))*6&gt;6,CEILING($E50*(IF(REGEXMATCH(AH$10,$B50),$A50,1))/(AH$11*IF(REGEXMATCH($C50,AH$9),AH$8,1))*6),FLOOR($E50*(IF(REGEXMATCH(AH$10,$B50),$A50,1))/(AH$11*IF(REGEXMATCH($C50,"&amp;"AH$9),AH$8,1))*6))"),4.0)</f>
        <v>4</v>
      </c>
      <c r="AI50" s="285">
        <f>IFERROR(__xludf.DUMMYFUNCTION("IF($E50*(IF(REGEXMATCH(AI$10,$B50),$A50,1))/(AI$11*IF(REGEXMATCH($C50,AI$9),AI$8,1))*6&gt;6,CEILING($E50*(IF(REGEXMATCH(AI$10,$B50),$A50,1))/(AI$11*IF(REGEXMATCH($C50,AI$9),AI$8,1))*6),FLOOR($E50*(IF(REGEXMATCH(AI$10,$B50),$A50,1))/(AI$11*IF(REGEXMATCH($C50,"&amp;"AI$9),AI$8,1))*6))"),3.0)</f>
        <v>3</v>
      </c>
      <c r="AJ50" s="285">
        <f>IFERROR(__xludf.DUMMYFUNCTION("IF($E50*(IF(REGEXMATCH(AJ$10,$B50),$A50,1))/(AJ$11*IF(REGEXMATCH($C50,AJ$9),AJ$8,1))*6&gt;6,CEILING($E50*(IF(REGEXMATCH(AJ$10,$B50),$A50,1))/(AJ$11*IF(REGEXMATCH($C50,AJ$9),AJ$8,1))*6),FLOOR($E50*(IF(REGEXMATCH(AJ$10,$B50),$A50,1))/(AJ$11*IF(REGEXMATCH($C50,"&amp;"AJ$9),AJ$8,1))*6))"),4.0)</f>
        <v>4</v>
      </c>
      <c r="AK50" s="285">
        <f>IFERROR(__xludf.DUMMYFUNCTION("IF($E50*(IF(REGEXMATCH(AK$10,$B50),$A50,1))/(AK$11*IF(REGEXMATCH($C50,AK$9),AK$8,1))*6&gt;6,CEILING($E50*(IF(REGEXMATCH(AK$10,$B50),$A50,1))/(AK$11*IF(REGEXMATCH($C50,AK$9),AK$8,1))*6),FLOOR($E50*(IF(REGEXMATCH(AK$10,$B50),$A50,1))/(AK$11*IF(REGEXMATCH($C50,"&amp;"AK$9),AK$8,1))*6))"),4.0)</f>
        <v>4</v>
      </c>
      <c r="AL50" s="285">
        <f>IFERROR(__xludf.DUMMYFUNCTION("IF($E50*(IF(REGEXMATCH(AL$10,$B50),$A50,1))/(AL$11*IF(REGEXMATCH($C50,AL$9),AL$8,1))*6&gt;6,CEILING($E50*(IF(REGEXMATCH(AL$10,$B50),$A50,1))/(AL$11*IF(REGEXMATCH($C50,AL$9),AL$8,1))*6),FLOOR($E50*(IF(REGEXMATCH(AL$10,$B50),$A50,1))/(AL$11*IF(REGEXMATCH($C50,"&amp;"AL$9),AL$8,1))*6))"),4.0)</f>
        <v>4</v>
      </c>
      <c r="AM50" s="285">
        <f>IFERROR(__xludf.DUMMYFUNCTION("IF($E50*(IF(REGEXMATCH(AM$10,$B50),$A50,1))/(AM$11*IF(REGEXMATCH($C50,AM$9),AM$8,1))*6&gt;6,CEILING($E50*(IF(REGEXMATCH(AM$10,$B50),$A50,1))/(AM$11*IF(REGEXMATCH($C50,AM$9),AM$8,1))*6),FLOOR($E50*(IF(REGEXMATCH(AM$10,$B50),$A50,1))/(AM$11*IF(REGEXMATCH($C50,"&amp;"AM$9),AM$8,1))*6))"),4.0)</f>
        <v>4</v>
      </c>
      <c r="AN50" s="285">
        <f>IFERROR(__xludf.DUMMYFUNCTION("IF($E50*(IF(REGEXMATCH(AN$10,$B50),$A50,1))/(AN$11*IF(REGEXMATCH($C50,AN$9),AN$8,1))*6&gt;6,CEILING($E50*(IF(REGEXMATCH(AN$10,$B50),$A50,1))/(AN$11*IF(REGEXMATCH($C50,AN$9),AN$8,1))*6),FLOOR($E50*(IF(REGEXMATCH(AN$10,$B50),$A50,1))/(AN$11*IF(REGEXMATCH($C50,"&amp;"AN$9),AN$8,1))*6))"),4.0)</f>
        <v>4</v>
      </c>
      <c r="AO50" s="285">
        <f>IFERROR(__xludf.DUMMYFUNCTION("IF($E50*(IF(REGEXMATCH(AO$10,$B50),$A50,1))/(AO$11*IF(REGEXMATCH($C50,AO$9),AO$8,1))*6&gt;6,CEILING($E50*(IF(REGEXMATCH(AO$10,$B50),$A50,1))/(AO$11*IF(REGEXMATCH($C50,AO$9),AO$8,1))*6),FLOOR($E50*(IF(REGEXMATCH(AO$10,$B50),$A50,1))/(AO$11*IF(REGEXMATCH($C50,"&amp;"AO$9),AO$8,1))*6))"),4.0)</f>
        <v>4</v>
      </c>
      <c r="AP50" s="285">
        <f>IFERROR(__xludf.DUMMYFUNCTION("IF($E50*(IF(REGEXMATCH(AP$10,$B50),$A50,1))/(AP$11*IF(REGEXMATCH($C50,AP$9),AP$8,1))*6&gt;6,CEILING($E50*(IF(REGEXMATCH(AP$10,$B50),$A50,1))/(AP$11*IF(REGEXMATCH($C50,AP$9),AP$8,1))*6),FLOOR($E50*(IF(REGEXMATCH(AP$10,$B50),$A50,1))/(AP$11*IF(REGEXMATCH($C50,"&amp;"AP$9),AP$8,1))*6))"),4.0)</f>
        <v>4</v>
      </c>
      <c r="AQ50" s="285">
        <f>IFERROR(__xludf.DUMMYFUNCTION("IF($E50*(IF(REGEXMATCH(AQ$10,$B50),$A50,1))/(AQ$11*IF(REGEXMATCH($C50,AQ$9),AQ$8,1))*6&gt;6,CEILING($E50*(IF(REGEXMATCH(AQ$10,$B50),$A50,1))/(AQ$11*IF(REGEXMATCH($C50,AQ$9),AQ$8,1))*6),FLOOR($E50*(IF(REGEXMATCH(AQ$10,$B50),$A50,1))/(AQ$11*IF(REGEXMATCH($C50,"&amp;"AQ$9),AQ$8,1))*6))"),4.0)</f>
        <v>4</v>
      </c>
      <c r="AR50" s="285">
        <f>IFERROR(__xludf.DUMMYFUNCTION("IF($E50*(IF(REGEXMATCH(AR$10,$B50),$A50,1))/(AR$11*IF(REGEXMATCH($C50,AR$9),AR$8,1))*6&gt;6,CEILING($E50*(IF(REGEXMATCH(AR$10,$B50),$A50,1))/(AR$11*IF(REGEXMATCH($C50,AR$9),AR$8,1))*6),FLOOR($E50*(IF(REGEXMATCH(AR$10,$B50),$A50,1))/(AR$11*IF(REGEXMATCH($C50,"&amp;"AR$9),AR$8,1))*6))"),6.0)</f>
        <v>6</v>
      </c>
      <c r="AS50" s="285">
        <f>IFERROR(__xludf.DUMMYFUNCTION("IF($E50*(IF(REGEXMATCH(AS$10,$B50),$A50,1))/(AS$11*IF(REGEXMATCH($C50,AS$9),AS$8,1))*6&gt;6,CEILING($E50*(IF(REGEXMATCH(AS$10,$B50),$A50,1))/(AS$11*IF(REGEXMATCH($C50,AS$9),AS$8,1))*6),FLOOR($E50*(IF(REGEXMATCH(AS$10,$B50),$A50,1))/(AS$11*IF(REGEXMATCH($C50,"&amp;"AS$9),AS$8,1))*6))"),6.0)</f>
        <v>6</v>
      </c>
      <c r="AT50" s="285">
        <f>IFERROR(__xludf.DUMMYFUNCTION("IF($E50*(IF(REGEXMATCH(AT$10,$B50),$A50,1))/(AT$11*IF(REGEXMATCH($C50,AT$9),AT$8,1))*6&gt;6,CEILING($E50*(IF(REGEXMATCH(AT$10,$B50),$A50,1))/(AT$11*IF(REGEXMATCH($C50,AT$9),AT$8,1))*6),FLOOR($E50*(IF(REGEXMATCH(AT$10,$B50),$A50,1))/(AT$11*IF(REGEXMATCH($C50,"&amp;"AT$9),AT$8,1))*6))"),8.0)</f>
        <v>8</v>
      </c>
    </row>
    <row r="51">
      <c r="A51" s="8">
        <v>1.0</v>
      </c>
      <c r="B51" s="8" t="s">
        <v>2577</v>
      </c>
      <c r="C51" s="812" t="s">
        <v>2584</v>
      </c>
      <c r="D51" s="8"/>
      <c r="E51" s="8">
        <v>4.0</v>
      </c>
      <c r="F51" s="811" t="s">
        <v>2158</v>
      </c>
      <c r="G51" s="285">
        <f>IFERROR(__xludf.DUMMYFUNCTION("IF($E51*(IF(REGEXMATCH(G$10,$B51),$A51,1))/(G$11*IF(REGEXMATCH($C51,G$9),G$8,1))*6&gt;6,CEILING($E51*(IF(REGEXMATCH(G$10,$B51),$A51,1))/(G$11*IF(REGEXMATCH($C51,G$9),G$8,1))*6),FLOOR($E51*(IF(REGEXMATCH(G$10,$B51),$A51,1))/(G$11*IF(REGEXMATCH($C51,G$9),G$8,1"&amp;"))*6))"),2.0)</f>
        <v>2</v>
      </c>
      <c r="H51" s="285">
        <f>IFERROR(__xludf.DUMMYFUNCTION("IF($E51*(IF(REGEXMATCH(H$10,$B51),$A51,1))/(H$11*IF(REGEXMATCH($C51,H$9),H$8,1))*6&gt;6,CEILING($E51*(IF(REGEXMATCH(H$10,$B51),$A51,1))/(H$11*IF(REGEXMATCH($C51,H$9),H$8,1))*6),FLOOR($E51*(IF(REGEXMATCH(H$10,$B51),$A51,1))/(H$11*IF(REGEXMATCH($C51,H$9),H$8,1"&amp;"))*6))"),2.0)</f>
        <v>2</v>
      </c>
      <c r="I51" s="285">
        <f>IFERROR(__xludf.DUMMYFUNCTION("IF($E51*(IF(REGEXMATCH(I$10,$B51),$A51,1))/(I$11*IF(REGEXMATCH($C51,I$9),I$8,1))*6&gt;6,CEILING($E51*(IF(REGEXMATCH(I$10,$B51),$A51,1))/(I$11*IF(REGEXMATCH($C51,I$9),I$8,1))*6),FLOOR($E51*(IF(REGEXMATCH(I$10,$B51),$A51,1))/(I$11*IF(REGEXMATCH($C51,I$9),I$8,1"&amp;"))*6))"),3.0)</f>
        <v>3</v>
      </c>
      <c r="J51" s="285">
        <f>IFERROR(__xludf.DUMMYFUNCTION("IF($E51*(IF(REGEXMATCH(J$10,$B51),$A51,1))/(J$11*IF(REGEXMATCH($C51,J$9),J$8,1))*6&gt;6,CEILING($E51*(IF(REGEXMATCH(J$10,$B51),$A51,1))/(J$11*IF(REGEXMATCH($C51,J$9),J$8,1))*6),FLOOR($E51*(IF(REGEXMATCH(J$10,$B51),$A51,1))/(J$11*IF(REGEXMATCH($C51,J$9),J$8,1"&amp;"))*6))"),2.0)</f>
        <v>2</v>
      </c>
      <c r="K51" s="285">
        <f>IFERROR(__xludf.DUMMYFUNCTION("IF($E51*(IF(REGEXMATCH(K$10,$B51),$A51,1))/(K$11*IF(REGEXMATCH($C51,K$9),K$8,1))*6&gt;6,CEILING($E51*(IF(REGEXMATCH(K$10,$B51),$A51,1))/(K$11*IF(REGEXMATCH($C51,K$9),K$8,1))*6),FLOOR($E51*(IF(REGEXMATCH(K$10,$B51),$A51,1))/(K$11*IF(REGEXMATCH($C51,K$9),K$8,1"&amp;"))*6))"),3.0)</f>
        <v>3</v>
      </c>
      <c r="L51" s="285">
        <f>IFERROR(__xludf.DUMMYFUNCTION("IF($E51*(IF(REGEXMATCH(L$10,$B51),$A51,1))/(L$11*IF(REGEXMATCH($C51,L$9),L$8,1))*6&gt;6,CEILING($E51*(IF(REGEXMATCH(L$10,$B51),$A51,1))/(L$11*IF(REGEXMATCH($C51,L$9),L$8,1))*6),FLOOR($E51*(IF(REGEXMATCH(L$10,$B51),$A51,1))/(L$11*IF(REGEXMATCH($C51,L$9),L$8,1"&amp;"))*6))"),3.0)</f>
        <v>3</v>
      </c>
      <c r="M51" s="285">
        <f>IFERROR(__xludf.DUMMYFUNCTION("IF($E51*(IF(REGEXMATCH(M$10,$B51),$A51,1))/(M$11*IF(REGEXMATCH($C51,M$9),M$8,1))*6&gt;6,CEILING($E51*(IF(REGEXMATCH(M$10,$B51),$A51,1))/(M$11*IF(REGEXMATCH($C51,M$9),M$8,1))*6),FLOOR($E51*(IF(REGEXMATCH(M$10,$B51),$A51,1))/(M$11*IF(REGEXMATCH($C51,M$9),M$8,1"&amp;"))*6))"),3.0)</f>
        <v>3</v>
      </c>
      <c r="N51" s="285">
        <f>IFERROR(__xludf.DUMMYFUNCTION("IF($E51*(IF(REGEXMATCH(N$10,$B51),$A51,1))/(N$11*IF(REGEXMATCH($C51,N$9),N$8,1))*6&gt;6,CEILING($E51*(IF(REGEXMATCH(N$10,$B51),$A51,1))/(N$11*IF(REGEXMATCH($C51,N$9),N$8,1))*6),FLOOR($E51*(IF(REGEXMATCH(N$10,$B51),$A51,1))/(N$11*IF(REGEXMATCH($C51,N$9),N$8,1"&amp;"))*6))"),3.0)</f>
        <v>3</v>
      </c>
      <c r="O51" s="285">
        <f>IFERROR(__xludf.DUMMYFUNCTION("IF($E51*(IF(REGEXMATCH(O$10,$B51),$A51,1))/(O$11*IF(REGEXMATCH($C51,O$9),O$8,1))*6&gt;6,CEILING($E51*(IF(REGEXMATCH(O$10,$B51),$A51,1))/(O$11*IF(REGEXMATCH($C51,O$9),O$8,1))*6),FLOOR($E51*(IF(REGEXMATCH(O$10,$B51),$A51,1))/(O$11*IF(REGEXMATCH($C51,O$9),O$8,1"&amp;"))*6))"),3.0)</f>
        <v>3</v>
      </c>
      <c r="P51" s="285">
        <f>IFERROR(__xludf.DUMMYFUNCTION("IF($E51*(IF(REGEXMATCH(P$10,$B51),$A51,1))/(P$11*IF(REGEXMATCH($C51,P$9),P$8,1))*6&gt;6,CEILING($E51*(IF(REGEXMATCH(P$10,$B51),$A51,1))/(P$11*IF(REGEXMATCH($C51,P$9),P$8,1))*6),FLOOR($E51*(IF(REGEXMATCH(P$10,$B51),$A51,1))/(P$11*IF(REGEXMATCH($C51,P$9),P$8,1"&amp;"))*6))"),3.0)</f>
        <v>3</v>
      </c>
      <c r="Q51" s="285">
        <f>IFERROR(__xludf.DUMMYFUNCTION("IF($E51*(IF(REGEXMATCH(Q$10,$B51),$A51,1))/(Q$11*IF(REGEXMATCH($C51,Q$9),Q$8,1))*6&gt;6,CEILING($E51*(IF(REGEXMATCH(Q$10,$B51),$A51,1))/(Q$11*IF(REGEXMATCH($C51,Q$9),Q$8,1))*6),FLOOR($E51*(IF(REGEXMATCH(Q$10,$B51),$A51,1))/(Q$11*IF(REGEXMATCH($C51,Q$9),Q$8,1"&amp;"))*6))"),3.0)</f>
        <v>3</v>
      </c>
      <c r="R51" s="285">
        <f>IFERROR(__xludf.DUMMYFUNCTION("IF($E51*(IF(REGEXMATCH(R$10,$B51),$A51,1))/(R$11*IF(REGEXMATCH($C51,R$9),R$8,1))*6&gt;6,CEILING($E51*(IF(REGEXMATCH(R$10,$B51),$A51,1))/(R$11*IF(REGEXMATCH($C51,R$9),R$8,1))*6),FLOOR($E51*(IF(REGEXMATCH(R$10,$B51),$A51,1))/(R$11*IF(REGEXMATCH($C51,R$9),R$8,1"&amp;"))*6))"),3.0)</f>
        <v>3</v>
      </c>
      <c r="S51" s="285">
        <f>IFERROR(__xludf.DUMMYFUNCTION("IF($E51*(IF(REGEXMATCH(S$10,$B51),$A51,1))/(S$11*IF(REGEXMATCH($C51,S$9),S$8,1))*6&gt;6,CEILING($E51*(IF(REGEXMATCH(S$10,$B51),$A51,1))/(S$11*IF(REGEXMATCH($C51,S$9),S$8,1))*6),FLOOR($E51*(IF(REGEXMATCH(S$10,$B51),$A51,1))/(S$11*IF(REGEXMATCH($C51,S$9),S$8,1"&amp;"))*6))"),3.0)</f>
        <v>3</v>
      </c>
      <c r="T51" s="285">
        <f>IFERROR(__xludf.DUMMYFUNCTION("IF($E51*(IF(REGEXMATCH(T$10,$B51),$A51,1))/(T$11*IF(REGEXMATCH($C51,T$9),T$8,1))*6&gt;6,CEILING($E51*(IF(REGEXMATCH(T$10,$B51),$A51,1))/(T$11*IF(REGEXMATCH($C51,T$9),T$8,1))*6),FLOOR($E51*(IF(REGEXMATCH(T$10,$B51),$A51,1))/(T$11*IF(REGEXMATCH($C51,T$9),T$8,1"&amp;"))*6))"),3.0)</f>
        <v>3</v>
      </c>
      <c r="U51" s="285">
        <f>IFERROR(__xludf.DUMMYFUNCTION("IF($E51*(IF(REGEXMATCH(U$10,$B51),$A51,1))/(U$11*IF(REGEXMATCH($C51,U$9),U$8,1))*6&gt;6,CEILING($E51*(IF(REGEXMATCH(U$10,$B51),$A51,1))/(U$11*IF(REGEXMATCH($C51,U$9),U$8,1))*6),FLOOR($E51*(IF(REGEXMATCH(U$10,$B51),$A51,1))/(U$11*IF(REGEXMATCH($C51,U$9),U$8,1"&amp;"))*6))"),3.0)</f>
        <v>3</v>
      </c>
      <c r="V51" s="285">
        <f>IFERROR(__xludf.DUMMYFUNCTION("IF($E51*(IF(REGEXMATCH(V$10,$B51),$A51,1))/(V$11*IF(REGEXMATCH($C51,V$9),V$8,1))*6&gt;6,CEILING($E51*(IF(REGEXMATCH(V$10,$B51),$A51,1))/(V$11*IF(REGEXMATCH($C51,V$9),V$8,1))*6),FLOOR($E51*(IF(REGEXMATCH(V$10,$B51),$A51,1))/(V$11*IF(REGEXMATCH($C51,V$9),V$8,1"&amp;"))*6))"),3.0)</f>
        <v>3</v>
      </c>
      <c r="W51" s="285">
        <f>IFERROR(__xludf.DUMMYFUNCTION("IF($E51*(IF(REGEXMATCH(W$10,$B51),$A51,1))/(W$11*IF(REGEXMATCH($C51,W$9),W$8,1))*6&gt;6,CEILING($E51*(IF(REGEXMATCH(W$10,$B51),$A51,1))/(W$11*IF(REGEXMATCH($C51,W$9),W$8,1))*6),FLOOR($E51*(IF(REGEXMATCH(W$10,$B51),$A51,1))/(W$11*IF(REGEXMATCH($C51,W$9),W$8,1"&amp;"))*6))"),4.0)</f>
        <v>4</v>
      </c>
      <c r="X51" s="285">
        <f>IFERROR(__xludf.DUMMYFUNCTION("IF($E51*(IF(REGEXMATCH(X$10,$B51),$A51,1))/(X$11*IF(REGEXMATCH($C51,X$9),X$8,1))*6&gt;6,CEILING($E51*(IF(REGEXMATCH(X$10,$B51),$A51,1))/(X$11*IF(REGEXMATCH($C51,X$9),X$8,1))*6),FLOOR($E51*(IF(REGEXMATCH(X$10,$B51),$A51,1))/(X$11*IF(REGEXMATCH($C51,X$9),X$8,1"&amp;"))*6))"),4.0)</f>
        <v>4</v>
      </c>
      <c r="Y51" s="285">
        <f>IFERROR(__xludf.DUMMYFUNCTION("IF($E51*(IF(REGEXMATCH(Y$10,$B51),$A51,1))/(Y$11*IF(REGEXMATCH($C51,Y$9),Y$8,1))*6&gt;6,CEILING($E51*(IF(REGEXMATCH(Y$10,$B51),$A51,1))/(Y$11*IF(REGEXMATCH($C51,Y$9),Y$8,1))*6),FLOOR($E51*(IF(REGEXMATCH(Y$10,$B51),$A51,1))/(Y$11*IF(REGEXMATCH($C51,Y$9),Y$8,1"&amp;"))*6))"),4.0)</f>
        <v>4</v>
      </c>
      <c r="Z51" s="285">
        <f>IFERROR(__xludf.DUMMYFUNCTION("IF($E51*(IF(REGEXMATCH(Z$10,$B51),$A51,1))/(Z$11*IF(REGEXMATCH($C51,Z$9),Z$8,1))*6&gt;6,CEILING($E51*(IF(REGEXMATCH(Z$10,$B51),$A51,1))/(Z$11*IF(REGEXMATCH($C51,Z$9),Z$8,1))*6),FLOOR($E51*(IF(REGEXMATCH(Z$10,$B51),$A51,1))/(Z$11*IF(REGEXMATCH($C51,Z$9),Z$8,1"&amp;"))*6))"),4.0)</f>
        <v>4</v>
      </c>
      <c r="AA51" s="285">
        <f>IFERROR(__xludf.DUMMYFUNCTION("IF($E51*(IF(REGEXMATCH(AA$10,$B51),$A51,1))/(AA$11*IF(REGEXMATCH($C51,AA$9),AA$8,1))*6&gt;6,CEILING($E51*(IF(REGEXMATCH(AA$10,$B51),$A51,1))/(AA$11*IF(REGEXMATCH($C51,AA$9),AA$8,1))*6),FLOOR($E51*(IF(REGEXMATCH(AA$10,$B51),$A51,1))/(AA$11*IF(REGEXMATCH($C51,"&amp;"AA$9),AA$8,1))*6))"),4.0)</f>
        <v>4</v>
      </c>
      <c r="AB51" s="285">
        <f>IFERROR(__xludf.DUMMYFUNCTION("IF($E51*(IF(REGEXMATCH(AB$10,$B51),$A51,1))/(AB$11*IF(REGEXMATCH($C51,AB$9),AB$8,1))*6&gt;6,CEILING($E51*(IF(REGEXMATCH(AB$10,$B51),$A51,1))/(AB$11*IF(REGEXMATCH($C51,AB$9),AB$8,1))*6),FLOOR($E51*(IF(REGEXMATCH(AB$10,$B51),$A51,1))/(AB$11*IF(REGEXMATCH($C51,"&amp;"AB$9),AB$8,1))*6))"),4.0)</f>
        <v>4</v>
      </c>
      <c r="AC51" s="285">
        <f>IFERROR(__xludf.DUMMYFUNCTION("IF($E51*(IF(REGEXMATCH(AC$10,$B51),$A51,1))/(AC$11*IF(REGEXMATCH($C51,AC$9),AC$8,1))*6&gt;6,CEILING($E51*(IF(REGEXMATCH(AC$10,$B51),$A51,1))/(AC$11*IF(REGEXMATCH($C51,AC$9),AC$8,1))*6),FLOOR($E51*(IF(REGEXMATCH(AC$10,$B51),$A51,1))/(AC$11*IF(REGEXMATCH($C51,"&amp;"AC$9),AC$8,1))*6))"),4.0)</f>
        <v>4</v>
      </c>
      <c r="AD51" s="285">
        <f>IFERROR(__xludf.DUMMYFUNCTION("IF($E51*(IF(REGEXMATCH(AD$10,$B51),$A51,1))/(AD$11*IF(REGEXMATCH($C51,AD$9),AD$8,1))*6&gt;6,CEILING($E51*(IF(REGEXMATCH(AD$10,$B51),$A51,1))/(AD$11*IF(REGEXMATCH($C51,AD$9),AD$8,1))*6),FLOOR($E51*(IF(REGEXMATCH(AD$10,$B51),$A51,1))/(AD$11*IF(REGEXMATCH($C51,"&amp;"AD$9),AD$8,1))*6))"),4.0)</f>
        <v>4</v>
      </c>
      <c r="AE51" s="285">
        <f>IFERROR(__xludf.DUMMYFUNCTION("IF($E51*(IF(REGEXMATCH(AE$10,$B51),$A51,1))/(AE$11*IF(REGEXMATCH($C51,AE$9),AE$8,1))*6&gt;6,CEILING($E51*(IF(REGEXMATCH(AE$10,$B51),$A51,1))/(AE$11*IF(REGEXMATCH($C51,AE$9),AE$8,1))*6),FLOOR($E51*(IF(REGEXMATCH(AE$10,$B51),$A51,1))/(AE$11*IF(REGEXMATCH($C51,"&amp;"AE$9),AE$8,1))*6))"),4.0)</f>
        <v>4</v>
      </c>
      <c r="AF51" s="285">
        <f>IFERROR(__xludf.DUMMYFUNCTION("IF($E51*(IF(REGEXMATCH(AF$10,$B51),$A51,1))/(AF$11*IF(REGEXMATCH($C51,AF$9),AF$8,1))*6&gt;6,CEILING($E51*(IF(REGEXMATCH(AF$10,$B51),$A51,1))/(AF$11*IF(REGEXMATCH($C51,AF$9),AF$8,1))*6),FLOOR($E51*(IF(REGEXMATCH(AF$10,$B51),$A51,1))/(AF$11*IF(REGEXMATCH($C51,"&amp;"AF$9),AF$8,1))*6))"),4.0)</f>
        <v>4</v>
      </c>
      <c r="AG51" s="285">
        <f>IFERROR(__xludf.DUMMYFUNCTION("IF($E51*(IF(REGEXMATCH(AG$10,$B51),$A51,1))/(AG$11*IF(REGEXMATCH($C51,AG$9),AG$8,1))*6&gt;6,CEILING($E51*(IF(REGEXMATCH(AG$10,$B51),$A51,1))/(AG$11*IF(REGEXMATCH($C51,AG$9),AG$8,1))*6),FLOOR($E51*(IF(REGEXMATCH(AG$10,$B51),$A51,1))/(AG$11*IF(REGEXMATCH($C51,"&amp;"AG$9),AG$8,1))*6))"),4.0)</f>
        <v>4</v>
      </c>
      <c r="AH51" s="285">
        <f>IFERROR(__xludf.DUMMYFUNCTION("IF($E51*(IF(REGEXMATCH(AH$10,$B51),$A51,1))/(AH$11*IF(REGEXMATCH($C51,AH$9),AH$8,1))*6&gt;6,CEILING($E51*(IF(REGEXMATCH(AH$10,$B51),$A51,1))/(AH$11*IF(REGEXMATCH($C51,AH$9),AH$8,1))*6),FLOOR($E51*(IF(REGEXMATCH(AH$10,$B51),$A51,1))/(AH$11*IF(REGEXMATCH($C51,"&amp;"AH$9),AH$8,1))*6))"),4.0)</f>
        <v>4</v>
      </c>
      <c r="AI51" s="285">
        <f>IFERROR(__xludf.DUMMYFUNCTION("IF($E51*(IF(REGEXMATCH(AI$10,$B51),$A51,1))/(AI$11*IF(REGEXMATCH($C51,AI$9),AI$8,1))*6&gt;6,CEILING($E51*(IF(REGEXMATCH(AI$10,$B51),$A51,1))/(AI$11*IF(REGEXMATCH($C51,AI$9),AI$8,1))*6),FLOOR($E51*(IF(REGEXMATCH(AI$10,$B51),$A51,1))/(AI$11*IF(REGEXMATCH($C51,"&amp;"AI$9),AI$8,1))*6))"),4.0)</f>
        <v>4</v>
      </c>
      <c r="AJ51" s="285">
        <f>IFERROR(__xludf.DUMMYFUNCTION("IF($E51*(IF(REGEXMATCH(AJ$10,$B51),$A51,1))/(AJ$11*IF(REGEXMATCH($C51,AJ$9),AJ$8,1))*6&gt;6,CEILING($E51*(IF(REGEXMATCH(AJ$10,$B51),$A51,1))/(AJ$11*IF(REGEXMATCH($C51,AJ$9),AJ$8,1))*6),FLOOR($E51*(IF(REGEXMATCH(AJ$10,$B51),$A51,1))/(AJ$11*IF(REGEXMATCH($C51,"&amp;"AJ$9),AJ$8,1))*6))"),4.0)</f>
        <v>4</v>
      </c>
      <c r="AK51" s="285">
        <f>IFERROR(__xludf.DUMMYFUNCTION("IF($E51*(IF(REGEXMATCH(AK$10,$B51),$A51,1))/(AK$11*IF(REGEXMATCH($C51,AK$9),AK$8,1))*6&gt;6,CEILING($E51*(IF(REGEXMATCH(AK$10,$B51),$A51,1))/(AK$11*IF(REGEXMATCH($C51,AK$9),AK$8,1))*6),FLOOR($E51*(IF(REGEXMATCH(AK$10,$B51),$A51,1))/(AK$11*IF(REGEXMATCH($C51,"&amp;"AK$9),AK$8,1))*6))"),4.0)</f>
        <v>4</v>
      </c>
      <c r="AL51" s="285">
        <f>IFERROR(__xludf.DUMMYFUNCTION("IF($E51*(IF(REGEXMATCH(AL$10,$B51),$A51,1))/(AL$11*IF(REGEXMATCH($C51,AL$9),AL$8,1))*6&gt;6,CEILING($E51*(IF(REGEXMATCH(AL$10,$B51),$A51,1))/(AL$11*IF(REGEXMATCH($C51,AL$9),AL$8,1))*6),FLOOR($E51*(IF(REGEXMATCH(AL$10,$B51),$A51,1))/(AL$11*IF(REGEXMATCH($C51,"&amp;"AL$9),AL$8,1))*6))"),4.0)</f>
        <v>4</v>
      </c>
      <c r="AM51" s="285">
        <f>IFERROR(__xludf.DUMMYFUNCTION("IF($E51*(IF(REGEXMATCH(AM$10,$B51),$A51,1))/(AM$11*IF(REGEXMATCH($C51,AM$9),AM$8,1))*6&gt;6,CEILING($E51*(IF(REGEXMATCH(AM$10,$B51),$A51,1))/(AM$11*IF(REGEXMATCH($C51,AM$9),AM$8,1))*6),FLOOR($E51*(IF(REGEXMATCH(AM$10,$B51),$A51,1))/(AM$11*IF(REGEXMATCH($C51,"&amp;"AM$9),AM$8,1))*6))"),4.0)</f>
        <v>4</v>
      </c>
      <c r="AN51" s="285">
        <f>IFERROR(__xludf.DUMMYFUNCTION("IF($E51*(IF(REGEXMATCH(AN$10,$B51),$A51,1))/(AN$11*IF(REGEXMATCH($C51,AN$9),AN$8,1))*6&gt;6,CEILING($E51*(IF(REGEXMATCH(AN$10,$B51),$A51,1))/(AN$11*IF(REGEXMATCH($C51,AN$9),AN$8,1))*6),FLOOR($E51*(IF(REGEXMATCH(AN$10,$B51),$A51,1))/(AN$11*IF(REGEXMATCH($C51,"&amp;"AN$9),AN$8,1))*6))"),4.0)</f>
        <v>4</v>
      </c>
      <c r="AO51" s="285">
        <f>IFERROR(__xludf.DUMMYFUNCTION("IF($E51*(IF(REGEXMATCH(AO$10,$B51),$A51,1))/(AO$11*IF(REGEXMATCH($C51,AO$9),AO$8,1))*6&gt;6,CEILING($E51*(IF(REGEXMATCH(AO$10,$B51),$A51,1))/(AO$11*IF(REGEXMATCH($C51,AO$9),AO$8,1))*6),FLOOR($E51*(IF(REGEXMATCH(AO$10,$B51),$A51,1))/(AO$11*IF(REGEXMATCH($C51,"&amp;"AO$9),AO$8,1))*6))"),4.0)</f>
        <v>4</v>
      </c>
      <c r="AP51" s="285">
        <f>IFERROR(__xludf.DUMMYFUNCTION("IF($E51*(IF(REGEXMATCH(AP$10,$B51),$A51,1))/(AP$11*IF(REGEXMATCH($C51,AP$9),AP$8,1))*6&gt;6,CEILING($E51*(IF(REGEXMATCH(AP$10,$B51),$A51,1))/(AP$11*IF(REGEXMATCH($C51,AP$9),AP$8,1))*6),FLOOR($E51*(IF(REGEXMATCH(AP$10,$B51),$A51,1))/(AP$11*IF(REGEXMATCH($C51,"&amp;"AP$9),AP$8,1))*6))"),4.0)</f>
        <v>4</v>
      </c>
      <c r="AQ51" s="285">
        <f>IFERROR(__xludf.DUMMYFUNCTION("IF($E51*(IF(REGEXMATCH(AQ$10,$B51),$A51,1))/(AQ$11*IF(REGEXMATCH($C51,AQ$9),AQ$8,1))*6&gt;6,CEILING($E51*(IF(REGEXMATCH(AQ$10,$B51),$A51,1))/(AQ$11*IF(REGEXMATCH($C51,AQ$9),AQ$8,1))*6),FLOOR($E51*(IF(REGEXMATCH(AQ$10,$B51),$A51,1))/(AQ$11*IF(REGEXMATCH($C51,"&amp;"AQ$9),AQ$8,1))*6))"),4.0)</f>
        <v>4</v>
      </c>
      <c r="AR51" s="285">
        <f>IFERROR(__xludf.DUMMYFUNCTION("IF($E51*(IF(REGEXMATCH(AR$10,$B51),$A51,1))/(AR$11*IF(REGEXMATCH($C51,AR$9),AR$8,1))*6&gt;6,CEILING($E51*(IF(REGEXMATCH(AR$10,$B51),$A51,1))/(AR$11*IF(REGEXMATCH($C51,AR$9),AR$8,1))*6),FLOOR($E51*(IF(REGEXMATCH(AR$10,$B51),$A51,1))/(AR$11*IF(REGEXMATCH($C51,"&amp;"AR$9),AR$8,1))*6))"),6.0)</f>
        <v>6</v>
      </c>
      <c r="AS51" s="285">
        <f>IFERROR(__xludf.DUMMYFUNCTION("IF($E51*(IF(REGEXMATCH(AS$10,$B51),$A51,1))/(AS$11*IF(REGEXMATCH($C51,AS$9),AS$8,1))*6&gt;6,CEILING($E51*(IF(REGEXMATCH(AS$10,$B51),$A51,1))/(AS$11*IF(REGEXMATCH($C51,AS$9),AS$8,1))*6),FLOOR($E51*(IF(REGEXMATCH(AS$10,$B51),$A51,1))/(AS$11*IF(REGEXMATCH($C51,"&amp;"AS$9),AS$8,1))*6))"),6.0)</f>
        <v>6</v>
      </c>
      <c r="AT51" s="285">
        <f>IFERROR(__xludf.DUMMYFUNCTION("IF($E51*(IF(REGEXMATCH(AT$10,$B51),$A51,1))/(AT$11*IF(REGEXMATCH($C51,AT$9),AT$8,1))*6&gt;6,CEILING($E51*(IF(REGEXMATCH(AT$10,$B51),$A51,1))/(AT$11*IF(REGEXMATCH($C51,AT$9),AT$8,1))*6),FLOOR($E51*(IF(REGEXMATCH(AT$10,$B51),$A51,1))/(AT$11*IF(REGEXMATCH($C51,"&amp;"AT$9),AT$8,1))*6))"),8.0)</f>
        <v>8</v>
      </c>
    </row>
    <row r="52">
      <c r="A52" s="8">
        <v>1.0</v>
      </c>
      <c r="B52" s="8" t="s">
        <v>2577</v>
      </c>
      <c r="C52" s="812" t="s">
        <v>2585</v>
      </c>
      <c r="D52" s="8"/>
      <c r="E52" s="8">
        <v>3.0</v>
      </c>
      <c r="F52" s="8" t="s">
        <v>2566</v>
      </c>
      <c r="G52" s="285">
        <f>IFERROR(__xludf.DUMMYFUNCTION("IF($E52*(IF(REGEXMATCH(G$10,$B52),$A52,1))/(G$11*IF(REGEXMATCH($C52,G$9),G$8,1))*6&gt;6,CEILING($E52*(IF(REGEXMATCH(G$10,$B52),$A52,1))/(G$11*IF(REGEXMATCH($C52,G$9),G$8,1))*6),FLOOR($E52*(IF(REGEXMATCH(G$10,$B52),$A52,1))/(G$11*IF(REGEXMATCH($C52,G$9),G$8,1"&amp;"))*6))"),1.0)</f>
        <v>1</v>
      </c>
      <c r="H52" s="285">
        <f>IFERROR(__xludf.DUMMYFUNCTION("IF($E52*(IF(REGEXMATCH(H$10,$B52),$A52,1))/(H$11*IF(REGEXMATCH($C52,H$9),H$8,1))*6&gt;6,CEILING($E52*(IF(REGEXMATCH(H$10,$B52),$A52,1))/(H$11*IF(REGEXMATCH($C52,H$9),H$8,1))*6),FLOOR($E52*(IF(REGEXMATCH(H$10,$B52),$A52,1))/(H$11*IF(REGEXMATCH($C52,H$9),H$8,1"&amp;"))*6))"),1.0)</f>
        <v>1</v>
      </c>
      <c r="I52" s="285">
        <f>IFERROR(__xludf.DUMMYFUNCTION("IF($E52*(IF(REGEXMATCH(I$10,$B52),$A52,1))/(I$11*IF(REGEXMATCH($C52,I$9),I$8,1))*6&gt;6,CEILING($E52*(IF(REGEXMATCH(I$10,$B52),$A52,1))/(I$11*IF(REGEXMATCH($C52,I$9),I$8,1))*6),FLOOR($E52*(IF(REGEXMATCH(I$10,$B52),$A52,1))/(I$11*IF(REGEXMATCH($C52,I$9),I$8,1"&amp;"))*6))"),1.0)</f>
        <v>1</v>
      </c>
      <c r="J52" s="285">
        <f>IFERROR(__xludf.DUMMYFUNCTION("IF($E52*(IF(REGEXMATCH(J$10,$B52),$A52,1))/(J$11*IF(REGEXMATCH($C52,J$9),J$8,1))*6&gt;6,CEILING($E52*(IF(REGEXMATCH(J$10,$B52),$A52,1))/(J$11*IF(REGEXMATCH($C52,J$9),J$8,1))*6),FLOOR($E52*(IF(REGEXMATCH(J$10,$B52),$A52,1))/(J$11*IF(REGEXMATCH($C52,J$9),J$8,1"&amp;"))*6))"),1.0)</f>
        <v>1</v>
      </c>
      <c r="K52" s="285">
        <f>IFERROR(__xludf.DUMMYFUNCTION("IF($E52*(IF(REGEXMATCH(K$10,$B52),$A52,1))/(K$11*IF(REGEXMATCH($C52,K$9),K$8,1))*6&gt;6,CEILING($E52*(IF(REGEXMATCH(K$10,$B52),$A52,1))/(K$11*IF(REGEXMATCH($C52,K$9),K$8,1))*6),FLOOR($E52*(IF(REGEXMATCH(K$10,$B52),$A52,1))/(K$11*IF(REGEXMATCH($C52,K$9),K$8,1"&amp;"))*6))"),2.0)</f>
        <v>2</v>
      </c>
      <c r="L52" s="285">
        <f>IFERROR(__xludf.DUMMYFUNCTION("IF($E52*(IF(REGEXMATCH(L$10,$B52),$A52,1))/(L$11*IF(REGEXMATCH($C52,L$9),L$8,1))*6&gt;6,CEILING($E52*(IF(REGEXMATCH(L$10,$B52),$A52,1))/(L$11*IF(REGEXMATCH($C52,L$9),L$8,1))*6),FLOOR($E52*(IF(REGEXMATCH(L$10,$B52),$A52,1))/(L$11*IF(REGEXMATCH($C52,L$9),L$8,1"&amp;"))*6))"),2.0)</f>
        <v>2</v>
      </c>
      <c r="M52" s="285">
        <f>IFERROR(__xludf.DUMMYFUNCTION("IF($E52*(IF(REGEXMATCH(M$10,$B52),$A52,1))/(M$11*IF(REGEXMATCH($C52,M$9),M$8,1))*6&gt;6,CEILING($E52*(IF(REGEXMATCH(M$10,$B52),$A52,1))/(M$11*IF(REGEXMATCH($C52,M$9),M$8,1))*6),FLOOR($E52*(IF(REGEXMATCH(M$10,$B52),$A52,1))/(M$11*IF(REGEXMATCH($C52,M$9),M$8,1"&amp;"))*6))"),2.0)</f>
        <v>2</v>
      </c>
      <c r="N52" s="285">
        <f>IFERROR(__xludf.DUMMYFUNCTION("IF($E52*(IF(REGEXMATCH(N$10,$B52),$A52,1))/(N$11*IF(REGEXMATCH($C52,N$9),N$8,1))*6&gt;6,CEILING($E52*(IF(REGEXMATCH(N$10,$B52),$A52,1))/(N$11*IF(REGEXMATCH($C52,N$9),N$8,1))*6),FLOOR($E52*(IF(REGEXMATCH(N$10,$B52),$A52,1))/(N$11*IF(REGEXMATCH($C52,N$9),N$8,1"&amp;"))*6))"),2.0)</f>
        <v>2</v>
      </c>
      <c r="O52" s="285">
        <f>IFERROR(__xludf.DUMMYFUNCTION("IF($E52*(IF(REGEXMATCH(O$10,$B52),$A52,1))/(O$11*IF(REGEXMATCH($C52,O$9),O$8,1))*6&gt;6,CEILING($E52*(IF(REGEXMATCH(O$10,$B52),$A52,1))/(O$11*IF(REGEXMATCH($C52,O$9),O$8,1))*6),FLOOR($E52*(IF(REGEXMATCH(O$10,$B52),$A52,1))/(O$11*IF(REGEXMATCH($C52,O$9),O$8,1"&amp;"))*6))"),2.0)</f>
        <v>2</v>
      </c>
      <c r="P52" s="285">
        <f>IFERROR(__xludf.DUMMYFUNCTION("IF($E52*(IF(REGEXMATCH(P$10,$B52),$A52,1))/(P$11*IF(REGEXMATCH($C52,P$9),P$8,1))*6&gt;6,CEILING($E52*(IF(REGEXMATCH(P$10,$B52),$A52,1))/(P$11*IF(REGEXMATCH($C52,P$9),P$8,1))*6),FLOOR($E52*(IF(REGEXMATCH(P$10,$B52),$A52,1))/(P$11*IF(REGEXMATCH($C52,P$9),P$8,1"&amp;"))*6))"),2.0)</f>
        <v>2</v>
      </c>
      <c r="Q52" s="285">
        <f>IFERROR(__xludf.DUMMYFUNCTION("IF($E52*(IF(REGEXMATCH(Q$10,$B52),$A52,1))/(Q$11*IF(REGEXMATCH($C52,Q$9),Q$8,1))*6&gt;6,CEILING($E52*(IF(REGEXMATCH(Q$10,$B52),$A52,1))/(Q$11*IF(REGEXMATCH($C52,Q$9),Q$8,1))*6),FLOOR($E52*(IF(REGEXMATCH(Q$10,$B52),$A52,1))/(Q$11*IF(REGEXMATCH($C52,Q$9),Q$8,1"&amp;"))*6))"),2.0)</f>
        <v>2</v>
      </c>
      <c r="R52" s="285">
        <f>IFERROR(__xludf.DUMMYFUNCTION("IF($E52*(IF(REGEXMATCH(R$10,$B52),$A52,1))/(R$11*IF(REGEXMATCH($C52,R$9),R$8,1))*6&gt;6,CEILING($E52*(IF(REGEXMATCH(R$10,$B52),$A52,1))/(R$11*IF(REGEXMATCH($C52,R$9),R$8,1))*6),FLOOR($E52*(IF(REGEXMATCH(R$10,$B52),$A52,1))/(R$11*IF(REGEXMATCH($C52,R$9),R$8,1"&amp;"))*6))"),2.0)</f>
        <v>2</v>
      </c>
      <c r="S52" s="285">
        <f>IFERROR(__xludf.DUMMYFUNCTION("IF($E52*(IF(REGEXMATCH(S$10,$B52),$A52,1))/(S$11*IF(REGEXMATCH($C52,S$9),S$8,1))*6&gt;6,CEILING($E52*(IF(REGEXMATCH(S$10,$B52),$A52,1))/(S$11*IF(REGEXMATCH($C52,S$9),S$8,1))*6),FLOOR($E52*(IF(REGEXMATCH(S$10,$B52),$A52,1))/(S$11*IF(REGEXMATCH($C52,S$9),S$8,1"&amp;"))*6))"),2.0)</f>
        <v>2</v>
      </c>
      <c r="T52" s="285">
        <f>IFERROR(__xludf.DUMMYFUNCTION("IF($E52*(IF(REGEXMATCH(T$10,$B52),$A52,1))/(T$11*IF(REGEXMATCH($C52,T$9),T$8,1))*6&gt;6,CEILING($E52*(IF(REGEXMATCH(T$10,$B52),$A52,1))/(T$11*IF(REGEXMATCH($C52,T$9),T$8,1))*6),FLOOR($E52*(IF(REGEXMATCH(T$10,$B52),$A52,1))/(T$11*IF(REGEXMATCH($C52,T$9),T$8,1"&amp;"))*6))"),1.0)</f>
        <v>1</v>
      </c>
      <c r="U52" s="285">
        <f>IFERROR(__xludf.DUMMYFUNCTION("IF($E52*(IF(REGEXMATCH(U$10,$B52),$A52,1))/(U$11*IF(REGEXMATCH($C52,U$9),U$8,1))*6&gt;6,CEILING($E52*(IF(REGEXMATCH(U$10,$B52),$A52,1))/(U$11*IF(REGEXMATCH($C52,U$9),U$8,1))*6),FLOOR($E52*(IF(REGEXMATCH(U$10,$B52),$A52,1))/(U$11*IF(REGEXMATCH($C52,U$9),U$8,1"&amp;"))*6))"),2.0)</f>
        <v>2</v>
      </c>
      <c r="V52" s="285">
        <f>IFERROR(__xludf.DUMMYFUNCTION("IF($E52*(IF(REGEXMATCH(V$10,$B52),$A52,1))/(V$11*IF(REGEXMATCH($C52,V$9),V$8,1))*6&gt;6,CEILING($E52*(IF(REGEXMATCH(V$10,$B52),$A52,1))/(V$11*IF(REGEXMATCH($C52,V$9),V$8,1))*6),FLOOR($E52*(IF(REGEXMATCH(V$10,$B52),$A52,1))/(V$11*IF(REGEXMATCH($C52,V$9),V$8,1"&amp;"))*6))"),2.0)</f>
        <v>2</v>
      </c>
      <c r="W52" s="285">
        <f>IFERROR(__xludf.DUMMYFUNCTION("IF($E52*(IF(REGEXMATCH(W$10,$B52),$A52,1))/(W$11*IF(REGEXMATCH($C52,W$9),W$8,1))*6&gt;6,CEILING($E52*(IF(REGEXMATCH(W$10,$B52),$A52,1))/(W$11*IF(REGEXMATCH($C52,W$9),W$8,1))*6),FLOOR($E52*(IF(REGEXMATCH(W$10,$B52),$A52,1))/(W$11*IF(REGEXMATCH($C52,W$9),W$8,1"&amp;"))*6))"),3.0)</f>
        <v>3</v>
      </c>
      <c r="X52" s="285">
        <f>IFERROR(__xludf.DUMMYFUNCTION("IF($E52*(IF(REGEXMATCH(X$10,$B52),$A52,1))/(X$11*IF(REGEXMATCH($C52,X$9),X$8,1))*6&gt;6,CEILING($E52*(IF(REGEXMATCH(X$10,$B52),$A52,1))/(X$11*IF(REGEXMATCH($C52,X$9),X$8,1))*6),FLOOR($E52*(IF(REGEXMATCH(X$10,$B52),$A52,1))/(X$11*IF(REGEXMATCH($C52,X$9),X$8,1"&amp;"))*6))"),3.0)</f>
        <v>3</v>
      </c>
      <c r="Y52" s="285">
        <f>IFERROR(__xludf.DUMMYFUNCTION("IF($E52*(IF(REGEXMATCH(Y$10,$B52),$A52,1))/(Y$11*IF(REGEXMATCH($C52,Y$9),Y$8,1))*6&gt;6,CEILING($E52*(IF(REGEXMATCH(Y$10,$B52),$A52,1))/(Y$11*IF(REGEXMATCH($C52,Y$9),Y$8,1))*6),FLOOR($E52*(IF(REGEXMATCH(Y$10,$B52),$A52,1))/(Y$11*IF(REGEXMATCH($C52,Y$9),Y$8,1"&amp;"))*6))"),2.0)</f>
        <v>2</v>
      </c>
      <c r="Z52" s="285">
        <f>IFERROR(__xludf.DUMMYFUNCTION("IF($E52*(IF(REGEXMATCH(Z$10,$B52),$A52,1))/(Z$11*IF(REGEXMATCH($C52,Z$9),Z$8,1))*6&gt;6,CEILING($E52*(IF(REGEXMATCH(Z$10,$B52),$A52,1))/(Z$11*IF(REGEXMATCH($C52,Z$9),Z$8,1))*6),FLOOR($E52*(IF(REGEXMATCH(Z$10,$B52),$A52,1))/(Z$11*IF(REGEXMATCH($C52,Z$9),Z$8,1"&amp;"))*6))"),3.0)</f>
        <v>3</v>
      </c>
      <c r="AA52" s="285">
        <f>IFERROR(__xludf.DUMMYFUNCTION("IF($E52*(IF(REGEXMATCH(AA$10,$B52),$A52,1))/(AA$11*IF(REGEXMATCH($C52,AA$9),AA$8,1))*6&gt;6,CEILING($E52*(IF(REGEXMATCH(AA$10,$B52),$A52,1))/(AA$11*IF(REGEXMATCH($C52,AA$9),AA$8,1))*6),FLOOR($E52*(IF(REGEXMATCH(AA$10,$B52),$A52,1))/(AA$11*IF(REGEXMATCH($C52,"&amp;"AA$9),AA$8,1))*6))"),3.0)</f>
        <v>3</v>
      </c>
      <c r="AB52" s="285">
        <f>IFERROR(__xludf.DUMMYFUNCTION("IF($E52*(IF(REGEXMATCH(AB$10,$B52),$A52,1))/(AB$11*IF(REGEXMATCH($C52,AB$9),AB$8,1))*6&gt;6,CEILING($E52*(IF(REGEXMATCH(AB$10,$B52),$A52,1))/(AB$11*IF(REGEXMATCH($C52,AB$9),AB$8,1))*6),FLOOR($E52*(IF(REGEXMATCH(AB$10,$B52),$A52,1))/(AB$11*IF(REGEXMATCH($C52,"&amp;"AB$9),AB$8,1))*6))"),3.0)</f>
        <v>3</v>
      </c>
      <c r="AC52" s="285">
        <f>IFERROR(__xludf.DUMMYFUNCTION("IF($E52*(IF(REGEXMATCH(AC$10,$B52),$A52,1))/(AC$11*IF(REGEXMATCH($C52,AC$9),AC$8,1))*6&gt;6,CEILING($E52*(IF(REGEXMATCH(AC$10,$B52),$A52,1))/(AC$11*IF(REGEXMATCH($C52,AC$9),AC$8,1))*6),FLOOR($E52*(IF(REGEXMATCH(AC$10,$B52),$A52,1))/(AC$11*IF(REGEXMATCH($C52,"&amp;"AC$9),AC$8,1))*6))"),3.0)</f>
        <v>3</v>
      </c>
      <c r="AD52" s="285">
        <f>IFERROR(__xludf.DUMMYFUNCTION("IF($E52*(IF(REGEXMATCH(AD$10,$B52),$A52,1))/(AD$11*IF(REGEXMATCH($C52,AD$9),AD$8,1))*6&gt;6,CEILING($E52*(IF(REGEXMATCH(AD$10,$B52),$A52,1))/(AD$11*IF(REGEXMATCH($C52,AD$9),AD$8,1))*6),FLOOR($E52*(IF(REGEXMATCH(AD$10,$B52),$A52,1))/(AD$11*IF(REGEXMATCH($C52,"&amp;"AD$9),AD$8,1))*6))"),3.0)</f>
        <v>3</v>
      </c>
      <c r="AE52" s="285">
        <f>IFERROR(__xludf.DUMMYFUNCTION("IF($E52*(IF(REGEXMATCH(AE$10,$B52),$A52,1))/(AE$11*IF(REGEXMATCH($C52,AE$9),AE$8,1))*6&gt;6,CEILING($E52*(IF(REGEXMATCH(AE$10,$B52),$A52,1))/(AE$11*IF(REGEXMATCH($C52,AE$9),AE$8,1))*6),FLOOR($E52*(IF(REGEXMATCH(AE$10,$B52),$A52,1))/(AE$11*IF(REGEXMATCH($C52,"&amp;"AE$9),AE$8,1))*6))"),3.0)</f>
        <v>3</v>
      </c>
      <c r="AF52" s="285">
        <f>IFERROR(__xludf.DUMMYFUNCTION("IF($E52*(IF(REGEXMATCH(AF$10,$B52),$A52,1))/(AF$11*IF(REGEXMATCH($C52,AF$9),AF$8,1))*6&gt;6,CEILING($E52*(IF(REGEXMATCH(AF$10,$B52),$A52,1))/(AF$11*IF(REGEXMATCH($C52,AF$9),AF$8,1))*6),FLOOR($E52*(IF(REGEXMATCH(AF$10,$B52),$A52,1))/(AF$11*IF(REGEXMATCH($C52,"&amp;"AF$9),AF$8,1))*6))"),3.0)</f>
        <v>3</v>
      </c>
      <c r="AG52" s="285">
        <f>IFERROR(__xludf.DUMMYFUNCTION("IF($E52*(IF(REGEXMATCH(AG$10,$B52),$A52,1))/(AG$11*IF(REGEXMATCH($C52,AG$9),AG$8,1))*6&gt;6,CEILING($E52*(IF(REGEXMATCH(AG$10,$B52),$A52,1))/(AG$11*IF(REGEXMATCH($C52,AG$9),AG$8,1))*6),FLOOR($E52*(IF(REGEXMATCH(AG$10,$B52),$A52,1))/(AG$11*IF(REGEXMATCH($C52,"&amp;"AG$9),AG$8,1))*6))"),3.0)</f>
        <v>3</v>
      </c>
      <c r="AH52" s="285">
        <f>IFERROR(__xludf.DUMMYFUNCTION("IF($E52*(IF(REGEXMATCH(AH$10,$B52),$A52,1))/(AH$11*IF(REGEXMATCH($C52,AH$9),AH$8,1))*6&gt;6,CEILING($E52*(IF(REGEXMATCH(AH$10,$B52),$A52,1))/(AH$11*IF(REGEXMATCH($C52,AH$9),AH$8,1))*6),FLOOR($E52*(IF(REGEXMATCH(AH$10,$B52),$A52,1))/(AH$11*IF(REGEXMATCH($C52,"&amp;"AH$9),AH$8,1))*6))"),3.0)</f>
        <v>3</v>
      </c>
      <c r="AI52" s="285">
        <f>IFERROR(__xludf.DUMMYFUNCTION("IF($E52*(IF(REGEXMATCH(AI$10,$B52),$A52,1))/(AI$11*IF(REGEXMATCH($C52,AI$9),AI$8,1))*6&gt;6,CEILING($E52*(IF(REGEXMATCH(AI$10,$B52),$A52,1))/(AI$11*IF(REGEXMATCH($C52,AI$9),AI$8,1))*6),FLOOR($E52*(IF(REGEXMATCH(AI$10,$B52),$A52,1))/(AI$11*IF(REGEXMATCH($C52,"&amp;"AI$9),AI$8,1))*6))"),2.0)</f>
        <v>2</v>
      </c>
      <c r="AJ52" s="285">
        <f>IFERROR(__xludf.DUMMYFUNCTION("IF($E52*(IF(REGEXMATCH(AJ$10,$B52),$A52,1))/(AJ$11*IF(REGEXMATCH($C52,AJ$9),AJ$8,1))*6&gt;6,CEILING($E52*(IF(REGEXMATCH(AJ$10,$B52),$A52,1))/(AJ$11*IF(REGEXMATCH($C52,AJ$9),AJ$8,1))*6),FLOOR($E52*(IF(REGEXMATCH(AJ$10,$B52),$A52,1))/(AJ$11*IF(REGEXMATCH($C52,"&amp;"AJ$9),AJ$8,1))*6))"),3.0)</f>
        <v>3</v>
      </c>
      <c r="AK52" s="285">
        <f>IFERROR(__xludf.DUMMYFUNCTION("IF($E52*(IF(REGEXMATCH(AK$10,$B52),$A52,1))/(AK$11*IF(REGEXMATCH($C52,AK$9),AK$8,1))*6&gt;6,CEILING($E52*(IF(REGEXMATCH(AK$10,$B52),$A52,1))/(AK$11*IF(REGEXMATCH($C52,AK$9),AK$8,1))*6),FLOOR($E52*(IF(REGEXMATCH(AK$10,$B52),$A52,1))/(AK$11*IF(REGEXMATCH($C52,"&amp;"AK$9),AK$8,1))*6))"),3.0)</f>
        <v>3</v>
      </c>
      <c r="AL52" s="285">
        <f>IFERROR(__xludf.DUMMYFUNCTION("IF($E52*(IF(REGEXMATCH(AL$10,$B52),$A52,1))/(AL$11*IF(REGEXMATCH($C52,AL$9),AL$8,1))*6&gt;6,CEILING($E52*(IF(REGEXMATCH(AL$10,$B52),$A52,1))/(AL$11*IF(REGEXMATCH($C52,AL$9),AL$8,1))*6),FLOOR($E52*(IF(REGEXMATCH(AL$10,$B52),$A52,1))/(AL$11*IF(REGEXMATCH($C52,"&amp;"AL$9),AL$8,1))*6))"),3.0)</f>
        <v>3</v>
      </c>
      <c r="AM52" s="285">
        <f>IFERROR(__xludf.DUMMYFUNCTION("IF($E52*(IF(REGEXMATCH(AM$10,$B52),$A52,1))/(AM$11*IF(REGEXMATCH($C52,AM$9),AM$8,1))*6&gt;6,CEILING($E52*(IF(REGEXMATCH(AM$10,$B52),$A52,1))/(AM$11*IF(REGEXMATCH($C52,AM$9),AM$8,1))*6),FLOOR($E52*(IF(REGEXMATCH(AM$10,$B52),$A52,1))/(AM$11*IF(REGEXMATCH($C52,"&amp;"AM$9),AM$8,1))*6))"),3.0)</f>
        <v>3</v>
      </c>
      <c r="AN52" s="285">
        <f>IFERROR(__xludf.DUMMYFUNCTION("IF($E52*(IF(REGEXMATCH(AN$10,$B52),$A52,1))/(AN$11*IF(REGEXMATCH($C52,AN$9),AN$8,1))*6&gt;6,CEILING($E52*(IF(REGEXMATCH(AN$10,$B52),$A52,1))/(AN$11*IF(REGEXMATCH($C52,AN$9),AN$8,1))*6),FLOOR($E52*(IF(REGEXMATCH(AN$10,$B52),$A52,1))/(AN$11*IF(REGEXMATCH($C52,"&amp;"AN$9),AN$8,1))*6))"),3.0)</f>
        <v>3</v>
      </c>
      <c r="AO52" s="285">
        <f>IFERROR(__xludf.DUMMYFUNCTION("IF($E52*(IF(REGEXMATCH(AO$10,$B52),$A52,1))/(AO$11*IF(REGEXMATCH($C52,AO$9),AO$8,1))*6&gt;6,CEILING($E52*(IF(REGEXMATCH(AO$10,$B52),$A52,1))/(AO$11*IF(REGEXMATCH($C52,AO$9),AO$8,1))*6),FLOOR($E52*(IF(REGEXMATCH(AO$10,$B52),$A52,1))/(AO$11*IF(REGEXMATCH($C52,"&amp;"AO$9),AO$8,1))*6))"),3.0)</f>
        <v>3</v>
      </c>
      <c r="AP52" s="285">
        <f>IFERROR(__xludf.DUMMYFUNCTION("IF($E52*(IF(REGEXMATCH(AP$10,$B52),$A52,1))/(AP$11*IF(REGEXMATCH($C52,AP$9),AP$8,1))*6&gt;6,CEILING($E52*(IF(REGEXMATCH(AP$10,$B52),$A52,1))/(AP$11*IF(REGEXMATCH($C52,AP$9),AP$8,1))*6),FLOOR($E52*(IF(REGEXMATCH(AP$10,$B52),$A52,1))/(AP$11*IF(REGEXMATCH($C52,"&amp;"AP$9),AP$8,1))*6))"),3.0)</f>
        <v>3</v>
      </c>
      <c r="AQ52" s="285">
        <f>IFERROR(__xludf.DUMMYFUNCTION("IF($E52*(IF(REGEXMATCH(AQ$10,$B52),$A52,1))/(AQ$11*IF(REGEXMATCH($C52,AQ$9),AQ$8,1))*6&gt;6,CEILING($E52*(IF(REGEXMATCH(AQ$10,$B52),$A52,1))/(AQ$11*IF(REGEXMATCH($C52,AQ$9),AQ$8,1))*6),FLOOR($E52*(IF(REGEXMATCH(AQ$10,$B52),$A52,1))/(AQ$11*IF(REGEXMATCH($C52,"&amp;"AQ$9),AQ$8,1))*6))"),3.0)</f>
        <v>3</v>
      </c>
      <c r="AR52" s="285">
        <f>IFERROR(__xludf.DUMMYFUNCTION("IF($E52*(IF(REGEXMATCH(AR$10,$B52),$A52,1))/(AR$11*IF(REGEXMATCH($C52,AR$9),AR$8,1))*6&gt;6,CEILING($E52*(IF(REGEXMATCH(AR$10,$B52),$A52,1))/(AR$11*IF(REGEXMATCH($C52,AR$9),AR$8,1))*6),FLOOR($E52*(IF(REGEXMATCH(AR$10,$B52),$A52,1))/(AR$11*IF(REGEXMATCH($C52,"&amp;"AR$9),AR$8,1))*6))"),4.0)</f>
        <v>4</v>
      </c>
      <c r="AS52" s="285">
        <f>IFERROR(__xludf.DUMMYFUNCTION("IF($E52*(IF(REGEXMATCH(AS$10,$B52),$A52,1))/(AS$11*IF(REGEXMATCH($C52,AS$9),AS$8,1))*6&gt;6,CEILING($E52*(IF(REGEXMATCH(AS$10,$B52),$A52,1))/(AS$11*IF(REGEXMATCH($C52,AS$9),AS$8,1))*6),FLOOR($E52*(IF(REGEXMATCH(AS$10,$B52),$A52,1))/(AS$11*IF(REGEXMATCH($C52,"&amp;"AS$9),AS$8,1))*6))"),4.0)</f>
        <v>4</v>
      </c>
      <c r="AT52" s="285">
        <f>IFERROR(__xludf.DUMMYFUNCTION("IF($E52*(IF(REGEXMATCH(AT$10,$B52),$A52,1))/(AT$11*IF(REGEXMATCH($C52,AT$9),AT$8,1))*6&gt;6,CEILING($E52*(IF(REGEXMATCH(AT$10,$B52),$A52,1))/(AT$11*IF(REGEXMATCH($C52,AT$9),AT$8,1))*6),FLOOR($E52*(IF(REGEXMATCH(AT$10,$B52),$A52,1))/(AT$11*IF(REGEXMATCH($C52,"&amp;"AT$9),AT$8,1))*6))"),6.0)</f>
        <v>6</v>
      </c>
    </row>
  </sheetData>
  <conditionalFormatting sqref="G13:BT71">
    <cfRule type="colorScale" priority="1">
      <colorScale>
        <cfvo type="formula" val="1"/>
        <cfvo type="formula" val="6"/>
        <cfvo type="formula" val="12"/>
        <color rgb="FF3D85C6"/>
        <color rgb="FFFFE6A1"/>
        <color rgb="FFE06666"/>
      </colorScale>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63"/>
    <col customWidth="1" min="8" max="8" width="15.25"/>
  </cols>
  <sheetData>
    <row r="1">
      <c r="A1" s="3" t="s">
        <v>2594</v>
      </c>
      <c r="B1" s="3" t="s">
        <v>2595</v>
      </c>
      <c r="C1" s="816" t="s">
        <v>2596</v>
      </c>
      <c r="D1" s="817" t="s">
        <v>468</v>
      </c>
      <c r="E1" s="818" t="s">
        <v>2208</v>
      </c>
    </row>
    <row r="2">
      <c r="A2" s="8">
        <v>0.0</v>
      </c>
      <c r="B2" s="8">
        <v>1.0</v>
      </c>
      <c r="C2" s="285">
        <f>ROUND((rally_base+rally_per*$B2)*((MAX($A2-60,0)/60)+1)/10,0)*10</f>
        <v>100</v>
      </c>
      <c r="D2" s="285">
        <f>ROUND((court_base+court_per*$B2)*((MAX($A2-60,0)/60)+1)/10,0)*10</f>
        <v>100</v>
      </c>
      <c r="E2" s="285">
        <f>ROUND((steal_base+steal_per*$B2)*((MAX($A2-60,0)/60)+1)/10,0)*10</f>
        <v>40</v>
      </c>
      <c r="H2" s="8" t="s">
        <v>2597</v>
      </c>
      <c r="I2" s="8" t="s">
        <v>2596</v>
      </c>
      <c r="J2" s="8" t="s">
        <v>468</v>
      </c>
      <c r="K2" s="8" t="s">
        <v>2598</v>
      </c>
    </row>
    <row r="3">
      <c r="A3" s="8">
        <v>30.0</v>
      </c>
      <c r="B3" s="8">
        <v>1.0</v>
      </c>
      <c r="C3" s="285">
        <f>ROUND((rally_base+rally_per*$B3)*((MAX($A3-60,0)/60)+1)/10,0)*10</f>
        <v>100</v>
      </c>
      <c r="D3" s="285">
        <f>ROUND((court_base+court_per*$B3)*((MAX($A3-60,0)/60)+1)/10,0)*10</f>
        <v>100</v>
      </c>
      <c r="E3" s="285">
        <f>ROUND((steal_base+steal_per*$B3)*((MAX($A3-60,0)/60)+1)/10,0)*10</f>
        <v>40</v>
      </c>
      <c r="H3" s="8" t="s">
        <v>2599</v>
      </c>
      <c r="I3" s="8">
        <v>90.0</v>
      </c>
      <c r="J3" s="8">
        <v>90.0</v>
      </c>
      <c r="K3" s="8">
        <v>30.0</v>
      </c>
    </row>
    <row r="4">
      <c r="A4" s="8">
        <v>30.0</v>
      </c>
      <c r="B4" s="8">
        <v>3.0</v>
      </c>
      <c r="C4" s="285">
        <f>ROUND((rally_base+rally_per*$B4)*((MAX($A4-60,0)/60)+1)/10,0)*10</f>
        <v>120</v>
      </c>
      <c r="D4" s="285">
        <f>ROUND((court_base+court_per*$B4)*((MAX($A4-60,0)/60)+1)/10,0)*10</f>
        <v>120</v>
      </c>
      <c r="E4" s="285">
        <f>ROUND((steal_base+steal_per*$B4)*((MAX($A4-60,0)/60)+1)/10,0)*10</f>
        <v>60</v>
      </c>
      <c r="H4" s="8" t="s">
        <v>2600</v>
      </c>
      <c r="I4" s="8">
        <v>10.0</v>
      </c>
      <c r="J4" s="8">
        <v>10.0</v>
      </c>
      <c r="K4" s="8">
        <v>10.0</v>
      </c>
    </row>
    <row r="5">
      <c r="A5" s="8">
        <v>30.0</v>
      </c>
      <c r="B5" s="8">
        <v>6.0</v>
      </c>
      <c r="C5" s="285">
        <f>ROUND((rally_base+rally_per*$B5)*((MAX($A5-60,0)/60)+1)/10,0)*10</f>
        <v>150</v>
      </c>
      <c r="D5" s="285">
        <f>ROUND((court_base+court_per*$B5)*((MAX($A5-60,0)/60)+1)/10,0)*10</f>
        <v>150</v>
      </c>
      <c r="E5" s="285">
        <f>ROUND((steal_base+steal_per*$B5)*((MAX($A5-60,0)/60)+1)/10,0)*10</f>
        <v>90</v>
      </c>
    </row>
    <row r="6">
      <c r="A6" s="8">
        <v>60.0</v>
      </c>
      <c r="B6" s="8">
        <v>1.0</v>
      </c>
      <c r="C6" s="285">
        <f>ROUND((rally_base+rally_per*$B6)*((MAX($A6-60,0)/60)+1)/10,0)*10</f>
        <v>100</v>
      </c>
      <c r="D6" s="285">
        <f>ROUND((court_base+court_per*$B6)*((MAX($A6-60,0)/60)+1)/10,0)*10</f>
        <v>100</v>
      </c>
      <c r="E6" s="285">
        <f>ROUND((steal_base+steal_per*$B6)*((MAX($A6-60,0)/60)+1)/10,0)*10</f>
        <v>40</v>
      </c>
      <c r="H6" s="8" t="s">
        <v>2601</v>
      </c>
    </row>
    <row r="7">
      <c r="A7" s="8">
        <v>60.0</v>
      </c>
      <c r="B7" s="8">
        <v>3.0</v>
      </c>
      <c r="C7" s="285">
        <f>ROUND((rally_base+rally_per*$B7)*((MAX($A7-60,0)/60)+1)/10,0)*10</f>
        <v>120</v>
      </c>
      <c r="D7" s="285">
        <f>ROUND((court_base+court_per*$B7)*((MAX($A7-60,0)/60)+1)/10,0)*10</f>
        <v>120</v>
      </c>
      <c r="E7" s="285">
        <f>ROUND((steal_base+steal_per*$B7)*((MAX($A7-60,0)/60)+1)/10,0)*10</f>
        <v>60</v>
      </c>
      <c r="H7" s="8" t="s">
        <v>2602</v>
      </c>
    </row>
    <row r="8">
      <c r="A8" s="8">
        <v>60.0</v>
      </c>
      <c r="B8" s="8">
        <v>6.0</v>
      </c>
      <c r="C8" s="285">
        <f>ROUND((rally_base+rally_per*$B8)*((MAX($A8-60,0)/60)+1)/10,0)*10</f>
        <v>150</v>
      </c>
      <c r="D8" s="285">
        <f>ROUND((court_base+court_per*$B8)*((MAX($A8-60,0)/60)+1)/10,0)*10</f>
        <v>150</v>
      </c>
      <c r="E8" s="285">
        <f>ROUND((steal_base+steal_per*$B8)*((MAX($A8-60,0)/60)+1)/10,0)*10</f>
        <v>90</v>
      </c>
      <c r="H8" s="8" t="s">
        <v>2603</v>
      </c>
    </row>
    <row r="9">
      <c r="A9" s="8">
        <v>60.0</v>
      </c>
      <c r="B9" s="8">
        <v>10.0</v>
      </c>
      <c r="C9" s="285">
        <f>ROUND((rally_base+rally_per*$B9)*((MAX($A9-60,0)/60)+1)/10,0)*10</f>
        <v>190</v>
      </c>
      <c r="D9" s="285">
        <f>ROUND((court_base+court_per*$B9)*((MAX($A9-60,0)/60)+1)/10,0)*10</f>
        <v>190</v>
      </c>
      <c r="E9" s="285">
        <f>ROUND((steal_base+steal_per*$B9)*((MAX($A9-60,0)/60)+1)/10,0)*10</f>
        <v>130</v>
      </c>
    </row>
    <row r="10">
      <c r="A10" s="8">
        <v>90.0</v>
      </c>
      <c r="B10" s="8">
        <v>1.0</v>
      </c>
      <c r="C10" s="285">
        <f>ROUND((rally_base+rally_per*$B10)*((MAX($A10-60,0)/60)+1)/10,0)*10</f>
        <v>150</v>
      </c>
      <c r="D10" s="285">
        <f>ROUND((court_base+court_per*$B10)*((MAX($A10-60,0)/60)+1)/10,0)*10</f>
        <v>150</v>
      </c>
      <c r="E10" s="285">
        <f>ROUND((steal_base+steal_per*$B10)*((MAX($A10-60,0)/60)+1)/10,0)*10</f>
        <v>60</v>
      </c>
      <c r="H10" s="8" t="s">
        <v>2604</v>
      </c>
    </row>
    <row r="11">
      <c r="A11" s="8">
        <v>90.0</v>
      </c>
      <c r="B11" s="8">
        <v>3.0</v>
      </c>
      <c r="C11" s="285">
        <f>ROUND((rally_base+rally_per*$B11)*((MAX($A11-60,0)/60)+1)/10,0)*10</f>
        <v>180</v>
      </c>
      <c r="D11" s="285">
        <f>ROUND((court_base+court_per*$B11)*((MAX($A11-60,0)/60)+1)/10,0)*10</f>
        <v>180</v>
      </c>
      <c r="E11" s="285">
        <f>ROUND((steal_base+steal_per*$B11)*((MAX($A11-60,0)/60)+1)/10,0)*10</f>
        <v>90</v>
      </c>
    </row>
    <row r="12">
      <c r="A12" s="8">
        <v>90.0</v>
      </c>
      <c r="B12" s="8">
        <v>6.0</v>
      </c>
      <c r="C12" s="285">
        <f>ROUND((rally_base+rally_per*$B12)*((MAX($A12-60,0)/60)+1)/10,0)*10</f>
        <v>230</v>
      </c>
      <c r="D12" s="285">
        <f>ROUND((court_base+court_per*$B12)*((MAX($A12-60,0)/60)+1)/10,0)*10</f>
        <v>230</v>
      </c>
      <c r="E12" s="285">
        <f>ROUND((steal_base+steal_per*$B12)*((MAX($A12-60,0)/60)+1)/10,0)*10</f>
        <v>140</v>
      </c>
      <c r="N12" s="3" t="s">
        <v>2594</v>
      </c>
      <c r="O12" s="817" t="s">
        <v>2605</v>
      </c>
      <c r="P12" s="818" t="s">
        <v>2208</v>
      </c>
    </row>
    <row r="13">
      <c r="A13" s="8">
        <v>90.0</v>
      </c>
      <c r="B13" s="8">
        <v>10.0</v>
      </c>
      <c r="C13" s="285">
        <f>ROUND((rally_base+rally_per*$B13)*((MAX($A13-60,0)/60)+1)/10,0)*10</f>
        <v>290</v>
      </c>
      <c r="D13" s="285">
        <f>ROUND((court_base+court_per*$B13)*((MAX($A13-60,0)/60)+1)/10,0)*10</f>
        <v>290</v>
      </c>
      <c r="E13" s="285">
        <f>ROUND((steal_base+steal_per*$B13)*((MAX($A13-60,0)/60)+1)/10,0)*10</f>
        <v>200</v>
      </c>
      <c r="N13" s="8" t="s">
        <v>2606</v>
      </c>
      <c r="O13" s="285">
        <v>100.0</v>
      </c>
      <c r="P13" s="285">
        <v>40.0</v>
      </c>
    </row>
    <row r="14">
      <c r="A14" s="8">
        <v>90.0</v>
      </c>
      <c r="B14" s="8">
        <v>15.0</v>
      </c>
      <c r="C14" s="285">
        <f>ROUND((rally_base+rally_per*$B14)*((MAX($A14-60,0)/60)+1)/10,0)*10</f>
        <v>360</v>
      </c>
      <c r="D14" s="285">
        <f>ROUND((court_base+court_per*$B14)*((MAX($A14-60,0)/60)+1)/10,0)*10</f>
        <v>360</v>
      </c>
      <c r="E14" s="285">
        <f>ROUND((steal_base+steal_per*$B14)*((MAX($A14-60,0)/60)+1)/10,0)*10</f>
        <v>270</v>
      </c>
      <c r="N14" s="8" t="s">
        <v>2607</v>
      </c>
      <c r="O14" s="8">
        <v>130.0</v>
      </c>
      <c r="P14" s="8">
        <v>70.0</v>
      </c>
    </row>
    <row r="15">
      <c r="A15" s="8">
        <v>120.0</v>
      </c>
      <c r="B15" s="8">
        <v>1.0</v>
      </c>
      <c r="C15" s="285">
        <f>ROUND((rally_base+rally_per*$B15)*((MAX($A15-60,0)/60)+1)/10,0)*10</f>
        <v>200</v>
      </c>
      <c r="D15" s="285">
        <f>ROUND((court_base+court_per*$B15)*((MAX($A15-60,0)/60)+1)/10,0)*10</f>
        <v>200</v>
      </c>
      <c r="E15" s="285">
        <f>ROUND((steal_base+steal_per*$B15)*((MAX($A15-60,0)/60)+1)/10,0)*10</f>
        <v>80</v>
      </c>
      <c r="N15" s="8" t="s">
        <v>2608</v>
      </c>
      <c r="O15" s="8">
        <v>150.0</v>
      </c>
      <c r="P15" s="8">
        <v>90.0</v>
      </c>
    </row>
    <row r="16">
      <c r="A16" s="8">
        <v>120.0</v>
      </c>
      <c r="B16" s="8">
        <v>3.0</v>
      </c>
      <c r="C16" s="285">
        <f>ROUND((rally_base+rally_per*$B16)*((MAX($A16-60,0)/60)+1)/10,0)*10</f>
        <v>240</v>
      </c>
      <c r="D16" s="285">
        <f>ROUND((court_base+court_per*$B16)*((MAX($A16-60,0)/60)+1)/10,0)*10</f>
        <v>240</v>
      </c>
      <c r="E16" s="285">
        <f>ROUND((steal_base+steal_per*$B16)*((MAX($A16-60,0)/60)+1)/10,0)*10</f>
        <v>120</v>
      </c>
      <c r="N16" s="8" t="s">
        <v>2609</v>
      </c>
      <c r="O16" s="8">
        <v>280.0</v>
      </c>
      <c r="P16" s="8">
        <v>200.0</v>
      </c>
    </row>
    <row r="17">
      <c r="A17" s="8">
        <v>120.0</v>
      </c>
      <c r="B17" s="8">
        <v>6.0</v>
      </c>
      <c r="C17" s="285">
        <f>ROUND((rally_base+rally_per*$B17)*((MAX($A17-60,0)/60)+1)/10,0)*10</f>
        <v>300</v>
      </c>
      <c r="D17" s="285">
        <f>ROUND((court_base+court_per*$B17)*((MAX($A17-60,0)/60)+1)/10,0)*10</f>
        <v>300</v>
      </c>
      <c r="E17" s="285">
        <f>ROUND((steal_base+steal_per*$B17)*((MAX($A17-60,0)/60)+1)/10,0)*10</f>
        <v>180</v>
      </c>
      <c r="N17" s="8" t="s">
        <v>2610</v>
      </c>
      <c r="O17" s="8">
        <v>500.0</v>
      </c>
      <c r="P17" s="8">
        <v>390.0</v>
      </c>
    </row>
    <row r="18">
      <c r="A18" s="8">
        <v>120.0</v>
      </c>
      <c r="B18" s="8">
        <v>10.0</v>
      </c>
      <c r="C18" s="285">
        <f>ROUND((rally_base+rally_per*$B18)*((MAX($A18-60,0)/60)+1)/10,0)*10</f>
        <v>380</v>
      </c>
      <c r="D18" s="285">
        <f>ROUND((court_base+court_per*$B18)*((MAX($A18-60,0)/60)+1)/10,0)*10</f>
        <v>380</v>
      </c>
      <c r="E18" s="285">
        <f>ROUND((steal_base+steal_per*$B18)*((MAX($A18-60,0)/60)+1)/10,0)*10</f>
        <v>260</v>
      </c>
    </row>
    <row r="19">
      <c r="A19" s="8">
        <v>120.0</v>
      </c>
      <c r="B19" s="8">
        <v>15.0</v>
      </c>
      <c r="C19" s="285">
        <f>ROUND((rally_base+rally_per*$B19)*((MAX($A19-60,0)/60)+1)/10,0)*10</f>
        <v>480</v>
      </c>
      <c r="D19" s="285">
        <f>ROUND((court_base+court_per*$B19)*((MAX($A19-60,0)/60)+1)/10,0)*10</f>
        <v>480</v>
      </c>
      <c r="E19" s="285">
        <f>ROUND((steal_base+steal_per*$B19)*((MAX($A19-60,0)/60)+1)/10,0)*10</f>
        <v>360</v>
      </c>
    </row>
    <row r="20">
      <c r="A20" s="8">
        <v>150.0</v>
      </c>
      <c r="B20" s="8">
        <v>1.0</v>
      </c>
      <c r="C20" s="285">
        <f>ROUND((rally_base+rally_per*$B20)*((MAX($A20-60,0)/60)+1)/10,0)*10</f>
        <v>250</v>
      </c>
      <c r="D20" s="285">
        <f>ROUND((court_base+court_per*$B20)*((MAX($A20-60,0)/60)+1)/10,0)*10</f>
        <v>250</v>
      </c>
      <c r="E20" s="285">
        <f>ROUND((steal_base+steal_per*$B20)*((MAX($A20-60,0)/60)+1)/10,0)*10</f>
        <v>100</v>
      </c>
    </row>
    <row r="21">
      <c r="A21" s="8">
        <v>150.0</v>
      </c>
      <c r="B21" s="8">
        <v>3.0</v>
      </c>
      <c r="C21" s="285">
        <f>ROUND((rally_base+rally_per*$B21)*((MAX($A21-60,0)/60)+1)/10,0)*10</f>
        <v>300</v>
      </c>
      <c r="D21" s="285">
        <f>ROUND((court_base+court_per*$B21)*((MAX($A21-60,0)/60)+1)/10,0)*10</f>
        <v>300</v>
      </c>
      <c r="E21" s="285">
        <f>ROUND((steal_base+steal_per*$B21)*((MAX($A21-60,0)/60)+1)/10,0)*10</f>
        <v>150</v>
      </c>
    </row>
    <row r="22">
      <c r="A22" s="8">
        <v>150.0</v>
      </c>
      <c r="B22" s="8">
        <v>6.0</v>
      </c>
      <c r="C22" s="285">
        <f>ROUND((rally_base+rally_per*$B22)*((MAX($A22-60,0)/60)+1)/10,0)*10</f>
        <v>380</v>
      </c>
      <c r="D22" s="285">
        <f>ROUND((court_base+court_per*$B22)*((MAX($A22-60,0)/60)+1)/10,0)*10</f>
        <v>380</v>
      </c>
      <c r="E22" s="285">
        <f>ROUND((steal_base+steal_per*$B22)*((MAX($A22-60,0)/60)+1)/10,0)*10</f>
        <v>230</v>
      </c>
    </row>
    <row r="23">
      <c r="A23" s="8">
        <v>150.0</v>
      </c>
      <c r="B23" s="8">
        <v>10.0</v>
      </c>
      <c r="C23" s="285">
        <f>ROUND((rally_base+rally_per*$B23)*((MAX($A23-60,0)/60)+1)/10,0)*10</f>
        <v>480</v>
      </c>
      <c r="D23" s="285">
        <f>ROUND((court_base+court_per*$B23)*((MAX($A23-60,0)/60)+1)/10,0)*10</f>
        <v>480</v>
      </c>
      <c r="E23" s="285">
        <f>ROUND((steal_base+steal_per*$B23)*((MAX($A23-60,0)/60)+1)/10,0)*10</f>
        <v>330</v>
      </c>
    </row>
    <row r="24">
      <c r="A24" s="8">
        <v>150.0</v>
      </c>
      <c r="B24" s="8">
        <v>15.0</v>
      </c>
      <c r="C24" s="285">
        <f>ROUND((rally_base+rally_per*$B24)*((MAX($A24-60,0)/60)+1)/10,0)*10</f>
        <v>600</v>
      </c>
      <c r="D24" s="285">
        <f>ROUND((court_base+court_per*$B24)*((MAX($A24-60,0)/60)+1)/10,0)*10</f>
        <v>600</v>
      </c>
      <c r="E24" s="285">
        <f>ROUND((steal_base+steal_per*$B24)*((MAX($A24-60,0)/60)+1)/10,0)*10</f>
        <v>450</v>
      </c>
    </row>
    <row r="25">
      <c r="A25" s="8">
        <v>600.0</v>
      </c>
      <c r="B25" s="8">
        <v>1.0</v>
      </c>
      <c r="C25" s="285">
        <f>ROUND((rally_base+rally_per*$B25)*((MAX($A25-60,0)/60)+1)/10,0)*10</f>
        <v>1000</v>
      </c>
      <c r="D25" s="285">
        <f>ROUND((court_base+court_per*$B25)*((MAX($A25-60,0)/60)+1)/10,0)*10</f>
        <v>1000</v>
      </c>
      <c r="E25" s="285">
        <f>ROUND((steal_base+steal_per*$B25)*((MAX($A25-60,0)/60)+1)/10,0)*10</f>
        <v>400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38"/>
  </cols>
  <sheetData>
    <row r="1">
      <c r="E1" s="819"/>
    </row>
    <row r="2">
      <c r="B2" s="3" t="s">
        <v>2611</v>
      </c>
      <c r="E2" s="819"/>
      <c r="F2" s="3" t="s">
        <v>2612</v>
      </c>
    </row>
    <row r="3">
      <c r="E3" s="819"/>
    </row>
    <row r="4">
      <c r="B4" s="8" t="s">
        <v>2613</v>
      </c>
      <c r="E4" s="819"/>
      <c r="F4" s="8" t="s">
        <v>2614</v>
      </c>
    </row>
    <row r="5">
      <c r="E5" s="819"/>
    </row>
    <row r="6">
      <c r="B6" s="8" t="s">
        <v>2615</v>
      </c>
      <c r="E6" s="819"/>
      <c r="F6" s="8" t="s">
        <v>2616</v>
      </c>
    </row>
    <row r="7">
      <c r="E7" s="819"/>
      <c r="F7" s="820" t="s">
        <v>2617</v>
      </c>
      <c r="G7" s="821"/>
      <c r="H7" s="821"/>
      <c r="I7" s="821"/>
      <c r="J7" s="821"/>
      <c r="K7" s="822"/>
    </row>
    <row r="8">
      <c r="B8" s="8">
        <v>200.0</v>
      </c>
      <c r="C8" s="8" t="s">
        <v>2618</v>
      </c>
      <c r="E8" s="819"/>
      <c r="F8" s="823" t="s">
        <v>2619</v>
      </c>
      <c r="G8" s="824"/>
      <c r="H8" s="824"/>
      <c r="I8" s="824"/>
      <c r="J8" s="824"/>
      <c r="K8" s="825"/>
    </row>
    <row r="9">
      <c r="B9" s="8">
        <v>100.0</v>
      </c>
      <c r="C9" s="8" t="s">
        <v>2620</v>
      </c>
      <c r="E9" s="819"/>
      <c r="F9" s="8" t="s">
        <v>2621</v>
      </c>
    </row>
    <row r="10">
      <c r="B10" s="8">
        <v>40.0</v>
      </c>
      <c r="C10" s="8" t="s">
        <v>2622</v>
      </c>
      <c r="E10" s="819"/>
      <c r="F10" s="8" t="s">
        <v>2623</v>
      </c>
    </row>
    <row r="11">
      <c r="B11" s="8">
        <v>20.0</v>
      </c>
      <c r="C11" s="8" t="s">
        <v>2624</v>
      </c>
      <c r="E11" s="819"/>
      <c r="F11" s="8" t="s">
        <v>2625</v>
      </c>
    </row>
    <row r="12">
      <c r="B12" s="8">
        <v>50.0</v>
      </c>
      <c r="C12" s="8" t="s">
        <v>2626</v>
      </c>
      <c r="E12" s="819"/>
      <c r="F12" s="8" t="s">
        <v>2627</v>
      </c>
    </row>
    <row r="13">
      <c r="E13" s="819"/>
    </row>
    <row r="14">
      <c r="E14" s="819"/>
      <c r="F14" s="8" t="s">
        <v>2628</v>
      </c>
    </row>
    <row r="15">
      <c r="E15" s="819"/>
      <c r="F15" s="8" t="s">
        <v>2629</v>
      </c>
    </row>
    <row r="16">
      <c r="E16" s="819"/>
      <c r="F16" s="8" t="s">
        <v>2630</v>
      </c>
    </row>
    <row r="17">
      <c r="E17" s="819"/>
      <c r="F17" s="8" t="s">
        <v>2631</v>
      </c>
    </row>
    <row r="18">
      <c r="E18" s="819"/>
    </row>
    <row r="19">
      <c r="E19" s="819"/>
      <c r="F19" s="8" t="s">
        <v>2632</v>
      </c>
    </row>
    <row r="20">
      <c r="E20" s="819"/>
      <c r="F20" s="8">
        <v>4.0</v>
      </c>
      <c r="G20" s="8" t="s">
        <v>2633</v>
      </c>
    </row>
    <row r="21">
      <c r="E21" s="819"/>
      <c r="F21" s="8">
        <v>3.0</v>
      </c>
      <c r="G21" s="8" t="s">
        <v>2634</v>
      </c>
    </row>
    <row r="22">
      <c r="E22" s="819"/>
      <c r="F22" s="8">
        <v>2.0</v>
      </c>
      <c r="G22" s="8" t="s">
        <v>2635</v>
      </c>
    </row>
    <row r="23">
      <c r="E23" s="819"/>
      <c r="F23" s="8">
        <v>1.0</v>
      </c>
      <c r="G23" s="8" t="s">
        <v>2636</v>
      </c>
    </row>
    <row r="24">
      <c r="E24" s="819"/>
    </row>
    <row r="25">
      <c r="E25" s="819"/>
      <c r="F25" s="8" t="s">
        <v>2637</v>
      </c>
    </row>
    <row r="26">
      <c r="E26" s="819"/>
      <c r="F26" s="8">
        <v>2.0</v>
      </c>
      <c r="G26" s="8" t="s">
        <v>2638</v>
      </c>
    </row>
    <row r="27">
      <c r="E27" s="819"/>
      <c r="F27" s="8">
        <v>1.0</v>
      </c>
      <c r="G27" s="8" t="s">
        <v>2639</v>
      </c>
    </row>
    <row r="28">
      <c r="E28" s="819"/>
    </row>
    <row r="29">
      <c r="E29" s="819"/>
      <c r="F29" s="8" t="s">
        <v>2640</v>
      </c>
    </row>
    <row r="30">
      <c r="E30" s="819"/>
      <c r="F30" s="8">
        <v>3.0</v>
      </c>
      <c r="G30" s="8" t="s">
        <v>2641</v>
      </c>
    </row>
    <row r="31">
      <c r="E31" s="819"/>
      <c r="F31" s="8">
        <v>2.0</v>
      </c>
      <c r="G31" s="8" t="s">
        <v>2642</v>
      </c>
    </row>
    <row r="32">
      <c r="E32" s="819"/>
      <c r="F32" s="8">
        <v>2.0</v>
      </c>
      <c r="G32" s="8" t="s">
        <v>2643</v>
      </c>
    </row>
    <row r="33">
      <c r="E33" s="819"/>
      <c r="F33" s="8">
        <v>1.0</v>
      </c>
      <c r="G33" s="8" t="s">
        <v>2644</v>
      </c>
    </row>
    <row r="34">
      <c r="E34" s="819"/>
      <c r="F34" s="8" t="s">
        <v>2645</v>
      </c>
      <c r="H34" s="8" t="s">
        <v>172</v>
      </c>
    </row>
    <row r="35">
      <c r="E35" s="819"/>
    </row>
    <row r="36">
      <c r="E36" s="819"/>
      <c r="F36" s="8">
        <v>3.0</v>
      </c>
      <c r="G36" s="8" t="s">
        <v>2646</v>
      </c>
    </row>
    <row r="37">
      <c r="E37" s="819"/>
      <c r="F37" s="826" t="s">
        <v>2647</v>
      </c>
      <c r="G37" s="290" t="s">
        <v>2648</v>
      </c>
      <c r="H37" s="287"/>
      <c r="I37" s="287"/>
      <c r="J37" s="287"/>
      <c r="K37" s="287"/>
    </row>
    <row r="38">
      <c r="E38" s="819"/>
      <c r="F38" s="827" t="s">
        <v>2649</v>
      </c>
      <c r="G38" s="828" t="s">
        <v>2650</v>
      </c>
      <c r="H38" s="829"/>
      <c r="I38" s="829"/>
      <c r="J38" s="829"/>
      <c r="K38" s="830"/>
    </row>
    <row r="39">
      <c r="E39" s="819"/>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2651</v>
      </c>
    </row>
    <row r="2">
      <c r="C2" s="8"/>
    </row>
    <row r="3">
      <c r="C3" s="8" t="s">
        <v>287</v>
      </c>
      <c r="D3" s="8" t="s">
        <v>444</v>
      </c>
      <c r="E3" s="8" t="s">
        <v>443</v>
      </c>
      <c r="F3" s="8" t="s">
        <v>447</v>
      </c>
      <c r="G3" s="8" t="s">
        <v>449</v>
      </c>
      <c r="H3" s="8" t="s">
        <v>445</v>
      </c>
      <c r="I3" s="8" t="s">
        <v>448</v>
      </c>
    </row>
    <row r="4">
      <c r="A4" s="3" t="s">
        <v>7</v>
      </c>
      <c r="B4" s="3"/>
      <c r="C4" s="3" t="s">
        <v>8</v>
      </c>
      <c r="D4" s="3" t="s">
        <v>2652</v>
      </c>
      <c r="E4" s="3" t="s">
        <v>2653</v>
      </c>
      <c r="F4" s="3" t="s">
        <v>35</v>
      </c>
      <c r="G4" s="3" t="s">
        <v>37</v>
      </c>
      <c r="H4" s="3" t="s">
        <v>8</v>
      </c>
      <c r="I4" s="3" t="s">
        <v>2652</v>
      </c>
      <c r="J4" s="8" t="s">
        <v>1532</v>
      </c>
    </row>
    <row r="5">
      <c r="A5" s="8">
        <v>-3.0</v>
      </c>
      <c r="C5" s="52">
        <v>-3.0</v>
      </c>
      <c r="D5" s="831">
        <v>-0.2</v>
      </c>
      <c r="E5" s="831">
        <v>-0.06</v>
      </c>
      <c r="F5" s="52">
        <v>-1.2</v>
      </c>
      <c r="G5" s="52">
        <v>-1.2</v>
      </c>
      <c r="H5" s="52">
        <v>-3.0</v>
      </c>
      <c r="I5" s="832">
        <v>-0.15</v>
      </c>
    </row>
    <row r="6">
      <c r="A6" s="8">
        <v>-2.0</v>
      </c>
      <c r="C6" s="52">
        <v>-2.0</v>
      </c>
      <c r="D6" s="831">
        <v>-0.12</v>
      </c>
      <c r="E6" s="831">
        <v>-0.03</v>
      </c>
      <c r="F6" s="52">
        <v>-0.8</v>
      </c>
      <c r="G6" s="52">
        <v>-0.8</v>
      </c>
      <c r="H6" s="52">
        <v>-2.0</v>
      </c>
      <c r="I6" s="832">
        <v>-0.1</v>
      </c>
    </row>
    <row r="7">
      <c r="A7" s="8">
        <v>-1.0</v>
      </c>
      <c r="C7" s="52">
        <v>-1.0</v>
      </c>
      <c r="D7" s="831">
        <v>-0.06</v>
      </c>
      <c r="E7" s="831">
        <v>-0.01</v>
      </c>
      <c r="F7" s="52">
        <v>-0.4</v>
      </c>
      <c r="G7" s="52">
        <v>-0.4</v>
      </c>
      <c r="H7" s="52">
        <v>-1.0</v>
      </c>
      <c r="I7" s="832">
        <v>-0.05</v>
      </c>
    </row>
    <row r="8">
      <c r="A8" s="8">
        <v>0.0</v>
      </c>
      <c r="C8" s="52">
        <v>0.0</v>
      </c>
      <c r="D8" s="831">
        <v>0.0</v>
      </c>
      <c r="E8" s="831">
        <v>0.0</v>
      </c>
      <c r="F8" s="52">
        <v>0.0</v>
      </c>
      <c r="G8" s="52">
        <v>0.0</v>
      </c>
      <c r="H8" s="52">
        <v>0.0</v>
      </c>
      <c r="I8" s="832">
        <v>0.0</v>
      </c>
    </row>
    <row r="9">
      <c r="A9" s="8">
        <v>1.0</v>
      </c>
      <c r="C9" s="52">
        <v>1.0</v>
      </c>
      <c r="D9" s="831">
        <v>0.06</v>
      </c>
      <c r="E9" s="831">
        <v>0.03</v>
      </c>
      <c r="F9" s="52">
        <v>0.4</v>
      </c>
      <c r="G9" s="52">
        <v>0.4</v>
      </c>
      <c r="H9" s="52">
        <v>1.0</v>
      </c>
      <c r="I9" s="832">
        <v>0.05</v>
      </c>
    </row>
    <row r="10">
      <c r="A10" s="8">
        <v>2.0</v>
      </c>
      <c r="C10" s="52">
        <v>2.0</v>
      </c>
      <c r="D10" s="831">
        <v>0.12</v>
      </c>
      <c r="E10" s="831">
        <v>0.06</v>
      </c>
      <c r="F10" s="52">
        <v>0.8</v>
      </c>
      <c r="G10" s="52">
        <v>0.8</v>
      </c>
      <c r="H10" s="52">
        <v>2.0</v>
      </c>
      <c r="I10" s="832">
        <v>0.1</v>
      </c>
    </row>
    <row r="11">
      <c r="A11" s="8">
        <v>3.0</v>
      </c>
      <c r="C11" s="52">
        <v>3.0</v>
      </c>
      <c r="D11" s="831">
        <v>0.2</v>
      </c>
      <c r="E11" s="831">
        <v>0.1</v>
      </c>
      <c r="F11" s="52">
        <v>1.2</v>
      </c>
      <c r="G11" s="52">
        <v>1.2</v>
      </c>
      <c r="H11" s="52">
        <v>3.0</v>
      </c>
      <c r="I11" s="832">
        <v>0.15</v>
      </c>
    </row>
    <row r="12">
      <c r="A12" s="8">
        <v>4.0</v>
      </c>
      <c r="C12" s="52">
        <v>5.0</v>
      </c>
      <c r="D12" s="831">
        <v>0.3</v>
      </c>
      <c r="E12" s="831">
        <v>0.15</v>
      </c>
      <c r="F12" s="52">
        <v>2.0</v>
      </c>
      <c r="G12" s="52">
        <v>2.0</v>
      </c>
      <c r="H12" s="52">
        <v>5.0</v>
      </c>
      <c r="I12" s="832">
        <v>0.2</v>
      </c>
    </row>
    <row r="13">
      <c r="A13" s="8">
        <v>5.0</v>
      </c>
      <c r="C13" s="52">
        <v>8.0</v>
      </c>
      <c r="D13" s="831">
        <v>0.42</v>
      </c>
      <c r="E13" s="831">
        <v>0.21</v>
      </c>
      <c r="F13" s="52">
        <v>3.2</v>
      </c>
      <c r="G13" s="52">
        <v>3.2</v>
      </c>
      <c r="H13" s="52">
        <v>8.0</v>
      </c>
      <c r="I13" s="832">
        <v>0.25</v>
      </c>
    </row>
    <row r="14">
      <c r="A14" s="8">
        <v>6.0</v>
      </c>
      <c r="C14" s="52">
        <v>12.0</v>
      </c>
      <c r="D14" s="831">
        <v>0.56</v>
      </c>
      <c r="E14" s="831">
        <v>0.28</v>
      </c>
      <c r="F14" s="52">
        <v>4.4</v>
      </c>
      <c r="G14" s="52">
        <v>4.4</v>
      </c>
      <c r="H14" s="52">
        <v>11.0</v>
      </c>
      <c r="I14" s="832">
        <v>0.3</v>
      </c>
    </row>
    <row r="15">
      <c r="A15" s="8">
        <v>7.0</v>
      </c>
      <c r="C15" s="52">
        <v>17.0</v>
      </c>
      <c r="D15" s="831">
        <v>0.72</v>
      </c>
      <c r="E15" s="831">
        <v>0.36</v>
      </c>
      <c r="F15" s="52">
        <v>5.6</v>
      </c>
      <c r="G15" s="52">
        <v>5.6</v>
      </c>
      <c r="H15" s="52">
        <v>14.0</v>
      </c>
      <c r="I15" s="832">
        <v>0.35</v>
      </c>
    </row>
    <row r="16">
      <c r="A16" s="8">
        <v>8.0</v>
      </c>
      <c r="C16" s="52">
        <v>23.0</v>
      </c>
      <c r="D16" s="831">
        <v>0.9</v>
      </c>
      <c r="E16" s="831">
        <v>0.45</v>
      </c>
      <c r="F16" s="52">
        <v>7.2</v>
      </c>
      <c r="G16" s="52">
        <v>7.2</v>
      </c>
      <c r="H16" s="52">
        <v>18.0</v>
      </c>
      <c r="I16" s="832">
        <v>0.4</v>
      </c>
    </row>
    <row r="17">
      <c r="A17" s="8">
        <v>9.0</v>
      </c>
      <c r="C17" s="52">
        <v>30.0</v>
      </c>
      <c r="D17" s="831">
        <v>1.1</v>
      </c>
      <c r="E17" s="831">
        <v>0.55</v>
      </c>
      <c r="F17" s="52">
        <v>9.2</v>
      </c>
      <c r="G17" s="52">
        <v>9.2</v>
      </c>
      <c r="H17" s="52">
        <v>23.0</v>
      </c>
      <c r="I17" s="832">
        <v>0.45</v>
      </c>
    </row>
    <row r="18">
      <c r="A18" s="8">
        <v>10.0</v>
      </c>
      <c r="C18" s="52">
        <v>38.0</v>
      </c>
      <c r="D18" s="831">
        <v>1.32</v>
      </c>
      <c r="E18" s="831">
        <v>0.66</v>
      </c>
      <c r="F18" s="52">
        <v>11.2</v>
      </c>
      <c r="G18" s="52">
        <v>11.2</v>
      </c>
      <c r="H18" s="52">
        <v>28.0</v>
      </c>
      <c r="I18" s="832">
        <v>0.5</v>
      </c>
    </row>
    <row r="19">
      <c r="A19" s="8">
        <v>11.0</v>
      </c>
      <c r="C19" s="52">
        <v>47.0</v>
      </c>
      <c r="D19" s="831">
        <v>1.56</v>
      </c>
      <c r="E19" s="831">
        <v>0.78</v>
      </c>
      <c r="F19" s="52">
        <v>13.2</v>
      </c>
      <c r="G19" s="52">
        <v>13.2</v>
      </c>
      <c r="H19" s="52">
        <v>33.0</v>
      </c>
      <c r="I19" s="832">
        <v>0.55</v>
      </c>
    </row>
    <row r="20">
      <c r="A20" s="8">
        <v>12.0</v>
      </c>
      <c r="C20" s="52">
        <v>57.0</v>
      </c>
      <c r="D20" s="831">
        <v>1.82</v>
      </c>
      <c r="E20" s="831">
        <v>0.91</v>
      </c>
      <c r="F20" s="52">
        <v>15.6</v>
      </c>
      <c r="G20" s="52">
        <v>15.6</v>
      </c>
      <c r="H20" s="52">
        <v>39.0</v>
      </c>
      <c r="I20" s="832">
        <v>0.6</v>
      </c>
    </row>
    <row r="21">
      <c r="A21" s="8">
        <v>13.0</v>
      </c>
      <c r="C21" s="52">
        <v>68.0</v>
      </c>
      <c r="D21" s="831">
        <v>2.1</v>
      </c>
      <c r="E21" s="831">
        <v>1.05</v>
      </c>
      <c r="F21" s="52">
        <v>18.4</v>
      </c>
      <c r="G21" s="52">
        <v>18.4</v>
      </c>
      <c r="H21" s="52">
        <v>46.0</v>
      </c>
      <c r="I21" s="832">
        <v>0.65</v>
      </c>
    </row>
    <row r="22">
      <c r="A22" s="8">
        <v>14.0</v>
      </c>
      <c r="C22" s="52">
        <v>80.0</v>
      </c>
      <c r="D22" s="831">
        <v>2.4</v>
      </c>
      <c r="E22" s="831">
        <v>1.2</v>
      </c>
      <c r="F22" s="52">
        <v>21.2</v>
      </c>
      <c r="G22" s="52">
        <v>21.2</v>
      </c>
      <c r="H22" s="52">
        <v>53.0</v>
      </c>
      <c r="I22" s="832">
        <v>0.7</v>
      </c>
    </row>
    <row r="23">
      <c r="A23" s="8">
        <v>15.0</v>
      </c>
      <c r="C23" s="52">
        <v>93.0</v>
      </c>
      <c r="D23" s="831">
        <v>2.72</v>
      </c>
      <c r="E23" s="831">
        <v>1.36</v>
      </c>
      <c r="F23" s="52">
        <v>24.0</v>
      </c>
      <c r="G23" s="52">
        <v>24.0</v>
      </c>
      <c r="H23" s="52">
        <v>60.0</v>
      </c>
      <c r="I23" s="832">
        <v>0.75</v>
      </c>
    </row>
    <row r="54">
      <c r="I54" s="8" t="s">
        <v>2654</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2655</v>
      </c>
      <c r="F1" s="8" t="s">
        <v>2656</v>
      </c>
    </row>
    <row r="2">
      <c r="C2" s="8"/>
      <c r="F2" s="8"/>
    </row>
    <row r="3">
      <c r="C3" s="8" t="s">
        <v>287</v>
      </c>
      <c r="D3" s="8" t="s">
        <v>444</v>
      </c>
      <c r="E3" s="8" t="s">
        <v>443</v>
      </c>
      <c r="F3" s="8" t="s">
        <v>447</v>
      </c>
      <c r="G3" s="8" t="s">
        <v>449</v>
      </c>
      <c r="H3" s="8" t="s">
        <v>445</v>
      </c>
      <c r="I3" s="8" t="s">
        <v>448</v>
      </c>
    </row>
    <row r="4">
      <c r="A4" s="3" t="s">
        <v>12</v>
      </c>
      <c r="B4" s="3"/>
      <c r="C4" s="3" t="s">
        <v>13</v>
      </c>
      <c r="D4" s="3" t="s">
        <v>581</v>
      </c>
      <c r="E4" s="3" t="s">
        <v>2657</v>
      </c>
      <c r="F4" s="3" t="s">
        <v>589</v>
      </c>
      <c r="G4" s="3" t="s">
        <v>13</v>
      </c>
      <c r="H4" s="3" t="s">
        <v>594</v>
      </c>
      <c r="I4" s="3" t="s">
        <v>581</v>
      </c>
      <c r="J4" s="8" t="s">
        <v>1532</v>
      </c>
    </row>
    <row r="5">
      <c r="A5" s="8">
        <v>-3.0</v>
      </c>
      <c r="C5" s="52">
        <v>-3.0</v>
      </c>
      <c r="D5" s="831">
        <v>-0.2</v>
      </c>
      <c r="E5" s="691" t="s">
        <v>2658</v>
      </c>
      <c r="F5" s="52">
        <v>-1.2</v>
      </c>
      <c r="G5" s="52">
        <v>-1.2</v>
      </c>
      <c r="H5" s="52">
        <v>-3.0</v>
      </c>
      <c r="I5" s="832">
        <v>-0.15</v>
      </c>
      <c r="J5" s="8" t="s">
        <v>2659</v>
      </c>
    </row>
    <row r="6">
      <c r="A6" s="8">
        <v>-2.0</v>
      </c>
      <c r="C6" s="52">
        <v>-2.0</v>
      </c>
      <c r="D6" s="831">
        <v>-0.12</v>
      </c>
      <c r="E6" s="691" t="s">
        <v>2660</v>
      </c>
      <c r="F6" s="52">
        <v>-0.8</v>
      </c>
      <c r="G6" s="52">
        <v>-0.8</v>
      </c>
      <c r="H6" s="52">
        <v>-2.0</v>
      </c>
      <c r="I6" s="832">
        <v>-0.1</v>
      </c>
    </row>
    <row r="7">
      <c r="A7" s="8">
        <v>-1.0</v>
      </c>
      <c r="C7" s="52">
        <v>-1.0</v>
      </c>
      <c r="D7" s="831">
        <v>-0.06</v>
      </c>
      <c r="E7" s="691" t="s">
        <v>2661</v>
      </c>
      <c r="F7" s="52">
        <v>-0.4</v>
      </c>
      <c r="G7" s="52">
        <v>-0.4</v>
      </c>
      <c r="H7" s="52">
        <v>-1.0</v>
      </c>
      <c r="I7" s="832">
        <v>-0.05</v>
      </c>
    </row>
    <row r="8">
      <c r="A8" s="8">
        <v>0.0</v>
      </c>
      <c r="C8" s="52">
        <v>0.0</v>
      </c>
      <c r="D8" s="831">
        <v>0.0</v>
      </c>
      <c r="E8" s="831">
        <v>0.0</v>
      </c>
      <c r="F8" s="52">
        <v>0.0</v>
      </c>
      <c r="G8" s="52">
        <v>0.0</v>
      </c>
      <c r="H8" s="52">
        <v>0.0</v>
      </c>
      <c r="I8" s="832">
        <v>0.0</v>
      </c>
    </row>
    <row r="9">
      <c r="A9" s="8">
        <v>1.0</v>
      </c>
      <c r="C9" s="52">
        <v>1.0</v>
      </c>
      <c r="D9" s="831">
        <v>0.06</v>
      </c>
      <c r="E9" s="831">
        <v>0.03</v>
      </c>
      <c r="F9" s="52">
        <v>0.4</v>
      </c>
      <c r="G9" s="52">
        <v>0.4</v>
      </c>
      <c r="H9" s="52">
        <v>1.0</v>
      </c>
      <c r="I9" s="832">
        <v>0.05</v>
      </c>
    </row>
    <row r="10">
      <c r="A10" s="8">
        <v>2.0</v>
      </c>
      <c r="C10" s="52">
        <v>2.0</v>
      </c>
      <c r="D10" s="831">
        <v>0.12</v>
      </c>
      <c r="E10" s="831">
        <v>0.06</v>
      </c>
      <c r="F10" s="52">
        <v>0.8</v>
      </c>
      <c r="G10" s="52">
        <v>0.8</v>
      </c>
      <c r="H10" s="52">
        <v>2.0</v>
      </c>
      <c r="I10" s="832">
        <v>0.1</v>
      </c>
    </row>
    <row r="11">
      <c r="A11" s="8">
        <v>3.0</v>
      </c>
      <c r="C11" s="52">
        <v>3.0</v>
      </c>
      <c r="D11" s="831">
        <v>0.2</v>
      </c>
      <c r="E11" s="831">
        <v>0.1</v>
      </c>
      <c r="F11" s="52">
        <v>1.2</v>
      </c>
      <c r="G11" s="52">
        <v>1.2</v>
      </c>
      <c r="H11" s="52">
        <v>3.0</v>
      </c>
      <c r="I11" s="832">
        <v>0.15</v>
      </c>
    </row>
    <row r="12">
      <c r="A12" s="8">
        <v>4.0</v>
      </c>
      <c r="C12" s="52">
        <v>5.0</v>
      </c>
      <c r="D12" s="831">
        <v>0.3</v>
      </c>
      <c r="E12" s="831">
        <v>0.15</v>
      </c>
      <c r="F12" s="52">
        <v>2.0</v>
      </c>
      <c r="G12" s="52">
        <v>2.0</v>
      </c>
      <c r="H12" s="52">
        <v>5.0</v>
      </c>
      <c r="I12" s="832">
        <v>0.2</v>
      </c>
    </row>
    <row r="13">
      <c r="A13" s="8">
        <v>5.0</v>
      </c>
      <c r="C13" s="52">
        <v>8.0</v>
      </c>
      <c r="D13" s="831">
        <v>0.42</v>
      </c>
      <c r="E13" s="831">
        <v>0.21</v>
      </c>
      <c r="F13" s="52">
        <v>3.2</v>
      </c>
      <c r="G13" s="52">
        <v>3.2</v>
      </c>
      <c r="H13" s="52">
        <v>8.0</v>
      </c>
      <c r="I13" s="832">
        <v>0.25</v>
      </c>
    </row>
    <row r="14">
      <c r="A14" s="8">
        <v>6.0</v>
      </c>
      <c r="C14" s="52">
        <v>12.0</v>
      </c>
      <c r="D14" s="831">
        <v>0.56</v>
      </c>
      <c r="E14" s="831">
        <v>0.28</v>
      </c>
      <c r="F14" s="52">
        <v>4.4</v>
      </c>
      <c r="G14" s="52">
        <v>4.4</v>
      </c>
      <c r="H14" s="52">
        <v>11.0</v>
      </c>
      <c r="I14" s="832">
        <v>0.3</v>
      </c>
    </row>
    <row r="15">
      <c r="A15" s="8">
        <v>7.0</v>
      </c>
      <c r="C15" s="52">
        <v>17.0</v>
      </c>
      <c r="D15" s="831">
        <v>0.72</v>
      </c>
      <c r="E15" s="831">
        <v>0.36</v>
      </c>
      <c r="F15" s="52">
        <v>5.6</v>
      </c>
      <c r="G15" s="52">
        <v>5.6</v>
      </c>
      <c r="H15" s="52">
        <v>14.0</v>
      </c>
      <c r="I15" s="832">
        <v>0.35</v>
      </c>
    </row>
    <row r="16">
      <c r="A16" s="8">
        <v>8.0</v>
      </c>
      <c r="C16" s="52">
        <v>23.0</v>
      </c>
      <c r="D16" s="831">
        <v>0.9</v>
      </c>
      <c r="E16" s="831">
        <v>0.45</v>
      </c>
      <c r="F16" s="52">
        <v>7.2</v>
      </c>
      <c r="G16" s="52">
        <v>7.2</v>
      </c>
      <c r="H16" s="52">
        <v>18.0</v>
      </c>
      <c r="I16" s="832">
        <v>0.4</v>
      </c>
    </row>
    <row r="17">
      <c r="A17" s="8">
        <v>9.0</v>
      </c>
      <c r="C17" s="52">
        <v>30.0</v>
      </c>
      <c r="D17" s="831">
        <v>1.1</v>
      </c>
      <c r="E17" s="831">
        <v>0.55</v>
      </c>
      <c r="F17" s="52">
        <v>9.2</v>
      </c>
      <c r="G17" s="52">
        <v>9.2</v>
      </c>
      <c r="H17" s="52">
        <v>23.0</v>
      </c>
      <c r="I17" s="832">
        <v>0.45</v>
      </c>
    </row>
    <row r="18">
      <c r="A18" s="8">
        <v>10.0</v>
      </c>
      <c r="C18" s="52">
        <v>38.0</v>
      </c>
      <c r="D18" s="831">
        <v>1.32</v>
      </c>
      <c r="E18" s="831">
        <v>0.66</v>
      </c>
      <c r="F18" s="52">
        <v>11.2</v>
      </c>
      <c r="G18" s="52">
        <v>11.2</v>
      </c>
      <c r="H18" s="52">
        <v>28.0</v>
      </c>
      <c r="I18" s="832">
        <v>0.5</v>
      </c>
    </row>
    <row r="19">
      <c r="A19" s="8">
        <v>11.0</v>
      </c>
      <c r="C19" s="52">
        <v>47.0</v>
      </c>
      <c r="D19" s="831">
        <v>1.56</v>
      </c>
      <c r="E19" s="831">
        <v>0.78</v>
      </c>
      <c r="F19" s="52">
        <v>13.2</v>
      </c>
      <c r="G19" s="52">
        <v>13.2</v>
      </c>
      <c r="H19" s="52">
        <v>33.0</v>
      </c>
      <c r="I19" s="832">
        <v>0.55</v>
      </c>
    </row>
    <row r="20">
      <c r="A20" s="8">
        <v>12.0</v>
      </c>
      <c r="C20" s="52">
        <v>57.0</v>
      </c>
      <c r="D20" s="831">
        <v>1.82</v>
      </c>
      <c r="E20" s="831">
        <v>0.91</v>
      </c>
      <c r="F20" s="52">
        <v>15.6</v>
      </c>
      <c r="G20" s="52">
        <v>15.6</v>
      </c>
      <c r="H20" s="52">
        <v>39.0</v>
      </c>
      <c r="I20" s="832">
        <v>0.6</v>
      </c>
    </row>
    <row r="21">
      <c r="A21" s="8">
        <v>13.0</v>
      </c>
      <c r="C21" s="52">
        <v>68.0</v>
      </c>
      <c r="D21" s="831">
        <v>2.1</v>
      </c>
      <c r="E21" s="831">
        <v>1.05</v>
      </c>
      <c r="F21" s="52">
        <v>18.4</v>
      </c>
      <c r="G21" s="52">
        <v>18.4</v>
      </c>
      <c r="H21" s="52">
        <v>46.0</v>
      </c>
      <c r="I21" s="832">
        <v>0.65</v>
      </c>
    </row>
    <row r="22">
      <c r="A22" s="8">
        <v>14.0</v>
      </c>
      <c r="C22" s="52">
        <v>80.0</v>
      </c>
      <c r="D22" s="831">
        <v>2.4</v>
      </c>
      <c r="E22" s="831">
        <v>1.2</v>
      </c>
      <c r="F22" s="52">
        <v>21.2</v>
      </c>
      <c r="G22" s="52">
        <v>21.2</v>
      </c>
      <c r="H22" s="52">
        <v>53.0</v>
      </c>
      <c r="I22" s="832">
        <v>0.7</v>
      </c>
    </row>
    <row r="23">
      <c r="A23" s="8">
        <v>15.0</v>
      </c>
      <c r="C23" s="52">
        <v>93.0</v>
      </c>
      <c r="D23" s="831">
        <v>2.72</v>
      </c>
      <c r="E23" s="831">
        <v>1.36</v>
      </c>
      <c r="F23" s="52">
        <v>24.0</v>
      </c>
      <c r="G23" s="52">
        <v>24.0</v>
      </c>
      <c r="H23" s="52">
        <v>60.0</v>
      </c>
      <c r="I23" s="832">
        <v>0.75</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s>
  <sheetData>
    <row r="1">
      <c r="C1" s="8" t="s">
        <v>2662</v>
      </c>
    </row>
    <row r="2">
      <c r="C2" s="8"/>
    </row>
    <row r="3">
      <c r="C3" s="8" t="s">
        <v>287</v>
      </c>
      <c r="D3" s="8" t="s">
        <v>444</v>
      </c>
      <c r="E3" s="8" t="s">
        <v>443</v>
      </c>
      <c r="F3" s="8" t="s">
        <v>447</v>
      </c>
      <c r="G3" s="8" t="s">
        <v>449</v>
      </c>
      <c r="H3" s="8" t="s">
        <v>445</v>
      </c>
      <c r="I3" s="8" t="s">
        <v>448</v>
      </c>
    </row>
    <row r="4">
      <c r="A4" s="833" t="s">
        <v>17</v>
      </c>
      <c r="B4" s="3"/>
      <c r="C4" s="3" t="s">
        <v>18</v>
      </c>
      <c r="D4" s="3" t="s">
        <v>582</v>
      </c>
      <c r="E4" s="3" t="s">
        <v>2663</v>
      </c>
      <c r="F4" s="3" t="s">
        <v>590</v>
      </c>
      <c r="G4" s="3" t="s">
        <v>18</v>
      </c>
      <c r="H4" s="3" t="s">
        <v>2664</v>
      </c>
      <c r="I4" s="3" t="s">
        <v>582</v>
      </c>
      <c r="J4" s="8" t="s">
        <v>1532</v>
      </c>
    </row>
    <row r="5">
      <c r="A5" s="8">
        <v>-3.0</v>
      </c>
      <c r="C5" s="52">
        <v>-3.0</v>
      </c>
      <c r="D5" s="831">
        <v>-0.2</v>
      </c>
      <c r="E5" s="831">
        <v>-0.06</v>
      </c>
      <c r="F5" s="52">
        <v>-1.2</v>
      </c>
      <c r="G5" s="52">
        <v>-1.2</v>
      </c>
      <c r="H5" s="52">
        <v>-3.0</v>
      </c>
      <c r="I5" s="832">
        <v>-0.15</v>
      </c>
    </row>
    <row r="6">
      <c r="A6" s="8">
        <v>-2.0</v>
      </c>
      <c r="C6" s="52">
        <v>-2.0</v>
      </c>
      <c r="D6" s="831">
        <v>-0.12</v>
      </c>
      <c r="E6" s="831">
        <v>-0.03</v>
      </c>
      <c r="F6" s="52">
        <v>-0.8</v>
      </c>
      <c r="G6" s="52">
        <v>-0.8</v>
      </c>
      <c r="H6" s="52">
        <v>-2.0</v>
      </c>
      <c r="I6" s="832">
        <v>-0.1</v>
      </c>
    </row>
    <row r="7">
      <c r="A7" s="8">
        <v>-1.0</v>
      </c>
      <c r="C7" s="52">
        <v>-1.0</v>
      </c>
      <c r="D7" s="831">
        <v>-0.06</v>
      </c>
      <c r="E7" s="831">
        <v>-0.01</v>
      </c>
      <c r="F7" s="52">
        <v>-0.4</v>
      </c>
      <c r="G7" s="52">
        <v>-0.4</v>
      </c>
      <c r="H7" s="52">
        <v>-1.0</v>
      </c>
      <c r="I7" s="832">
        <v>-0.05</v>
      </c>
    </row>
    <row r="8">
      <c r="A8" s="8">
        <v>0.0</v>
      </c>
      <c r="C8" s="52">
        <v>0.0</v>
      </c>
      <c r="D8" s="831">
        <v>0.0</v>
      </c>
      <c r="E8" s="831">
        <v>0.0</v>
      </c>
      <c r="F8" s="52">
        <v>0.0</v>
      </c>
      <c r="G8" s="52">
        <v>0.0</v>
      </c>
      <c r="H8" s="52">
        <v>0.0</v>
      </c>
      <c r="I8" s="832">
        <v>0.0</v>
      </c>
    </row>
    <row r="9">
      <c r="A9" s="8">
        <v>1.0</v>
      </c>
      <c r="C9" s="52">
        <v>1.0</v>
      </c>
      <c r="D9" s="831">
        <v>0.06</v>
      </c>
      <c r="E9" s="831">
        <v>0.03</v>
      </c>
      <c r="F9" s="52">
        <v>0.4</v>
      </c>
      <c r="G9" s="52">
        <v>0.4</v>
      </c>
      <c r="H9" s="52">
        <v>1.0</v>
      </c>
      <c r="I9" s="832">
        <v>0.05</v>
      </c>
    </row>
    <row r="10">
      <c r="A10" s="8">
        <v>2.0</v>
      </c>
      <c r="C10" s="52">
        <v>2.0</v>
      </c>
      <c r="D10" s="831">
        <v>0.12</v>
      </c>
      <c r="E10" s="831">
        <v>0.06</v>
      </c>
      <c r="F10" s="52">
        <v>0.8</v>
      </c>
      <c r="G10" s="52">
        <v>0.8</v>
      </c>
      <c r="H10" s="52">
        <v>2.0</v>
      </c>
      <c r="I10" s="832">
        <v>0.1</v>
      </c>
    </row>
    <row r="11">
      <c r="A11" s="8">
        <v>3.0</v>
      </c>
      <c r="C11" s="52">
        <v>3.0</v>
      </c>
      <c r="D11" s="831">
        <v>0.2</v>
      </c>
      <c r="E11" s="831">
        <v>0.1</v>
      </c>
      <c r="F11" s="52">
        <v>1.2</v>
      </c>
      <c r="G11" s="52">
        <v>1.2</v>
      </c>
      <c r="H11" s="52">
        <v>3.0</v>
      </c>
      <c r="I11" s="832">
        <v>0.15</v>
      </c>
    </row>
    <row r="12">
      <c r="A12" s="8">
        <v>4.0</v>
      </c>
      <c r="C12" s="52">
        <v>5.0</v>
      </c>
      <c r="D12" s="831">
        <v>0.3</v>
      </c>
      <c r="E12" s="831">
        <v>0.15</v>
      </c>
      <c r="F12" s="52">
        <v>2.0</v>
      </c>
      <c r="G12" s="52">
        <v>2.0</v>
      </c>
      <c r="H12" s="52">
        <v>5.0</v>
      </c>
      <c r="I12" s="832">
        <v>0.2</v>
      </c>
    </row>
    <row r="13">
      <c r="A13" s="8">
        <v>5.0</v>
      </c>
      <c r="C13" s="52">
        <v>8.0</v>
      </c>
      <c r="D13" s="831">
        <v>0.42</v>
      </c>
      <c r="E13" s="831">
        <v>0.21</v>
      </c>
      <c r="F13" s="52">
        <v>3.2</v>
      </c>
      <c r="G13" s="52">
        <v>3.2</v>
      </c>
      <c r="H13" s="52">
        <v>8.0</v>
      </c>
      <c r="I13" s="832">
        <v>0.25</v>
      </c>
    </row>
    <row r="14">
      <c r="A14" s="8">
        <v>6.0</v>
      </c>
      <c r="C14" s="52">
        <v>12.0</v>
      </c>
      <c r="D14" s="831">
        <v>0.56</v>
      </c>
      <c r="E14" s="831">
        <v>0.28</v>
      </c>
      <c r="F14" s="52">
        <v>4.4</v>
      </c>
      <c r="G14" s="52">
        <v>4.4</v>
      </c>
      <c r="H14" s="52">
        <v>11.0</v>
      </c>
      <c r="I14" s="832">
        <v>0.3</v>
      </c>
    </row>
    <row r="15">
      <c r="A15" s="8">
        <v>7.0</v>
      </c>
      <c r="C15" s="52">
        <v>17.0</v>
      </c>
      <c r="D15" s="831">
        <v>0.72</v>
      </c>
      <c r="E15" s="831">
        <v>0.36</v>
      </c>
      <c r="F15" s="52">
        <v>5.6</v>
      </c>
      <c r="G15" s="52">
        <v>5.6</v>
      </c>
      <c r="H15" s="52">
        <v>14.0</v>
      </c>
      <c r="I15" s="832">
        <v>0.35</v>
      </c>
    </row>
    <row r="16">
      <c r="A16" s="8">
        <v>8.0</v>
      </c>
      <c r="C16" s="52">
        <v>23.0</v>
      </c>
      <c r="D16" s="831">
        <v>0.9</v>
      </c>
      <c r="E16" s="831">
        <v>0.45</v>
      </c>
      <c r="F16" s="52">
        <v>7.2</v>
      </c>
      <c r="G16" s="52">
        <v>7.2</v>
      </c>
      <c r="H16" s="52">
        <v>18.0</v>
      </c>
      <c r="I16" s="832">
        <v>0.4</v>
      </c>
    </row>
    <row r="17">
      <c r="A17" s="8">
        <v>9.0</v>
      </c>
      <c r="C17" s="52">
        <v>30.0</v>
      </c>
      <c r="D17" s="831">
        <v>1.1</v>
      </c>
      <c r="E17" s="831">
        <v>0.55</v>
      </c>
      <c r="F17" s="52">
        <v>9.2</v>
      </c>
      <c r="G17" s="52">
        <v>9.2</v>
      </c>
      <c r="H17" s="52">
        <v>23.0</v>
      </c>
      <c r="I17" s="832">
        <v>0.45</v>
      </c>
    </row>
    <row r="18">
      <c r="A18" s="8">
        <v>10.0</v>
      </c>
      <c r="C18" s="52">
        <v>38.0</v>
      </c>
      <c r="D18" s="831">
        <v>1.32</v>
      </c>
      <c r="E18" s="831">
        <v>0.66</v>
      </c>
      <c r="F18" s="52">
        <v>11.2</v>
      </c>
      <c r="G18" s="52">
        <v>11.2</v>
      </c>
      <c r="H18" s="52">
        <v>28.0</v>
      </c>
      <c r="I18" s="832">
        <v>0.5</v>
      </c>
    </row>
    <row r="19">
      <c r="A19" s="8">
        <v>11.0</v>
      </c>
      <c r="C19" s="52">
        <v>47.0</v>
      </c>
      <c r="D19" s="831">
        <v>1.56</v>
      </c>
      <c r="E19" s="831">
        <v>0.78</v>
      </c>
      <c r="F19" s="52">
        <v>13.2</v>
      </c>
      <c r="G19" s="52">
        <v>13.2</v>
      </c>
      <c r="H19" s="52">
        <v>33.0</v>
      </c>
      <c r="I19" s="832">
        <v>0.55</v>
      </c>
    </row>
    <row r="20">
      <c r="A20" s="8">
        <v>12.0</v>
      </c>
      <c r="C20" s="52">
        <v>57.0</v>
      </c>
      <c r="D20" s="831">
        <v>1.82</v>
      </c>
      <c r="E20" s="831">
        <v>0.91</v>
      </c>
      <c r="F20" s="52">
        <v>15.6</v>
      </c>
      <c r="G20" s="52">
        <v>15.6</v>
      </c>
      <c r="H20" s="52">
        <v>39.0</v>
      </c>
      <c r="I20" s="832">
        <v>0.6</v>
      </c>
    </row>
    <row r="21">
      <c r="A21" s="8">
        <v>13.0</v>
      </c>
      <c r="C21" s="52">
        <v>68.0</v>
      </c>
      <c r="D21" s="831">
        <v>2.1</v>
      </c>
      <c r="E21" s="831">
        <v>1.05</v>
      </c>
      <c r="F21" s="52">
        <v>18.4</v>
      </c>
      <c r="G21" s="52">
        <v>18.4</v>
      </c>
      <c r="H21" s="52">
        <v>46.0</v>
      </c>
      <c r="I21" s="832">
        <v>0.65</v>
      </c>
    </row>
    <row r="22">
      <c r="A22" s="8">
        <v>14.0</v>
      </c>
      <c r="C22" s="52">
        <v>80.0</v>
      </c>
      <c r="D22" s="831">
        <v>2.4</v>
      </c>
      <c r="E22" s="831">
        <v>1.2</v>
      </c>
      <c r="F22" s="52">
        <v>21.2</v>
      </c>
      <c r="G22" s="52">
        <v>21.2</v>
      </c>
      <c r="H22" s="52">
        <v>53.0</v>
      </c>
      <c r="I22" s="832">
        <v>0.7</v>
      </c>
    </row>
    <row r="23">
      <c r="A23" s="8">
        <v>15.0</v>
      </c>
      <c r="C23" s="52">
        <v>93.0</v>
      </c>
      <c r="D23" s="831">
        <v>2.72</v>
      </c>
      <c r="E23" s="831">
        <v>1.36</v>
      </c>
      <c r="F23" s="52">
        <v>24.0</v>
      </c>
      <c r="G23" s="52">
        <v>24.0</v>
      </c>
      <c r="H23" s="52">
        <v>60.0</v>
      </c>
      <c r="I23" s="832">
        <v>0.75</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2665</v>
      </c>
    </row>
    <row r="2">
      <c r="C2" s="8"/>
    </row>
    <row r="3">
      <c r="C3" s="8" t="s">
        <v>287</v>
      </c>
      <c r="D3" s="8" t="s">
        <v>444</v>
      </c>
      <c r="E3" s="8" t="s">
        <v>443</v>
      </c>
      <c r="F3" s="8" t="s">
        <v>447</v>
      </c>
      <c r="G3" s="8" t="s">
        <v>449</v>
      </c>
      <c r="H3" s="8" t="s">
        <v>445</v>
      </c>
      <c r="I3" s="8" t="s">
        <v>448</v>
      </c>
    </row>
    <row r="4">
      <c r="A4" s="3" t="s">
        <v>21</v>
      </c>
      <c r="B4" s="3"/>
      <c r="C4" s="3" t="s">
        <v>22</v>
      </c>
      <c r="D4" s="3" t="s">
        <v>2666</v>
      </c>
      <c r="E4" s="3" t="s">
        <v>2667</v>
      </c>
      <c r="F4" s="3" t="s">
        <v>591</v>
      </c>
      <c r="G4" s="3" t="s">
        <v>22</v>
      </c>
      <c r="H4" s="3" t="s">
        <v>39</v>
      </c>
      <c r="I4" s="3" t="s">
        <v>2668</v>
      </c>
      <c r="J4" s="8" t="s">
        <v>1532</v>
      </c>
    </row>
    <row r="5">
      <c r="A5" s="8">
        <v>-3.0</v>
      </c>
      <c r="C5" s="52">
        <v>-3.0</v>
      </c>
      <c r="D5" s="831">
        <v>-0.2</v>
      </c>
      <c r="E5" s="691" t="s">
        <v>2658</v>
      </c>
      <c r="F5" s="52">
        <v>-1.2</v>
      </c>
      <c r="G5" s="52">
        <v>-1.2</v>
      </c>
      <c r="H5" s="52">
        <v>-3.0</v>
      </c>
      <c r="I5" s="832">
        <v>-0.15</v>
      </c>
      <c r="J5" s="8" t="s">
        <v>2669</v>
      </c>
    </row>
    <row r="6">
      <c r="A6" s="8">
        <v>-2.0</v>
      </c>
      <c r="C6" s="52">
        <v>-2.0</v>
      </c>
      <c r="D6" s="831">
        <v>-0.12</v>
      </c>
      <c r="E6" s="691" t="s">
        <v>2660</v>
      </c>
      <c r="F6" s="52">
        <v>-0.8</v>
      </c>
      <c r="G6" s="52">
        <v>-0.8</v>
      </c>
      <c r="H6" s="52">
        <v>-2.0</v>
      </c>
      <c r="I6" s="832">
        <v>-0.1</v>
      </c>
    </row>
    <row r="7">
      <c r="A7" s="8">
        <v>-1.0</v>
      </c>
      <c r="C7" s="52">
        <v>-1.0</v>
      </c>
      <c r="D7" s="831">
        <v>-0.06</v>
      </c>
      <c r="E7" s="691" t="s">
        <v>2661</v>
      </c>
      <c r="F7" s="52">
        <v>-0.4</v>
      </c>
      <c r="G7" s="52">
        <v>-0.4</v>
      </c>
      <c r="H7" s="52">
        <v>-1.0</v>
      </c>
      <c r="I7" s="832">
        <v>-0.05</v>
      </c>
    </row>
    <row r="8">
      <c r="A8" s="8">
        <v>0.0</v>
      </c>
      <c r="C8" s="52">
        <v>0.0</v>
      </c>
      <c r="D8" s="831">
        <v>0.0</v>
      </c>
      <c r="E8" s="831">
        <v>0.0</v>
      </c>
      <c r="F8" s="52">
        <v>0.0</v>
      </c>
      <c r="G8" s="52">
        <v>0.0</v>
      </c>
      <c r="H8" s="52">
        <v>0.0</v>
      </c>
      <c r="I8" s="832">
        <v>0.0</v>
      </c>
    </row>
    <row r="9">
      <c r="A9" s="8">
        <v>1.0</v>
      </c>
      <c r="C9" s="52">
        <v>1.0</v>
      </c>
      <c r="D9" s="831">
        <v>0.06</v>
      </c>
      <c r="E9" s="831">
        <v>0.03</v>
      </c>
      <c r="F9" s="52">
        <v>0.4</v>
      </c>
      <c r="G9" s="52">
        <v>0.4</v>
      </c>
      <c r="H9" s="52">
        <v>1.0</v>
      </c>
      <c r="I9" s="832">
        <v>0.05</v>
      </c>
    </row>
    <row r="10">
      <c r="A10" s="8">
        <v>2.0</v>
      </c>
      <c r="C10" s="52">
        <v>2.0</v>
      </c>
      <c r="D10" s="831">
        <v>0.12</v>
      </c>
      <c r="E10" s="831">
        <v>0.06</v>
      </c>
      <c r="F10" s="52">
        <v>0.8</v>
      </c>
      <c r="G10" s="52">
        <v>0.8</v>
      </c>
      <c r="H10" s="52">
        <v>2.0</v>
      </c>
      <c r="I10" s="832">
        <v>0.1</v>
      </c>
    </row>
    <row r="11">
      <c r="A11" s="8">
        <v>3.0</v>
      </c>
      <c r="C11" s="52">
        <v>3.0</v>
      </c>
      <c r="D11" s="831">
        <v>0.2</v>
      </c>
      <c r="E11" s="831">
        <v>0.1</v>
      </c>
      <c r="F11" s="52">
        <v>1.2</v>
      </c>
      <c r="G11" s="52">
        <v>1.2</v>
      </c>
      <c r="H11" s="52">
        <v>3.0</v>
      </c>
      <c r="I11" s="832">
        <v>0.15</v>
      </c>
    </row>
    <row r="12">
      <c r="A12" s="8">
        <v>4.0</v>
      </c>
      <c r="C12" s="52">
        <v>5.0</v>
      </c>
      <c r="D12" s="831">
        <v>0.3</v>
      </c>
      <c r="E12" s="831">
        <v>0.15</v>
      </c>
      <c r="F12" s="52">
        <v>2.0</v>
      </c>
      <c r="G12" s="52">
        <v>2.0</v>
      </c>
      <c r="H12" s="52">
        <v>5.0</v>
      </c>
      <c r="I12" s="832">
        <v>0.2</v>
      </c>
    </row>
    <row r="13">
      <c r="A13" s="8">
        <v>5.0</v>
      </c>
      <c r="C13" s="52">
        <v>8.0</v>
      </c>
      <c r="D13" s="831">
        <v>0.42</v>
      </c>
      <c r="E13" s="831">
        <v>0.21</v>
      </c>
      <c r="F13" s="52">
        <v>3.2</v>
      </c>
      <c r="G13" s="52">
        <v>3.2</v>
      </c>
      <c r="H13" s="52">
        <v>8.0</v>
      </c>
      <c r="I13" s="832">
        <v>0.25</v>
      </c>
    </row>
    <row r="14">
      <c r="A14" s="8">
        <v>6.0</v>
      </c>
      <c r="C14" s="52">
        <v>12.0</v>
      </c>
      <c r="D14" s="831">
        <v>0.56</v>
      </c>
      <c r="E14" s="831">
        <v>0.28</v>
      </c>
      <c r="F14" s="52">
        <v>4.4</v>
      </c>
      <c r="G14" s="52">
        <v>4.4</v>
      </c>
      <c r="H14" s="52">
        <v>11.0</v>
      </c>
      <c r="I14" s="832">
        <v>0.3</v>
      </c>
    </row>
    <row r="15">
      <c r="A15" s="8">
        <v>7.0</v>
      </c>
      <c r="C15" s="52">
        <v>17.0</v>
      </c>
      <c r="D15" s="831">
        <v>0.72</v>
      </c>
      <c r="E15" s="831">
        <v>0.36</v>
      </c>
      <c r="F15" s="52">
        <v>5.6</v>
      </c>
      <c r="G15" s="52">
        <v>5.6</v>
      </c>
      <c r="H15" s="52">
        <v>14.0</v>
      </c>
      <c r="I15" s="832">
        <v>0.35</v>
      </c>
    </row>
    <row r="16">
      <c r="A16" s="8">
        <v>8.0</v>
      </c>
      <c r="C16" s="52">
        <v>23.0</v>
      </c>
      <c r="D16" s="831">
        <v>0.9</v>
      </c>
      <c r="E16" s="831">
        <v>0.45</v>
      </c>
      <c r="F16" s="52">
        <v>7.2</v>
      </c>
      <c r="G16" s="52">
        <v>7.2</v>
      </c>
      <c r="H16" s="52">
        <v>18.0</v>
      </c>
      <c r="I16" s="832">
        <v>0.4</v>
      </c>
    </row>
    <row r="17">
      <c r="A17" s="8">
        <v>9.0</v>
      </c>
      <c r="C17" s="52">
        <v>30.0</v>
      </c>
      <c r="D17" s="831">
        <v>1.1</v>
      </c>
      <c r="E17" s="831">
        <v>0.55</v>
      </c>
      <c r="F17" s="52">
        <v>9.2</v>
      </c>
      <c r="G17" s="52">
        <v>9.2</v>
      </c>
      <c r="H17" s="52">
        <v>23.0</v>
      </c>
      <c r="I17" s="832">
        <v>0.45</v>
      </c>
    </row>
    <row r="18">
      <c r="A18" s="8">
        <v>10.0</v>
      </c>
      <c r="C18" s="52">
        <v>38.0</v>
      </c>
      <c r="D18" s="831">
        <v>1.32</v>
      </c>
      <c r="E18" s="831">
        <v>0.66</v>
      </c>
      <c r="F18" s="52">
        <v>11.2</v>
      </c>
      <c r="G18" s="52">
        <v>11.2</v>
      </c>
      <c r="H18" s="52">
        <v>28.0</v>
      </c>
      <c r="I18" s="832">
        <v>0.5</v>
      </c>
    </row>
    <row r="19">
      <c r="A19" s="8">
        <v>11.0</v>
      </c>
      <c r="C19" s="52">
        <v>47.0</v>
      </c>
      <c r="D19" s="831">
        <v>1.56</v>
      </c>
      <c r="E19" s="831">
        <v>0.78</v>
      </c>
      <c r="F19" s="52">
        <v>13.2</v>
      </c>
      <c r="G19" s="52">
        <v>13.2</v>
      </c>
      <c r="H19" s="52">
        <v>33.0</v>
      </c>
      <c r="I19" s="832">
        <v>0.55</v>
      </c>
    </row>
    <row r="20">
      <c r="A20" s="8">
        <v>12.0</v>
      </c>
      <c r="C20" s="52">
        <v>57.0</v>
      </c>
      <c r="D20" s="831">
        <v>1.82</v>
      </c>
      <c r="E20" s="831">
        <v>0.91</v>
      </c>
      <c r="F20" s="52">
        <v>15.6</v>
      </c>
      <c r="G20" s="52">
        <v>15.6</v>
      </c>
      <c r="H20" s="52">
        <v>39.0</v>
      </c>
      <c r="I20" s="832">
        <v>0.6</v>
      </c>
    </row>
    <row r="21">
      <c r="A21" s="8">
        <v>13.0</v>
      </c>
      <c r="C21" s="52">
        <v>68.0</v>
      </c>
      <c r="D21" s="831">
        <v>2.1</v>
      </c>
      <c r="E21" s="831">
        <v>1.05</v>
      </c>
      <c r="F21" s="52">
        <v>18.4</v>
      </c>
      <c r="G21" s="52">
        <v>18.4</v>
      </c>
      <c r="H21" s="52">
        <v>46.0</v>
      </c>
      <c r="I21" s="832">
        <v>0.65</v>
      </c>
    </row>
    <row r="22">
      <c r="A22" s="8">
        <v>14.0</v>
      </c>
      <c r="C22" s="52">
        <v>80.0</v>
      </c>
      <c r="D22" s="831">
        <v>2.4</v>
      </c>
      <c r="E22" s="831">
        <v>1.2</v>
      </c>
      <c r="F22" s="52">
        <v>21.2</v>
      </c>
      <c r="G22" s="52">
        <v>21.2</v>
      </c>
      <c r="H22" s="52">
        <v>53.0</v>
      </c>
      <c r="I22" s="832">
        <v>0.7</v>
      </c>
    </row>
    <row r="23">
      <c r="A23" s="8">
        <v>15.0</v>
      </c>
      <c r="C23" s="52">
        <v>93.0</v>
      </c>
      <c r="D23" s="831">
        <v>2.72</v>
      </c>
      <c r="E23" s="831">
        <v>1.36</v>
      </c>
      <c r="F23" s="52">
        <v>24.0</v>
      </c>
      <c r="G23" s="52">
        <v>24.0</v>
      </c>
      <c r="H23" s="52">
        <v>60.0</v>
      </c>
      <c r="I23" s="832">
        <v>0.75</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2670</v>
      </c>
    </row>
    <row r="2">
      <c r="C2" s="8"/>
    </row>
    <row r="3">
      <c r="C3" s="8" t="s">
        <v>287</v>
      </c>
      <c r="D3" s="8" t="s">
        <v>444</v>
      </c>
      <c r="E3" s="8" t="s">
        <v>443</v>
      </c>
      <c r="F3" s="8" t="s">
        <v>447</v>
      </c>
      <c r="G3" s="8" t="s">
        <v>449</v>
      </c>
      <c r="H3" s="8" t="s">
        <v>445</v>
      </c>
      <c r="I3" s="8" t="s">
        <v>448</v>
      </c>
    </row>
    <row r="4">
      <c r="A4" s="3" t="s">
        <v>7</v>
      </c>
      <c r="B4" s="3"/>
      <c r="C4" s="3" t="s">
        <v>8</v>
      </c>
      <c r="D4" s="3" t="s">
        <v>2652</v>
      </c>
      <c r="E4" s="3" t="s">
        <v>2653</v>
      </c>
      <c r="F4" s="3" t="s">
        <v>35</v>
      </c>
      <c r="G4" s="3" t="s">
        <v>37</v>
      </c>
      <c r="H4" s="3" t="s">
        <v>8</v>
      </c>
      <c r="I4" s="3" t="s">
        <v>2652</v>
      </c>
      <c r="J4" s="8" t="s">
        <v>1532</v>
      </c>
    </row>
    <row r="5">
      <c r="A5" s="8">
        <v>-3.0</v>
      </c>
      <c r="C5" s="8">
        <v>-4.8</v>
      </c>
      <c r="D5" s="832">
        <v>-0.25</v>
      </c>
      <c r="E5" s="832">
        <v>-0.09</v>
      </c>
      <c r="F5" s="8">
        <v>-1.8</v>
      </c>
      <c r="G5" s="8">
        <v>-1.8</v>
      </c>
      <c r="H5" s="8">
        <v>-4.5</v>
      </c>
      <c r="I5" s="832">
        <v>-0.15</v>
      </c>
    </row>
    <row r="6">
      <c r="A6" s="8">
        <v>-2.0</v>
      </c>
      <c r="C6" s="8">
        <v>-3.2</v>
      </c>
      <c r="D6" s="832">
        <v>-0.16</v>
      </c>
      <c r="E6" s="832">
        <v>-0.06</v>
      </c>
      <c r="F6" s="8">
        <v>-1.2</v>
      </c>
      <c r="G6" s="8">
        <v>-1.2</v>
      </c>
      <c r="H6" s="8">
        <v>-3.0</v>
      </c>
      <c r="I6" s="832">
        <v>-0.1</v>
      </c>
    </row>
    <row r="7">
      <c r="A7" s="8">
        <v>-1.0</v>
      </c>
      <c r="C7" s="8">
        <v>-1.6</v>
      </c>
      <c r="D7" s="832">
        <v>-0.08</v>
      </c>
      <c r="E7" s="832">
        <v>-0.03</v>
      </c>
      <c r="F7" s="8">
        <v>-0.6</v>
      </c>
      <c r="G7" s="8">
        <v>-0.6</v>
      </c>
      <c r="H7" s="8">
        <v>-1.5</v>
      </c>
      <c r="I7" s="832">
        <v>-0.05</v>
      </c>
    </row>
    <row r="8">
      <c r="A8" s="8">
        <v>0.0</v>
      </c>
      <c r="C8" s="8">
        <v>0.0</v>
      </c>
      <c r="D8" s="832">
        <v>0.0</v>
      </c>
      <c r="E8" s="832">
        <v>0.0</v>
      </c>
      <c r="F8" s="8">
        <v>0.0</v>
      </c>
      <c r="G8" s="8">
        <v>0.0</v>
      </c>
      <c r="H8" s="8">
        <v>0.0</v>
      </c>
      <c r="I8" s="832">
        <v>0.0</v>
      </c>
    </row>
    <row r="9">
      <c r="A9" s="8">
        <v>1.0</v>
      </c>
      <c r="C9" s="8">
        <v>1.6</v>
      </c>
      <c r="D9" s="832">
        <v>0.08</v>
      </c>
      <c r="E9" s="832">
        <v>0.04</v>
      </c>
      <c r="F9" s="8">
        <v>0.6</v>
      </c>
      <c r="G9" s="8">
        <v>0.6</v>
      </c>
      <c r="H9" s="8">
        <v>1.5</v>
      </c>
      <c r="I9" s="832">
        <v>0.05</v>
      </c>
    </row>
    <row r="10">
      <c r="A10" s="8">
        <v>2.0</v>
      </c>
      <c r="C10" s="8">
        <v>3.2</v>
      </c>
      <c r="D10" s="832">
        <v>0.16</v>
      </c>
      <c r="E10" s="832">
        <v>0.08</v>
      </c>
      <c r="F10" s="8">
        <v>1.2</v>
      </c>
      <c r="G10" s="8">
        <v>1.2</v>
      </c>
      <c r="H10" s="8">
        <v>3.0</v>
      </c>
      <c r="I10" s="832">
        <v>0.1</v>
      </c>
    </row>
    <row r="11">
      <c r="A11" s="8">
        <v>3.0</v>
      </c>
      <c r="C11" s="8">
        <v>4.8</v>
      </c>
      <c r="D11" s="832">
        <v>0.24</v>
      </c>
      <c r="E11" s="832">
        <v>0.12</v>
      </c>
      <c r="F11" s="8">
        <v>1.8</v>
      </c>
      <c r="G11" s="8">
        <v>1.8</v>
      </c>
      <c r="H11" s="8">
        <v>4.5</v>
      </c>
      <c r="I11" s="832">
        <v>0.15</v>
      </c>
    </row>
    <row r="12">
      <c r="A12" s="8">
        <v>4.0</v>
      </c>
      <c r="C12" s="8">
        <v>6.4</v>
      </c>
      <c r="D12" s="832">
        <v>0.33</v>
      </c>
      <c r="E12" s="832">
        <v>0.16</v>
      </c>
      <c r="F12" s="8">
        <v>2.4</v>
      </c>
      <c r="G12" s="8">
        <v>2.4</v>
      </c>
      <c r="H12" s="8">
        <v>6.0</v>
      </c>
      <c r="I12" s="832">
        <v>0.2</v>
      </c>
    </row>
    <row r="13">
      <c r="A13" s="8">
        <v>5.0</v>
      </c>
      <c r="C13" s="8">
        <v>8.0</v>
      </c>
      <c r="D13" s="832">
        <v>0.42</v>
      </c>
      <c r="E13" s="832">
        <v>0.21</v>
      </c>
      <c r="F13" s="8">
        <v>3.0</v>
      </c>
      <c r="G13" s="8">
        <v>3.0</v>
      </c>
      <c r="H13" s="8">
        <v>7.5</v>
      </c>
      <c r="I13" s="832">
        <v>0.25</v>
      </c>
    </row>
    <row r="14">
      <c r="A14" s="8">
        <v>6.0</v>
      </c>
      <c r="C14" s="8">
        <v>9.6</v>
      </c>
      <c r="D14" s="832">
        <v>0.5</v>
      </c>
      <c r="E14" s="832">
        <v>0.25</v>
      </c>
      <c r="F14" s="8">
        <v>3.6</v>
      </c>
      <c r="G14" s="8">
        <v>3.6</v>
      </c>
      <c r="H14" s="8">
        <v>9.0</v>
      </c>
      <c r="I14" s="832">
        <v>0.3</v>
      </c>
    </row>
    <row r="15">
      <c r="A15" s="8">
        <v>7.0</v>
      </c>
      <c r="C15" s="8">
        <v>11.2</v>
      </c>
      <c r="D15" s="832">
        <v>0.58</v>
      </c>
      <c r="E15" s="832">
        <v>0.29</v>
      </c>
      <c r="F15" s="8">
        <v>4.2</v>
      </c>
      <c r="G15" s="8">
        <v>4.2</v>
      </c>
      <c r="H15" s="8">
        <v>10.5</v>
      </c>
      <c r="I15" s="832">
        <v>0.35</v>
      </c>
    </row>
    <row r="16">
      <c r="A16" s="8">
        <v>8.0</v>
      </c>
      <c r="C16" s="8">
        <v>12.8</v>
      </c>
      <c r="D16" s="832">
        <v>0.67</v>
      </c>
      <c r="E16" s="832">
        <v>0.33</v>
      </c>
      <c r="F16" s="8">
        <v>4.8</v>
      </c>
      <c r="G16" s="8">
        <v>4.8</v>
      </c>
      <c r="H16" s="8">
        <v>12.0</v>
      </c>
      <c r="I16" s="832">
        <v>0.4</v>
      </c>
    </row>
    <row r="17">
      <c r="A17" s="8">
        <v>9.0</v>
      </c>
      <c r="C17" s="8">
        <v>14.4</v>
      </c>
      <c r="D17" s="832">
        <v>0.75</v>
      </c>
      <c r="E17" s="832">
        <v>0.37</v>
      </c>
      <c r="F17" s="8">
        <v>5.4</v>
      </c>
      <c r="G17" s="8">
        <v>5.4</v>
      </c>
      <c r="H17" s="8">
        <v>13.5</v>
      </c>
      <c r="I17" s="832">
        <v>0.45</v>
      </c>
    </row>
    <row r="18">
      <c r="A18" s="8">
        <v>10.0</v>
      </c>
      <c r="C18" s="8">
        <v>16.0</v>
      </c>
      <c r="D18" s="832">
        <v>0.84</v>
      </c>
      <c r="E18" s="832">
        <v>0.42</v>
      </c>
      <c r="F18" s="8">
        <v>6.0</v>
      </c>
      <c r="G18" s="8">
        <v>6.0</v>
      </c>
      <c r="H18" s="8">
        <v>15.0</v>
      </c>
      <c r="I18" s="832">
        <v>0.5</v>
      </c>
    </row>
    <row r="19">
      <c r="A19" s="8">
        <v>11.0</v>
      </c>
      <c r="C19" s="8">
        <v>17.6</v>
      </c>
      <c r="D19" s="832">
        <v>0.92</v>
      </c>
      <c r="E19" s="832">
        <v>0.46</v>
      </c>
      <c r="F19" s="8">
        <v>6.6</v>
      </c>
      <c r="G19" s="8">
        <v>6.6</v>
      </c>
      <c r="H19" s="8">
        <v>16.5</v>
      </c>
      <c r="I19" s="832">
        <v>0.55</v>
      </c>
    </row>
    <row r="20">
      <c r="A20" s="8">
        <v>12.0</v>
      </c>
      <c r="C20" s="8">
        <v>19.2</v>
      </c>
      <c r="D20" s="832">
        <v>1.0</v>
      </c>
      <c r="E20" s="832">
        <v>0.5</v>
      </c>
      <c r="F20" s="8">
        <v>7.2</v>
      </c>
      <c r="G20" s="8">
        <v>7.2</v>
      </c>
      <c r="H20" s="8">
        <v>18.0</v>
      </c>
      <c r="I20" s="832">
        <v>0.6</v>
      </c>
    </row>
    <row r="21">
      <c r="A21" s="8">
        <v>13.0</v>
      </c>
      <c r="C21" s="8">
        <v>20.8</v>
      </c>
      <c r="D21" s="832">
        <v>1.09</v>
      </c>
      <c r="E21" s="832">
        <v>0.54</v>
      </c>
      <c r="F21" s="8">
        <v>7.8</v>
      </c>
      <c r="G21" s="8">
        <v>7.8</v>
      </c>
      <c r="H21" s="8">
        <v>19.5</v>
      </c>
      <c r="I21" s="832">
        <v>0.65</v>
      </c>
    </row>
    <row r="22">
      <c r="A22" s="8">
        <v>14.0</v>
      </c>
      <c r="C22" s="8">
        <v>22.4</v>
      </c>
      <c r="D22" s="832">
        <v>1.17</v>
      </c>
      <c r="E22" s="832">
        <v>0.58</v>
      </c>
      <c r="F22" s="8">
        <v>8.4</v>
      </c>
      <c r="G22" s="8">
        <v>8.4</v>
      </c>
      <c r="H22" s="8">
        <v>21.0</v>
      </c>
      <c r="I22" s="832">
        <v>0.7</v>
      </c>
    </row>
    <row r="23">
      <c r="A23" s="8">
        <v>15.0</v>
      </c>
      <c r="C23" s="8">
        <v>24.0</v>
      </c>
      <c r="D23" s="832">
        <v>1.26</v>
      </c>
      <c r="E23" s="832">
        <v>0.63</v>
      </c>
      <c r="F23" s="8">
        <v>9.0</v>
      </c>
      <c r="G23" s="8">
        <v>9.0</v>
      </c>
      <c r="H23" s="8">
        <v>22.5</v>
      </c>
      <c r="I23" s="832">
        <v>0.75</v>
      </c>
    </row>
    <row r="54">
      <c r="I54" s="8" t="s">
        <v>2654</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2671</v>
      </c>
      <c r="F1" s="8" t="s">
        <v>2656</v>
      </c>
    </row>
    <row r="2">
      <c r="C2" s="8"/>
      <c r="F2" s="8"/>
    </row>
    <row r="3">
      <c r="C3" s="8" t="s">
        <v>287</v>
      </c>
      <c r="D3" s="8" t="s">
        <v>444</v>
      </c>
      <c r="E3" s="8" t="s">
        <v>443</v>
      </c>
      <c r="F3" s="8" t="s">
        <v>447</v>
      </c>
      <c r="G3" s="8" t="s">
        <v>449</v>
      </c>
      <c r="H3" s="8" t="s">
        <v>445</v>
      </c>
      <c r="I3" s="8" t="s">
        <v>448</v>
      </c>
    </row>
    <row r="4">
      <c r="A4" s="3" t="s">
        <v>12</v>
      </c>
      <c r="B4" s="3"/>
      <c r="C4" s="3" t="s">
        <v>13</v>
      </c>
      <c r="D4" s="3" t="s">
        <v>581</v>
      </c>
      <c r="E4" s="3" t="s">
        <v>2657</v>
      </c>
      <c r="F4" s="3" t="s">
        <v>589</v>
      </c>
      <c r="G4" s="3" t="s">
        <v>13</v>
      </c>
      <c r="H4" s="3" t="s">
        <v>594</v>
      </c>
      <c r="I4" s="3" t="s">
        <v>581</v>
      </c>
      <c r="J4" s="8" t="s">
        <v>1532</v>
      </c>
    </row>
    <row r="5">
      <c r="A5" s="8">
        <v>-3.0</v>
      </c>
      <c r="C5" s="8">
        <v>-4.8</v>
      </c>
      <c r="D5" s="832">
        <v>-0.25</v>
      </c>
      <c r="E5" s="37" t="s">
        <v>2672</v>
      </c>
      <c r="F5" s="8">
        <v>-1.8</v>
      </c>
      <c r="G5" s="8">
        <v>-1.8</v>
      </c>
      <c r="H5" s="8">
        <v>-4.5</v>
      </c>
      <c r="I5" s="832">
        <v>-0.15</v>
      </c>
      <c r="J5" s="8" t="s">
        <v>2659</v>
      </c>
    </row>
    <row r="6">
      <c r="A6" s="8">
        <v>-2.0</v>
      </c>
      <c r="C6" s="8">
        <v>-3.2</v>
      </c>
      <c r="D6" s="832">
        <v>-0.16</v>
      </c>
      <c r="E6" s="37" t="s">
        <v>2658</v>
      </c>
      <c r="F6" s="8">
        <v>-1.2</v>
      </c>
      <c r="G6" s="8">
        <v>-1.2</v>
      </c>
      <c r="H6" s="8">
        <v>-3.0</v>
      </c>
      <c r="I6" s="832">
        <v>-0.1</v>
      </c>
    </row>
    <row r="7">
      <c r="A7" s="8">
        <v>-1.0</v>
      </c>
      <c r="C7" s="8">
        <v>-1.6</v>
      </c>
      <c r="D7" s="832">
        <v>-0.08</v>
      </c>
      <c r="E7" s="37" t="s">
        <v>2660</v>
      </c>
      <c r="F7" s="8">
        <v>-0.6</v>
      </c>
      <c r="G7" s="8">
        <v>-0.6</v>
      </c>
      <c r="H7" s="8">
        <v>-1.5</v>
      </c>
      <c r="I7" s="832">
        <v>-0.05</v>
      </c>
    </row>
    <row r="8">
      <c r="A8" s="8">
        <v>0.0</v>
      </c>
      <c r="C8" s="8">
        <v>0.0</v>
      </c>
      <c r="D8" s="832">
        <v>0.0</v>
      </c>
      <c r="E8" s="832">
        <v>0.0</v>
      </c>
      <c r="F8" s="8">
        <v>0.0</v>
      </c>
      <c r="G8" s="8">
        <v>0.0</v>
      </c>
      <c r="H8" s="8">
        <v>0.0</v>
      </c>
      <c r="I8" s="832">
        <v>0.0</v>
      </c>
    </row>
    <row r="9">
      <c r="A9" s="8">
        <v>1.0</v>
      </c>
      <c r="C9" s="8">
        <v>1.6</v>
      </c>
      <c r="D9" s="832">
        <v>0.08</v>
      </c>
      <c r="E9" s="832">
        <v>0.04</v>
      </c>
      <c r="F9" s="8">
        <v>0.6</v>
      </c>
      <c r="G9" s="8">
        <v>0.6</v>
      </c>
      <c r="H9" s="8">
        <v>1.5</v>
      </c>
      <c r="I9" s="832">
        <v>0.05</v>
      </c>
    </row>
    <row r="10">
      <c r="A10" s="8">
        <v>2.0</v>
      </c>
      <c r="C10" s="8">
        <v>3.2</v>
      </c>
      <c r="D10" s="832">
        <v>0.16</v>
      </c>
      <c r="E10" s="832">
        <v>0.08</v>
      </c>
      <c r="F10" s="8">
        <v>1.2</v>
      </c>
      <c r="G10" s="8">
        <v>1.2</v>
      </c>
      <c r="H10" s="8">
        <v>3.0</v>
      </c>
      <c r="I10" s="832">
        <v>0.1</v>
      </c>
    </row>
    <row r="11">
      <c r="A11" s="8">
        <v>3.0</v>
      </c>
      <c r="C11" s="8">
        <v>4.8</v>
      </c>
      <c r="D11" s="832">
        <v>0.24</v>
      </c>
      <c r="E11" s="832">
        <v>0.12</v>
      </c>
      <c r="F11" s="8">
        <v>1.8</v>
      </c>
      <c r="G11" s="8">
        <v>1.8</v>
      </c>
      <c r="H11" s="8">
        <v>4.5</v>
      </c>
      <c r="I11" s="832">
        <v>0.15</v>
      </c>
    </row>
    <row r="12">
      <c r="A12" s="8">
        <v>4.0</v>
      </c>
      <c r="C12" s="8">
        <v>6.4</v>
      </c>
      <c r="D12" s="832">
        <v>0.33</v>
      </c>
      <c r="E12" s="832">
        <v>0.16</v>
      </c>
      <c r="F12" s="8">
        <v>2.4</v>
      </c>
      <c r="G12" s="8">
        <v>2.4</v>
      </c>
      <c r="H12" s="8">
        <v>6.0</v>
      </c>
      <c r="I12" s="832">
        <v>0.2</v>
      </c>
    </row>
    <row r="13">
      <c r="A13" s="8">
        <v>5.0</v>
      </c>
      <c r="C13" s="8">
        <v>8.0</v>
      </c>
      <c r="D13" s="832">
        <v>0.42</v>
      </c>
      <c r="E13" s="832">
        <v>0.21</v>
      </c>
      <c r="F13" s="8">
        <v>3.0</v>
      </c>
      <c r="G13" s="8">
        <v>3.0</v>
      </c>
      <c r="H13" s="8">
        <v>7.5</v>
      </c>
      <c r="I13" s="832">
        <v>0.25</v>
      </c>
    </row>
    <row r="14">
      <c r="A14" s="8">
        <v>6.0</v>
      </c>
      <c r="C14" s="8">
        <v>9.6</v>
      </c>
      <c r="D14" s="832">
        <v>0.5</v>
      </c>
      <c r="E14" s="832">
        <v>0.25</v>
      </c>
      <c r="F14" s="8">
        <v>3.6</v>
      </c>
      <c r="G14" s="8">
        <v>3.6</v>
      </c>
      <c r="H14" s="8">
        <v>9.0</v>
      </c>
      <c r="I14" s="832">
        <v>0.3</v>
      </c>
    </row>
    <row r="15">
      <c r="A15" s="8">
        <v>7.0</v>
      </c>
      <c r="C15" s="8">
        <v>11.2</v>
      </c>
      <c r="D15" s="832">
        <v>0.58</v>
      </c>
      <c r="E15" s="832">
        <v>0.29</v>
      </c>
      <c r="F15" s="8">
        <v>4.2</v>
      </c>
      <c r="G15" s="8">
        <v>4.2</v>
      </c>
      <c r="H15" s="8">
        <v>10.5</v>
      </c>
      <c r="I15" s="832">
        <v>0.35</v>
      </c>
    </row>
    <row r="16">
      <c r="A16" s="8">
        <v>8.0</v>
      </c>
      <c r="C16" s="8">
        <v>12.8</v>
      </c>
      <c r="D16" s="832">
        <v>0.67</v>
      </c>
      <c r="E16" s="832">
        <v>0.33</v>
      </c>
      <c r="F16" s="8">
        <v>4.8</v>
      </c>
      <c r="G16" s="8">
        <v>4.8</v>
      </c>
      <c r="H16" s="8">
        <v>12.0</v>
      </c>
      <c r="I16" s="832">
        <v>0.4</v>
      </c>
    </row>
    <row r="17">
      <c r="A17" s="8">
        <v>9.0</v>
      </c>
      <c r="C17" s="8">
        <v>14.4</v>
      </c>
      <c r="D17" s="832">
        <v>0.75</v>
      </c>
      <c r="E17" s="832">
        <v>0.37</v>
      </c>
      <c r="F17" s="8">
        <v>5.4</v>
      </c>
      <c r="G17" s="8">
        <v>5.4</v>
      </c>
      <c r="H17" s="8">
        <v>13.5</v>
      </c>
      <c r="I17" s="832">
        <v>0.45</v>
      </c>
    </row>
    <row r="18">
      <c r="A18" s="8">
        <v>10.0</v>
      </c>
      <c r="C18" s="8">
        <v>16.0</v>
      </c>
      <c r="D18" s="832">
        <v>0.84</v>
      </c>
      <c r="E18" s="832">
        <v>0.42</v>
      </c>
      <c r="F18" s="8">
        <v>6.0</v>
      </c>
      <c r="G18" s="8">
        <v>6.0</v>
      </c>
      <c r="H18" s="8">
        <v>15.0</v>
      </c>
      <c r="I18" s="832">
        <v>0.5</v>
      </c>
    </row>
    <row r="19">
      <c r="A19" s="8">
        <v>11.0</v>
      </c>
      <c r="C19" s="8">
        <v>17.6</v>
      </c>
      <c r="D19" s="832">
        <v>0.92</v>
      </c>
      <c r="E19" s="832">
        <v>0.46</v>
      </c>
      <c r="F19" s="8">
        <v>6.6</v>
      </c>
      <c r="G19" s="8">
        <v>6.6</v>
      </c>
      <c r="H19" s="8">
        <v>16.5</v>
      </c>
      <c r="I19" s="832">
        <v>0.55</v>
      </c>
    </row>
    <row r="20">
      <c r="A20" s="8">
        <v>12.0</v>
      </c>
      <c r="C20" s="8">
        <v>19.2</v>
      </c>
      <c r="D20" s="832">
        <v>1.0</v>
      </c>
      <c r="E20" s="832">
        <v>0.5</v>
      </c>
      <c r="F20" s="8">
        <v>7.2</v>
      </c>
      <c r="G20" s="8">
        <v>7.2</v>
      </c>
      <c r="H20" s="8">
        <v>18.0</v>
      </c>
      <c r="I20" s="832">
        <v>0.6</v>
      </c>
    </row>
    <row r="21">
      <c r="A21" s="8">
        <v>13.0</v>
      </c>
      <c r="C21" s="8">
        <v>20.8</v>
      </c>
      <c r="D21" s="832">
        <v>1.09</v>
      </c>
      <c r="E21" s="832">
        <v>0.54</v>
      </c>
      <c r="F21" s="8">
        <v>7.8</v>
      </c>
      <c r="G21" s="8">
        <v>7.8</v>
      </c>
      <c r="H21" s="8">
        <v>19.5</v>
      </c>
      <c r="I21" s="832">
        <v>0.65</v>
      </c>
    </row>
    <row r="22">
      <c r="A22" s="8">
        <v>14.0</v>
      </c>
      <c r="C22" s="8">
        <v>22.4</v>
      </c>
      <c r="D22" s="832">
        <v>1.17</v>
      </c>
      <c r="E22" s="832">
        <v>0.58</v>
      </c>
      <c r="F22" s="8">
        <v>8.4</v>
      </c>
      <c r="G22" s="8">
        <v>8.4</v>
      </c>
      <c r="H22" s="8">
        <v>21.0</v>
      </c>
      <c r="I22" s="832">
        <v>0.7</v>
      </c>
    </row>
    <row r="23">
      <c r="A23" s="8">
        <v>15.0</v>
      </c>
      <c r="C23" s="8">
        <v>24.0</v>
      </c>
      <c r="D23" s="832">
        <v>1.26</v>
      </c>
      <c r="E23" s="832">
        <v>0.63</v>
      </c>
      <c r="F23" s="8">
        <v>9.0</v>
      </c>
      <c r="G23" s="8">
        <v>9.0</v>
      </c>
      <c r="H23" s="8">
        <v>22.5</v>
      </c>
      <c r="I23" s="832">
        <v>0.75</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s>
  <sheetData>
    <row r="1">
      <c r="C1" s="8" t="s">
        <v>2673</v>
      </c>
    </row>
    <row r="2">
      <c r="C2" s="8"/>
    </row>
    <row r="3">
      <c r="C3" s="8" t="s">
        <v>287</v>
      </c>
      <c r="D3" s="8" t="s">
        <v>444</v>
      </c>
      <c r="E3" s="8" t="s">
        <v>443</v>
      </c>
      <c r="F3" s="8" t="s">
        <v>447</v>
      </c>
      <c r="G3" s="8" t="s">
        <v>449</v>
      </c>
      <c r="H3" s="8" t="s">
        <v>445</v>
      </c>
      <c r="I3" s="8" t="s">
        <v>448</v>
      </c>
    </row>
    <row r="4">
      <c r="A4" s="833" t="s">
        <v>17</v>
      </c>
      <c r="B4" s="3"/>
      <c r="C4" s="3" t="s">
        <v>18</v>
      </c>
      <c r="D4" s="3" t="s">
        <v>582</v>
      </c>
      <c r="E4" s="3" t="s">
        <v>2663</v>
      </c>
      <c r="F4" s="3" t="s">
        <v>590</v>
      </c>
      <c r="G4" s="3" t="s">
        <v>18</v>
      </c>
      <c r="H4" s="3" t="s">
        <v>2664</v>
      </c>
      <c r="I4" s="3" t="s">
        <v>582</v>
      </c>
      <c r="J4" s="8" t="s">
        <v>1532</v>
      </c>
    </row>
    <row r="5">
      <c r="A5" s="8">
        <v>-3.0</v>
      </c>
      <c r="C5" s="8">
        <v>-4.8</v>
      </c>
      <c r="D5" s="832">
        <v>-0.25</v>
      </c>
      <c r="E5" s="832">
        <v>-0.09</v>
      </c>
      <c r="F5" s="8">
        <v>-1.8</v>
      </c>
      <c r="G5" s="8">
        <v>-1.8</v>
      </c>
      <c r="H5" s="8">
        <v>-4.5</v>
      </c>
      <c r="I5" s="832">
        <v>-0.15</v>
      </c>
    </row>
    <row r="6">
      <c r="A6" s="8">
        <v>-2.0</v>
      </c>
      <c r="C6" s="8">
        <v>-3.2</v>
      </c>
      <c r="D6" s="832">
        <v>-0.16</v>
      </c>
      <c r="E6" s="832">
        <v>-0.06</v>
      </c>
      <c r="F6" s="8">
        <v>-1.2</v>
      </c>
      <c r="G6" s="8">
        <v>-1.2</v>
      </c>
      <c r="H6" s="8">
        <v>-3.0</v>
      </c>
      <c r="I6" s="832">
        <v>-0.1</v>
      </c>
    </row>
    <row r="7">
      <c r="A7" s="8">
        <v>-1.0</v>
      </c>
      <c r="C7" s="8">
        <v>-1.6</v>
      </c>
      <c r="D7" s="832">
        <v>-0.08</v>
      </c>
      <c r="E7" s="832">
        <v>-0.03</v>
      </c>
      <c r="F7" s="8">
        <v>-0.6</v>
      </c>
      <c r="G7" s="8">
        <v>-0.6</v>
      </c>
      <c r="H7" s="8">
        <v>-1.5</v>
      </c>
      <c r="I7" s="832">
        <v>-0.05</v>
      </c>
    </row>
    <row r="8">
      <c r="A8" s="8">
        <v>0.0</v>
      </c>
      <c r="C8" s="8">
        <v>0.0</v>
      </c>
      <c r="D8" s="832">
        <v>0.0</v>
      </c>
      <c r="E8" s="832">
        <v>0.0</v>
      </c>
      <c r="F8" s="8">
        <v>0.0</v>
      </c>
      <c r="G8" s="8">
        <v>0.0</v>
      </c>
      <c r="H8" s="8">
        <v>0.0</v>
      </c>
      <c r="I8" s="832">
        <v>0.0</v>
      </c>
    </row>
    <row r="9">
      <c r="A9" s="8">
        <v>1.0</v>
      </c>
      <c r="C9" s="8">
        <v>1.6</v>
      </c>
      <c r="D9" s="832">
        <v>0.08</v>
      </c>
      <c r="E9" s="832">
        <v>0.04</v>
      </c>
      <c r="F9" s="8">
        <v>0.6</v>
      </c>
      <c r="G9" s="8">
        <v>0.6</v>
      </c>
      <c r="H9" s="8">
        <v>1.5</v>
      </c>
      <c r="I9" s="832">
        <v>0.05</v>
      </c>
    </row>
    <row r="10">
      <c r="A10" s="8">
        <v>2.0</v>
      </c>
      <c r="C10" s="8">
        <v>3.2</v>
      </c>
      <c r="D10" s="832">
        <v>0.16</v>
      </c>
      <c r="E10" s="832">
        <v>0.08</v>
      </c>
      <c r="F10" s="8">
        <v>1.2</v>
      </c>
      <c r="G10" s="8">
        <v>1.2</v>
      </c>
      <c r="H10" s="8">
        <v>3.0</v>
      </c>
      <c r="I10" s="832">
        <v>0.1</v>
      </c>
    </row>
    <row r="11">
      <c r="A11" s="8">
        <v>3.0</v>
      </c>
      <c r="C11" s="8">
        <v>4.8</v>
      </c>
      <c r="D11" s="832">
        <v>0.24</v>
      </c>
      <c r="E11" s="832">
        <v>0.12</v>
      </c>
      <c r="F11" s="8">
        <v>1.8</v>
      </c>
      <c r="G11" s="8">
        <v>1.8</v>
      </c>
      <c r="H11" s="8">
        <v>4.5</v>
      </c>
      <c r="I11" s="832">
        <v>0.15</v>
      </c>
    </row>
    <row r="12">
      <c r="A12" s="8">
        <v>4.0</v>
      </c>
      <c r="C12" s="8">
        <v>6.4</v>
      </c>
      <c r="D12" s="832">
        <v>0.33</v>
      </c>
      <c r="E12" s="832">
        <v>0.16</v>
      </c>
      <c r="F12" s="8">
        <v>2.4</v>
      </c>
      <c r="G12" s="8">
        <v>2.4</v>
      </c>
      <c r="H12" s="8">
        <v>6.0</v>
      </c>
      <c r="I12" s="832">
        <v>0.2</v>
      </c>
    </row>
    <row r="13">
      <c r="A13" s="8">
        <v>5.0</v>
      </c>
      <c r="C13" s="8">
        <v>8.0</v>
      </c>
      <c r="D13" s="832">
        <v>0.42</v>
      </c>
      <c r="E13" s="832">
        <v>0.21</v>
      </c>
      <c r="F13" s="8">
        <v>3.0</v>
      </c>
      <c r="G13" s="8">
        <v>3.0</v>
      </c>
      <c r="H13" s="8">
        <v>7.5</v>
      </c>
      <c r="I13" s="832">
        <v>0.25</v>
      </c>
    </row>
    <row r="14">
      <c r="A14" s="8">
        <v>6.0</v>
      </c>
      <c r="C14" s="8">
        <v>9.6</v>
      </c>
      <c r="D14" s="832">
        <v>0.5</v>
      </c>
      <c r="E14" s="832">
        <v>0.25</v>
      </c>
      <c r="F14" s="8">
        <v>3.6</v>
      </c>
      <c r="G14" s="8">
        <v>3.6</v>
      </c>
      <c r="H14" s="8">
        <v>9.0</v>
      </c>
      <c r="I14" s="832">
        <v>0.3</v>
      </c>
    </row>
    <row r="15">
      <c r="A15" s="8">
        <v>7.0</v>
      </c>
      <c r="C15" s="8">
        <v>11.2</v>
      </c>
      <c r="D15" s="832">
        <v>0.58</v>
      </c>
      <c r="E15" s="832">
        <v>0.29</v>
      </c>
      <c r="F15" s="8">
        <v>4.2</v>
      </c>
      <c r="G15" s="8">
        <v>4.2</v>
      </c>
      <c r="H15" s="8">
        <v>10.5</v>
      </c>
      <c r="I15" s="832">
        <v>0.35</v>
      </c>
    </row>
    <row r="16">
      <c r="A16" s="8">
        <v>8.0</v>
      </c>
      <c r="C16" s="8">
        <v>12.8</v>
      </c>
      <c r="D16" s="832">
        <v>0.67</v>
      </c>
      <c r="E16" s="832">
        <v>0.33</v>
      </c>
      <c r="F16" s="8">
        <v>4.8</v>
      </c>
      <c r="G16" s="8">
        <v>4.8</v>
      </c>
      <c r="H16" s="8">
        <v>12.0</v>
      </c>
      <c r="I16" s="832">
        <v>0.4</v>
      </c>
    </row>
    <row r="17">
      <c r="A17" s="8">
        <v>9.0</v>
      </c>
      <c r="C17" s="8">
        <v>14.4</v>
      </c>
      <c r="D17" s="832">
        <v>0.75</v>
      </c>
      <c r="E17" s="832">
        <v>0.37</v>
      </c>
      <c r="F17" s="8">
        <v>5.4</v>
      </c>
      <c r="G17" s="8">
        <v>5.4</v>
      </c>
      <c r="H17" s="8">
        <v>13.5</v>
      </c>
      <c r="I17" s="832">
        <v>0.45</v>
      </c>
    </row>
    <row r="18">
      <c r="A18" s="8">
        <v>10.0</v>
      </c>
      <c r="C18" s="8">
        <v>16.0</v>
      </c>
      <c r="D18" s="832">
        <v>0.84</v>
      </c>
      <c r="E18" s="832">
        <v>0.42</v>
      </c>
      <c r="F18" s="8">
        <v>6.0</v>
      </c>
      <c r="G18" s="8">
        <v>6.0</v>
      </c>
      <c r="H18" s="8">
        <v>15.0</v>
      </c>
      <c r="I18" s="832">
        <v>0.5</v>
      </c>
    </row>
    <row r="19">
      <c r="A19" s="8">
        <v>11.0</v>
      </c>
      <c r="C19" s="8">
        <v>17.6</v>
      </c>
      <c r="D19" s="832">
        <v>0.92</v>
      </c>
      <c r="E19" s="832">
        <v>0.46</v>
      </c>
      <c r="F19" s="8">
        <v>6.6</v>
      </c>
      <c r="G19" s="8">
        <v>6.6</v>
      </c>
      <c r="H19" s="8">
        <v>16.5</v>
      </c>
      <c r="I19" s="832">
        <v>0.55</v>
      </c>
    </row>
    <row r="20">
      <c r="A20" s="8">
        <v>12.0</v>
      </c>
      <c r="C20" s="8">
        <v>19.2</v>
      </c>
      <c r="D20" s="832">
        <v>1.0</v>
      </c>
      <c r="E20" s="832">
        <v>0.5</v>
      </c>
      <c r="F20" s="8">
        <v>7.2</v>
      </c>
      <c r="G20" s="8">
        <v>7.2</v>
      </c>
      <c r="H20" s="8">
        <v>18.0</v>
      </c>
      <c r="I20" s="832">
        <v>0.6</v>
      </c>
    </row>
    <row r="21">
      <c r="A21" s="8">
        <v>13.0</v>
      </c>
      <c r="C21" s="8">
        <v>20.8</v>
      </c>
      <c r="D21" s="832">
        <v>1.09</v>
      </c>
      <c r="E21" s="832">
        <v>0.54</v>
      </c>
      <c r="F21" s="8">
        <v>7.8</v>
      </c>
      <c r="G21" s="8">
        <v>7.8</v>
      </c>
      <c r="H21" s="8">
        <v>19.5</v>
      </c>
      <c r="I21" s="832">
        <v>0.65</v>
      </c>
    </row>
    <row r="22">
      <c r="A22" s="8">
        <v>14.0</v>
      </c>
      <c r="C22" s="8">
        <v>22.4</v>
      </c>
      <c r="D22" s="832">
        <v>1.17</v>
      </c>
      <c r="E22" s="832">
        <v>0.58</v>
      </c>
      <c r="F22" s="8">
        <v>8.4</v>
      </c>
      <c r="G22" s="8">
        <v>8.4</v>
      </c>
      <c r="H22" s="8">
        <v>21.0</v>
      </c>
      <c r="I22" s="832">
        <v>0.7</v>
      </c>
    </row>
    <row r="23">
      <c r="A23" s="8">
        <v>15.0</v>
      </c>
      <c r="C23" s="8">
        <v>24.0</v>
      </c>
      <c r="D23" s="832">
        <v>1.26</v>
      </c>
      <c r="E23" s="832">
        <v>0.63</v>
      </c>
      <c r="F23" s="8">
        <v>9.0</v>
      </c>
      <c r="G23" s="8">
        <v>9.0</v>
      </c>
      <c r="H23" s="8">
        <v>22.5</v>
      </c>
      <c r="I23" s="832">
        <v>0.75</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8" t="s">
        <v>2674</v>
      </c>
    </row>
    <row r="2">
      <c r="C2" s="8"/>
    </row>
    <row r="3">
      <c r="C3" s="8" t="s">
        <v>287</v>
      </c>
      <c r="D3" s="8" t="s">
        <v>444</v>
      </c>
      <c r="E3" s="8" t="s">
        <v>443</v>
      </c>
      <c r="F3" s="8" t="s">
        <v>447</v>
      </c>
      <c r="G3" s="8" t="s">
        <v>449</v>
      </c>
      <c r="H3" s="8" t="s">
        <v>445</v>
      </c>
      <c r="I3" s="8" t="s">
        <v>448</v>
      </c>
    </row>
    <row r="4">
      <c r="A4" s="3" t="s">
        <v>21</v>
      </c>
      <c r="B4" s="3"/>
      <c r="C4" s="3" t="s">
        <v>22</v>
      </c>
      <c r="D4" s="3" t="s">
        <v>2666</v>
      </c>
      <c r="E4" s="3" t="s">
        <v>2667</v>
      </c>
      <c r="F4" s="3" t="s">
        <v>591</v>
      </c>
      <c r="G4" s="3" t="s">
        <v>22</v>
      </c>
      <c r="H4" s="3" t="s">
        <v>39</v>
      </c>
      <c r="I4" s="3" t="s">
        <v>2668</v>
      </c>
      <c r="J4" s="8" t="s">
        <v>1532</v>
      </c>
    </row>
    <row r="5">
      <c r="A5" s="8">
        <v>-3.0</v>
      </c>
      <c r="C5" s="8">
        <v>-4.8</v>
      </c>
      <c r="D5" s="832">
        <v>-0.25</v>
      </c>
      <c r="E5" s="37" t="s">
        <v>2672</v>
      </c>
      <c r="F5" s="8">
        <v>-1.8</v>
      </c>
      <c r="G5" s="8">
        <v>-1.8</v>
      </c>
      <c r="H5" s="8">
        <v>-4.5</v>
      </c>
      <c r="I5" s="832">
        <v>-0.15</v>
      </c>
      <c r="J5" s="8" t="s">
        <v>2669</v>
      </c>
    </row>
    <row r="6">
      <c r="A6" s="8">
        <v>-2.0</v>
      </c>
      <c r="C6" s="8">
        <v>-3.2</v>
      </c>
      <c r="D6" s="832">
        <v>-0.16</v>
      </c>
      <c r="E6" s="37" t="s">
        <v>2658</v>
      </c>
      <c r="F6" s="8">
        <v>-1.2</v>
      </c>
      <c r="G6" s="8">
        <v>-1.2</v>
      </c>
      <c r="H6" s="8">
        <v>-3.0</v>
      </c>
      <c r="I6" s="832">
        <v>-0.1</v>
      </c>
    </row>
    <row r="7">
      <c r="A7" s="8">
        <v>-1.0</v>
      </c>
      <c r="C7" s="8">
        <v>-1.6</v>
      </c>
      <c r="D7" s="832">
        <v>-0.08</v>
      </c>
      <c r="E7" s="37" t="s">
        <v>2660</v>
      </c>
      <c r="F7" s="8">
        <v>-0.6</v>
      </c>
      <c r="G7" s="8">
        <v>-0.6</v>
      </c>
      <c r="H7" s="8">
        <v>-1.5</v>
      </c>
      <c r="I7" s="832">
        <v>-0.05</v>
      </c>
    </row>
    <row r="8">
      <c r="A8" s="8">
        <v>0.0</v>
      </c>
      <c r="C8" s="8">
        <v>0.0</v>
      </c>
      <c r="D8" s="832">
        <v>0.0</v>
      </c>
      <c r="E8" s="832">
        <v>0.0</v>
      </c>
      <c r="F8" s="8">
        <v>0.0</v>
      </c>
      <c r="G8" s="8">
        <v>0.0</v>
      </c>
      <c r="H8" s="8">
        <v>0.0</v>
      </c>
      <c r="I8" s="832">
        <v>0.0</v>
      </c>
    </row>
    <row r="9">
      <c r="A9" s="8">
        <v>1.0</v>
      </c>
      <c r="C9" s="8">
        <v>1.6</v>
      </c>
      <c r="D9" s="832">
        <v>0.08</v>
      </c>
      <c r="E9" s="832">
        <v>0.04</v>
      </c>
      <c r="F9" s="8">
        <v>0.6</v>
      </c>
      <c r="G9" s="8">
        <v>0.6</v>
      </c>
      <c r="H9" s="8">
        <v>1.5</v>
      </c>
      <c r="I9" s="832">
        <v>0.05</v>
      </c>
    </row>
    <row r="10">
      <c r="A10" s="8">
        <v>2.0</v>
      </c>
      <c r="C10" s="8">
        <v>3.2</v>
      </c>
      <c r="D10" s="832">
        <v>0.16</v>
      </c>
      <c r="E10" s="832">
        <v>0.08</v>
      </c>
      <c r="F10" s="8">
        <v>1.2</v>
      </c>
      <c r="G10" s="8">
        <v>1.2</v>
      </c>
      <c r="H10" s="8">
        <v>3.0</v>
      </c>
      <c r="I10" s="832">
        <v>0.1</v>
      </c>
    </row>
    <row r="11">
      <c r="A11" s="8">
        <v>3.0</v>
      </c>
      <c r="C11" s="8">
        <v>4.8</v>
      </c>
      <c r="D11" s="832">
        <v>0.24</v>
      </c>
      <c r="E11" s="832">
        <v>0.12</v>
      </c>
      <c r="F11" s="8">
        <v>1.8</v>
      </c>
      <c r="G11" s="8">
        <v>1.8</v>
      </c>
      <c r="H11" s="8">
        <v>4.5</v>
      </c>
      <c r="I11" s="832">
        <v>0.15</v>
      </c>
    </row>
    <row r="12">
      <c r="A12" s="8">
        <v>4.0</v>
      </c>
      <c r="C12" s="8">
        <v>6.4</v>
      </c>
      <c r="D12" s="832">
        <v>0.33</v>
      </c>
      <c r="E12" s="832">
        <v>0.16</v>
      </c>
      <c r="F12" s="8">
        <v>2.4</v>
      </c>
      <c r="G12" s="8">
        <v>2.4</v>
      </c>
      <c r="H12" s="8">
        <v>6.0</v>
      </c>
      <c r="I12" s="832">
        <v>0.2</v>
      </c>
    </row>
    <row r="13">
      <c r="A13" s="8">
        <v>5.0</v>
      </c>
      <c r="C13" s="8">
        <v>8.0</v>
      </c>
      <c r="D13" s="832">
        <v>0.42</v>
      </c>
      <c r="E13" s="832">
        <v>0.21</v>
      </c>
      <c r="F13" s="8">
        <v>3.0</v>
      </c>
      <c r="G13" s="8">
        <v>3.0</v>
      </c>
      <c r="H13" s="8">
        <v>7.5</v>
      </c>
      <c r="I13" s="832">
        <v>0.25</v>
      </c>
    </row>
    <row r="14">
      <c r="A14" s="8">
        <v>6.0</v>
      </c>
      <c r="C14" s="8">
        <v>9.6</v>
      </c>
      <c r="D14" s="832">
        <v>0.5</v>
      </c>
      <c r="E14" s="832">
        <v>0.25</v>
      </c>
      <c r="F14" s="8">
        <v>3.6</v>
      </c>
      <c r="G14" s="8">
        <v>3.6</v>
      </c>
      <c r="H14" s="8">
        <v>9.0</v>
      </c>
      <c r="I14" s="832">
        <v>0.3</v>
      </c>
    </row>
    <row r="15">
      <c r="A15" s="8">
        <v>7.0</v>
      </c>
      <c r="C15" s="8">
        <v>11.2</v>
      </c>
      <c r="D15" s="832">
        <v>0.58</v>
      </c>
      <c r="E15" s="832">
        <v>0.29</v>
      </c>
      <c r="F15" s="8">
        <v>4.2</v>
      </c>
      <c r="G15" s="8">
        <v>4.2</v>
      </c>
      <c r="H15" s="8">
        <v>10.5</v>
      </c>
      <c r="I15" s="832">
        <v>0.35</v>
      </c>
    </row>
    <row r="16">
      <c r="A16" s="8">
        <v>8.0</v>
      </c>
      <c r="C16" s="8">
        <v>12.8</v>
      </c>
      <c r="D16" s="832">
        <v>0.67</v>
      </c>
      <c r="E16" s="832">
        <v>0.33</v>
      </c>
      <c r="F16" s="8">
        <v>4.8</v>
      </c>
      <c r="G16" s="8">
        <v>4.8</v>
      </c>
      <c r="H16" s="8">
        <v>12.0</v>
      </c>
      <c r="I16" s="832">
        <v>0.4</v>
      </c>
    </row>
    <row r="17">
      <c r="A17" s="8">
        <v>9.0</v>
      </c>
      <c r="C17" s="8">
        <v>14.4</v>
      </c>
      <c r="D17" s="832">
        <v>0.75</v>
      </c>
      <c r="E17" s="832">
        <v>0.37</v>
      </c>
      <c r="F17" s="8">
        <v>5.4</v>
      </c>
      <c r="G17" s="8">
        <v>5.4</v>
      </c>
      <c r="H17" s="8">
        <v>13.5</v>
      </c>
      <c r="I17" s="832">
        <v>0.45</v>
      </c>
    </row>
    <row r="18">
      <c r="A18" s="8">
        <v>10.0</v>
      </c>
      <c r="C18" s="8">
        <v>16.0</v>
      </c>
      <c r="D18" s="832">
        <v>0.84</v>
      </c>
      <c r="E18" s="832">
        <v>0.42</v>
      </c>
      <c r="F18" s="8">
        <v>6.0</v>
      </c>
      <c r="G18" s="8">
        <v>6.0</v>
      </c>
      <c r="H18" s="8">
        <v>15.0</v>
      </c>
      <c r="I18" s="832">
        <v>0.5</v>
      </c>
    </row>
    <row r="19">
      <c r="A19" s="8">
        <v>11.0</v>
      </c>
      <c r="C19" s="8">
        <v>17.6</v>
      </c>
      <c r="D19" s="832">
        <v>0.92</v>
      </c>
      <c r="E19" s="832">
        <v>0.46</v>
      </c>
      <c r="F19" s="8">
        <v>6.6</v>
      </c>
      <c r="G19" s="8">
        <v>6.6</v>
      </c>
      <c r="H19" s="8">
        <v>16.5</v>
      </c>
      <c r="I19" s="832">
        <v>0.55</v>
      </c>
    </row>
    <row r="20">
      <c r="A20" s="8">
        <v>12.0</v>
      </c>
      <c r="C20" s="8">
        <v>19.2</v>
      </c>
      <c r="D20" s="832">
        <v>1.0</v>
      </c>
      <c r="E20" s="832">
        <v>0.5</v>
      </c>
      <c r="F20" s="8">
        <v>7.2</v>
      </c>
      <c r="G20" s="8">
        <v>7.2</v>
      </c>
      <c r="H20" s="8">
        <v>18.0</v>
      </c>
      <c r="I20" s="832">
        <v>0.6</v>
      </c>
    </row>
    <row r="21">
      <c r="A21" s="8">
        <v>13.0</v>
      </c>
      <c r="C21" s="8">
        <v>20.8</v>
      </c>
      <c r="D21" s="832">
        <v>1.09</v>
      </c>
      <c r="E21" s="832">
        <v>0.54</v>
      </c>
      <c r="F21" s="8">
        <v>7.8</v>
      </c>
      <c r="G21" s="8">
        <v>7.8</v>
      </c>
      <c r="H21" s="8">
        <v>19.5</v>
      </c>
      <c r="I21" s="832">
        <v>0.65</v>
      </c>
    </row>
    <row r="22">
      <c r="A22" s="8">
        <v>14.0</v>
      </c>
      <c r="C22" s="8">
        <v>22.4</v>
      </c>
      <c r="D22" s="832">
        <v>1.17</v>
      </c>
      <c r="E22" s="832">
        <v>0.58</v>
      </c>
      <c r="F22" s="8">
        <v>8.4</v>
      </c>
      <c r="G22" s="8">
        <v>8.4</v>
      </c>
      <c r="H22" s="8">
        <v>21.0</v>
      </c>
      <c r="I22" s="832">
        <v>0.7</v>
      </c>
    </row>
    <row r="23">
      <c r="A23" s="8">
        <v>15.0</v>
      </c>
      <c r="C23" s="8">
        <v>24.0</v>
      </c>
      <c r="D23" s="832">
        <v>1.26</v>
      </c>
      <c r="E23" s="832">
        <v>0.63</v>
      </c>
      <c r="F23" s="8">
        <v>9.0</v>
      </c>
      <c r="G23" s="8">
        <v>9.0</v>
      </c>
      <c r="H23" s="8">
        <v>22.5</v>
      </c>
      <c r="I23" s="832">
        <v>0.75</v>
      </c>
    </row>
  </sheetData>
  <drawing r:id="rId1"/>
</worksheet>
</file>