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ldenkane1/Documents/1College/4SenSem1/Computer Vision/Project/reference/"/>
    </mc:Choice>
  </mc:AlternateContent>
  <bookViews>
    <workbookView xWindow="180" yWindow="460" windowWidth="15300" windowHeight="15980" tabRatio="500" activeTab="2"/>
  </bookViews>
  <sheets>
    <sheet name="training" sheetId="1" r:id="rId1"/>
    <sheet name="validation" sheetId="2" r:id="rId2"/>
    <sheet name="test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3" l="1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G6" i="3"/>
  <c r="G5" i="3"/>
  <c r="D67" i="3"/>
  <c r="D66" i="3"/>
  <c r="D43" i="3"/>
  <c r="D42" i="3"/>
  <c r="D23" i="3"/>
  <c r="D22" i="3"/>
  <c r="B6" i="2"/>
  <c r="D6" i="2"/>
  <c r="C6" i="2"/>
  <c r="E6" i="2"/>
  <c r="F6" i="2"/>
  <c r="D7" i="2"/>
  <c r="E7" i="2"/>
  <c r="F7" i="2"/>
  <c r="D8" i="2"/>
  <c r="B8" i="2"/>
  <c r="E8" i="2"/>
  <c r="F8" i="2"/>
  <c r="D9" i="2"/>
  <c r="C9" i="2"/>
  <c r="E9" i="2"/>
  <c r="F9" i="2"/>
  <c r="D10" i="2"/>
  <c r="E10" i="2"/>
  <c r="F10" i="2"/>
  <c r="B11" i="2"/>
  <c r="D11" i="2"/>
  <c r="C11" i="2"/>
  <c r="E11" i="2"/>
  <c r="F11" i="2"/>
  <c r="B12" i="2"/>
  <c r="D12" i="2"/>
  <c r="C12" i="2"/>
  <c r="E12" i="2"/>
  <c r="F12" i="2"/>
  <c r="C13" i="2"/>
  <c r="D13" i="2"/>
  <c r="E13" i="2"/>
  <c r="F13" i="2"/>
  <c r="D14" i="2"/>
  <c r="E14" i="2"/>
  <c r="F14" i="2"/>
  <c r="C15" i="2"/>
  <c r="D15" i="2"/>
  <c r="B15" i="2"/>
  <c r="E15" i="2"/>
  <c r="F15" i="2"/>
  <c r="B16" i="2"/>
  <c r="D16" i="2"/>
  <c r="C16" i="2"/>
  <c r="E16" i="2"/>
  <c r="F16" i="2"/>
  <c r="D17" i="2"/>
  <c r="C17" i="2"/>
  <c r="E17" i="2"/>
  <c r="F17" i="2"/>
  <c r="B18" i="2"/>
  <c r="D18" i="2"/>
  <c r="C18" i="2"/>
  <c r="E18" i="2"/>
  <c r="F18" i="2"/>
  <c r="B27" i="2"/>
  <c r="D27" i="2"/>
  <c r="C27" i="2"/>
  <c r="E27" i="2"/>
  <c r="F27" i="2"/>
  <c r="B28" i="2"/>
  <c r="D28" i="2"/>
  <c r="C28" i="2"/>
  <c r="E28" i="2"/>
  <c r="F28" i="2"/>
  <c r="B29" i="2"/>
  <c r="D29" i="2"/>
  <c r="C29" i="2"/>
  <c r="E29" i="2"/>
  <c r="F29" i="2"/>
  <c r="B30" i="2"/>
  <c r="D30" i="2"/>
  <c r="C30" i="2"/>
  <c r="E30" i="2"/>
  <c r="F30" i="2"/>
  <c r="B31" i="2"/>
  <c r="D31" i="2"/>
  <c r="C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C37" i="2"/>
  <c r="D37" i="2"/>
  <c r="B37" i="2"/>
  <c r="E37" i="2"/>
  <c r="F37" i="2"/>
  <c r="D38" i="2"/>
  <c r="E38" i="2"/>
  <c r="F38" i="2"/>
  <c r="B39" i="2"/>
  <c r="D39" i="2"/>
  <c r="C39" i="2"/>
  <c r="E39" i="2"/>
  <c r="F39" i="2"/>
  <c r="D47" i="2"/>
  <c r="E47" i="2"/>
  <c r="F47" i="2"/>
  <c r="C48" i="2"/>
  <c r="D48" i="2"/>
  <c r="B48" i="2"/>
  <c r="E48" i="2"/>
  <c r="F48" i="2"/>
  <c r="D49" i="2"/>
  <c r="E49" i="2"/>
  <c r="F49" i="2"/>
  <c r="C50" i="2"/>
  <c r="D50" i="2"/>
  <c r="B50" i="2"/>
  <c r="E50" i="2"/>
  <c r="F50" i="2"/>
  <c r="D51" i="2"/>
  <c r="B51" i="2"/>
  <c r="E51" i="2"/>
  <c r="F51" i="2"/>
  <c r="D52" i="2"/>
  <c r="B52" i="2"/>
  <c r="E52" i="2"/>
  <c r="F52" i="2"/>
  <c r="D53" i="2"/>
  <c r="B53" i="2"/>
  <c r="E53" i="2"/>
  <c r="F53" i="2"/>
  <c r="C54" i="2"/>
  <c r="D54" i="2"/>
  <c r="B54" i="2"/>
  <c r="E54" i="2"/>
  <c r="F54" i="2"/>
  <c r="C55" i="2"/>
  <c r="D55" i="2"/>
  <c r="B55" i="2"/>
  <c r="E55" i="2"/>
  <c r="F55" i="2"/>
  <c r="C56" i="2"/>
  <c r="D56" i="2"/>
  <c r="B56" i="2"/>
  <c r="E56" i="2"/>
  <c r="F56" i="2"/>
  <c r="B57" i="2"/>
  <c r="D57" i="2"/>
  <c r="C57" i="2"/>
  <c r="E57" i="2"/>
  <c r="F57" i="2"/>
  <c r="B58" i="2"/>
  <c r="D58" i="2"/>
  <c r="C58" i="2"/>
  <c r="E58" i="2"/>
  <c r="F58" i="2"/>
  <c r="B59" i="2"/>
  <c r="D59" i="2"/>
  <c r="C59" i="2"/>
  <c r="E59" i="2"/>
  <c r="F59" i="2"/>
  <c r="B60" i="2"/>
  <c r="D60" i="2"/>
  <c r="C60" i="2"/>
  <c r="E60" i="2"/>
  <c r="F60" i="2"/>
  <c r="B61" i="2"/>
  <c r="D61" i="2"/>
  <c r="C61" i="2"/>
  <c r="E61" i="2"/>
  <c r="F61" i="2"/>
  <c r="B62" i="2"/>
  <c r="D62" i="2"/>
  <c r="C62" i="2"/>
  <c r="E62" i="2"/>
  <c r="F62" i="2"/>
  <c r="D63" i="2"/>
  <c r="E63" i="2"/>
  <c r="F63" i="2"/>
  <c r="B64" i="2"/>
  <c r="D64" i="2"/>
  <c r="C64" i="2"/>
  <c r="E64" i="2"/>
  <c r="F64" i="2"/>
  <c r="B65" i="2"/>
  <c r="D65" i="2"/>
  <c r="C65" i="2"/>
  <c r="E65" i="2"/>
  <c r="F65" i="2"/>
  <c r="B66" i="2"/>
  <c r="D66" i="2"/>
  <c r="C66" i="2"/>
  <c r="E66" i="2"/>
  <c r="F66" i="2"/>
  <c r="B67" i="2"/>
  <c r="D67" i="2"/>
  <c r="C67" i="2"/>
  <c r="E67" i="2"/>
  <c r="F67" i="2"/>
  <c r="C68" i="2"/>
  <c r="D68" i="2"/>
  <c r="B68" i="2"/>
  <c r="E68" i="2"/>
  <c r="F68" i="2"/>
  <c r="B69" i="2"/>
  <c r="D69" i="2"/>
  <c r="C69" i="2"/>
  <c r="E69" i="2"/>
  <c r="F69" i="2"/>
  <c r="B70" i="2"/>
  <c r="D70" i="2"/>
  <c r="C70" i="2"/>
  <c r="E70" i="2"/>
  <c r="F70" i="2"/>
  <c r="B71" i="2"/>
  <c r="D71" i="2"/>
  <c r="C71" i="2"/>
  <c r="E71" i="2"/>
  <c r="F71" i="2"/>
  <c r="B72" i="2"/>
  <c r="D72" i="2"/>
  <c r="C72" i="2"/>
  <c r="E72" i="2"/>
  <c r="F72" i="2"/>
  <c r="I4" i="2"/>
  <c r="I3" i="2"/>
  <c r="E75" i="2"/>
  <c r="E74" i="2"/>
  <c r="C63" i="2"/>
  <c r="B63" i="2"/>
  <c r="C53" i="2"/>
  <c r="C52" i="2"/>
  <c r="C51" i="2"/>
  <c r="C49" i="2"/>
  <c r="B49" i="2"/>
  <c r="C47" i="2"/>
  <c r="B47" i="2"/>
  <c r="E20" i="2"/>
  <c r="C38" i="2"/>
  <c r="B38" i="2"/>
  <c r="C36" i="2"/>
  <c r="B36" i="2"/>
  <c r="C35" i="2"/>
  <c r="B35" i="2"/>
  <c r="C34" i="2"/>
  <c r="B34" i="2"/>
  <c r="C33" i="2"/>
  <c r="B33" i="2"/>
  <c r="C32" i="2"/>
  <c r="B32" i="2"/>
  <c r="E42" i="2"/>
  <c r="E41" i="2"/>
  <c r="E21" i="2"/>
  <c r="B17" i="2"/>
  <c r="C14" i="2"/>
  <c r="B14" i="2"/>
  <c r="B13" i="2"/>
  <c r="C10" i="2"/>
  <c r="B10" i="2"/>
  <c r="B9" i="2"/>
  <c r="C8" i="2"/>
  <c r="C7" i="2"/>
  <c r="B7" i="2"/>
  <c r="D6" i="1"/>
  <c r="C6" i="1"/>
  <c r="E6" i="1"/>
  <c r="F6" i="1"/>
  <c r="B7" i="1"/>
  <c r="D7" i="1"/>
  <c r="C7" i="1"/>
  <c r="E7" i="1"/>
  <c r="F7" i="1"/>
  <c r="D8" i="1"/>
  <c r="C8" i="1"/>
  <c r="B8" i="1"/>
  <c r="E8" i="1"/>
  <c r="F8" i="1"/>
  <c r="D9" i="1"/>
  <c r="C9" i="1"/>
  <c r="E9" i="1"/>
  <c r="F9" i="1"/>
  <c r="B10" i="1"/>
  <c r="D10" i="1"/>
  <c r="C10" i="1"/>
  <c r="E10" i="1"/>
  <c r="F10" i="1"/>
  <c r="D11" i="1"/>
  <c r="B11" i="1"/>
  <c r="E11" i="1"/>
  <c r="F11" i="1"/>
  <c r="D12" i="1"/>
  <c r="B12" i="1"/>
  <c r="E12" i="1"/>
  <c r="F12" i="1"/>
  <c r="B13" i="1"/>
  <c r="D13" i="1"/>
  <c r="C13" i="1"/>
  <c r="E13" i="1"/>
  <c r="F13" i="1"/>
  <c r="D14" i="1"/>
  <c r="E14" i="1"/>
  <c r="F14" i="1"/>
  <c r="D15" i="1"/>
  <c r="B15" i="1"/>
  <c r="E15" i="1"/>
  <c r="F15" i="1"/>
  <c r="B16" i="1"/>
  <c r="D16" i="1"/>
  <c r="C16" i="1"/>
  <c r="E16" i="1"/>
  <c r="F16" i="1"/>
  <c r="D24" i="1"/>
  <c r="E24" i="1"/>
  <c r="F24" i="1"/>
  <c r="D25" i="1"/>
  <c r="E25" i="1"/>
  <c r="F25" i="1"/>
  <c r="B26" i="1"/>
  <c r="D26" i="1"/>
  <c r="C26" i="1"/>
  <c r="E26" i="1"/>
  <c r="F26" i="1"/>
  <c r="B27" i="1"/>
  <c r="D27" i="1"/>
  <c r="C27" i="1"/>
  <c r="E27" i="1"/>
  <c r="F27" i="1"/>
  <c r="D28" i="1"/>
  <c r="E28" i="1"/>
  <c r="F28" i="1"/>
  <c r="B29" i="1"/>
  <c r="D29" i="1"/>
  <c r="C29" i="1"/>
  <c r="E29" i="1"/>
  <c r="F29" i="1"/>
  <c r="B30" i="1"/>
  <c r="D30" i="1"/>
  <c r="C30" i="1"/>
  <c r="E30" i="1"/>
  <c r="F30" i="1"/>
  <c r="B31" i="1"/>
  <c r="D31" i="1"/>
  <c r="C31" i="1"/>
  <c r="E31" i="1"/>
  <c r="F31" i="1"/>
  <c r="B32" i="1"/>
  <c r="D32" i="1"/>
  <c r="C32" i="1"/>
  <c r="E32" i="1"/>
  <c r="F32" i="1"/>
  <c r="B33" i="1"/>
  <c r="D33" i="1"/>
  <c r="C33" i="1"/>
  <c r="E33" i="1"/>
  <c r="F33" i="1"/>
  <c r="D34" i="1"/>
  <c r="E34" i="1"/>
  <c r="F34" i="1"/>
  <c r="B35" i="1"/>
  <c r="D35" i="1"/>
  <c r="C35" i="1"/>
  <c r="E35" i="1"/>
  <c r="F35" i="1"/>
  <c r="B36" i="1"/>
  <c r="D36" i="1"/>
  <c r="C36" i="1"/>
  <c r="E36" i="1"/>
  <c r="F36" i="1"/>
  <c r="D37" i="1"/>
  <c r="E37" i="1"/>
  <c r="F37" i="1"/>
  <c r="B38" i="1"/>
  <c r="D38" i="1"/>
  <c r="C38" i="1"/>
  <c r="E38" i="1"/>
  <c r="F38" i="1"/>
  <c r="B46" i="1"/>
  <c r="D46" i="1"/>
  <c r="C46" i="1"/>
  <c r="E46" i="1"/>
  <c r="F46" i="1"/>
  <c r="B47" i="1"/>
  <c r="D47" i="1"/>
  <c r="C47" i="1"/>
  <c r="E47" i="1"/>
  <c r="F47" i="1"/>
  <c r="D48" i="1"/>
  <c r="E48" i="1"/>
  <c r="F48" i="1"/>
  <c r="B49" i="1"/>
  <c r="D49" i="1"/>
  <c r="C49" i="1"/>
  <c r="E49" i="1"/>
  <c r="F49" i="1"/>
  <c r="B50" i="1"/>
  <c r="D50" i="1"/>
  <c r="C50" i="1"/>
  <c r="E50" i="1"/>
  <c r="F50" i="1"/>
  <c r="B51" i="1"/>
  <c r="D51" i="1"/>
  <c r="C51" i="1"/>
  <c r="E51" i="1"/>
  <c r="F51" i="1"/>
  <c r="B52" i="1"/>
  <c r="D52" i="1"/>
  <c r="C52" i="1"/>
  <c r="E52" i="1"/>
  <c r="F52" i="1"/>
  <c r="B53" i="1"/>
  <c r="D53" i="1"/>
  <c r="C53" i="1"/>
  <c r="E53" i="1"/>
  <c r="F53" i="1"/>
  <c r="I4" i="1"/>
  <c r="I3" i="1"/>
  <c r="E56" i="1"/>
  <c r="E55" i="1"/>
  <c r="C48" i="1"/>
  <c r="B48" i="1"/>
  <c r="E40" i="1"/>
  <c r="E41" i="1"/>
  <c r="C37" i="1"/>
  <c r="B37" i="1"/>
  <c r="C34" i="1"/>
  <c r="B34" i="1"/>
  <c r="C28" i="1"/>
  <c r="B28" i="1"/>
  <c r="C25" i="1"/>
  <c r="B25" i="1"/>
  <c r="C24" i="1"/>
  <c r="B24" i="1"/>
  <c r="E19" i="1"/>
  <c r="E18" i="1"/>
  <c r="C15" i="1"/>
  <c r="C14" i="1"/>
  <c r="B14" i="1"/>
  <c r="C12" i="1"/>
  <c r="C11" i="1"/>
  <c r="B9" i="1"/>
  <c r="B6" i="1"/>
</calcChain>
</file>

<file path=xl/sharedStrings.xml><?xml version="1.0" encoding="utf-8"?>
<sst xmlns="http://schemas.openxmlformats.org/spreadsheetml/2006/main" count="204" uniqueCount="49">
  <si>
    <t>Ground Truth Area</t>
  </si>
  <si>
    <t>Classified Area</t>
  </si>
  <si>
    <t>Intersection</t>
  </si>
  <si>
    <t>Union</t>
  </si>
  <si>
    <t>20.jpg</t>
  </si>
  <si>
    <t>21.jpg</t>
  </si>
  <si>
    <t>22.jpg</t>
  </si>
  <si>
    <t>23.jpg</t>
  </si>
  <si>
    <t>24.jpg</t>
  </si>
  <si>
    <t>25.jpg</t>
  </si>
  <si>
    <t>Inter./Union</t>
  </si>
  <si>
    <t>26.jpg</t>
  </si>
  <si>
    <t>27.jpg</t>
  </si>
  <si>
    <t>28.jpg</t>
  </si>
  <si>
    <t>29.jpg</t>
  </si>
  <si>
    <t>30.jpg</t>
  </si>
  <si>
    <t>Session Mean:</t>
  </si>
  <si>
    <t>Session STD:</t>
  </si>
  <si>
    <t>2.jpg</t>
  </si>
  <si>
    <t>3.jpg</t>
  </si>
  <si>
    <t>4.jpg</t>
  </si>
  <si>
    <t>5.jpg</t>
  </si>
  <si>
    <t>6.jpg</t>
  </si>
  <si>
    <t>7.jpg</t>
  </si>
  <si>
    <t>8.jpg</t>
  </si>
  <si>
    <t>9.jpg</t>
  </si>
  <si>
    <t>10.jpg</t>
  </si>
  <si>
    <t>11.jpg</t>
  </si>
  <si>
    <t>12.jpg</t>
  </si>
  <si>
    <t>13.jpg</t>
  </si>
  <si>
    <t>14.jpg</t>
  </si>
  <si>
    <t>15.jpg</t>
  </si>
  <si>
    <t>16.jpg</t>
  </si>
  <si>
    <t>17.jpg</t>
  </si>
  <si>
    <t>18.jpg</t>
  </si>
  <si>
    <t>19.jpg</t>
  </si>
  <si>
    <t>DDS: Intersection over Union Calculations</t>
  </si>
  <si>
    <t>Overall Mean:</t>
  </si>
  <si>
    <t>Overall STD:</t>
  </si>
  <si>
    <t>Session 1: swim2.1-3-of-5.mp4</t>
  </si>
  <si>
    <t>Session 2: swim3.2-5-of-29.mp4</t>
  </si>
  <si>
    <t>Session 3: swim3.2-12-of-14</t>
  </si>
  <si>
    <t>Session 1: swim3.2-13of29</t>
  </si>
  <si>
    <t>Session 2: swim3.4-3of14</t>
  </si>
  <si>
    <t>Session 3: swim3.1-7of14</t>
  </si>
  <si>
    <t xml:space="preserve"> 10.jpg</t>
  </si>
  <si>
    <t>Session 1: swim4.3-5-of-9</t>
  </si>
  <si>
    <t>Session 2: swim4.4-2-of-4</t>
  </si>
  <si>
    <t>Session 1: swim4.4-4-of-10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</si>
</sst>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6" workbookViewId="0">
      <selection activeCell="C19" sqref="C19"/>
    </sheetView>
  </sheetViews>
  <sheetFormatPr baseColWidth="10" defaultRowHeight="16" x14ac:dyDescent="0.2"/>
  <cols>
    <col min="2" max="2" width="16.33203125" bestFit="1" customWidth="1"/>
    <col min="3" max="3" width="13" bestFit="1" customWidth="1"/>
    <col min="4" max="4" width="13.1640625" bestFit="1" customWidth="1"/>
    <col min="5" max="5" width="11" customWidth="1"/>
    <col min="6" max="6" width="11.5" bestFit="1" customWidth="1"/>
    <col min="8" max="8" width="14" bestFit="1" customWidth="1"/>
  </cols>
  <sheetData>
    <row r="1" spans="1:9" x14ac:dyDescent="0.2">
      <c r="A1" s="5" t="s">
        <v>36</v>
      </c>
      <c r="B1" s="5"/>
      <c r="C1" s="5"/>
      <c r="D1" s="5"/>
      <c r="E1" s="5"/>
      <c r="F1" s="5"/>
    </row>
    <row r="3" spans="1:9" x14ac:dyDescent="0.2">
      <c r="A3" s="2" t="s">
        <v>39</v>
      </c>
      <c r="H3" s="2" t="s">
        <v>37</v>
      </c>
      <c r="I3">
        <f>AVERAGE(F6:F16,F24:F38,F46:F53)</f>
        <v>0.82485794192158557</v>
      </c>
    </row>
    <row r="4" spans="1:9" x14ac:dyDescent="0.2">
      <c r="H4" s="2" t="s">
        <v>38</v>
      </c>
      <c r="I4">
        <f>STDEV(F6:F16,F24:F38,F46:F53)</f>
        <v>0.11132888749515833</v>
      </c>
    </row>
    <row r="5" spans="1:9" x14ac:dyDescent="0.2">
      <c r="B5" s="1" t="s">
        <v>0</v>
      </c>
      <c r="C5" s="1" t="s">
        <v>1</v>
      </c>
      <c r="D5" s="1" t="s">
        <v>2</v>
      </c>
      <c r="E5" s="1" t="s">
        <v>3</v>
      </c>
      <c r="F5" s="3" t="s">
        <v>10</v>
      </c>
      <c r="G5" s="3"/>
      <c r="H5" s="3"/>
    </row>
    <row r="6" spans="1:9" x14ac:dyDescent="0.2">
      <c r="A6" t="s">
        <v>4</v>
      </c>
      <c r="B6">
        <f>181*180</f>
        <v>32580</v>
      </c>
      <c r="C6">
        <f>194*199</f>
        <v>38606</v>
      </c>
      <c r="D6">
        <f>181*180</f>
        <v>32580</v>
      </c>
      <c r="E6">
        <f>C6</f>
        <v>38606</v>
      </c>
      <c r="F6">
        <f>D6/E6</f>
        <v>0.84391027301455734</v>
      </c>
    </row>
    <row r="7" spans="1:9" x14ac:dyDescent="0.2">
      <c r="A7" t="s">
        <v>5</v>
      </c>
      <c r="B7">
        <f>256*199</f>
        <v>50944</v>
      </c>
      <c r="C7">
        <f>265*211</f>
        <v>55915</v>
      </c>
      <c r="D7">
        <f>B7</f>
        <v>50944</v>
      </c>
      <c r="E7">
        <f>C7</f>
        <v>55915</v>
      </c>
      <c r="F7">
        <f t="shared" ref="F7:F38" si="0">D7/E7</f>
        <v>0.91109720110882586</v>
      </c>
    </row>
    <row r="8" spans="1:9" x14ac:dyDescent="0.2">
      <c r="A8" t="s">
        <v>6</v>
      </c>
      <c r="B8">
        <f>258*204</f>
        <v>52632</v>
      </c>
      <c r="C8">
        <f>266*217</f>
        <v>57722</v>
      </c>
      <c r="D8">
        <f>259*204</f>
        <v>52836</v>
      </c>
      <c r="E8">
        <f>(C8-B8)+D8</f>
        <v>57926</v>
      </c>
      <c r="F8">
        <f t="shared" si="0"/>
        <v>0.91212926837689468</v>
      </c>
    </row>
    <row r="9" spans="1:9" x14ac:dyDescent="0.2">
      <c r="A9" t="s">
        <v>7</v>
      </c>
      <c r="B9">
        <f>274*217</f>
        <v>59458</v>
      </c>
      <c r="C9">
        <f>263*232</f>
        <v>61016</v>
      </c>
      <c r="D9">
        <f>247*219</f>
        <v>54093</v>
      </c>
      <c r="E9">
        <f>C9+(25*218)</f>
        <v>66466</v>
      </c>
      <c r="F9">
        <f t="shared" si="0"/>
        <v>0.81384467246411696</v>
      </c>
    </row>
    <row r="10" spans="1:9" x14ac:dyDescent="0.2">
      <c r="A10" t="s">
        <v>8</v>
      </c>
      <c r="B10">
        <f>350*157</f>
        <v>54950</v>
      </c>
      <c r="C10">
        <f>372*176</f>
        <v>65472</v>
      </c>
      <c r="D10">
        <f>B10</f>
        <v>54950</v>
      </c>
      <c r="E10">
        <f>C10</f>
        <v>65472</v>
      </c>
      <c r="F10">
        <f t="shared" si="0"/>
        <v>0.83929007820136847</v>
      </c>
    </row>
    <row r="11" spans="1:9" x14ac:dyDescent="0.2">
      <c r="A11" t="s">
        <v>9</v>
      </c>
      <c r="B11">
        <f>544*219</f>
        <v>119136</v>
      </c>
      <c r="C11">
        <f>428*212</f>
        <v>90736</v>
      </c>
      <c r="D11">
        <f>(429*179)</f>
        <v>76791</v>
      </c>
      <c r="E11">
        <f>B11+(423*8)</f>
        <v>122520</v>
      </c>
      <c r="F11">
        <f t="shared" si="0"/>
        <v>0.62676297747306564</v>
      </c>
    </row>
    <row r="12" spans="1:9" x14ac:dyDescent="0.2">
      <c r="A12" t="s">
        <v>11</v>
      </c>
      <c r="B12">
        <f>594*202</f>
        <v>119988</v>
      </c>
      <c r="C12">
        <f>346*233</f>
        <v>80618</v>
      </c>
      <c r="D12">
        <f>342*200</f>
        <v>68400</v>
      </c>
      <c r="E12">
        <f>B12+342*19+342*12</f>
        <v>130590</v>
      </c>
      <c r="F12">
        <f t="shared" si="0"/>
        <v>0.52377670572019297</v>
      </c>
    </row>
    <row r="13" spans="1:9" x14ac:dyDescent="0.2">
      <c r="A13" t="s">
        <v>12</v>
      </c>
      <c r="B13">
        <f>281*251</f>
        <v>70531</v>
      </c>
      <c r="C13">
        <f>298*298</f>
        <v>88804</v>
      </c>
      <c r="D13">
        <f>B13</f>
        <v>70531</v>
      </c>
      <c r="E13">
        <f>C13</f>
        <v>88804</v>
      </c>
      <c r="F13">
        <f t="shared" si="0"/>
        <v>0.79423224179091034</v>
      </c>
    </row>
    <row r="14" spans="1:9" x14ac:dyDescent="0.2">
      <c r="A14" t="s">
        <v>13</v>
      </c>
      <c r="B14">
        <f>316*294</f>
        <v>92904</v>
      </c>
      <c r="C14">
        <f>294*310</f>
        <v>91140</v>
      </c>
      <c r="D14">
        <f>285*295</f>
        <v>84075</v>
      </c>
      <c r="E14">
        <f>(320*297)+(294*11)+(303*4)</f>
        <v>99486</v>
      </c>
      <c r="F14">
        <f t="shared" si="0"/>
        <v>0.84509378203968399</v>
      </c>
    </row>
    <row r="15" spans="1:9" x14ac:dyDescent="0.2">
      <c r="A15" t="s">
        <v>14</v>
      </c>
      <c r="B15">
        <f>304*383</f>
        <v>116432</v>
      </c>
      <c r="C15">
        <f>302*392</f>
        <v>118384</v>
      </c>
      <c r="D15">
        <f>296*381</f>
        <v>112776</v>
      </c>
      <c r="E15">
        <f>B15+298*6+385*7</f>
        <v>120915</v>
      </c>
      <c r="F15">
        <f t="shared" si="0"/>
        <v>0.93268825207790595</v>
      </c>
    </row>
    <row r="16" spans="1:9" x14ac:dyDescent="0.2">
      <c r="A16" t="s">
        <v>15</v>
      </c>
      <c r="B16">
        <f>283*403</f>
        <v>114049</v>
      </c>
      <c r="C16">
        <f>302*418</f>
        <v>126236</v>
      </c>
      <c r="D16">
        <f>B16</f>
        <v>114049</v>
      </c>
      <c r="E16">
        <f>C16</f>
        <v>126236</v>
      </c>
      <c r="F16">
        <f t="shared" si="0"/>
        <v>0.90345860134985267</v>
      </c>
    </row>
    <row r="18" spans="1:6" x14ac:dyDescent="0.2">
      <c r="D18" s="2" t="s">
        <v>16</v>
      </c>
      <c r="E18">
        <f>AVERAGE(F6:F16)</f>
        <v>0.81329855032885223</v>
      </c>
    </row>
    <row r="19" spans="1:6" x14ac:dyDescent="0.2">
      <c r="D19" s="2" t="s">
        <v>17</v>
      </c>
      <c r="E19">
        <f>STDEV(F6:F16)</f>
        <v>0.12779696290267645</v>
      </c>
    </row>
    <row r="21" spans="1:6" x14ac:dyDescent="0.2">
      <c r="A21" s="2" t="s">
        <v>40</v>
      </c>
    </row>
    <row r="23" spans="1:6" x14ac:dyDescent="0.2">
      <c r="B23" s="1" t="s">
        <v>0</v>
      </c>
      <c r="C23" s="1" t="s">
        <v>1</v>
      </c>
      <c r="D23" s="1" t="s">
        <v>2</v>
      </c>
      <c r="E23" s="1" t="s">
        <v>3</v>
      </c>
      <c r="F23" s="3" t="s">
        <v>10</v>
      </c>
    </row>
    <row r="24" spans="1:6" x14ac:dyDescent="0.2">
      <c r="A24" s="4" t="s">
        <v>18</v>
      </c>
      <c r="B24">
        <f>(174*224)+(160*58)</f>
        <v>48256</v>
      </c>
      <c r="C24">
        <f>(190*156)+(168*70)</f>
        <v>41400</v>
      </c>
      <c r="D24">
        <f>(173*152)+(162*54)</f>
        <v>35044</v>
      </c>
      <c r="E24">
        <f>(186*73)+(180*299)</f>
        <v>67398</v>
      </c>
      <c r="F24">
        <f t="shared" si="0"/>
        <v>0.51995608178284225</v>
      </c>
    </row>
    <row r="25" spans="1:6" x14ac:dyDescent="0.2">
      <c r="A25" t="s">
        <v>19</v>
      </c>
      <c r="B25">
        <f>(181*238)+(158*66)</f>
        <v>53506</v>
      </c>
      <c r="C25">
        <f>186*155+174*72</f>
        <v>41358</v>
      </c>
      <c r="D25">
        <f>(189*158)+(160*61)</f>
        <v>39622</v>
      </c>
      <c r="E25">
        <f>(179*238)+(5*157)+(172*69)</f>
        <v>55255</v>
      </c>
      <c r="F25">
        <f t="shared" si="0"/>
        <v>0.71707537779386477</v>
      </c>
    </row>
    <row r="26" spans="1:6" x14ac:dyDescent="0.2">
      <c r="A26" t="s">
        <v>20</v>
      </c>
      <c r="B26">
        <f>287*338</f>
        <v>97006</v>
      </c>
      <c r="C26">
        <f>308*358</f>
        <v>110264</v>
      </c>
      <c r="D26">
        <f>B26</f>
        <v>97006</v>
      </c>
      <c r="E26">
        <f>C26</f>
        <v>110264</v>
      </c>
      <c r="F26">
        <f t="shared" si="0"/>
        <v>0.87976130015236165</v>
      </c>
    </row>
    <row r="27" spans="1:6" x14ac:dyDescent="0.2">
      <c r="A27" t="s">
        <v>21</v>
      </c>
      <c r="B27">
        <f>260*347</f>
        <v>90220</v>
      </c>
      <c r="C27">
        <f>267*360</f>
        <v>96120</v>
      </c>
      <c r="D27">
        <f>B27</f>
        <v>90220</v>
      </c>
      <c r="E27">
        <f>C27</f>
        <v>96120</v>
      </c>
      <c r="F27">
        <f t="shared" si="0"/>
        <v>0.93861839367457345</v>
      </c>
    </row>
    <row r="28" spans="1:6" x14ac:dyDescent="0.2">
      <c r="A28" t="s">
        <v>22</v>
      </c>
      <c r="B28">
        <f>189*387</f>
        <v>73143</v>
      </c>
      <c r="C28">
        <f>202*386</f>
        <v>77972</v>
      </c>
      <c r="D28">
        <f>191*359</f>
        <v>68569</v>
      </c>
      <c r="E28">
        <f>(202*380)+(190*32)</f>
        <v>82840</v>
      </c>
      <c r="F28">
        <f t="shared" si="0"/>
        <v>0.82772815065185901</v>
      </c>
    </row>
    <row r="29" spans="1:6" x14ac:dyDescent="0.2">
      <c r="A29" t="s">
        <v>23</v>
      </c>
      <c r="B29">
        <f>318*261</f>
        <v>82998</v>
      </c>
      <c r="C29">
        <f>320*306</f>
        <v>97920</v>
      </c>
      <c r="D29">
        <f t="shared" ref="D29:E33" si="1">B29</f>
        <v>82998</v>
      </c>
      <c r="E29">
        <f t="shared" si="1"/>
        <v>97920</v>
      </c>
      <c r="F29">
        <f t="shared" si="0"/>
        <v>0.8476102941176471</v>
      </c>
    </row>
    <row r="30" spans="1:6" x14ac:dyDescent="0.2">
      <c r="A30" t="s">
        <v>24</v>
      </c>
      <c r="B30">
        <f>382*364</f>
        <v>139048</v>
      </c>
      <c r="C30">
        <f>392*387</f>
        <v>151704</v>
      </c>
      <c r="D30">
        <f t="shared" si="1"/>
        <v>139048</v>
      </c>
      <c r="E30">
        <f t="shared" si="1"/>
        <v>151704</v>
      </c>
      <c r="F30">
        <f t="shared" si="0"/>
        <v>0.91657438169066074</v>
      </c>
    </row>
    <row r="31" spans="1:6" x14ac:dyDescent="0.2">
      <c r="A31" t="s">
        <v>25</v>
      </c>
      <c r="B31">
        <f>286*371</f>
        <v>106106</v>
      </c>
      <c r="C31">
        <f>303*377</f>
        <v>114231</v>
      </c>
      <c r="D31">
        <f t="shared" si="1"/>
        <v>106106</v>
      </c>
      <c r="E31">
        <f t="shared" si="1"/>
        <v>114231</v>
      </c>
      <c r="F31">
        <f t="shared" si="0"/>
        <v>0.92887219756458406</v>
      </c>
    </row>
    <row r="32" spans="1:6" x14ac:dyDescent="0.2">
      <c r="A32" t="s">
        <v>26</v>
      </c>
      <c r="B32">
        <f>(246*233)+(88*128)</f>
        <v>68582</v>
      </c>
      <c r="C32">
        <f>(260*245)+(104*136)</f>
        <v>77844</v>
      </c>
      <c r="D32">
        <f t="shared" si="1"/>
        <v>68582</v>
      </c>
      <c r="E32">
        <f t="shared" si="1"/>
        <v>77844</v>
      </c>
      <c r="F32">
        <f t="shared" si="0"/>
        <v>0.88101844715071165</v>
      </c>
    </row>
    <row r="33" spans="1:6" x14ac:dyDescent="0.2">
      <c r="A33" t="s">
        <v>27</v>
      </c>
      <c r="B33">
        <f>271*255</f>
        <v>69105</v>
      </c>
      <c r="C33">
        <f>290*273</f>
        <v>79170</v>
      </c>
      <c r="D33">
        <f t="shared" si="1"/>
        <v>69105</v>
      </c>
      <c r="E33">
        <f t="shared" si="1"/>
        <v>79170</v>
      </c>
      <c r="F33">
        <f t="shared" si="0"/>
        <v>0.87286851079954531</v>
      </c>
    </row>
    <row r="34" spans="1:6" x14ac:dyDescent="0.2">
      <c r="A34" t="s">
        <v>28</v>
      </c>
      <c r="B34">
        <f>439*280</f>
        <v>122920</v>
      </c>
      <c r="C34">
        <f>438*309</f>
        <v>135342</v>
      </c>
      <c r="D34">
        <f>428*278</f>
        <v>118984</v>
      </c>
      <c r="E34">
        <f>444*308</f>
        <v>136752</v>
      </c>
      <c r="F34">
        <f t="shared" si="0"/>
        <v>0.87007137007137003</v>
      </c>
    </row>
    <row r="35" spans="1:6" x14ac:dyDescent="0.2">
      <c r="A35" t="s">
        <v>29</v>
      </c>
      <c r="B35">
        <f>212*236</f>
        <v>50032</v>
      </c>
      <c r="C35">
        <f>230*248</f>
        <v>57040</v>
      </c>
      <c r="D35">
        <f>B35</f>
        <v>50032</v>
      </c>
      <c r="E35">
        <f>C35</f>
        <v>57040</v>
      </c>
      <c r="F35">
        <f t="shared" si="0"/>
        <v>0.87713884992987379</v>
      </c>
    </row>
    <row r="36" spans="1:6" x14ac:dyDescent="0.2">
      <c r="A36" t="s">
        <v>30</v>
      </c>
      <c r="B36">
        <f>180*305</f>
        <v>54900</v>
      </c>
      <c r="C36">
        <f>193*316</f>
        <v>60988</v>
      </c>
      <c r="D36">
        <f>B36</f>
        <v>54900</v>
      </c>
      <c r="E36">
        <f>C36</f>
        <v>60988</v>
      </c>
      <c r="F36">
        <f t="shared" si="0"/>
        <v>0.90017708401652785</v>
      </c>
    </row>
    <row r="37" spans="1:6" x14ac:dyDescent="0.2">
      <c r="A37" t="s">
        <v>31</v>
      </c>
      <c r="B37">
        <f>156*324</f>
        <v>50544</v>
      </c>
      <c r="C37">
        <f>182*253</f>
        <v>46046</v>
      </c>
      <c r="D37">
        <f>157*253</f>
        <v>39721</v>
      </c>
      <c r="E37">
        <f>(175*251)+158*70</f>
        <v>54985</v>
      </c>
      <c r="F37">
        <f t="shared" si="0"/>
        <v>0.72239701736837314</v>
      </c>
    </row>
    <row r="38" spans="1:6" x14ac:dyDescent="0.2">
      <c r="A38" t="s">
        <v>32</v>
      </c>
      <c r="B38">
        <f>129*393</f>
        <v>50697</v>
      </c>
      <c r="C38">
        <f>143*392</f>
        <v>56056</v>
      </c>
      <c r="D38">
        <f>B38</f>
        <v>50697</v>
      </c>
      <c r="E38">
        <f>C38</f>
        <v>56056</v>
      </c>
      <c r="F38">
        <f t="shared" si="0"/>
        <v>0.90439917225631516</v>
      </c>
    </row>
    <row r="40" spans="1:6" x14ac:dyDescent="0.2">
      <c r="D40" s="2" t="s">
        <v>16</v>
      </c>
      <c r="E40">
        <f>AVERAGE(F24:F38)</f>
        <v>0.84028444193474072</v>
      </c>
    </row>
    <row r="41" spans="1:6" x14ac:dyDescent="0.2">
      <c r="D41" s="2" t="s">
        <v>17</v>
      </c>
      <c r="E41">
        <f>STDEV(F24:F38)</f>
        <v>0.11001939939714166</v>
      </c>
    </row>
    <row r="43" spans="1:6" x14ac:dyDescent="0.2">
      <c r="A43" s="2" t="s">
        <v>41</v>
      </c>
    </row>
    <row r="44" spans="1:6" x14ac:dyDescent="0.2">
      <c r="A44" s="2"/>
    </row>
    <row r="45" spans="1:6" x14ac:dyDescent="0.2">
      <c r="B45" s="1" t="s">
        <v>0</v>
      </c>
      <c r="C45" s="1" t="s">
        <v>1</v>
      </c>
      <c r="D45" s="1" t="s">
        <v>2</v>
      </c>
      <c r="E45" s="1" t="s">
        <v>3</v>
      </c>
      <c r="F45" s="3" t="s">
        <v>10</v>
      </c>
    </row>
    <row r="46" spans="1:6" x14ac:dyDescent="0.2">
      <c r="A46" t="s">
        <v>29</v>
      </c>
      <c r="B46">
        <f>160*98</f>
        <v>15680</v>
      </c>
      <c r="C46">
        <f>160*99</f>
        <v>15840</v>
      </c>
      <c r="D46">
        <f>B46</f>
        <v>15680</v>
      </c>
      <c r="E46">
        <f>C46</f>
        <v>15840</v>
      </c>
      <c r="F46">
        <f>D46/E46</f>
        <v>0.98989898989898994</v>
      </c>
    </row>
    <row r="47" spans="1:6" x14ac:dyDescent="0.2">
      <c r="A47" t="s">
        <v>30</v>
      </c>
      <c r="B47">
        <f>(295*213)+(207*147)</f>
        <v>93264</v>
      </c>
      <c r="C47">
        <f>(316*237)+(232*155)</f>
        <v>110852</v>
      </c>
      <c r="D47">
        <f>B47</f>
        <v>93264</v>
      </c>
      <c r="E47">
        <f>C47</f>
        <v>110852</v>
      </c>
      <c r="F47">
        <f t="shared" ref="F47:F53" si="2">D47/E47</f>
        <v>0.84133800021650484</v>
      </c>
    </row>
    <row r="48" spans="1:6" x14ac:dyDescent="0.2">
      <c r="A48" t="s">
        <v>31</v>
      </c>
      <c r="B48">
        <f>(252*270)+(376*194)</f>
        <v>140984</v>
      </c>
      <c r="C48">
        <f>(363*219)+(247*269)</f>
        <v>145940</v>
      </c>
      <c r="D48">
        <f>(360*191)+(201*205)</f>
        <v>109965</v>
      </c>
      <c r="E48">
        <f>(367*220)+(254*271)</f>
        <v>149574</v>
      </c>
      <c r="F48">
        <f t="shared" si="2"/>
        <v>0.73518793373179836</v>
      </c>
    </row>
    <row r="49" spans="1:6" x14ac:dyDescent="0.2">
      <c r="A49" t="s">
        <v>32</v>
      </c>
      <c r="B49">
        <f>(387*334)+(108*121)</f>
        <v>142326</v>
      </c>
      <c r="C49">
        <f>(401*354)+(122*129)</f>
        <v>157692</v>
      </c>
      <c r="D49">
        <f t="shared" ref="D49:E53" si="3">B49</f>
        <v>142326</v>
      </c>
      <c r="E49">
        <f t="shared" si="3"/>
        <v>157692</v>
      </c>
      <c r="F49">
        <f t="shared" si="2"/>
        <v>0.90255688303782056</v>
      </c>
    </row>
    <row r="50" spans="1:6" x14ac:dyDescent="0.2">
      <c r="A50" t="s">
        <v>33</v>
      </c>
      <c r="B50">
        <f>(118*90)</f>
        <v>10620</v>
      </c>
      <c r="C50">
        <f>(137*103)</f>
        <v>14111</v>
      </c>
      <c r="D50">
        <f t="shared" si="3"/>
        <v>10620</v>
      </c>
      <c r="E50">
        <f t="shared" si="3"/>
        <v>14111</v>
      </c>
      <c r="F50">
        <f t="shared" si="2"/>
        <v>0.75260435121536395</v>
      </c>
    </row>
    <row r="51" spans="1:6" x14ac:dyDescent="0.2">
      <c r="A51" t="s">
        <v>34</v>
      </c>
      <c r="B51">
        <f>(143*141)</f>
        <v>20163</v>
      </c>
      <c r="C51">
        <f>(160*158)</f>
        <v>25280</v>
      </c>
      <c r="D51">
        <f t="shared" si="3"/>
        <v>20163</v>
      </c>
      <c r="E51">
        <f t="shared" si="3"/>
        <v>25280</v>
      </c>
      <c r="F51">
        <f t="shared" si="2"/>
        <v>0.79758702531645564</v>
      </c>
    </row>
    <row r="52" spans="1:6" x14ac:dyDescent="0.2">
      <c r="A52" t="s">
        <v>35</v>
      </c>
      <c r="B52">
        <f>(93*160)</f>
        <v>14880</v>
      </c>
      <c r="C52">
        <f>(111*167)</f>
        <v>18537</v>
      </c>
      <c r="D52">
        <f t="shared" si="3"/>
        <v>14880</v>
      </c>
      <c r="E52">
        <f t="shared" si="3"/>
        <v>18537</v>
      </c>
      <c r="F52">
        <f t="shared" si="2"/>
        <v>0.80271888655122192</v>
      </c>
    </row>
    <row r="53" spans="1:6" x14ac:dyDescent="0.2">
      <c r="A53" t="s">
        <v>4</v>
      </c>
      <c r="B53">
        <f>(74*102)</f>
        <v>7548</v>
      </c>
      <c r="C53">
        <f>(102*110)</f>
        <v>11220</v>
      </c>
      <c r="D53">
        <f t="shared" si="3"/>
        <v>7548</v>
      </c>
      <c r="E53">
        <f t="shared" si="3"/>
        <v>11220</v>
      </c>
      <c r="F53">
        <f t="shared" si="2"/>
        <v>0.67272727272727273</v>
      </c>
    </row>
    <row r="55" spans="1:6" x14ac:dyDescent="0.2">
      <c r="D55" s="2" t="s">
        <v>16</v>
      </c>
      <c r="E55">
        <f>AVERAGE(F46:F53)</f>
        <v>0.81182741783692858</v>
      </c>
    </row>
    <row r="56" spans="1:6" x14ac:dyDescent="0.2">
      <c r="D56" s="2" t="s">
        <v>17</v>
      </c>
      <c r="E56">
        <f>STDEV(F46:F52)</f>
        <v>8.9176613048299783E-2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workbookViewId="0">
      <selection activeCell="I3" sqref="I3"/>
    </sheetView>
  </sheetViews>
  <sheetFormatPr baseColWidth="10" defaultRowHeight="16" x14ac:dyDescent="0.2"/>
  <cols>
    <col min="2" max="2" width="16.6640625" bestFit="1" customWidth="1"/>
    <col min="3" max="3" width="13.33203125" bestFit="1" customWidth="1"/>
    <col min="4" max="4" width="13.1640625" bestFit="1" customWidth="1"/>
    <col min="5" max="5" width="7.33203125" bestFit="1" customWidth="1"/>
    <col min="6" max="6" width="11.5" bestFit="1" customWidth="1"/>
    <col min="8" max="8" width="12.83203125" bestFit="1" customWidth="1"/>
  </cols>
  <sheetData>
    <row r="1" spans="1:9" x14ac:dyDescent="0.2">
      <c r="A1" s="5" t="s">
        <v>36</v>
      </c>
      <c r="B1" s="5"/>
      <c r="C1" s="5"/>
      <c r="D1" s="5"/>
      <c r="E1" s="5"/>
      <c r="F1" s="5"/>
    </row>
    <row r="3" spans="1:9" x14ac:dyDescent="0.2">
      <c r="A3" s="2" t="s">
        <v>42</v>
      </c>
      <c r="H3" s="2" t="s">
        <v>37</v>
      </c>
      <c r="I3">
        <f>AVERAGE(F6:F18,F27:F39,F47:F72)</f>
        <v>0.7966107909283362</v>
      </c>
    </row>
    <row r="4" spans="1:9" x14ac:dyDescent="0.2">
      <c r="H4" s="2" t="s">
        <v>38</v>
      </c>
      <c r="I4">
        <f>STDEV(F6:F18, F27:F39, F47:F72)</f>
        <v>0.13429532935119107</v>
      </c>
    </row>
    <row r="5" spans="1:9" x14ac:dyDescent="0.2">
      <c r="B5" s="1" t="s">
        <v>0</v>
      </c>
      <c r="C5" s="1" t="s">
        <v>1</v>
      </c>
      <c r="D5" s="1" t="s">
        <v>2</v>
      </c>
      <c r="E5" s="1" t="s">
        <v>3</v>
      </c>
      <c r="F5" s="3" t="s">
        <v>10</v>
      </c>
      <c r="G5" s="3"/>
      <c r="H5" s="3"/>
    </row>
    <row r="6" spans="1:9" x14ac:dyDescent="0.2">
      <c r="A6" t="s">
        <v>27</v>
      </c>
      <c r="B6">
        <f>118*78</f>
        <v>9204</v>
      </c>
      <c r="C6">
        <f>(134*74)</f>
        <v>9916</v>
      </c>
      <c r="D6">
        <f>B6</f>
        <v>9204</v>
      </c>
      <c r="E6">
        <f>C6</f>
        <v>9916</v>
      </c>
      <c r="F6">
        <f>D6/E6</f>
        <v>0.92819685356998793</v>
      </c>
    </row>
    <row r="7" spans="1:9" x14ac:dyDescent="0.2">
      <c r="A7" t="s">
        <v>28</v>
      </c>
      <c r="B7">
        <f>(119*120)+(126*115)</f>
        <v>28770</v>
      </c>
      <c r="C7">
        <f>(142*117)+133*151</f>
        <v>36697</v>
      </c>
      <c r="D7">
        <f>(127*147)+(143*117)</f>
        <v>35400</v>
      </c>
      <c r="E7">
        <f>(134*219)+(142*113)</f>
        <v>45392</v>
      </c>
      <c r="F7">
        <f t="shared" ref="F7:F18" si="0">D7/E7</f>
        <v>0.77987310539302079</v>
      </c>
    </row>
    <row r="8" spans="1:9" x14ac:dyDescent="0.2">
      <c r="A8" t="s">
        <v>29</v>
      </c>
      <c r="B8">
        <f>(101*300)+(163*138)</f>
        <v>52794</v>
      </c>
      <c r="C8">
        <f>(165*158)+(110*219)</f>
        <v>50160</v>
      </c>
      <c r="D8">
        <f>(162*139)+(102*219)</f>
        <v>44856</v>
      </c>
      <c r="E8">
        <f>B8</f>
        <v>52794</v>
      </c>
      <c r="F8">
        <f t="shared" si="0"/>
        <v>0.84964200477326968</v>
      </c>
    </row>
    <row r="9" spans="1:9" x14ac:dyDescent="0.2">
      <c r="A9" t="s">
        <v>30</v>
      </c>
      <c r="B9">
        <f>(197*259)+(244*244)</f>
        <v>110559</v>
      </c>
      <c r="C9">
        <f>(260*257)+(200*242)</f>
        <v>115220</v>
      </c>
      <c r="D9">
        <f>(187*239)+(244*244)</f>
        <v>104229</v>
      </c>
      <c r="E9">
        <f>C9</f>
        <v>115220</v>
      </c>
      <c r="F9">
        <f t="shared" si="0"/>
        <v>0.90460857490019098</v>
      </c>
    </row>
    <row r="10" spans="1:9" x14ac:dyDescent="0.2">
      <c r="A10" t="s">
        <v>31</v>
      </c>
      <c r="B10">
        <f>(330*174)+(221*264)</f>
        <v>115764</v>
      </c>
      <c r="C10">
        <f>(229*219)+(350*182)</f>
        <v>113851</v>
      </c>
      <c r="D10">
        <f>(331*178)+(215*227)</f>
        <v>107723</v>
      </c>
      <c r="E10">
        <f>(217*229)+(347*186)</f>
        <v>114235</v>
      </c>
      <c r="F10">
        <f t="shared" si="0"/>
        <v>0.94299470389985551</v>
      </c>
    </row>
    <row r="11" spans="1:9" x14ac:dyDescent="0.2">
      <c r="A11" t="s">
        <v>32</v>
      </c>
      <c r="B11">
        <f>562*330</f>
        <v>185460</v>
      </c>
      <c r="C11">
        <f>574*332</f>
        <v>190568</v>
      </c>
      <c r="D11">
        <f>B11</f>
        <v>185460</v>
      </c>
      <c r="E11">
        <f>C11</f>
        <v>190568</v>
      </c>
      <c r="F11">
        <f t="shared" si="0"/>
        <v>0.97319591956676876</v>
      </c>
    </row>
    <row r="12" spans="1:9" x14ac:dyDescent="0.2">
      <c r="A12" t="s">
        <v>33</v>
      </c>
      <c r="B12">
        <f>289*204</f>
        <v>58956</v>
      </c>
      <c r="C12">
        <f>300*205</f>
        <v>61500</v>
      </c>
      <c r="D12">
        <f>B12</f>
        <v>58956</v>
      </c>
      <c r="E12">
        <f>C12</f>
        <v>61500</v>
      </c>
      <c r="F12">
        <f t="shared" si="0"/>
        <v>0.95863414634146338</v>
      </c>
    </row>
    <row r="13" spans="1:9" x14ac:dyDescent="0.2">
      <c r="A13" t="s">
        <v>34</v>
      </c>
      <c r="B13">
        <f>(207*260)</f>
        <v>53820</v>
      </c>
      <c r="C13">
        <f>200*252</f>
        <v>50400</v>
      </c>
      <c r="D13">
        <f>C13</f>
        <v>50400</v>
      </c>
      <c r="E13">
        <f>(208*264)</f>
        <v>54912</v>
      </c>
      <c r="F13">
        <f t="shared" si="0"/>
        <v>0.91783216783216781</v>
      </c>
    </row>
    <row r="14" spans="1:9" x14ac:dyDescent="0.2">
      <c r="A14" t="s">
        <v>35</v>
      </c>
      <c r="B14">
        <f>144*370</f>
        <v>53280</v>
      </c>
      <c r="C14">
        <f>158*269</f>
        <v>42502</v>
      </c>
      <c r="D14">
        <f>144*268</f>
        <v>38592</v>
      </c>
      <c r="E14">
        <f>D14+(143*83)+143*13</f>
        <v>52320</v>
      </c>
      <c r="F14">
        <f t="shared" si="0"/>
        <v>0.73761467889908261</v>
      </c>
    </row>
    <row r="15" spans="1:9" x14ac:dyDescent="0.2">
      <c r="A15" t="s">
        <v>5</v>
      </c>
      <c r="B15">
        <f>546*173</f>
        <v>94458</v>
      </c>
      <c r="C15">
        <f>(242*147)+(266*60)</f>
        <v>51534</v>
      </c>
      <c r="D15">
        <f>C15</f>
        <v>51534</v>
      </c>
      <c r="E15">
        <f>B15</f>
        <v>94458</v>
      </c>
      <c r="F15">
        <f t="shared" si="0"/>
        <v>0.54557581147176526</v>
      </c>
    </row>
    <row r="16" spans="1:9" x14ac:dyDescent="0.2">
      <c r="A16" t="s">
        <v>6</v>
      </c>
      <c r="B16">
        <f>(319*188)</f>
        <v>59972</v>
      </c>
      <c r="C16">
        <f>(340*200)</f>
        <v>68000</v>
      </c>
      <c r="D16">
        <f>B16</f>
        <v>59972</v>
      </c>
      <c r="E16">
        <f>C16</f>
        <v>68000</v>
      </c>
      <c r="F16">
        <f t="shared" si="0"/>
        <v>0.88194117647058823</v>
      </c>
    </row>
    <row r="17" spans="1:6" x14ac:dyDescent="0.2">
      <c r="A17" t="s">
        <v>11</v>
      </c>
      <c r="B17">
        <f>(183*88)</f>
        <v>16104</v>
      </c>
      <c r="C17">
        <f>99*168</f>
        <v>16632</v>
      </c>
      <c r="D17">
        <f>88*164</f>
        <v>14432</v>
      </c>
      <c r="E17">
        <f>C17+77*15</f>
        <v>17787</v>
      </c>
      <c r="F17">
        <f t="shared" si="0"/>
        <v>0.81137909709338285</v>
      </c>
    </row>
    <row r="18" spans="1:6" x14ac:dyDescent="0.2">
      <c r="A18" t="s">
        <v>12</v>
      </c>
      <c r="B18">
        <f>77*101</f>
        <v>7777</v>
      </c>
      <c r="C18">
        <f>90*112</f>
        <v>10080</v>
      </c>
      <c r="D18">
        <f>B18</f>
        <v>7777</v>
      </c>
      <c r="E18">
        <f>C18</f>
        <v>10080</v>
      </c>
      <c r="F18">
        <f t="shared" si="0"/>
        <v>0.77152777777777781</v>
      </c>
    </row>
    <row r="20" spans="1:6" x14ac:dyDescent="0.2">
      <c r="D20" s="2" t="s">
        <v>16</v>
      </c>
      <c r="E20">
        <f>AVERAGE(F6:F18)</f>
        <v>0.84638584753764001</v>
      </c>
    </row>
    <row r="21" spans="1:6" x14ac:dyDescent="0.2">
      <c r="D21" s="2" t="s">
        <v>17</v>
      </c>
      <c r="E21">
        <f>STDEV(F6:F18)</f>
        <v>0.11833815473958753</v>
      </c>
    </row>
    <row r="24" spans="1:6" x14ac:dyDescent="0.2">
      <c r="A24" s="2" t="s">
        <v>43</v>
      </c>
    </row>
    <row r="26" spans="1:6" x14ac:dyDescent="0.2">
      <c r="B26" s="1" t="s">
        <v>0</v>
      </c>
      <c r="C26" s="1" t="s">
        <v>1</v>
      </c>
      <c r="D26" s="1" t="s">
        <v>2</v>
      </c>
      <c r="E26" s="1" t="s">
        <v>3</v>
      </c>
      <c r="F26" s="3" t="s">
        <v>10</v>
      </c>
    </row>
    <row r="27" spans="1:6" x14ac:dyDescent="0.2">
      <c r="A27" t="s">
        <v>33</v>
      </c>
      <c r="B27">
        <f>84*131</f>
        <v>11004</v>
      </c>
      <c r="C27">
        <f>110*143</f>
        <v>15730</v>
      </c>
      <c r="D27">
        <f t="shared" ref="D27:E31" si="1">B27</f>
        <v>11004</v>
      </c>
      <c r="E27">
        <f t="shared" si="1"/>
        <v>15730</v>
      </c>
      <c r="F27">
        <f>D27/E27</f>
        <v>0.69955499046408143</v>
      </c>
    </row>
    <row r="28" spans="1:6" x14ac:dyDescent="0.2">
      <c r="A28" t="s">
        <v>34</v>
      </c>
      <c r="B28">
        <f>185*142</f>
        <v>26270</v>
      </c>
      <c r="C28">
        <f>194*150</f>
        <v>29100</v>
      </c>
      <c r="D28">
        <f t="shared" si="1"/>
        <v>26270</v>
      </c>
      <c r="E28">
        <f t="shared" si="1"/>
        <v>29100</v>
      </c>
      <c r="F28">
        <f t="shared" ref="F28:F39" si="2">D28/E28</f>
        <v>0.9027491408934708</v>
      </c>
    </row>
    <row r="29" spans="1:6" x14ac:dyDescent="0.2">
      <c r="A29" t="s">
        <v>35</v>
      </c>
      <c r="B29">
        <f>250*104</f>
        <v>26000</v>
      </c>
      <c r="C29">
        <f>262*116</f>
        <v>30392</v>
      </c>
      <c r="D29">
        <f t="shared" si="1"/>
        <v>26000</v>
      </c>
      <c r="E29">
        <f t="shared" si="1"/>
        <v>30392</v>
      </c>
      <c r="F29">
        <f t="shared" si="2"/>
        <v>0.85548828639115559</v>
      </c>
    </row>
    <row r="30" spans="1:6" x14ac:dyDescent="0.2">
      <c r="A30" t="s">
        <v>4</v>
      </c>
      <c r="B30">
        <f>256*110</f>
        <v>28160</v>
      </c>
      <c r="C30">
        <f>271*116</f>
        <v>31436</v>
      </c>
      <c r="D30">
        <f t="shared" si="1"/>
        <v>28160</v>
      </c>
      <c r="E30">
        <f t="shared" si="1"/>
        <v>31436</v>
      </c>
      <c r="F30">
        <f t="shared" si="2"/>
        <v>0.8957882682275099</v>
      </c>
    </row>
    <row r="31" spans="1:6" x14ac:dyDescent="0.2">
      <c r="A31" t="s">
        <v>5</v>
      </c>
      <c r="B31">
        <f>243*116</f>
        <v>28188</v>
      </c>
      <c r="C31">
        <f>253*130</f>
        <v>32890</v>
      </c>
      <c r="D31">
        <f t="shared" si="1"/>
        <v>28188</v>
      </c>
      <c r="E31">
        <f t="shared" si="1"/>
        <v>32890</v>
      </c>
      <c r="F31">
        <f t="shared" si="2"/>
        <v>0.85703861356035271</v>
      </c>
    </row>
    <row r="32" spans="1:6" x14ac:dyDescent="0.2">
      <c r="A32" t="s">
        <v>6</v>
      </c>
      <c r="B32">
        <f>251*140</f>
        <v>35140</v>
      </c>
      <c r="C32">
        <f>199*143</f>
        <v>28457</v>
      </c>
      <c r="D32">
        <f>183*142</f>
        <v>25986</v>
      </c>
      <c r="E32">
        <f>(266*138)</f>
        <v>36708</v>
      </c>
      <c r="F32">
        <f t="shared" si="2"/>
        <v>0.7079110820529585</v>
      </c>
    </row>
    <row r="33" spans="1:6" x14ac:dyDescent="0.2">
      <c r="A33" t="s">
        <v>7</v>
      </c>
      <c r="B33">
        <f>(186*344)+(320*258)</f>
        <v>146544</v>
      </c>
      <c r="C33">
        <f>(206*244)+(204*174)</f>
        <v>85760</v>
      </c>
      <c r="D33">
        <f>(181*242)+(206*173)</f>
        <v>79440</v>
      </c>
      <c r="E33">
        <f>(187*342)+(320*258)</f>
        <v>146514</v>
      </c>
      <c r="F33">
        <f t="shared" si="2"/>
        <v>0.54220074532126628</v>
      </c>
    </row>
    <row r="34" spans="1:6" x14ac:dyDescent="0.2">
      <c r="A34" t="s">
        <v>8</v>
      </c>
      <c r="B34">
        <f>220*289+421*193</f>
        <v>144833</v>
      </c>
      <c r="C34">
        <f>(352*176)+(243*246)</f>
        <v>121730</v>
      </c>
      <c r="D34">
        <f>(218*240)+(352*175)</f>
        <v>113920</v>
      </c>
      <c r="E34">
        <f>(220*294)+(416*189)</f>
        <v>143304</v>
      </c>
      <c r="F34">
        <f t="shared" si="2"/>
        <v>0.79495338580918884</v>
      </c>
    </row>
    <row r="35" spans="1:6" x14ac:dyDescent="0.2">
      <c r="A35" t="s">
        <v>9</v>
      </c>
      <c r="B35">
        <f>(182*332)+(425*155)</f>
        <v>126299</v>
      </c>
      <c r="C35">
        <f>(201*278)+(363*161)</f>
        <v>114321</v>
      </c>
      <c r="D35">
        <f>(180*276)+360*153</f>
        <v>104760</v>
      </c>
      <c r="E35">
        <f>(188*332)+(430*151)</f>
        <v>127346</v>
      </c>
      <c r="F35">
        <f t="shared" si="2"/>
        <v>0.82264067972295951</v>
      </c>
    </row>
    <row r="36" spans="1:6" x14ac:dyDescent="0.2">
      <c r="A36" t="s">
        <v>11</v>
      </c>
      <c r="B36">
        <f>321*326 + 307*192</f>
        <v>163590</v>
      </c>
      <c r="C36">
        <f>348*255+279*177</f>
        <v>138123</v>
      </c>
      <c r="D36">
        <f>321*245+274*173</f>
        <v>126047</v>
      </c>
      <c r="E36">
        <f>(305*194)+(331*333)</f>
        <v>169393</v>
      </c>
      <c r="F36">
        <f t="shared" si="2"/>
        <v>0.74410985105641914</v>
      </c>
    </row>
    <row r="37" spans="1:6" x14ac:dyDescent="0.2">
      <c r="A37" t="s">
        <v>12</v>
      </c>
      <c r="B37">
        <f>(210*358)</f>
        <v>75180</v>
      </c>
      <c r="C37">
        <f>211*269</f>
        <v>56759</v>
      </c>
      <c r="D37">
        <f>C37</f>
        <v>56759</v>
      </c>
      <c r="E37">
        <f>B37+110*18</f>
        <v>77160</v>
      </c>
      <c r="F37">
        <f t="shared" si="2"/>
        <v>0.73560134784862619</v>
      </c>
    </row>
    <row r="38" spans="1:6" x14ac:dyDescent="0.2">
      <c r="A38" t="s">
        <v>13</v>
      </c>
      <c r="B38">
        <f>230*339</f>
        <v>77970</v>
      </c>
      <c r="C38">
        <f>231*2265</f>
        <v>523215</v>
      </c>
      <c r="D38">
        <f>218*257</f>
        <v>56026</v>
      </c>
      <c r="E38">
        <f>(229*340)+17*246</f>
        <v>82042</v>
      </c>
      <c r="F38">
        <f t="shared" si="2"/>
        <v>0.68289412739816191</v>
      </c>
    </row>
    <row r="39" spans="1:6" x14ac:dyDescent="0.2">
      <c r="A39" t="s">
        <v>14</v>
      </c>
      <c r="B39">
        <f>203*312+147*190</f>
        <v>91266</v>
      </c>
      <c r="C39">
        <f>220*333+117*230</f>
        <v>100170</v>
      </c>
      <c r="D39">
        <f>B39</f>
        <v>91266</v>
      </c>
      <c r="E39">
        <f>C39</f>
        <v>100170</v>
      </c>
      <c r="F39">
        <f t="shared" si="2"/>
        <v>0.91111111111111109</v>
      </c>
    </row>
    <row r="41" spans="1:6" x14ac:dyDescent="0.2">
      <c r="D41" s="2" t="s">
        <v>16</v>
      </c>
      <c r="E41">
        <f>AVERAGE(F27:F39)</f>
        <v>0.78092627921978941</v>
      </c>
    </row>
    <row r="42" spans="1:6" x14ac:dyDescent="0.2">
      <c r="D42" s="2" t="s">
        <v>17</v>
      </c>
      <c r="E42">
        <f>STDEV(F27:F39)</f>
        <v>0.108102611610469</v>
      </c>
    </row>
    <row r="44" spans="1:6" x14ac:dyDescent="0.2">
      <c r="A44" s="2" t="s">
        <v>44</v>
      </c>
    </row>
    <row r="46" spans="1:6" x14ac:dyDescent="0.2">
      <c r="B46" s="1" t="s">
        <v>0</v>
      </c>
      <c r="C46" s="1" t="s">
        <v>1</v>
      </c>
      <c r="D46" s="1" t="s">
        <v>2</v>
      </c>
      <c r="E46" s="1" t="s">
        <v>3</v>
      </c>
      <c r="F46" s="3" t="s">
        <v>10</v>
      </c>
    </row>
    <row r="47" spans="1:6" x14ac:dyDescent="0.2">
      <c r="A47" t="s">
        <v>20</v>
      </c>
      <c r="B47">
        <f>118*88</f>
        <v>10384</v>
      </c>
      <c r="C47">
        <f>123*74</f>
        <v>9102</v>
      </c>
      <c r="D47">
        <f>108*74</f>
        <v>7992</v>
      </c>
      <c r="E47">
        <f>117*85+(16*70)</f>
        <v>11065</v>
      </c>
      <c r="F47">
        <f>D47/E47</f>
        <v>0.72227745142340716</v>
      </c>
    </row>
    <row r="48" spans="1:6" x14ac:dyDescent="0.2">
      <c r="A48" t="s">
        <v>21</v>
      </c>
      <c r="B48">
        <f>130*80</f>
        <v>10400</v>
      </c>
      <c r="C48">
        <f>126*70</f>
        <v>8820</v>
      </c>
      <c r="D48">
        <f>C48</f>
        <v>8820</v>
      </c>
      <c r="E48">
        <f>B48</f>
        <v>10400</v>
      </c>
      <c r="F48">
        <f t="shared" ref="F48:F72" si="3">D48/E48</f>
        <v>0.84807692307692306</v>
      </c>
    </row>
    <row r="49" spans="1:6" x14ac:dyDescent="0.2">
      <c r="A49" t="s">
        <v>22</v>
      </c>
      <c r="B49">
        <f>125*83</f>
        <v>10375</v>
      </c>
      <c r="C49">
        <f>125*55</f>
        <v>6875</v>
      </c>
      <c r="D49">
        <f>109*55</f>
        <v>5995</v>
      </c>
      <c r="E49">
        <f>128*80</f>
        <v>10240</v>
      </c>
      <c r="F49">
        <f t="shared" si="3"/>
        <v>0.58544921875</v>
      </c>
    </row>
    <row r="50" spans="1:6" x14ac:dyDescent="0.2">
      <c r="A50" t="s">
        <v>24</v>
      </c>
      <c r="B50">
        <f>128*92</f>
        <v>11776</v>
      </c>
      <c r="C50">
        <f>126*57</f>
        <v>7182</v>
      </c>
      <c r="D50">
        <f>C50</f>
        <v>7182</v>
      </c>
      <c r="E50">
        <f>B50</f>
        <v>11776</v>
      </c>
      <c r="F50">
        <f t="shared" si="3"/>
        <v>0.60988451086956519</v>
      </c>
    </row>
    <row r="51" spans="1:6" x14ac:dyDescent="0.2">
      <c r="A51" t="s">
        <v>25</v>
      </c>
      <c r="B51">
        <f>140*89</f>
        <v>12460</v>
      </c>
      <c r="C51">
        <f>116*63</f>
        <v>7308</v>
      </c>
      <c r="D51">
        <f>105*62</f>
        <v>6510</v>
      </c>
      <c r="E51">
        <f>B51+13*62</f>
        <v>13266</v>
      </c>
      <c r="F51">
        <f t="shared" si="3"/>
        <v>0.49072817729534146</v>
      </c>
    </row>
    <row r="52" spans="1:6" x14ac:dyDescent="0.2">
      <c r="A52" t="s">
        <v>45</v>
      </c>
      <c r="B52">
        <f>139*103</f>
        <v>14317</v>
      </c>
      <c r="C52">
        <f>122*64</f>
        <v>7808</v>
      </c>
      <c r="D52">
        <f>111*63</f>
        <v>6993</v>
      </c>
      <c r="E52">
        <f>B52+12*63</f>
        <v>15073</v>
      </c>
      <c r="F52">
        <f t="shared" si="3"/>
        <v>0.46394214821203478</v>
      </c>
    </row>
    <row r="53" spans="1:6" x14ac:dyDescent="0.2">
      <c r="A53" t="s">
        <v>27</v>
      </c>
      <c r="B53">
        <f>147*93</f>
        <v>13671</v>
      </c>
      <c r="C53">
        <f>138*69</f>
        <v>9522</v>
      </c>
      <c r="D53">
        <f>130*70</f>
        <v>9100</v>
      </c>
      <c r="E53">
        <f>B53+11*71</f>
        <v>14452</v>
      </c>
      <c r="F53">
        <f t="shared" si="3"/>
        <v>0.62967063382230837</v>
      </c>
    </row>
    <row r="54" spans="1:6" x14ac:dyDescent="0.2">
      <c r="A54" t="s">
        <v>28</v>
      </c>
      <c r="B54">
        <f>134*91</f>
        <v>12194</v>
      </c>
      <c r="C54">
        <f>134*90</f>
        <v>12060</v>
      </c>
      <c r="D54">
        <f>C54</f>
        <v>12060</v>
      </c>
      <c r="E54">
        <f>B54</f>
        <v>12194</v>
      </c>
      <c r="F54">
        <f t="shared" si="3"/>
        <v>0.98901098901098905</v>
      </c>
    </row>
    <row r="55" spans="1:6" x14ac:dyDescent="0.2">
      <c r="A55" t="s">
        <v>29</v>
      </c>
      <c r="B55">
        <f>133*76</f>
        <v>10108</v>
      </c>
      <c r="C55">
        <f>133*75</f>
        <v>9975</v>
      </c>
      <c r="D55">
        <f>C55</f>
        <v>9975</v>
      </c>
      <c r="E55">
        <f>B55</f>
        <v>10108</v>
      </c>
      <c r="F55">
        <f t="shared" si="3"/>
        <v>0.98684210526315785</v>
      </c>
    </row>
    <row r="56" spans="1:6" x14ac:dyDescent="0.2">
      <c r="A56" t="s">
        <v>30</v>
      </c>
      <c r="B56">
        <f>155*128</f>
        <v>19840</v>
      </c>
      <c r="C56">
        <f>115*80</f>
        <v>9200</v>
      </c>
      <c r="D56">
        <f>C56</f>
        <v>9200</v>
      </c>
      <c r="E56">
        <f>B56</f>
        <v>19840</v>
      </c>
      <c r="F56">
        <f t="shared" si="3"/>
        <v>0.46370967741935482</v>
      </c>
    </row>
    <row r="57" spans="1:6" x14ac:dyDescent="0.2">
      <c r="A57" t="s">
        <v>31</v>
      </c>
      <c r="B57">
        <f>117*144</f>
        <v>16848</v>
      </c>
      <c r="C57">
        <f>135*153</f>
        <v>20655</v>
      </c>
      <c r="D57">
        <f t="shared" ref="D57:E62" si="4">B57</f>
        <v>16848</v>
      </c>
      <c r="E57">
        <f t="shared" si="4"/>
        <v>20655</v>
      </c>
      <c r="F57">
        <f t="shared" si="3"/>
        <v>0.81568627450980391</v>
      </c>
    </row>
    <row r="58" spans="1:6" x14ac:dyDescent="0.2">
      <c r="A58" t="s">
        <v>32</v>
      </c>
      <c r="B58">
        <f>118*147</f>
        <v>17346</v>
      </c>
      <c r="C58">
        <f>139*158</f>
        <v>21962</v>
      </c>
      <c r="D58">
        <f t="shared" si="4"/>
        <v>17346</v>
      </c>
      <c r="E58">
        <f t="shared" si="4"/>
        <v>21962</v>
      </c>
      <c r="F58">
        <f t="shared" si="3"/>
        <v>0.78981877788908117</v>
      </c>
    </row>
    <row r="59" spans="1:6" x14ac:dyDescent="0.2">
      <c r="A59" t="s">
        <v>33</v>
      </c>
      <c r="B59">
        <f>100*98+228*105</f>
        <v>33740</v>
      </c>
      <c r="C59">
        <f>240*119+118*102</f>
        <v>40596</v>
      </c>
      <c r="D59">
        <f t="shared" si="4"/>
        <v>33740</v>
      </c>
      <c r="E59">
        <f t="shared" si="4"/>
        <v>40596</v>
      </c>
      <c r="F59">
        <f t="shared" si="3"/>
        <v>0.83111636614444773</v>
      </c>
    </row>
    <row r="60" spans="1:6" x14ac:dyDescent="0.2">
      <c r="A60" t="s">
        <v>34</v>
      </c>
      <c r="B60">
        <f>120*201+84*124</f>
        <v>34536</v>
      </c>
      <c r="C60">
        <f>135*215+103*130</f>
        <v>42415</v>
      </c>
      <c r="D60">
        <f t="shared" si="4"/>
        <v>34536</v>
      </c>
      <c r="E60">
        <f t="shared" si="4"/>
        <v>42415</v>
      </c>
      <c r="F60">
        <f t="shared" si="3"/>
        <v>0.81424024519627491</v>
      </c>
    </row>
    <row r="61" spans="1:6" x14ac:dyDescent="0.2">
      <c r="A61" t="s">
        <v>35</v>
      </c>
      <c r="B61">
        <f>149*218+98*130</f>
        <v>45222</v>
      </c>
      <c r="C61">
        <f>110*145+161*238</f>
        <v>54268</v>
      </c>
      <c r="D61">
        <f t="shared" si="4"/>
        <v>45222</v>
      </c>
      <c r="E61">
        <f t="shared" si="4"/>
        <v>54268</v>
      </c>
      <c r="F61">
        <f t="shared" si="3"/>
        <v>0.83330876391243458</v>
      </c>
    </row>
    <row r="62" spans="1:6" x14ac:dyDescent="0.2">
      <c r="A62" t="s">
        <v>4</v>
      </c>
      <c r="B62">
        <f>176*232+107*127</f>
        <v>54421</v>
      </c>
      <c r="C62">
        <f>187*252+119*127</f>
        <v>62237</v>
      </c>
      <c r="D62">
        <f t="shared" si="4"/>
        <v>54421</v>
      </c>
      <c r="E62">
        <f t="shared" si="4"/>
        <v>62237</v>
      </c>
      <c r="F62">
        <f t="shared" si="3"/>
        <v>0.87441554059482296</v>
      </c>
    </row>
    <row r="63" spans="1:6" x14ac:dyDescent="0.2">
      <c r="A63" t="s">
        <v>5</v>
      </c>
      <c r="B63">
        <f>183*194+240*104</f>
        <v>60462</v>
      </c>
      <c r="C63">
        <f>199*203+185*98</f>
        <v>58527</v>
      </c>
      <c r="D63">
        <f>185*87+188*186</f>
        <v>51063</v>
      </c>
      <c r="E63">
        <f>198*203+238*102</f>
        <v>64470</v>
      </c>
      <c r="F63">
        <f t="shared" si="3"/>
        <v>0.79204281060958581</v>
      </c>
    </row>
    <row r="64" spans="1:6" x14ac:dyDescent="0.2">
      <c r="A64" t="s">
        <v>6</v>
      </c>
      <c r="B64">
        <f>276*144+189*199</f>
        <v>77355</v>
      </c>
      <c r="C64">
        <f>299*161+210*221</f>
        <v>94549</v>
      </c>
      <c r="D64">
        <f t="shared" ref="D64:E67" si="5">B64</f>
        <v>77355</v>
      </c>
      <c r="E64">
        <f t="shared" si="5"/>
        <v>94549</v>
      </c>
      <c r="F64">
        <f t="shared" si="3"/>
        <v>0.81814720409523101</v>
      </c>
    </row>
    <row r="65" spans="1:6" x14ac:dyDescent="0.2">
      <c r="A65" t="s">
        <v>7</v>
      </c>
      <c r="B65">
        <f>392*195+201*205</f>
        <v>117645</v>
      </c>
      <c r="C65">
        <f>413*215+219*226</f>
        <v>138289</v>
      </c>
      <c r="D65">
        <f t="shared" si="5"/>
        <v>117645</v>
      </c>
      <c r="E65">
        <f t="shared" si="5"/>
        <v>138289</v>
      </c>
      <c r="F65">
        <f t="shared" si="3"/>
        <v>0.85071842301267631</v>
      </c>
    </row>
    <row r="66" spans="1:6" x14ac:dyDescent="0.2">
      <c r="A66" t="s">
        <v>8</v>
      </c>
      <c r="B66">
        <f>599*326</f>
        <v>195274</v>
      </c>
      <c r="C66">
        <f>621*349</f>
        <v>216729</v>
      </c>
      <c r="D66">
        <f t="shared" si="5"/>
        <v>195274</v>
      </c>
      <c r="E66">
        <f t="shared" si="5"/>
        <v>216729</v>
      </c>
      <c r="F66">
        <f t="shared" si="3"/>
        <v>0.90100540306096555</v>
      </c>
    </row>
    <row r="67" spans="1:6" x14ac:dyDescent="0.2">
      <c r="A67" t="s">
        <v>9</v>
      </c>
      <c r="B67">
        <f>601*335</f>
        <v>201335</v>
      </c>
      <c r="C67">
        <f>628*343</f>
        <v>215404</v>
      </c>
      <c r="D67">
        <f t="shared" si="5"/>
        <v>201335</v>
      </c>
      <c r="E67">
        <f t="shared" si="5"/>
        <v>215404</v>
      </c>
      <c r="F67">
        <f t="shared" si="3"/>
        <v>0.9346855211602384</v>
      </c>
    </row>
    <row r="68" spans="1:6" x14ac:dyDescent="0.2">
      <c r="A68" t="s">
        <v>11</v>
      </c>
      <c r="B68">
        <f>575*312</f>
        <v>179400</v>
      </c>
      <c r="C68">
        <f>465*281</f>
        <v>130665</v>
      </c>
      <c r="D68">
        <f>C68</f>
        <v>130665</v>
      </c>
      <c r="E68">
        <f>B68</f>
        <v>179400</v>
      </c>
      <c r="F68">
        <f t="shared" si="3"/>
        <v>0.72834448160535115</v>
      </c>
    </row>
    <row r="69" spans="1:6" x14ac:dyDescent="0.2">
      <c r="A69" t="s">
        <v>12</v>
      </c>
      <c r="B69">
        <f>437*285</f>
        <v>124545</v>
      </c>
      <c r="C69">
        <f>458*307</f>
        <v>140606</v>
      </c>
      <c r="D69">
        <f t="shared" ref="D69:E72" si="6">B69</f>
        <v>124545</v>
      </c>
      <c r="E69">
        <f t="shared" si="6"/>
        <v>140606</v>
      </c>
      <c r="F69">
        <f t="shared" si="3"/>
        <v>0.88577301110905649</v>
      </c>
    </row>
    <row r="70" spans="1:6" x14ac:dyDescent="0.2">
      <c r="A70" t="s">
        <v>13</v>
      </c>
      <c r="B70">
        <f>265*232</f>
        <v>61480</v>
      </c>
      <c r="C70">
        <f>289*242</f>
        <v>69938</v>
      </c>
      <c r="D70">
        <f t="shared" si="6"/>
        <v>61480</v>
      </c>
      <c r="E70">
        <f t="shared" si="6"/>
        <v>69938</v>
      </c>
      <c r="F70">
        <f t="shared" si="3"/>
        <v>0.87906431410678032</v>
      </c>
    </row>
    <row r="71" spans="1:6" x14ac:dyDescent="0.2">
      <c r="A71" t="s">
        <v>14</v>
      </c>
      <c r="B71">
        <f>280*185</f>
        <v>51800</v>
      </c>
      <c r="C71">
        <f>297*197</f>
        <v>58509</v>
      </c>
      <c r="D71">
        <f t="shared" si="6"/>
        <v>51800</v>
      </c>
      <c r="E71">
        <f t="shared" si="6"/>
        <v>58509</v>
      </c>
      <c r="F71">
        <f t="shared" si="3"/>
        <v>0.88533388025773807</v>
      </c>
    </row>
    <row r="72" spans="1:6" x14ac:dyDescent="0.2">
      <c r="A72" t="s">
        <v>15</v>
      </c>
      <c r="B72">
        <f>300*147</f>
        <v>44100</v>
      </c>
      <c r="C72">
        <f>322*162</f>
        <v>52164</v>
      </c>
      <c r="D72">
        <f t="shared" si="6"/>
        <v>44100</v>
      </c>
      <c r="E72">
        <f t="shared" si="6"/>
        <v>52164</v>
      </c>
      <c r="F72">
        <f t="shared" si="3"/>
        <v>0.84541062801932365</v>
      </c>
    </row>
    <row r="74" spans="1:6" x14ac:dyDescent="0.2">
      <c r="D74" s="2" t="s">
        <v>16</v>
      </c>
      <c r="E74">
        <f>AVERAGE(F48:F72)</f>
        <v>0.78185704116013954</v>
      </c>
    </row>
    <row r="75" spans="1:6" x14ac:dyDescent="0.2">
      <c r="D75" s="2" t="s">
        <v>17</v>
      </c>
      <c r="E75">
        <f>STDEV(F47:F72)</f>
        <v>0.1508052427992051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workbookViewId="0">
      <selection activeCell="F21" sqref="F21"/>
    </sheetView>
  </sheetViews>
  <sheetFormatPr baseColWidth="10" defaultRowHeight="16" x14ac:dyDescent="0.2"/>
  <cols>
    <col min="2" max="2" width="16.6640625" bestFit="1" customWidth="1"/>
    <col min="3" max="3" width="13.33203125" bestFit="1" customWidth="1"/>
    <col min="4" max="4" width="13.1640625" bestFit="1" customWidth="1"/>
    <col min="5" max="5" width="12.1640625" bestFit="1" customWidth="1"/>
    <col min="6" max="6" width="12.83203125" bestFit="1" customWidth="1"/>
    <col min="8" max="8" width="12.83203125" bestFit="1" customWidth="1"/>
    <col min="9" max="9" width="12.1640625" bestFit="1" customWidth="1"/>
  </cols>
  <sheetData>
    <row r="1" spans="1:7" x14ac:dyDescent="0.2">
      <c r="A1" s="5" t="s">
        <v>36</v>
      </c>
      <c r="B1" s="5"/>
      <c r="C1" s="5"/>
      <c r="D1" s="5"/>
      <c r="E1" s="5"/>
      <c r="F1" s="5"/>
    </row>
    <row r="3" spans="1:7" x14ac:dyDescent="0.2">
      <c r="A3" s="2" t="s">
        <v>46</v>
      </c>
    </row>
    <row r="5" spans="1:7" x14ac:dyDescent="0.2">
      <c r="B5" s="1" t="s">
        <v>2</v>
      </c>
      <c r="C5" s="1" t="s">
        <v>3</v>
      </c>
      <c r="D5" s="3" t="s">
        <v>10</v>
      </c>
      <c r="E5" s="3"/>
      <c r="F5" s="2" t="s">
        <v>37</v>
      </c>
      <c r="G5">
        <f>AVERAGE(D6:D20,D28:D40,D50:D64)</f>
        <v>0.52461838974299602</v>
      </c>
    </row>
    <row r="6" spans="1:7" x14ac:dyDescent="0.2">
      <c r="A6" t="s">
        <v>29</v>
      </c>
      <c r="B6">
        <v>25110</v>
      </c>
      <c r="C6">
        <v>52375</v>
      </c>
      <c r="D6">
        <f>B6/C6</f>
        <v>0.47942720763723151</v>
      </c>
      <c r="F6" s="2" t="s">
        <v>38</v>
      </c>
      <c r="G6">
        <f>STDEV(D6:D20,D28:D40,D50:D64)</f>
        <v>0.16148141863649915</v>
      </c>
    </row>
    <row r="7" spans="1:7" x14ac:dyDescent="0.2">
      <c r="A7" t="s">
        <v>30</v>
      </c>
      <c r="B7">
        <f>38664</f>
        <v>38664</v>
      </c>
      <c r="C7">
        <f>56841</f>
        <v>56841</v>
      </c>
      <c r="D7">
        <f t="shared" ref="D7:D20" si="0">B7/C7</f>
        <v>0.68021322636829051</v>
      </c>
    </row>
    <row r="8" spans="1:7" x14ac:dyDescent="0.2">
      <c r="A8" t="s">
        <v>31</v>
      </c>
      <c r="B8">
        <f>205*183</f>
        <v>37515</v>
      </c>
      <c r="C8">
        <f>284*199+205*15</f>
        <v>59591</v>
      </c>
      <c r="D8">
        <f t="shared" si="0"/>
        <v>0.6295413736973704</v>
      </c>
    </row>
    <row r="9" spans="1:7" x14ac:dyDescent="0.2">
      <c r="A9" t="s">
        <v>32</v>
      </c>
      <c r="B9">
        <f>211*181</f>
        <v>38191</v>
      </c>
      <c r="C9">
        <f>278*197+212*31</f>
        <v>61338</v>
      </c>
      <c r="D9">
        <f t="shared" si="0"/>
        <v>0.62263197365417844</v>
      </c>
    </row>
    <row r="10" spans="1:7" x14ac:dyDescent="0.2">
      <c r="A10" t="s">
        <v>33</v>
      </c>
      <c r="B10">
        <f>320*215</f>
        <v>68800</v>
      </c>
      <c r="C10">
        <f>447*227+317*26</f>
        <v>109711</v>
      </c>
      <c r="D10">
        <f t="shared" si="0"/>
        <v>0.62710211373517699</v>
      </c>
    </row>
    <row r="11" spans="1:7" x14ac:dyDescent="0.2">
      <c r="A11" t="s">
        <v>34</v>
      </c>
      <c r="B11">
        <f>300*243</f>
        <v>72900</v>
      </c>
      <c r="C11">
        <f>471*244+300*18</f>
        <v>120324</v>
      </c>
      <c r="D11">
        <f t="shared" si="0"/>
        <v>0.60586416674977561</v>
      </c>
    </row>
    <row r="12" spans="1:7" x14ac:dyDescent="0.2">
      <c r="A12" t="s">
        <v>35</v>
      </c>
      <c r="B12">
        <f>340*261</f>
        <v>88740</v>
      </c>
      <c r="C12">
        <f>486*256</f>
        <v>124416</v>
      </c>
      <c r="D12">
        <f t="shared" si="0"/>
        <v>0.71325231481481477</v>
      </c>
    </row>
    <row r="13" spans="1:7" x14ac:dyDescent="0.2">
      <c r="A13" t="s">
        <v>4</v>
      </c>
      <c r="B13">
        <f>470*258</f>
        <v>121260</v>
      </c>
      <c r="C13">
        <f>553*261</f>
        <v>144333</v>
      </c>
      <c r="D13">
        <f t="shared" si="0"/>
        <v>0.84014050840764065</v>
      </c>
    </row>
    <row r="14" spans="1:7" x14ac:dyDescent="0.2">
      <c r="A14" t="s">
        <v>5</v>
      </c>
      <c r="B14">
        <f>176*95</f>
        <v>16720</v>
      </c>
      <c r="C14">
        <f>332*179</f>
        <v>59428</v>
      </c>
      <c r="D14">
        <f t="shared" si="0"/>
        <v>0.28134885912364543</v>
      </c>
    </row>
    <row r="15" spans="1:7" x14ac:dyDescent="0.2">
      <c r="A15" t="s">
        <v>6</v>
      </c>
      <c r="B15">
        <f>208*89</f>
        <v>18512</v>
      </c>
      <c r="C15">
        <f>291*181</f>
        <v>52671</v>
      </c>
      <c r="D15">
        <f t="shared" si="0"/>
        <v>0.35146475290007784</v>
      </c>
    </row>
    <row r="16" spans="1:7" x14ac:dyDescent="0.2">
      <c r="A16" t="s">
        <v>7</v>
      </c>
      <c r="B16">
        <f>199*63</f>
        <v>12537</v>
      </c>
      <c r="C16">
        <f>308*169</f>
        <v>52052</v>
      </c>
      <c r="D16">
        <f t="shared" si="0"/>
        <v>0.24085529854760623</v>
      </c>
    </row>
    <row r="17" spans="1:4" x14ac:dyDescent="0.2">
      <c r="A17" t="s">
        <v>9</v>
      </c>
      <c r="B17">
        <f>180*116</f>
        <v>20880</v>
      </c>
      <c r="C17">
        <f>268*163</f>
        <v>43684</v>
      </c>
      <c r="D17">
        <f t="shared" si="0"/>
        <v>0.47797820712388978</v>
      </c>
    </row>
    <row r="18" spans="1:4" x14ac:dyDescent="0.2">
      <c r="A18" t="s">
        <v>13</v>
      </c>
      <c r="B18">
        <f>162*98</f>
        <v>15876</v>
      </c>
      <c r="C18">
        <f>269*153</f>
        <v>41157</v>
      </c>
      <c r="D18">
        <f t="shared" si="0"/>
        <v>0.38574240104963919</v>
      </c>
    </row>
    <row r="19" spans="1:4" x14ac:dyDescent="0.2">
      <c r="A19" t="s">
        <v>14</v>
      </c>
      <c r="B19">
        <f>208*153</f>
        <v>31824</v>
      </c>
      <c r="C19">
        <f>334*212</f>
        <v>70808</v>
      </c>
      <c r="D19">
        <f t="shared" si="0"/>
        <v>0.44944074115919103</v>
      </c>
    </row>
    <row r="20" spans="1:4" x14ac:dyDescent="0.2">
      <c r="A20" t="s">
        <v>15</v>
      </c>
      <c r="B20">
        <f>90*65</f>
        <v>5850</v>
      </c>
      <c r="C20">
        <f>283*153</f>
        <v>43299</v>
      </c>
      <c r="D20">
        <f t="shared" si="0"/>
        <v>0.13510704635210974</v>
      </c>
    </row>
    <row r="22" spans="1:4" x14ac:dyDescent="0.2">
      <c r="B22" s="2" t="s">
        <v>16</v>
      </c>
      <c r="D22">
        <f>AVERAGE(D6:D20)</f>
        <v>0.50134067942137572</v>
      </c>
    </row>
    <row r="23" spans="1:4" x14ac:dyDescent="0.2">
      <c r="B23" s="2" t="s">
        <v>17</v>
      </c>
      <c r="D23">
        <f>STDEV(D6:D20)</f>
        <v>0.19630457751034266</v>
      </c>
    </row>
    <row r="25" spans="1:4" x14ac:dyDescent="0.2">
      <c r="A25" s="2" t="s">
        <v>47</v>
      </c>
    </row>
    <row r="27" spans="1:4" x14ac:dyDescent="0.2">
      <c r="B27" s="1" t="s">
        <v>2</v>
      </c>
      <c r="C27" s="1" t="s">
        <v>3</v>
      </c>
      <c r="D27" s="3" t="s">
        <v>10</v>
      </c>
    </row>
    <row r="28" spans="1:4" x14ac:dyDescent="0.2">
      <c r="A28" t="s">
        <v>34</v>
      </c>
      <c r="B28">
        <f>265*221</f>
        <v>58565</v>
      </c>
      <c r="C28">
        <f>420*335</f>
        <v>140700</v>
      </c>
      <c r="D28">
        <f>B28/C28</f>
        <v>0.41624022743425726</v>
      </c>
    </row>
    <row r="29" spans="1:4" x14ac:dyDescent="0.2">
      <c r="A29" t="s">
        <v>35</v>
      </c>
      <c r="B29">
        <f>261*161+165*210+224*62+125*89</f>
        <v>101684</v>
      </c>
      <c r="C29">
        <f>505*316+81*212</f>
        <v>176752</v>
      </c>
      <c r="D29">
        <f t="shared" ref="D29:D40" si="1">B29/C29</f>
        <v>0.57529193446184479</v>
      </c>
    </row>
    <row r="30" spans="1:4" x14ac:dyDescent="0.2">
      <c r="A30" t="s">
        <v>4</v>
      </c>
      <c r="B30">
        <f>262*236+90*128</f>
        <v>73352</v>
      </c>
      <c r="C30">
        <f>574*271+48*240</f>
        <v>167074</v>
      </c>
      <c r="D30">
        <f t="shared" si="1"/>
        <v>0.43903898871158886</v>
      </c>
    </row>
    <row r="31" spans="1:4" x14ac:dyDescent="0.2">
      <c r="A31" t="s">
        <v>5</v>
      </c>
      <c r="B31">
        <f>270*217+50*140+287*52</f>
        <v>80514</v>
      </c>
      <c r="C31">
        <f>504*329+282*76</f>
        <v>187248</v>
      </c>
      <c r="D31">
        <f t="shared" si="1"/>
        <v>0.42998590105101259</v>
      </c>
    </row>
    <row r="32" spans="1:4" x14ac:dyDescent="0.2">
      <c r="A32" t="s">
        <v>6</v>
      </c>
      <c r="B32">
        <f>384*191</f>
        <v>73344</v>
      </c>
      <c r="C32">
        <f>489*289</f>
        <v>141321</v>
      </c>
      <c r="D32">
        <f t="shared" si="1"/>
        <v>0.51898868533338993</v>
      </c>
    </row>
    <row r="33" spans="1:4" x14ac:dyDescent="0.2">
      <c r="A33" t="s">
        <v>7</v>
      </c>
      <c r="B33">
        <f>286*278</f>
        <v>79508</v>
      </c>
      <c r="C33">
        <f>355*320+70*273</f>
        <v>132710</v>
      </c>
      <c r="D33">
        <f t="shared" si="1"/>
        <v>0.5991108431919222</v>
      </c>
    </row>
    <row r="34" spans="1:4" x14ac:dyDescent="0.2">
      <c r="A34" t="s">
        <v>8</v>
      </c>
      <c r="B34">
        <f>297*182</f>
        <v>54054</v>
      </c>
      <c r="C34">
        <f>433*292+295*73</f>
        <v>147971</v>
      </c>
      <c r="D34">
        <f t="shared" si="1"/>
        <v>0.36530130904028491</v>
      </c>
    </row>
    <row r="35" spans="1:4" x14ac:dyDescent="0.2">
      <c r="A35" t="s">
        <v>9</v>
      </c>
      <c r="B35">
        <f>342*266</f>
        <v>90972</v>
      </c>
      <c r="C35">
        <f>342*346+140*268+45*267</f>
        <v>167867</v>
      </c>
      <c r="D35">
        <f t="shared" si="1"/>
        <v>0.54192902714649094</v>
      </c>
    </row>
    <row r="36" spans="1:4" x14ac:dyDescent="0.2">
      <c r="A36" t="s">
        <v>11</v>
      </c>
      <c r="B36">
        <f>262*219</f>
        <v>57378</v>
      </c>
      <c r="C36">
        <f>342*261+100*319+250*100</f>
        <v>146162</v>
      </c>
      <c r="D36">
        <f t="shared" si="1"/>
        <v>0.3925644148273833</v>
      </c>
    </row>
    <row r="37" spans="1:4" x14ac:dyDescent="0.2">
      <c r="A37" t="s">
        <v>12</v>
      </c>
      <c r="B37">
        <f>263*223</f>
        <v>58649</v>
      </c>
      <c r="C37">
        <f>317*268+363*92+98*221</f>
        <v>140010</v>
      </c>
      <c r="D37">
        <f t="shared" si="1"/>
        <v>0.41889150774944645</v>
      </c>
    </row>
    <row r="38" spans="1:4" x14ac:dyDescent="0.2">
      <c r="A38" t="s">
        <v>13</v>
      </c>
      <c r="B38">
        <f>263*204</f>
        <v>53652</v>
      </c>
      <c r="C38">
        <f>317*274+98*203+359*102</f>
        <v>143370</v>
      </c>
      <c r="D38">
        <f t="shared" si="1"/>
        <v>0.37422054823184769</v>
      </c>
    </row>
    <row r="39" spans="1:4" x14ac:dyDescent="0.2">
      <c r="A39" t="s">
        <v>14</v>
      </c>
      <c r="B39">
        <f>269*269</f>
        <v>72361</v>
      </c>
      <c r="C39">
        <f>321*290+88*267+355*102</f>
        <v>152796</v>
      </c>
      <c r="D39">
        <f t="shared" si="1"/>
        <v>0.47357915128668288</v>
      </c>
    </row>
    <row r="40" spans="1:4" x14ac:dyDescent="0.2">
      <c r="A40" t="s">
        <v>15</v>
      </c>
      <c r="B40">
        <f>282*275</f>
        <v>77550</v>
      </c>
      <c r="C40">
        <f>367*375+51*272</f>
        <v>151497</v>
      </c>
      <c r="D40">
        <f t="shared" si="1"/>
        <v>0.51189132458068476</v>
      </c>
    </row>
    <row r="42" spans="1:4" x14ac:dyDescent="0.2">
      <c r="B42" s="2" t="s">
        <v>16</v>
      </c>
      <c r="D42">
        <f>AVERAGE(D28:D40)</f>
        <v>0.46592568177283356</v>
      </c>
    </row>
    <row r="43" spans="1:4" x14ac:dyDescent="0.2">
      <c r="B43" s="2" t="s">
        <v>17</v>
      </c>
      <c r="D43">
        <f>STDEV(D28:D40)</f>
        <v>7.6960629877167855E-2</v>
      </c>
    </row>
    <row r="47" spans="1:4" x14ac:dyDescent="0.2">
      <c r="A47" s="2" t="s">
        <v>48</v>
      </c>
    </row>
    <row r="49" spans="1:4" x14ac:dyDescent="0.2">
      <c r="B49" s="1" t="s">
        <v>2</v>
      </c>
      <c r="C49" s="1" t="s">
        <v>3</v>
      </c>
      <c r="D49" s="3" t="s">
        <v>10</v>
      </c>
    </row>
    <row r="50" spans="1:4" x14ac:dyDescent="0.2">
      <c r="A50" t="s">
        <v>21</v>
      </c>
      <c r="B50">
        <f>160*186</f>
        <v>29760</v>
      </c>
      <c r="C50">
        <f>263*264+99*183</f>
        <v>87549</v>
      </c>
      <c r="D50">
        <f>B50/C50</f>
        <v>0.33992392831442964</v>
      </c>
    </row>
    <row r="51" spans="1:4" x14ac:dyDescent="0.2">
      <c r="A51" t="s">
        <v>24</v>
      </c>
      <c r="B51">
        <f>361*352</f>
        <v>127072</v>
      </c>
      <c r="C51">
        <f>500*367</f>
        <v>183500</v>
      </c>
      <c r="D51">
        <f t="shared" ref="D51:D64" si="2">B51/C51</f>
        <v>0.69249046321525887</v>
      </c>
    </row>
    <row r="52" spans="1:4" x14ac:dyDescent="0.2">
      <c r="A52" t="s">
        <v>25</v>
      </c>
      <c r="B52">
        <f>283*384</f>
        <v>108672</v>
      </c>
      <c r="C52">
        <f>467*363</f>
        <v>169521</v>
      </c>
      <c r="D52">
        <f t="shared" si="2"/>
        <v>0.6410533208275081</v>
      </c>
    </row>
    <row r="53" spans="1:4" x14ac:dyDescent="0.2">
      <c r="A53" t="s">
        <v>26</v>
      </c>
      <c r="B53">
        <f>297*342</f>
        <v>101574</v>
      </c>
      <c r="C53">
        <f>362*374</f>
        <v>135388</v>
      </c>
      <c r="D53">
        <f t="shared" si="2"/>
        <v>0.75024374390640236</v>
      </c>
    </row>
    <row r="54" spans="1:4" x14ac:dyDescent="0.2">
      <c r="A54" t="s">
        <v>27</v>
      </c>
      <c r="B54">
        <f>314*344</f>
        <v>108016</v>
      </c>
      <c r="C54">
        <f>417*355+24*343+263*12+34*161+59*96</f>
        <v>170561</v>
      </c>
      <c r="D54">
        <f t="shared" si="2"/>
        <v>0.63329835073668661</v>
      </c>
    </row>
    <row r="55" spans="1:4" x14ac:dyDescent="0.2">
      <c r="A55" t="s">
        <v>28</v>
      </c>
      <c r="B55">
        <f>321*342</f>
        <v>109782</v>
      </c>
      <c r="C55">
        <f>422*360+61*187+69*133</f>
        <v>172504</v>
      </c>
      <c r="D55">
        <f t="shared" si="2"/>
        <v>0.63640263414181697</v>
      </c>
    </row>
    <row r="56" spans="1:4" x14ac:dyDescent="0.2">
      <c r="A56" t="s">
        <v>29</v>
      </c>
      <c r="B56">
        <f>324*334</f>
        <v>108216</v>
      </c>
      <c r="C56">
        <f>420*362+302*15+41*177</f>
        <v>163827</v>
      </c>
      <c r="D56">
        <f t="shared" si="2"/>
        <v>0.66055045871559637</v>
      </c>
    </row>
    <row r="57" spans="1:4" x14ac:dyDescent="0.2">
      <c r="A57" t="s">
        <v>30</v>
      </c>
      <c r="B57">
        <f>448*282</f>
        <v>126336</v>
      </c>
      <c r="C57">
        <f>695*392+37*158+63*103</f>
        <v>284775</v>
      </c>
      <c r="D57">
        <f t="shared" si="2"/>
        <v>0.44363444824861731</v>
      </c>
    </row>
    <row r="58" spans="1:4" x14ac:dyDescent="0.2">
      <c r="A58" t="s">
        <v>31</v>
      </c>
      <c r="B58">
        <f>300*333</f>
        <v>99900</v>
      </c>
      <c r="C58">
        <f>352*372+36*333</f>
        <v>142932</v>
      </c>
      <c r="D58">
        <f t="shared" si="2"/>
        <v>0.69893375871043573</v>
      </c>
    </row>
    <row r="59" spans="1:4" x14ac:dyDescent="0.2">
      <c r="A59" t="s">
        <v>32</v>
      </c>
      <c r="B59">
        <f>283*333</f>
        <v>94239</v>
      </c>
      <c r="C59">
        <f>301*376</f>
        <v>113176</v>
      </c>
      <c r="D59">
        <f t="shared" si="2"/>
        <v>0.83267653919558915</v>
      </c>
    </row>
    <row r="60" spans="1:4" x14ac:dyDescent="0.2">
      <c r="A60" t="s">
        <v>33</v>
      </c>
      <c r="B60">
        <f>228*221</f>
        <v>50388</v>
      </c>
      <c r="C60">
        <f>367*357</f>
        <v>131019</v>
      </c>
      <c r="D60">
        <f t="shared" si="2"/>
        <v>0.38458544180615023</v>
      </c>
    </row>
    <row r="61" spans="1:4" x14ac:dyDescent="0.2">
      <c r="A61" t="s">
        <v>34</v>
      </c>
      <c r="B61">
        <f>332*233</f>
        <v>77356</v>
      </c>
      <c r="C61">
        <f>458*380</f>
        <v>174040</v>
      </c>
      <c r="D61">
        <f t="shared" si="2"/>
        <v>0.44447253504941392</v>
      </c>
    </row>
    <row r="62" spans="1:4" x14ac:dyDescent="0.2">
      <c r="A62" t="s">
        <v>35</v>
      </c>
      <c r="B62">
        <f>410*378</f>
        <v>154980</v>
      </c>
      <c r="C62">
        <f>545*381</f>
        <v>207645</v>
      </c>
      <c r="D62">
        <f t="shared" si="2"/>
        <v>0.74637000650148089</v>
      </c>
    </row>
    <row r="63" spans="1:4" x14ac:dyDescent="0.2">
      <c r="A63" t="s">
        <v>4</v>
      </c>
      <c r="B63">
        <f>533*373</f>
        <v>198809</v>
      </c>
      <c r="C63">
        <f>672*394+133*133</f>
        <v>282457</v>
      </c>
      <c r="D63">
        <f t="shared" si="2"/>
        <v>0.70385580814070814</v>
      </c>
    </row>
    <row r="64" spans="1:4" x14ac:dyDescent="0.2">
      <c r="A64" t="s">
        <v>5</v>
      </c>
      <c r="B64">
        <f>335*277</f>
        <v>92795</v>
      </c>
      <c r="C64">
        <f>695*358</f>
        <v>248810</v>
      </c>
      <c r="D64">
        <f t="shared" si="2"/>
        <v>0.3729552670712592</v>
      </c>
    </row>
    <row r="66" spans="2:4" x14ac:dyDescent="0.2">
      <c r="B66" s="2" t="s">
        <v>16</v>
      </c>
      <c r="D66">
        <f>AVERAGE(D50:D64)</f>
        <v>0.59876311363875689</v>
      </c>
    </row>
    <row r="67" spans="2:4" x14ac:dyDescent="0.2">
      <c r="B67" s="2" t="s">
        <v>17</v>
      </c>
      <c r="D67">
        <f>STDEV(D50:D64)</f>
        <v>0.15794622439376216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training</vt:lpstr>
      <vt:lpstr>validation</vt:lpstr>
      <vt:lpstr>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2019-11-21T01:22:53Z</dcterms:created>
  <dcterms:modified xsi:type="dcterms:W3CDTF">2019-12-12T16:14:44Z</dcterms:modified>
</cp:coreProperties>
</file>